
<file path=[Content_Types].xml><?xml version="1.0" encoding="utf-8"?>
<Types xmlns="http://schemas.openxmlformats.org/package/2006/content-types">
  <Default Extension="png" ContentType="image/png"/>
  <Default Extension="svg" ContentType="image/sv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workbookPr defaultThemeVersion="166925"/>
  <workbookProtection/>
  <bookViews>
    <workbookView xWindow="0" yWindow="0" windowWidth="14370" windowHeight="9585" tabRatio="500"/>
  </bookViews>
  <sheets>
    <sheet name="Data" sheetId="2" r:id="rId1"/>
    <sheet name="hidden_styles_1" sheetId="3" state="veryHidden" r:id="rId2"/>
    <sheet name="Disclaimer" sheetId="4" r:id="rId3"/>
  </sheets>
  <calcPr calcId="0"/>
</workbook>
</file>

<file path=xl/sharedStrings.xml><?xml version="1.0" encoding="utf-8"?>
<sst xmlns="http://schemas.openxmlformats.org/spreadsheetml/2006/main" count="36060" uniqueCount="36060">
  <si>
    <t>Downloaded on:</t>
  </si>
  <si>
    <t>Created for:</t>
  </si>
  <si>
    <t>Anna Cao, SenaHill Partners</t>
  </si>
  <si>
    <t>Search Link:</t>
  </si>
  <si>
    <t>https://my.pitchbook.com/?pcc=1372769-20</t>
  </si>
  <si>
    <t>Report Link:</t>
  </si>
  <si>
    <t>https://pitchbook.brightspotcdn.com/f7/98/aa1007cb450a999718033c9a9cee/q1-2026-fintech-vc-trends.pdf</t>
  </si>
  <si>
    <t>PitchBook Analyst:</t>
  </si>
  <si>
    <t>Rudy Yang</t>
  </si>
  <si>
    <t>Vertical:</t>
  </si>
  <si>
    <t>Enterprise Fintech</t>
  </si>
  <si>
    <t>Search Result Columns</t>
  </si>
  <si>
    <t>Company ID</t>
  </si>
  <si>
    <t>Companies</t>
  </si>
  <si>
    <t>Segment</t>
  </si>
  <si>
    <t>Subsegment</t>
  </si>
  <si>
    <t>Verticals</t>
  </si>
  <si>
    <t>Last Financing Date</t>
  </si>
  <si>
    <t>Last Financing Deal Type</t>
  </si>
  <si>
    <t>Last Financing Size</t>
  </si>
  <si>
    <t>Last Known Valuation</t>
  </si>
  <si>
    <t>Description</t>
  </si>
  <si>
    <t>Active Investors</t>
  </si>
  <si>
    <t>Website</t>
  </si>
  <si>
    <t>View Company Online</t>
  </si>
  <si>
    <t>54782-29</t>
  </si>
  <si>
    <t>Stripe</t>
  </si>
  <si>
    <t>B2B payments</t>
  </si>
  <si>
    <t>Payment platforms &amp; POS</t>
  </si>
  <si>
    <t>Artificial Intelligence &amp; Machine Learning, FinTech, Mobile, SaaS</t>
  </si>
  <si>
    <t/>
  </si>
  <si>
    <t>Debt - General</t>
  </si>
  <si>
    <t>Operator of an online financial infrastructure platform designed to accept payments, grow revenue, and accelerate new business opportunities. The company offers a developer-centric, API-driven payments platform that simplifies payment infrastructure complexity and provides a suite of ancillary commerce enablement and financial services products, enabling companies to accept payments, send payouts, and manage their businesses online.</t>
  </si>
  <si>
    <t>1435 Capital Management, Addition, Advaita Capital, Adventure Fund, Aliya Capital Partners, Alkeon Capital Management, AllianceBernstein, Allianz X, Alpha Square Group, Altras Capital, Alven Capital Partners, Andra Capital, Andreessen Horowitz, Arceau Capital, Arctic Ventures, ARK Ventures (US), Ascolta Ventures, Atomico (UK) Partners, AXA, Axevil Capital, Baillie Gifford, Base Partners, Base10 Partners, BDT &amp; MSD Partners, Ben Jen Holdings, Blue Opal Capital, Blue Owl Capital, Bolur Holdings, BOND Capital (San Francisco), Bow River Capital, BoxGroup, Bracket Capital, Bridgeview Venture Partners, CapitalG, China Science &amp; Merchants Investment Management Group, Coatue Management, Counterpart Advisors, Cudlob Capital, DataPower Capital, Destiny (Financial Software), DFJ Growth, DST Global, Durable Capital Partners, E1 Ventures, EAI Investments, Edgewood Ventures, Emerson Collective, Enterprise Holding (Singapore), Entrée Capital, Ethos VC, Exa Capital., Fidelity, Founders Fund, Fourth Realm, Franklin Resources, Franklin Venture Partners, G Squared, G2D Investments, Galdana Ventures, General Catalyst, GIC Private, GINCO Investments, Glade Brook Capital Partners, Glynn Capital, Golden Gate Ventures, Goldman Sachs Special Situations Group, Goose Valley Ventures, Green Meadow Ventures, GV, Heavybit, Hedosophia, HiJoJo Partners, HOF Capital, ICONIQ Capital, Imaginary Ventures, Inertia Ventures, Interplay Ventures, Interval Capital Management, Invesdor, IPO CLUB, i-Qu &amp; Co, Ireland Strategic Investment Fund, Irving Investors, Joystar Capital, Khosla Ventures, Kleiner Perkins, Kortschak Investments, La Famiglia, Late Stage Management, Leyden Ventures, Lightspeed Venture Partners, LionTree, Litquidity Capital, LTS Growth, MarketX, MicroVentures, Molini Besozzi Marzoli, Moment Ventures, MSA Capital (Family Office), National Treasury Management Agency, Next Round Capital Partners, NFDG, Night Capital, Nomi Capital, Novator Partners, Oceanic Partners, Optimist Ventures, Other People's Capital, Outlander VC, Paradigm, Pari Passu Venture Partners, Phoenix Investment Club (San Francisco), Pivot Ventures, Polymath Digital, Preston-Werner Ventures, Resolved Ventures, Ribbit Capital, RIT Capital Partners, Robinhood Ventures (Menlo Park), S2 Capital, Salesforce Ventures, SciFi VC, SeedFord Partners, Seek Ventures, Selective VC, Sequoia Capital, Sherpalo Ventures, Shopify, Silver Lake, Simple Capital Partners, Sixth Street Partners, SM Capital (San Marino), Spur Capital Partners, Square Peg Capital, Stableton, Sumitomo Mitsui Trust Club Company, Sunway iLabs, TCP Health Ventures, Team Ignite Ventures, TeleSoft Partners, Temasek Holdings, The Factory (France), The Players Impact, Thrive Capital, Tiger Global Management, Troy Capital Partners, TSG Invest, Uma (Hong Kong), Union Square Ventures, Unity Growth Fund, Valhalla Valley Ventures, Ventioneers, Vibhu Venture Partners, Vibora Capital, Vision Capital Ventures, VitralMax Capital, Wellington Management, WillowTree Investments, Y Combinator</t>
  </si>
  <si>
    <t>www.stripe.com</t>
  </si>
  <si>
    <t>104383-72</t>
  </si>
  <si>
    <t>Revolut</t>
  </si>
  <si>
    <t>Credit and banking</t>
  </si>
  <si>
    <t>Digital banking</t>
  </si>
  <si>
    <t>B2B Payments, Cryptocurrency/Blockchain, FinTech, Mobile, SaaS</t>
  </si>
  <si>
    <t>Later Stage VC</t>
  </si>
  <si>
    <t>Developer of a foreign exchange and money-transferring platform designed to simplify personal money management across currencies and borders. The company's platform compares live exchange rates for multiple currencies, facilitates direct transfers to other bank accounts, tracks and improves monthly expenses, and assists with buying and selling cryptocurrencies, enabling customers and clients to improve their financial health and gain control.</t>
  </si>
  <si>
    <t>10X Group, 1435 Capital Management, 2B Global Capital, A.P. Moller Holding, Access Ventures (New York), Alanda Capital Management, Alecla7, Alexander Capital Ventures, Alkeon Capital Management, Alpha Wave Global, AMK Investment Office, Andreessen Horowitz, Andrew Nutter, Anjost Investment, Aonia Ventures, ARK Ventures (US), Atlant Ventures, Axevil Capital, Baillie Gifford, Balderton Capital, BOND Capital (San Francisco), Bridge Capital Holding, Build Collective, Chimera Capital, Coatue Management, Connor Milner, Crux Capital (Menlo Park), D1 Capital Partners, Deck2 Capital, Dedicated Venture Capital, Destiny (Financial Software), Digital Space Ventures, Dragoneer Investment Group, Dubin &amp; Co., EDBI, Endurance Global Ventures, Entier Capital, Fabio Nalucci, FG2 Capital, Fidelity Management &amp; Research Company, FNDX, Franklin Resources, Galdana Ventures, Gestio Capital, Giano Capital, GINCO Investments, Glade Brook Capital Partners, Global Venture Management, GP Bullhound, Greenoaks, HOF Capital, Hummingbird Ventures, i3Charter, Ian Hannam, Inner Circle (London), Lakestar, Launchbay Capital, Level39, Manhattan Venture Partners, MasterCard, Matthew Greenburgh, Mayel de Borniol, MicroVentures, Mighty Oaks Capital Partners, Molten Ventures, Mubadala Investment Company, Neurone, Nordstar Partners, NVentures (Santa Clara), Nyca Partners, Octant Ventures, Pantheon International, Paradigm, Pario Ventures, Prosto Venture Club, Realm Capital Ventures, Repeat Ventures, Ribbit Capital, Robinhood Ventures (Menlo Park), Schroders, Schroders Capital, Secondary Capital, Shoe Investments, Socii Capital, SoftBank Investment Advisers, Star Tech NG, Start Path, Stonebridge (London), Super Capital, SV Angel, T. Rowe Price Group, Target Global, TCV, Teodoro D'Ambrosio, The Factory (France), The Garage Syndicate, The Up VC, Tiger Global Management, TriplePoint Capital, TSG Consumer, Visi Capital, Voltity, Yuan Chen, Zone II Ventures</t>
  </si>
  <si>
    <t>www.revolut.com</t>
  </si>
  <si>
    <t>277837-93</t>
  </si>
  <si>
    <t>Ramp</t>
  </si>
  <si>
    <t>CFO stack</t>
  </si>
  <si>
    <t>Expense management &amp; AP/AR automation</t>
  </si>
  <si>
    <t>Secondary Transaction - Private</t>
  </si>
  <si>
    <t>Developer of a spend-management platform designed to streamline business, improve efficiency, and build healthier enterprises. The company's platform offers card limits, insightful savings opportunities, automated expense management, receipt matching, corporate card, and accounting integration, all without extra fees, enabling businesses to modernize operations, enhance efficiency, and build stronger companies.</t>
  </si>
  <si>
    <t>1/1 Capital, 137 Ventures, 1435 Capital Management, 1789 Capital, 8VC, A*, Adam Rothenberg, Aito Capital, Alex Bouaziz, Alpha Wave Global, Altimeter Capital Management, Analog Ventures, Anti Fund, Avenir Growth Capital, Backend Capital, Bessemer Venture Partners, Bouaziz &amp; Partners, Bow River Capital, BoxGroup, BroadLight Capital, Chafic Kazoun, Citi Ventures, Coatue Management, Comcast Ventures, Contrary (San Francisco), Conversion Capital, Coral Capital., D1 Capital Partners, Declaration Partners, Definition, Edward Lando, Elizabeth Wessel, Emerson Collective, Epicenter Core, Evolution VC Partners, Flexport, Founders First, Founders Fund, General Catalyst, Generation Investment Management, Geoffrey Woo, GIC Private, Glade Brook Capital Partners, Goanna Capital, Goldman Sachs Asset Management, Good Friends, Greg Arrese, Greylock, GV, ICONIQ Capital, ICONIQ Growth, Insight Partners (New York), JAWS Estates Capital, Jeremy Levine, Keith Rabois, Khosla Ventures, Kinetic (Electronic Equipment and Instruments), Koru Capital (New York), Kultura Capital Management, Lachy Groom, Lennar Ventures, Lightspeed Ventures, Litquidity Capital, Lux Capital, Mischief, Morgan Stanley Investment Management, Neo (Consulting Services (B2B)), Not Boring, Octant Ventures, Olive Tree Capital, Ontario Teachers' Pension Plan, Operator Collective, Original Capital, Palm Tree Crew Investments, Pareto Holdings, Pathlight Ventures, Pinegrove Venture Partners, Plug and Play Tech Center, Rajesh Patel, Redpoint Ventures, RIT Capital Partners, Robin Chan, Robinhood Ventures (Menlo Park), Sabrina Hahn, Sands Capital, Sarona Ventures, Satya Nadella, Section Partners, Sequoia Capital, Small World Capital, Soma Capital, Spacecadet Ventures, Spark Capital, Standard Crypto, Story Capital, Stripe, Stripes, Sunway iLabs, Sutter Hill Ventures, T. Rowe Price Group, Teachers' Venture Growth, Tectonic Capital, The D. E. Shaw Group, The Goldman Sachs Group, Thrive Capital, Verissimo Ventures, Vista Equity Partners, Yahya Mokhtarzada, Zachary Weinberg, ZoiBel</t>
  </si>
  <si>
    <t>www.ramp.com</t>
  </si>
  <si>
    <t>221504-68</t>
  </si>
  <si>
    <t>Checkout.com</t>
  </si>
  <si>
    <t>Artificial Intelligence &amp; Machine Learning, FinTech, Mobile Commerce, SaaS</t>
  </si>
  <si>
    <t>Developer of an online payments platform designed to track and secure digital payments across the Internet. The company's platform integrates with an end-to-end technology that eliminates intermediaries, provides data-rich insights to track performance and drive approvals without the need for additional integrations, and offers to customize risk settings and get advice from expert fraud teams, enabling businesses to secure and promote mobile and online purchasing and manage risks without missing out on revenue.</t>
  </si>
  <si>
    <t>Altimeter Capital Management, Blossom Capital, Coatue Management, Dragoneer Investment Group, DST Global, Endeavor Catalyst, Franklin Resources, Franklin Venture Partners, GIC Private, Greenoaks, Insight Partners (New York), Oxford University Endowment Management, Qatar Investment Authority, Ribbit Capital, Sprints (London), Tech Nation Group, TeleSoft Partners, Tiger Global Management</t>
  </si>
  <si>
    <t>www.checkout.com</t>
  </si>
  <si>
    <t>266440-96</t>
  </si>
  <si>
    <t>Kalshi</t>
  </si>
  <si>
    <t>Wealthtech</t>
  </si>
  <si>
    <t>Brokerage</t>
  </si>
  <si>
    <t>Cryptocurrency/Blockchain, FinTech, Mobile</t>
  </si>
  <si>
    <t>Expected 01-Jan-2028</t>
  </si>
  <si>
    <t>IPO</t>
  </si>
  <si>
    <t>Operator of a regulated exchange intended for trading event contracts. The company operates as a designated contract market regulated by the Commodity Futures Trading Commission, utilizes a central limit order book for matching buyers and sellers, facilitates direct trading on real-world event outcomes, implements clearinghouse functions for trade settlement, and provides real-time market data, enabling individual traders to hedge risks and participate in the information economy.</t>
  </si>
  <si>
    <t>Alex Bouaziz, Alpha Partners, Andreessen Horowitz, Anthos Capital, ARK Investment Management, ARK Ventures (US), Ataria, Baillie Gifford, BAM Elevate, Blanck Capital, BOND Capital (San Francisco), Bridgespan VC, CapitalG, Charles Schwab, Charles Seely, Coatue Management, Coinbase Ventures, Colin Evans, Conductive Ventures, Deviation Capital, EQUIAM, ESAS Ventures, Everybody Ventures, General Catalyst, Global Founders Capital, Hanwha Asset Management (USA), Henry Kravis, Human Capital, Integra Groupe, Interplay Ventures, IVP, J17 Ventures, Jonathan Golden, Justin Mateen, Klaris Capital, Layer Global, Litquidity Capital, Liyuan Venture Capital, Manhattan West Asset Management, Mantis VC, Meritech Capital Partners, Morgan Stanley, Morrison Seger, Multicoin Capital, Neo (Consulting Services (B2B)), Night Capital, Paradigm, Pari Passu Venture Partners, Pathlight Ventures, Raido Venture Management, Razor Capital, Realm Capital Ventures, Scoop Ventures, Sequoia Capital, Seth Weinstein, Seven Hills Capital Management, SGH Capital, Soma Capital, Spark Capital, SV Angel, Team Ignite Ventures, Thirdbase Capital, Tradeweb Markets, Transform Investments, VentureSouq, Y Combinator, Zhaopeng Chen</t>
  </si>
  <si>
    <t>www.kalshi.com</t>
  </si>
  <si>
    <t>56502-19</t>
  </si>
  <si>
    <t>Ripple</t>
  </si>
  <si>
    <t>Payments infrastructure</t>
  </si>
  <si>
    <t>B2B Payments, Cryptocurrency/Blockchain, FinTech, SaaS</t>
  </si>
  <si>
    <t>General Corporate Purpose</t>
  </si>
  <si>
    <t>Developer of a blockchain platform designed to build crypto technology for a world without economic borders. The company's platform offers an open-source payment system using a math-based virtual currency that helps in free payments to merchants, consumers, and developers, enabling global financial institutions, businesses, and governments to move, manage, and tokenize value and customers to pay in any currency with no chargebacks and global payment options.</t>
  </si>
  <si>
    <t>369 Growth Partners, 500 Global, Accenture Ventures, All Blue Capital, Anant Chimmalgi, Andreessen Horowitz, Aperture, Apex Tech Growth Partners, Ascan Investments, Aurum Venture Partners, Azure Ventures Group, Banco Santander, BCG Digital Ventures, Blanck Capital, Bodhi Ventures, Brevan Howard Asset Management, BroadVision Group, C1 Fund, Capella Partners, Celtic Media Group, Citadel Securities, Cloud Toronto Venture Capital, CME Ventures, Digital Currency Group, ESO Fund, Fidelity International Strategic Ventures, Finches, Fortress Investment Group, Founders Fund, Galaxy Digital (New York), Geoffrey Handley, Gold Mark Venture Partners, Growth Technology Partners, GV, Hinge Capital, Jeffery Brown, Jonathan Simmons, Kingsbridge Investment Partners, Knickerbocker Capital (New York), Knudsen Capital, KWeather, Lean Ventures, Lightspeed Venture Partners, MainSheet Ventures, Makai VC, Marshall Wace, MicroVentures, Moonwhale Ventures, Mouro Capital, MV Global, NearingPoint Venture Partners, Next 5 Ventures, Old City Investment Partners, Pantera Capital, Pario Ventures, Platinum Capital vc, Pomp Investments, Recursive Ventures, Riverside Ventures, Route 66 Ventures, Royal Assets, Saraswati Ventures, SCB 10X, SharesPost, Siam Commercial Bank, Spur Capital Partners, Stableton, Steve Bennet, Streamlined Ventures Management, Suman Talukdar, Tokentus, Transform Investments, Tusk Ventures, Udaya Shivaraman, ValueNet Capital, Ventioneers, Venture Science, VII Ventures, VironIT, YMF Investments</t>
  </si>
  <si>
    <t>www.ripple.com</t>
  </si>
  <si>
    <t>266258-80</t>
  </si>
  <si>
    <t>Deel</t>
  </si>
  <si>
    <t>Payroll &amp; earned wage access</t>
  </si>
  <si>
    <t>Artificial Intelligence &amp; Machine Learning, FinTech, HR Tech, Legal Tech, SaaS</t>
  </si>
  <si>
    <t>Developer of a global workforce management platform designed for businesses hiring international talent. The company's platform facilitates contract generation, payroll processing, tax compliance, localized benefits administration, and automated onboarding, enabling companies to efficiently manage remote employees, adhere to international labor regulations, streamline payment operations, and ensure seamless workforce expansion across multiple countries.</t>
  </si>
  <si>
    <t>1789 Capital, 2468 Ventures, 515 Ventures, Aaron Harris, Adventure Fund, Aito Capital, Alexis Ohanian, Alpha Square Group, AltaIR Capital, Altimeter Capital Management, Andreessen Horowitz, Anthony Schiller, Avichal Garg, b2venture, BAM Elevate, BergTop VC, Berkocorp, Bridgespan VC, Browder Capital, Caffeinated Capital, Catapult VC, Claire Johnson, Coatue Management, Crescent Capital (Los Angeles), Cultural Leadership Fund, Daniel Gross, Dara Khosrowshahi, Deutsche Bank Ventures, Discovery Ventures (Berlin), DST Global, Elad Gil, Emerson Collective, Emilie Choi, ESAS Ventures, Expansion Capital, Fidji Simo, Firebolt Ventures, Flight Ventures, Formus Capital, Founders Circle Capital, Four Cities Capital, Fresh Ventures, General Catalyst, Global Founders Capital, Gokul Rajaram, Green Bay Ventures, Green Sands Equity, Hack VC, JAM Fund, Jeffrey Katzenberg, Jeffrey Wilke, John Zimmer, La Famiglia, Lachy Groom, LG Technology Ventures, Louis Beryl, Mana Ventures, Marc McCabe, Max Mullen, McArthur Capital, Mubadala Investment Company, Nat Friedman, Neo (Consulting Services (B2B)), Night Capital, Olima Ventures, Operator Partners, Quiet Capital, Realm Capital Ventures, Recall Capital, Recursive Ventures, Ribbit Capital, Roosh Ventures, Ryan Hoover, Ryan Petersen, S32, Sarona Ventures, Scoop Ventures, Soma Capital, Sozo Ventures, Spark Capital, Stableton, Suleman Ali, Sunflower Capital, SV Angel, Swell Partners, TechInvest, Tobias Lütke, Vinay Hiremath, W Ventures, Weekend Fund, William Hockey, WndrCo, Worklife Ventures, Y Combinator</t>
  </si>
  <si>
    <t>www.deel.com</t>
  </si>
  <si>
    <t>178355-71</t>
  </si>
  <si>
    <t>Rippling</t>
  </si>
  <si>
    <t>Artificial Intelligence &amp; Machine Learning, HR Tech, SaaS</t>
  </si>
  <si>
    <t>Developer of a workforce management platform designed to eliminate the administrative work of running a company. The company's platform guides in managing employee data and operations, including onboarding, offboarding, payroll, tax forms, and email accounts, to automate all the manual work and keycard access, enabling companies to onboard new employees seamlessly.</t>
  </si>
  <si>
    <t>1435 Capital Management, Abstract Ventures, ACE Ventures (Geneva), Baillie Gifford, Bain Capital Tech Opportunities, Bedrock (Financial Services), Bedrock Ventures, Berkeley Frontier Fund, Blue Opal Capital, Brightway Future Capital, Camford Capital, CapitalG, CapitalX, Coatue Management, CPP Investments, Daniel Gross, DataPower Capital, David Phillips, DHVC, Dragoneer Investment Group, Dubin &amp; Co., Edgewood Ventures, Elad Gil, Empede Capital Partners, Founders Fund, FundersClub, G Squared, GIC Private, Global Growth Partners, Goanna Capital, Goldman Sachs Growth Equity, Greenoaks, Hakluyt Capital, IB Ventures, Immad Akhund, Initialized Capital, Kleiner Perkins, Lightspeed Venture Partners, Liquid 2 Ventures, MyAsiaVC, Next Round Capital Partners, NJF Capital, NYX Ventures (Los Altos), Palm Drive Capital, Paulina Szyzdek, Quiet Capital, Repeat Ventures, RIT Capital Partners, S2 Capital, S28 Capital, Sands Capital, Sequoia Capital, Snow Leopard Ventures, Soma Capital, Stableton, Summit Peak Investments, Sweetwater Private Equity, Tale Venture Partners, Threshold Ventures, Tod Sacerdoti, TrueBridge Capital Partners, Unanimous Capital, Unlimited Funds, Ventioneers, Y Combinator, Zain S Hasan Charitable Remainder Trust</t>
  </si>
  <si>
    <t>www.rippling.com</t>
  </si>
  <si>
    <t>436089-07</t>
  </si>
  <si>
    <t>Polymarket</t>
  </si>
  <si>
    <t>Developer of an online prediction market platform designed for trading on the outcomes of real-world events. The company's platform facilitates the creation and trading of event-based contracts using blockchain infrastructure, incorporates real-time pricing based on market sentiment, supports decentralized transactions with transparent settlement processes, allows participation through digital wallets and provides publicly accessible data on probabilities and volumes, enabling individual traders, researchers and data-driven participants to assess event likelihoods and derive informational signals from aggregated market behavior.</t>
  </si>
  <si>
    <t>1789 Capital, 1Confirmation, 369 Growth Partners, A.Capital Ventures, Abstract Ventures, Advaita Capital, Anti Fund, Arrow Fund, Ausum Ventures, Auxilium Partners, Balaji Srinivasan, Blanck Capital, Blockchain Capital, Bodhi Ventures, Brightwing Capital, Calvin Liu, Coinbase Ventures, Cyberight Capital, Digital Currency Group, Divergence Ventures, Dragonfly Capital (San Francisco), Draper Associates, Dubin &amp; Co., Electric Feel Ventures, Firestreak Ventures, Founders Fund, G Squared, General Catalyst, GreatThings, ID8 Investments, Inertia Ventures, Intercontinental Exchange, Jack Herrick, Joe Gebbia, Josh Hannah, Kain Warwick, Kalyan Vepuri, Kevin Hartz, Kilombo Ventures, Litquidity Capital, Manhattan West Asset Management, Marc Bhargava, Meltem Demirors, Naval Ravikant, New Form Capital, Octant Ventures, Opulentia, P2 Ventures, Palm Tree Crew Crypto, ParaFi Capital, Pari Passu Venture Partners, Peter Thiel, Point72 Ventures, Polychain Capital, Quiet Capital, Ribbit Capital, Robert Leshner, Robot Ventures, Rosecliff Venture Partners, Samir Vasavada, Santiago Santos, Sapir Wealth, Sixth Horizon, Small World Capital, Stani Kulechov, SV Angel, Symphony Ventures (California), Tarun Chitra, Team Ignite Ventures, The D. E. Shaw Group, Valor Equity Partners, Valor Global, Vinthera, Vitalik Buterin, WndrCo, Zee Prime Capital</t>
  </si>
  <si>
    <t>www.polymarket.com</t>
  </si>
  <si>
    <t>277451-74</t>
  </si>
  <si>
    <t>Trade Republic</t>
  </si>
  <si>
    <t>Artificial Intelligence &amp; Machine Learning, Cryptocurrency/Blockchain, FinTech, Mobile, SaaS</t>
  </si>
  <si>
    <t>Operator of a mobile-based investment and banking platform intended for retail investing purposes. The company's platform integrates securities trading, recurring investment plans, fractional ownership, access to equities, exchange-traded funds, bonds, derivatives, and digital assets, alongside cash management features, interest-bearing balances, payment cards, tax documentation, regulated custody and compliance workflows, enabling individual investors in European markets to execute, monitor and manage diversified portfolios with standardized processes, reduced operational complexity and transparent cost structures.</t>
  </si>
  <si>
    <t>Accel, Aglaé Ventures, Creandum, Discovery Ventures (Berlin), Fidelity, Founders Fund, Galdana Ventures, GIC Private, Khosla Ventures, Lingotto, Liqid (Financial Services), LMU Innovation &amp; Entrepreneurship Center, Ontario Teachers' Pension Plan, Project A Ventures, Sapphire Ventures, Sequoia Capital, TCV, Thrive Capital, Wellington Management</t>
  </si>
  <si>
    <t>www.traderepublic.com</t>
  </si>
  <si>
    <t>156397-78</t>
  </si>
  <si>
    <t>PhonePe</t>
  </si>
  <si>
    <t>B2B Payments, FinTech, Mobile, Mobile Commerce</t>
  </si>
  <si>
    <t>Developer of a mobile payment application intended to facilitate digital payments among individuals and businesses. The company's application specializes in an online payment system to send money, recharge, and pay bills via a Unified Payments Interface and a digital wallet and also offers a range of financial services, including insurance, investments, and lending, enabling users to make easy transactions with anyone using a mobile number or QR code.</t>
  </si>
  <si>
    <t>Brand Capital, Microsoft, Qatar Investment Authority, Ribbit Capital, Tencent Holdings, Tiger Global Management, TVS Capital, Walmart</t>
  </si>
  <si>
    <t>www.phonepe.com</t>
  </si>
  <si>
    <t>107633-08</t>
  </si>
  <si>
    <t>Bolt (Financial Software)</t>
  </si>
  <si>
    <t>Artificial Intelligence &amp; Machine Learning, B2B Payments, FinTech, SaaS</t>
  </si>
  <si>
    <t>Developer of a checkout and payment processing platform designed for online transactions. The company's platform offers one-click checkout, fraud detection, and payment integration, featuring user authentication, multi-device compatibility, automated transaction security, and merchant analytics, enabling businesses to streamline purchases, reduce cart abandonment, enhance payment security, and improve customer experience across digital commerce environments.</t>
  </si>
  <si>
    <t>10H Capital, 1435 Capital Management, 305 Ventures, 7feur, Activant Capital, Agman, Alberto Chalon, Alecla7, Alpha Square Group, Angels Santé, Ault Krug Partners, Axevil Capital, Benny Joseph, BlackRock, Brett Jackson, Bridgeview Venture Partners, Caffeinated Capital, CCIX Global, CE Innovation Capital, Centripetal VC, CreditEase, CSC UpShot Ventures, Dave Heath, Destiny (Financial Software), Echo Street Capital Management, Evan DiMeglio, Expanding Capital, Formic Ventures, Founders Fund, Gaingels, Gary Sheinbaum, Global Tech Ventures, Global Venture Management, Glynn Capital, Great Oaks Venture Capital, H.I.G. Growth Partners, Hemisphere Ventures, Human Capital, Inflection Ventures (New York), InterWest Partners, Intuit, Invus Opportunities, Jeff Fluhr, Jesse Robbins, Jon McNeill, Jonathan Tam, Jonathan Weiner, K5 Global, Kelly Cooper, Kevin Han, Kevin Moore, Kevin Weinman, Launchbay Capital, LionTree Partners, LO Capital, Lume Capital, Luxor Group, MaC Venture Capital, Magic Fund, Man Capital, Mark Lenhard, Melissa Mash, Michael Vaughan, Moore Strategic Ventures, MVC (New York), MyAsiaVC, NALA Investments, Neurone, North 50 Venture Capital, Northstar.VC, Optus Capital Partners, Paul Zaengle, Point Zero Capital, Polaris Capital (New York), Reform Ventures, Ridge Ventures, Riverside Ventures, Sand Hill Angels, Saraswati Ventures, SaxeCap, Schonfeld Strategic Advisors, Sequoia Capital, Silicon Valley Venture &amp; Innovation, Soma Capital, Spacebar Ventures, Stack Capital Group, StartX (US), Streamlined Ventures Management, SV Pacific Ventures, Talent Resources Ventures, Team Ignite Ventures, Tessera Venture Partners, Thirdbase Capital, Threadneedle Ventures, UCEA Capital Partners, Ullas Naik, Uma (Hong Kong), Untitled Investments, Utopian Ventures (San Francisco), Venrex Investment Management, Visary Capital, West Coast Equity Partners, Willoughby Capital, ZenStone Venture Capital</t>
  </si>
  <si>
    <t>www.bolt.com</t>
  </si>
  <si>
    <t>299326-60</t>
  </si>
  <si>
    <t>GoodLeap</t>
  </si>
  <si>
    <t>Alternative lending</t>
  </si>
  <si>
    <t>Real estate lending</t>
  </si>
  <si>
    <t>Artificial Intelligence &amp; Machine Learning, FinTech, Mobile</t>
  </si>
  <si>
    <t>Developer of a financing platform designed to offer consumer-friendly financing options for living a sustainable lifestyle. The company's platform offers solar loans, home purchase loans, home refinance, and home improvement loans, as well as offers virtually instant approvals, high conversion rates, integrated tools and features for control and ease of use, enabling customers to get their dream homes and save money using modern technology.</t>
  </si>
  <si>
    <t>BDT &amp; MSD Partners, Brookfield Growth, Cox Cleantech, Davidson Kempner Capital Management, For Good Ventures, JVC Investment Partners, Laurence Tosi, McWin Partners, Michael Dell, Mubadala Investment Company, New Enterprise Associates, Ribbit Capital, Riverstone Energy, Riverstone Holdings, Smile Group, The Stephens Group, WestCap (New York)</t>
  </si>
  <si>
    <t>www.goodleap.com</t>
  </si>
  <si>
    <t>158063-68</t>
  </si>
  <si>
    <t>Airwallex</t>
  </si>
  <si>
    <t>Cross border &amp; FX</t>
  </si>
  <si>
    <t>Operator of a global payments and financial platform designed to process international payments. The company's platform integrates into an ecosystem of the application programming interface, products, automation, global networks, and local payment systems to create a scalable tool and remove the unnecessary friction and cost inherent in the traditional financial system, enabling clients to issue and pay invoices in their preferred currency at the mid-market foreign exchange rate.</t>
  </si>
  <si>
    <t>20VC, Abacus Ventures, Activant Capital, Addition, Airtree Ventures, Alibaba Entrepreneurs Fund, AMEX Ventures, Athletic Ventures (Australia), Australia Future Fund, Baillie Gifford, BAM Elevate, Bank Central Asia, Blackbird Capital, Blackbird Ventures, Deck2 Capital, DST Global, G Squared, Gaolin Capital, Gobi Partners, Greenoaks, Grok Ventures, Haun Ventures Management, Hedosophia, Hermitage Capital, Hillhouse Investment Group, Horizons Ventures, Hostplus Superannuation Fund, HSG (Hong Kong), Hummingbird, Hummingbird Ventures, K3 Ventures, Lingotto, Lone Pine Capital, Martin Li, Non-Government Schools Superannuation Fund, Plug and Play Tech Center, QED Investors, R136 Ventures, Robinhood Ventures (Menlo Park), Salesforce Ventures, Saniel Ventures, SecondQuarter Ventures, Sequoia Capital, Shoe Investments, Skip Capital, Square Peg Capital, T. Rowe Price Group, Tencent Holdings, TIAA Ventures, Victoria Harbour Investment, Visa Ventures, Washington University in St. Louis</t>
  </si>
  <si>
    <t>www.airwallex.com</t>
  </si>
  <si>
    <t>469085-32</t>
  </si>
  <si>
    <t>Bilt Technologies</t>
  </si>
  <si>
    <t>Consumer payments</t>
  </si>
  <si>
    <t>Loyalty &amp; rewards</t>
  </si>
  <si>
    <t>FinTech, Mobile, Real Estate Technology</t>
  </si>
  <si>
    <t>Developer of a rewards platform designed to allow renters to earn points on rent. The company's platform partners with real estate owners and credit card corporations offering renters points on paying rent as well as one-to-one point transfers for travel across major airlines and hotel partners and future down payments, enabling cardholders to build a path towards homeownership.</t>
  </si>
  <si>
    <t>Acrew Capital, Actions Capital, AvalonBay Communities, Blend Labs, Camber Creek, Currency M, Derive Ventures, Douglas Elliman (New York), Eldridge Industries, Elizabeth Street Ventures, Equity Residential, Fifth Wall, Fin Capital, General Catalyst, GID Investment Advisers, Greystar Real Estate Partners, Invitation Homes, JAWS Estates Capital, Kairos HQ, Left Lane Capital, Lennar Ventures, MasterCard, MMC Technology Ventures, Moinian Group, MoreThan Capital, Morgan Properties, New Valley, Ontario Teachers' Pension Plan, Prosus Ventures, Pruven Capital, Smash Capital, Starwood Capital Group, Teachers' Venture Growth, The Related Group of Florida, TTV Capital, University of Illinois Foundation, UWM Holdings, Vanderbilt University Endowment, Wells Fargo</t>
  </si>
  <si>
    <t>www.biltrewards.com</t>
  </si>
  <si>
    <t>56855-98</t>
  </si>
  <si>
    <t>Varthana</t>
  </si>
  <si>
    <t>Retail &amp; marketplace lending</t>
  </si>
  <si>
    <t>FinTech</t>
  </si>
  <si>
    <t>Buyout/LBO</t>
  </si>
  <si>
    <t>Operator of a school loan company intended to transform private education in India. The company offers secured and unsecured loans custom-built to suit a wide range of projects, including renovating and adding infrastructure, libraries, playgrounds, labs, smart classes, teacher-training programs, and school buses, enabling private schools to provide access to education facilities to students from low-income groups in India.</t>
  </si>
  <si>
    <t>Asha Impact, Blue Earth Capital, Blue Haven Initiative, BlueOrchard Finance, ChrysCapital, DAI Asset Management, Elevar Equity, Kaizenvest, LGT Group, Lightrock, Michael &amp; Susan Dell Foundation, Omidyar Network, U.S. International Development Finance Corporation, Unitus Labs</t>
  </si>
  <si>
    <t>www.varthana.com</t>
  </si>
  <si>
    <t>895156-12</t>
  </si>
  <si>
    <t>Erebor Bank</t>
  </si>
  <si>
    <t>Commercial finance</t>
  </si>
  <si>
    <t>Artificial Intelligence &amp; Machine Learning, Cryptocurrency/Blockchain, FinTech, SaaS</t>
  </si>
  <si>
    <t>Early Stage VC</t>
  </si>
  <si>
    <t>Operator of a crypto-friendly bank intended to serve crypto clients and startups. The company's application indicates plans to offer both traditional banking services and crypto-related products, and the target clientele includes businesses within the U.S. innovation economy, particularly those focused on virtual currency, artificial intelligence, defense and manufacturing technology, enabling businesses to plan and track their financial journey.</t>
  </si>
  <si>
    <t>8VC, Ambush Capital, Andreessen Horowitz, Anti Fund, Astro Capital (NY), Balerion Space Ventures, Black Box Ventures (New York), Brightwing Capital, BVVC, Castle Island Ventures, Chapter One, CMT Digital Holdings, Definition, Elad Gil, Fabrica Ventures, Founders Fund, Fundomo, Fundrise, Hack VC, Haun Ventures Management, Human Capital, Hypersphere Capital, Ineffable Ventures, Innova Capital Partners, Jared Kasner, JAWS Estates Capital, Lakeside Capital, Launchbay Capital, Lux Capital, MVP Ventures, Opulentia, Peter Thiel, Reverie (New York), Sarah Hess, Silent Ventures, Sparkwave Capital, Transform Investments, Tribe Capital, Uma Ventures, Washington Harbour</t>
  </si>
  <si>
    <t>erebor.bank</t>
  </si>
  <si>
    <t>55758-97</t>
  </si>
  <si>
    <t>Gusto</t>
  </si>
  <si>
    <t>FinTech, HR Tech, SaaS</t>
  </si>
  <si>
    <t>Developer of a cloud-based payroll and human resource management platform designed to provide employee benefits. The company's platform offers features including payroll, benefits, and team management, time tracking, as well as health, dental, and vision insurance tracking, enabling small businesses to take care of their team's requirements.</t>
  </si>
  <si>
    <t>137 Ventures, 9Yards Capital Management, A*, Acrew Capital, Aditya Agarwal, Akkadian Ventures, Ali Rowghani, AME Cloud Ventures, Annox Capital, Aspect Ventures, Aston Motes, Atom Factory, Aurum Partners, Avant Global, Bare Ventures, Bling Capital, Blitzscaling Ventures, Blue Owl Capital, Bow River Capital, Bridgespan VC, Build Collective, CapitalG, Clara Shih, Cross Creek Advisors, Dave Goldberg, DFO Management, Dragoneer Investment Group, Durable Capital Partners, Dylan Smith, Emergence Equity Management, Emerson Collective, Entrée Capital, Felicis, Fidelity Management &amp; Research Company, Fifth Down Capital, Flex Capital, Franklin Resources, Franklin Venture Partners, Friends &amp; Family Capital, General Atlantic, General Catalyst, Generation Investment Management, Glynn Capital, Incite Ventures (San Francisco), Jacob Jaber, Jawed Karim, Jay Simons, JDAC Capital, Jessica Verrilli, Josh Silverman, K2 Global, Kapor Capital, Kevin Systrom, Kleiner Perkins, LEAP Global Partners, Mariam Naficy, Mayhaw Capital, Michelle Wilson, Next Round Capital Partners, Night Capital, Partner Ventures, Patrick Collison, Philip Libin, Quiet Capital, RAA Ventures, Ronald Conway, Ruchi Sanghvi, S32, Sands Capital, SciFi VC, Seth Sternberg, Sound Ventures, Spur Capital Partners, Susan Decker, SWS Venture Capital, T. Rowe Price Group, Tien Tzuo, Tobias Lütke, Transform Capital (San Francisco), Unusual Ventures, Wasabi Ventures, Wayne Chang, Xfund, Y Combinator, Y Ventures</t>
  </si>
  <si>
    <t>www.gusto.com</t>
  </si>
  <si>
    <t>64126-90</t>
  </si>
  <si>
    <t>N26 Bank</t>
  </si>
  <si>
    <t>FinTech, Mobile, Mobile Commerce</t>
  </si>
  <si>
    <t>Developer of a digital banking platform designed to provide mobile-first banking services. The company offers mobile account management, secure digital payments, and in-app financial controls, enabling individual and business banking customers to manage finances through a simplified banking experience.</t>
  </si>
  <si>
    <t>ACE &amp; Company (Geneva), ACE Ventures (Geneva), Allianz X, Armada Investment, Atolls, Axel Springer Plug and Play Accelerator, Battery Ventures, Bright Success Capital, Christian Nagel, Coatue Management, CPP Investments, Daniel Aegerter, David Schneider, Deck2 Capital, Dragoneer Investment Group, Earlybird Venture Capital, European Union, FG2 Capital, G Squared, German Accelerator, GIC Private, Greyhound Capital, Hedosophia, HMC Capital, Horizons Ventures, Ilavska Vuillermoz Capital, ImWind Erneuerbare Energie, Insight Partners (New York), Investitionsbank Berlin, Molten Ventures, Northstar.VC, Plug and Play Tech Center, Rancilio Cube, Redalpine, Robert Gentz, Rubin Ritter, Tencent Holdings, Third Point Ventures, TriplePoint Capital, Valar Ventures</t>
  </si>
  <si>
    <t>www.n26.com</t>
  </si>
  <si>
    <t>152144-11</t>
  </si>
  <si>
    <t>JD Digits</t>
  </si>
  <si>
    <t>Financial services infrastructure</t>
  </si>
  <si>
    <t>Enterprise architecture</t>
  </si>
  <si>
    <t>SaaS, TMT</t>
  </si>
  <si>
    <t>Developer of a cloud computing platform designed to provide customized financial services and digitised solutions for industrial upgrade. The company's platform offers data technology, AI, IoT and blockchain, which produces internet financial development models, enabling individual and business users to get safe, high-yield, customized financial services, investment and financial management.</t>
  </si>
  <si>
    <t>Bank of China Group Investment, Cap Throne Asset, CCV Management, China Capital Management, China Reform Holdings Corporation, China Renaissance, China Securities, China Taiping Insurance Holdings, CICC Capital, CITIC Capital, Cyberport Hong Kong, Dongguan Securities, HSG (Hong Kong), JD.com, Lingfeng Capital, MPC (Beijing), Oceanpine Capital, Skycus Capital, Sunshine Ronghui Capital Investment Management, Suzhou Oriza Holdings Corporation, Vision Knight Capital, ZWC Partners</t>
  </si>
  <si>
    <t>www.jddglobal.com</t>
  </si>
  <si>
    <t>133475-77</t>
  </si>
  <si>
    <t>Chainalysis</t>
  </si>
  <si>
    <t>Regtech</t>
  </si>
  <si>
    <t>Crime surveillance &amp; fraud detection</t>
  </si>
  <si>
    <t>Developer of a cryptocurrency investigation and compliance software designed to protect the junction between finance and the decentralized internet. The company's platform offers transfer of value over the internet and new methods of data analysis, visualization, and actionable intelligence to protect the integrity of cryptocurrency transactions, enabling financial institutions to interact with businesses that transact on the blockchain and meet compliance requirements.</t>
  </si>
  <si>
    <t>186 Ventures, 9Yards Capital Management, Accel, Addition, Adjacent (New York), Alternative Investment Management, Altimeter Capital Management, Arceau Capital, Arche Capital, Archetype Fund, Ash Egan, Bank of New York Mellon, Benchmark Capital Holdings, Blackstone, Blackstone Alternative Asset Management, C1 Fund, Calm Ventures, CE Innovation Capital, Chakra Capital, Coatue Management, Communitas Capital Partners, Converge Venture Partners, Crew Capital, Croc Capital, Cryptoverse Ventures, Digital Currency Group, Dragoneer Investment Group, Durable Capital Partners, Emergence Equity Management, Fabrica Ventures, FundersClub, GIC Private, Goanna Capital, Hard Yaka, Haun Ventures Management, HOF Capital, HRTG Partners, INCUBA, Jack Liu, Jenny Fielding, MarketX, MUFG Innovation Partners, MVC (New York), Nathaniel Turner, Nicolas Wittenborn, Nyca Partners, Paradigm, Pictet, Plug and Play Tech Center, Point Nine Capital, Premji Invest (US), Quiet Capital, Ribbit Capital, Rubik Ventures (New York), Sentinel Global, Sound Ventures, Sozo Ventures, SV Angel, SVB Capital, Techstars, TIME Ventures, Trifork, TrueBridge Capital Partners, Tunistic Capital, Vanedge Capital, Viserion Investment, Visi Capital</t>
  </si>
  <si>
    <t>www.chainalysis.com</t>
  </si>
  <si>
    <t>162649-72</t>
  </si>
  <si>
    <t>Personio</t>
  </si>
  <si>
    <t>HR Tech, Mobile, SaaS</t>
  </si>
  <si>
    <t>Developer of a human resource management and recruitment platform designed to serve small and medium-sized organizations. The company's platform offers a full applicant tracking system, digital employee files, document and contract management, attendance tracking, absence management services, salary, payroll and performance management services, enabling clients to digitize and simplify time-consuming HR processes.</t>
  </si>
  <si>
    <t>Accel, Alkeon Capital Management, Altimeter Capital Management, Andreas Franz, Benjamin Günther, CPP Investments, Galdana Ventures, Global Founders Capital, Greenoaks, Index Ventures, La Famiglia, Lars Dalgaard, Lightspeed Venture Partners, Meritech Capital Partners, Northzone Ventures, Philipp Roesch-Schlanderer, Picus Capital, Visionaries Club</t>
  </si>
  <si>
    <t>www.personio.com</t>
  </si>
  <si>
    <t>60683-68</t>
  </si>
  <si>
    <t>Tipalti</t>
  </si>
  <si>
    <t>Artificial Intelligence &amp; Machine Learning, FinTech, SaaS, TMT</t>
  </si>
  <si>
    <t>PE Growth/Expansion</t>
  </si>
  <si>
    <t>Developer of a cloud-based automation platform designed to eliminate mass payment workload and reduce automation payment risk. The company's platform helps in eliminating financial and compliance risk, generating revenue from accounts payable, cutting payment reconciliation cycle time, and improving supplier relationships, enabling businesses to focus on the strategy of scaling their business rather than the minutiae of accounts payable logistics.</t>
  </si>
  <si>
    <t>01 Advisors, Accel-KKR, AMYP Ventures, Annox Capital, Atinc, Base Partners, Cerca Partners, Counterpoint Global, Daniel Rose, Dovi Frances, Durable Capital Partners, G Squared, Greenoaks, Greenspring Associates, Group 11, Hercules Capital (San Mateo), Marshall Wace, Michael Chalfen, Moxxie Ventures, Oren Zeev, Primera Capital (Venture Capital), Richard Sarnoff, StepStone Group, Summit Peak Investments, TrueBridge Capital Partners, University Growth Fund, Wicklow Capital, Zeev Ventures</t>
  </si>
  <si>
    <t>www.tipalti.com</t>
  </si>
  <si>
    <t>53629-75</t>
  </si>
  <si>
    <t>Credit Karma</t>
  </si>
  <si>
    <t>Investment tools &amp; platforms</t>
  </si>
  <si>
    <t>FinTech, Mobile, SaaS</t>
  </si>
  <si>
    <t>Developer of a financial education and recommendation platform designed to offer free credit scores and reports with monitoring. The company's platform helps to save recommendations based on data comparisons as well as financial education and provides access to free tools, such as credit report cards, credit card statistics, and tax filing, among others, enabling users to monitor and manage different aspects of their credit and financial health.</t>
  </si>
  <si>
    <t>Build Collective, Plus9 Venture, SM Capital (San Marino)</t>
  </si>
  <si>
    <t>www.creditkarma.com</t>
  </si>
  <si>
    <t>170700-13</t>
  </si>
  <si>
    <t>Mynt (Consumer Finance)</t>
  </si>
  <si>
    <t>Wallets &amp; super apps</t>
  </si>
  <si>
    <t>FinTech, Mobile, Mobile Commerce, SaaS</t>
  </si>
  <si>
    <t>Developer of a digital payments platform designed to achieve finance for all through accessible easy-to-use and secure digital technology. The company's platform includes a micro-payment service that transforms the mobile phone into a virtual wallet for secure, fast, and convenient money transfers, helping consumers access finance by disrupting traditional channels.</t>
  </si>
  <si>
    <t>ACV Capital, Amplo, Ant Group, Ayala (Makati), Bow Wave Capital Management, Globe Telecom (Philippines), Itai Tsiddon, Mitsubishi UFJ Financial Group, MUFG Bank, Warburg Pincus</t>
  </si>
  <si>
    <t>www.mynt.com.ph</t>
  </si>
  <si>
    <t>59128-48</t>
  </si>
  <si>
    <t>Plaid</t>
  </si>
  <si>
    <t>Platforms &amp; APIs</t>
  </si>
  <si>
    <t>Developer of a data network programming platform designed to assist in connecting fintech applications with traditional bank accounts. The company's platform accesses transactions and personal data like names, phone numbers, addresses, and emails for each account from financial institutions by authenticating them and verifying information in real time, enabling consumers and businesses to interact with their bank accounts, check balances, and make payments through financial applications.</t>
  </si>
  <si>
    <t>1435 Capital Management, 1789 Capital, 2B Global Capital, 369 Growth Partners, Acrew Capital, Adventure Fund, Altimeter Capital Management, AMEX Ventures, Andreessen Horowitz, Aquila Capital Partners, Astir Ventures, Base10 Partners, Bedrock (Financial Services), Ben Jen Holdings, Beyond Alpha Ventures, BlackRock, Bow River Capital, BoxGroup, Brown Street Ventures, Capital Advantage Ventures, CE-Ventures, Citi Ventures, Coatue Management, Company Ventures, CPP Investments, Cultural Leadership Fund, David Tisch, Destiny (Financial Software), Dragon Capital (California), DT Unicorn Fund, EAI Investments, Fabrica Ventures, Felicis, Fidelity, Fifth Down Capital, FPV Ventures, Franklin Resources, Frontline One Capital, Global Alternative Investment Management, GoalVest Advisory, Goanna Capital, Goldman Sachs Asset Management, GV, HOF Capital, Homebrew Management, Index Ventures, Invus Opportunities, IPO CLUB, J.P. Morgan Growth Equity Partners, JP Morgan Asset Management, K3 Diversity Ventures, Kleiner Perkins, Late Stage Management, Launchpad Capital, Mancora Ventures, Manhattan Venture Partners, Manhattan West Asset Management, Mary Meeker, MasterCard, MicroVentures, Molini Besozzi Marzoli, MSA Capital (Family Office), Nathaniel Turner, New Enterprise Associates, NewView Capital, Norwest, Notley Ventures, Novos Capital, Oceanic Partners, Pathlight Ventures, PayPal Ventures, PV Seed Fund, Republic Capital Adviser, Ribbit Capital, RPS Ventures, Salesforce Ventures, Side Door Ventures, Silver Lake, Small World Capital, Smash Capital, Spark Capital, Stableton, Story Capital, SuRo Capital, SXM Global, The Players Impact, Thrive Capital, TSG Invest, Type One Ventures, Unity Growth Fund, UniWill Ventures, Valhalla Private Capital, Ventioneers, VII Ventures, Visa, Visa Ventures, WillowTree Investments, Zachary Weinberg</t>
  </si>
  <si>
    <t>www.plaid.com</t>
  </si>
  <si>
    <t>118978-21</t>
  </si>
  <si>
    <t>Monzo Bank</t>
  </si>
  <si>
    <t>Developer of a financial platform designed to allow users to spend, store, and oversee money within a single system. The company's platform provides a digital account and payment service intended for personal and business use, including features such as real-time transaction notifications, spending categorisation and budgeting tools, savings balances, foreign payments, access to credit and overdraft facilities, automated round-ups, joint accounts, security and fraud monitoring, and customer support, enabling users to track, organise, and move funds with clearer oversight of everyday financial activity.</t>
  </si>
  <si>
    <t>Accel, Alanda Capital Management, Alpha Wave Global, AME Cloud Ventures, Annox Capital, Blue Wire Capital, CapitalG, CE Innovation Capital, Chimera Capital, Coatue Management, Concept Ventures (London), Connor Milner, Destiny (Financial Software), Endre Sagi, Euphemia (Melbourne), G Squared, General Catalyst, GIC Private, Goodwater Capital, GV, Hedosophia, HSG (Hong Kong), ICONIQ Growth, Innovate UK, IPE Ventures, Jeremy Yap, Kaiser Investments, Kevin Systrom, Longbrook Ventures, Love Capital, Matteo Gamba, Michael Moritz, Nikesh Arora, Novator Partners, nzt.ventures, Octahedron Capital, Orange Ventures, Passion Capital, Phoenix Court, Recharge Capital, Reference Capital, Ribbit Capital, Sarah Drinkwater, Sferiq Capital, Silicon Roundabout Ventures, StepStone Group, Stripe, Symax Group, Tech Nation Group, TED, Tencent Holdings, Thrive Capital, Top Tier Capital Partners, TriplePoint Capital, Vanderbilt University, WndrCo, Y Combinator</t>
  </si>
  <si>
    <t>www.monzo.com</t>
  </si>
  <si>
    <t>223658-29</t>
  </si>
  <si>
    <t>Star Atlas Finance</t>
  </si>
  <si>
    <t>Developer of a financial service platform designed to offer third-party payment, insurance, brokerage and loan services. The company's platform provides users with investment and wealth management, consumer loans and corporate loans, enabling individuals as well as small and medium-sized enterprises (SMEs) to avail cost-effective financial services.</t>
  </si>
  <si>
    <t>China Everbright, CICC Capital, Fujian Huaxing Venture Capital, GP Capital (Shanghai), Shenzhen Capital Group, Winnovation Culturaltainment Development, Yunfeng Capital</t>
  </si>
  <si>
    <t>www.financesn.com</t>
  </si>
  <si>
    <t>81979-84</t>
  </si>
  <si>
    <t>AlphaSense</t>
  </si>
  <si>
    <t>Capital markets</t>
  </si>
  <si>
    <t>Data &amp; analytics</t>
  </si>
  <si>
    <t>Artificial Intelligence &amp; Machine Learning, Big Data, Mobile, SaaS</t>
  </si>
  <si>
    <t>Developer of a web-based market intelligence platform intended to offer critical insights, topics, and industries. The company's platform collects financially relevant data from various sources, making it searchable using artificial intelligence and natural language queries, advanced linguistic search, and natural language processing algorithms, enabling research professionals to search, navigate, set alerts, and analyze data points with accuracy.</t>
  </si>
  <si>
    <t>AB Private Credit Investors, Accenture Ventures, Alkeon Capital Management, AllianceBernstein, BAM Elevate, Bank of America, Barclays, BDT &amp; MSD Partners, BlackRock, Blue Owl Capital, BOND Capital (San Francisco), Bridgespan VC, CapitalG, Centana Management, Citigroup, CPP Investments, DE Shaw Ventures, EDBI, Euclidean Capital, First Fellow Partners, George Soros, Goldman Sachs Asset Management, Goldman Sachs Asset Management Fund Services Limited, Goldman Sachs Growth Equity, GrowthX Accelerator, Hannu Kytölä, Innovation Endeavors Management Company, Invus Opportunities, JP Morgan Asset Management, JP Morgan Chase, Khaira Capital, Morgan Stanley, MSD Partners, Pinegrove Venture Partners, Plug and Play Tech Center, Principia Growth, SoftBank Investment Advisers, Soros Fund Management, Ten Coves Capital, Trajectory Ventures, Triangle Peak Partners, Tribeca Venture Partners, Vendep Capital, Viking Global Investors, Vitruvian Partners, Wells Fargo Strategic Capital, Wendel Group</t>
  </si>
  <si>
    <t>www.alpha-sense.com</t>
  </si>
  <si>
    <t>110393-29</t>
  </si>
  <si>
    <t>Razorpay</t>
  </si>
  <si>
    <t>Developer of a payment platform designed to provide an affordable and secure way for online transactions. The company's platform offers APIs and integrations to manage the marketplace as well as automate national electronic funds transfer, real-time gross settlement, and immediate payment service bank transfers as well as collect recurring payments and share invoices with customers, enabling businesses to process and disburse payments with its product suite.</t>
  </si>
  <si>
    <t>Alkeon Capital Management, Axevil Capital, Edgewood Ventures, FinSight Ventures, GIC Private, IIMA Ventures, Kavitark Shriram, Lightspeed India Partners, Lone Pine Capital, Moore Strategic Ventures, Peak XV Partners, Ribbit Capital, Salesforce Ventures, Sequoia Capital, TCV, TeleSoft Partners, Tiger Global Management, Titan Capital, Y Combinator, Z47</t>
  </si>
  <si>
    <t>www.razorpay.com</t>
  </si>
  <si>
    <t>56265-94</t>
  </si>
  <si>
    <t>Carta</t>
  </si>
  <si>
    <t>Alternative capital &amp; fund administration</t>
  </si>
  <si>
    <t>Developer of an equity management platform designed for fundraising, issuing equity, and staying compliant. The company's platform offers a comprehensive suite of equity management tools, including cap table management, fundraising tools, and liquidity services, enabling clients to work together seamlessly and make informed decisions about their equity.</t>
  </si>
  <si>
    <t>137 Ventures, 1435 Capital Management, 1818 Venture Capital, 345 Partners, 75 &amp; Sunny, 8090 Partners, 9Yards Capital Management, A*, Aditya Nagarsheth, Adventure Fund, Alexander Square Partners, Align Ventures, Alpha Square Group, Alumni Ventures, Ambition.vc, Amity Ventures, Anant Chimmalgi, Andra Capital, Andreessen Horowitz, Arctic Ventures, A-Rod, Artfo Holdings, Battery Ventures, Bayshore Capital, BluePointe Ventures, Bogaroo, Bow River Capital, Bridgespan VC, Broocknell Ventures, Buena Vista Angels, Catapult VC, Cognic Capital, Company Ventures, Constellar Ventures, Crane Venture Partners, Cultural Leadership Fund, Divide by Zero, Draper Associates, Dream Capital (New York), EDBI, Entropia Capital, Evolution VC Partners, Expansion Venture Capital, Fabrica Ventures, Fidelity International Strategic Ventures, Fifth Down Capital, FinSight Ventures, FirstMark Capital, Five Stones Investment Group, Flux Capital, Founders First, Gaingels, Global Alternative Investment Management, Goal Ventures, Goldman Sachs Growth Equity, GreenHawk Corporation, HNVR Technology Investment Management, Hybridge Capital Management, HyperGuap, Industry Ventures, Inertia Ventures, Ion Pacific, Janus Ventures, KBW Ventures, Keybridge Venture Partners, La Maison Partners, Launchbay Capital, Lightspeed Venture Partners, Linton Investment, London Technology Club, Long Journey Ventures, Maiden Lane, MarketX, Massive Capital Partners, Menlo Group, Menlo Ventures, Meritech Capital Partners, MiddleGame Ventures, Moonshots Capital, Morgan Brook Capital, Motley Fool Ventures, Moxxie Ventures, MyAsiaVC, Nelstone Ventures, Next Play Capital, NextGen Venture Partners, Nimble Partners, Northern Light Venture Capital, Okeanos (United States), OMERS Growth Equity, Palm Drive Capital, Palo Alto Growth Capital, Parade Ventures, Param Hansa Values, Peak State Ventures, Permira, Pi Labs, Polaris Capital (New York), Premji Invest (US), Preston-Werner Ventures, PROOF, Proton Enterprises, Repeat Ventures, Reverb Capital, Riverside Ventures, Sand Hill Angels, Scale-Up (Venture Capital), Service Provider Capital, SGH Capital, Siesta Ventures, Silicon Valley Venture &amp; Innovation, Silver Lake, Sozo Ventures, Spark Capital, Spur Capital Partners, Sutton Capital, Talent Resources Ventures, Talis Capital, Tessera Venture Partners, The Players Fund, Thirdbase Capital, Thomvest Ventures, Thrive Capital, Tiger Global Management, Transform Investments, Tribe Capital, Troy Capital Partners, Two Culture Capital, Unanimous Capital, unbundled vc, Union Square Ventures, University Growth Fund, Unusual Ventures, UpVentures, Victor Orlovski, Visi Capital, West Coast Equity Partners, Wormhole Capital, XG Ventures</t>
  </si>
  <si>
    <t>www.carta.com</t>
  </si>
  <si>
    <t>179520-76</t>
  </si>
  <si>
    <t>Upgrade</t>
  </si>
  <si>
    <t>Developer of a financial technology platform designed to provide responsible access to credit and banking services. The company offers a mobile and web-based financial services platform with personal lending, credit cards with installment repayment options, deposit accounts, payment features, and credit monitoring tools, enabling individual consumers to access credit products and manage everyday financial activities through digital channels.</t>
  </si>
  <si>
    <t>369 Growth Partners, Assured Asset Management, Atlant Ventures, Basil Capital, Bell Ventures (Limassol), Black River Ventures, Carriage House Rock, CE Innovation Capital, Coatue Management, CreditEase, Deck2 Capital, DST Global, EQUIAM, FirstMark Capital, Frontline One Capital, FUND4SE, G Squared, Golden Falcon Capital, Good AI Capital, Gopher Asset Management, Hard Yaka, HiJoJo Partners, Hybridge Capital Management, Inertia Ventures, Koch Disruptive Technologies, LENOS Equity, Loka Capital, LuminArx Capital Management, MicroVentures, Mouro Capital, Neuberger Berman Group, Nevcaut Ventures, Old Well Labs, Palo Alto Growth Capital, Quiet Capital, Ribbit Capital, RSV Capital, Sands Capital, Scale-Up (Venture Capital), Secondary Capital, Stableton, SVB Financial Group, Thayer Ventures Management Company, Thirdbase Capital, TriplePoint Capital, Uncorrelated Ventures, Union Square Ventures, Ventura Capital, Vy Capital, West Coast Equity Partners</t>
  </si>
  <si>
    <t>www.upgrade.com</t>
  </si>
  <si>
    <t>97519-69</t>
  </si>
  <si>
    <t>Wealthsimple Technologies</t>
  </si>
  <si>
    <t>Personal financial management &amp; wealth automation</t>
  </si>
  <si>
    <t>Operator of a financial advisory and trading platform intended to assist users in achieving financial freedom by providing products and advice. The company's platform offers investing services without the high fees and account minimums associated with traditional investment management through a globally diversified portfolio of low-cost index funds, enabling users to have access to the tools they need to make financial choices.</t>
  </si>
  <si>
    <t>Alkeon Capital Management, Andrew D'Souza, Aubrey Graham, Base10 Partners, Big Loud Capital, Bryker Capital, C100 (Commercial Services), Canadian Technology Accelerator, Christian Lassonde, CPP Investments, Daniel Debow, David Ossip, Deviation Capital, Diagram Ventures, Dragoneer Investment Group, DST Global, Dwight Powell, GIC Private, Greylock, ICONIQ Growth, IGM Financial, Inovia Capital, Joseph Canavan, Kelly Olynyk, Kensington Capital Partners, Maple Leaf Angels, Meritech Capital Partners, Michael Fox, Michele Romanow, Patrick Marleau, Plus Capital, Portage, Power Corporation of Canada, Power Financial, Redpoint Ventures, Rhombuz Ventures, Roger Martin, Ryan Reynolds, Sagard, STEADFAST Capital Ventures, TCV, W Investments Group</t>
  </si>
  <si>
    <t>www.wealthsimple.com</t>
  </si>
  <si>
    <t>438029-20</t>
  </si>
  <si>
    <t>Clear Street</t>
  </si>
  <si>
    <t>Infrastructure</t>
  </si>
  <si>
    <t>FinTech, SaaS</t>
  </si>
  <si>
    <t>Clear Street Group Inc is a financial infrastructure technology company that develops a cloud-native capital markets platform based on a real-time ledger. Its platform supports the clients' capital markets activity by unifying trading, risk management, and financing on a single platform. It connects its platform to banks, clearing houses, depositories, brokers, and exchanges to support client activity. The company generates the majority of its revenue from the Net financing category, which is generated by the financing, stock loan and custody applications and include net financing generated from customer margin debit, credit and short balances associated with equities, options, futures, and fixed income positions, as well as net financing generated from security-based swaps in equities.</t>
  </si>
  <si>
    <t>Alastair Trueger, Baillie Gifford, Belvedere Capital Partners, Belvedere Strategic Capital, BlackRock, Event Horizon Capital (US), Illia Polosukhin, IMC Strategic Investments, McLaren Strategic Ventures, Moses Lo, NEAR Foundation, NextGen Venture Partners, Prysm Capital, SBI Holdings, Validus Global Investing, Walleye Capital</t>
  </si>
  <si>
    <t>www.clearstreet.io</t>
  </si>
  <si>
    <t>118418-14</t>
  </si>
  <si>
    <t>Mollie</t>
  </si>
  <si>
    <t>B2B Payments, FinTech, SaaS</t>
  </si>
  <si>
    <t>Developer of a payment application designed to simplify the entire process of setting up an online store and accepting payments. The company's application features single-click payments, fraud monitoring, multicurrency payments, daily settlement management, and real-time accounting, enabling businesses to drive revenue, reduce costs, and manage funds on one platform.</t>
  </si>
  <si>
    <t>Alkeon Capital Management, ApolloCapital, Blackstone, Eckhard Juls, EQT, Fernbrook Capital Management, General Atlantic, HMI Capital, Invested., Keen Venture Partners, Laurence Tosi, Niklas Adalberth, Spacetime (VC), TCV</t>
  </si>
  <si>
    <t>www.mollie.com</t>
  </si>
  <si>
    <t>112950-64</t>
  </si>
  <si>
    <t>Navan (NAS: NAVN)</t>
  </si>
  <si>
    <t>Navan Inc is engaged in providing an end-to-end, AI-powered software platform for managing business travel and expense (T&amp;E). The company's platform enables users to manage corporate travel bookings, payments, and expense processes, while providing tools for customers to control and optimize spending and for suppliers to access demand. Geographically, the company operates in the United States, the United Kingdom, and other countries, with the majority of its revenue generated from the United States.</t>
  </si>
  <si>
    <t>Cultural Leadership Fund, Greenoaks, Irving Investors, Lightspeed Venture Partners, Zeev Ventures</t>
  </si>
  <si>
    <t>navan.com</t>
  </si>
  <si>
    <t>527531-23</t>
  </si>
  <si>
    <t>Black Unicorn Factory</t>
  </si>
  <si>
    <t>FinTech, Mobile</t>
  </si>
  <si>
    <t>Equity Crowdfunding</t>
  </si>
  <si>
    <t>Operator of a startup accelerator program intended for private companies. The company has an equity venture capital fund that leverages financial, human, and social capital to help founders build sustainable technology-enabled businesses and is focused primarily on early-stage technology companies looking to go public, providing early-stage companies with consultation and funding to go public.</t>
  </si>
  <si>
    <t>www.blackunicornfactory.com</t>
  </si>
  <si>
    <t>61925-68</t>
  </si>
  <si>
    <t>Zepz</t>
  </si>
  <si>
    <t>Debit &amp; P2P</t>
  </si>
  <si>
    <t>Developer of an online money transfer platform intended to help people to send money to friends and family living abroad. The company's software provides international transfers to mobile money accounts where a customer's phone numbers act as a bank account to hold funds, enabling users to send money conveniently and securely with low processing fees.</t>
  </si>
  <si>
    <t>Accel, Alpha Protocol Ventures, Coller Capital, Farallon Capital Management, Hedosophia, Hercules Capital (San Mateo), LeapFrog Investments, Project A Ventures, TCV, The International Financial Corporation, TriplePoint Capital</t>
  </si>
  <si>
    <t>www.zepz.io</t>
  </si>
  <si>
    <t>56129-86</t>
  </si>
  <si>
    <t>Mambu</t>
  </si>
  <si>
    <t>Developer of a banking platform designed to help create, launch, and service loan and deposit products. The company's platform powers digital financial services and provides flexible and innovative banking architectures for affordable and flexible tackling of market opportunities, enabling microfinance institutions and other financial innovators to deliver essential banking services to individuals in a hassle-free manner.</t>
  </si>
  <si>
    <t>Acton Capital, Arena Holdings, Bessemer Venture Partners, Carnegie Mellon Portugal Program, CommerzVentures, EQT, Kizoo Technology Capital, Liqid (Financial Services), Plug and Play Tech Center, Point Nine Capital, Runa Capital, Stefan Tirtey, TCV, TechQuartier, Tiger Global Management</t>
  </si>
  <si>
    <t>www.mambu.com</t>
  </si>
  <si>
    <t>266620-60</t>
  </si>
  <si>
    <t>BharatPe</t>
  </si>
  <si>
    <t>Developer of a merchant payment application designed to promote and offer digital payment services. The company's application provides clients with an interoperable unified payments interface, quick response codes for accepting payments from customers, enabling merchants to accept payments and conduct business transactions in a smooth and inexpensive manner.</t>
  </si>
  <si>
    <t>Akshay Munjal, Alteria Capital, Amit Lakhotia, Amplo, Anshoo Sharma, Anuj Golecha, Beams Fintech Fund, BEENEXT Capital Management, Coatue Management, D1 Capital Partners, Dhruv Bhushan, Dragoneer Investment Group, Elev8 Venture Partners, Insight Partners (New York), Kunal Khatter, Kunal Shah, Navneet Singh, Nipun Mehra, Nitin Gupta, Peak XV Partners, Piyush Chawla, Pradeep Mehra, Ribbit Capital, Samyakth Capital, Sanjay Rishi, Sigurd Ventures, Start Path, STEADFAST Capital Ventures, Steadview Capital Management, Survam Partners, Tiger Global Management, Utsav Somani, Venture Catalysts (Capital Markets/Institutions)</t>
  </si>
  <si>
    <t>www.bharatpe.com</t>
  </si>
  <si>
    <t>222307-21</t>
  </si>
  <si>
    <t>Mercury Technologies</t>
  </si>
  <si>
    <t>Developer of digital banking tools designed to support financial operations for startups and technology companies. The company's platform offers FDIC-insured accounts, payment processing, card issuance, and financial management features, enabling early-stage businesses to manage funds efficiently and access essential banking services tailored to their operational needs.</t>
  </si>
  <si>
    <t>500 Global, Abad Capital, Aditya Nagarsheth, Aidi Ventures, Allison Allen, Anant Chimmalgi, Andre Iguodala, Andreessen Horowitz, Arianna Simpson, Ayokunle Omojola, Browder Capital, Cacao Capital, Caffeinated Capital, CapitalX, Catapult VC, Chapter One, Christina Brodbeck, Clocktower Ventures, Coatue Management, Coelius Capital, Coughdrop Capital, CRV, Daft Capital, Dylan Field, EGR Partners, EQUIAM, Firebolt Ventures, Flex Capital, Ford Street Ventures, Founders Circle Capital, Gallery Ventures, Gias Ventures, Harmony Partners, Highfield Capital, Homebrew Management, Investo (San Francisco), Iterative Accelerator, Jack Altman, Jetstream (San Francisco), Jude Gomila, Julia Hartz, K5 Global, Kevin Hartz, Latitude Capital, Liquid 2 Ventures, Loka Capital, Mahmoud Abdelkader, Makai VC, Marathon Management Partners, Mathilde Collin, McArthur Capital, McNamara Investments, Melo7 Tech Partners, Milkbox Partners, Mischief, Nasir Jones, Natural Bridge Ventures, Naval Ravikant, Nick Jonas, Night Capital, Nkechi Iregbulem, Octant Ventures, Peggy Mangot, Phil McIntyre, Proton Enterprises, Quiet Capital, Rahul Vohra, Ravelin Capital, Richard Dulude, Ryan Petersen, Saga Ventures, Sahil Bloom, Sapphire Ventures, Scott Belsky, Sequoia Capital, Serena Ventures, Seven Rivers Capital, Simple Capital Partners, Spark Capital, SV Angel, TCV, TechSquare Labs, Terrence Rohan, Thirty Five Ventures, Todd Goldberg, Tribe Capital, TrueBridge Capital Partners, Voxly Partners, Waseem Daher, YXS Capital, Zeno Ventures</t>
  </si>
  <si>
    <t>mercury.com</t>
  </si>
  <si>
    <t>154451-26</t>
  </si>
  <si>
    <t>OFB Tech</t>
  </si>
  <si>
    <t>Non-dilutive financing</t>
  </si>
  <si>
    <t>Mobile</t>
  </si>
  <si>
    <t>Operator of a tech-enabled platform intended to facilitate raw material procurement and credit for small and medium enterprises. The company's platform serves as a window that integrates technology into small and medium enterprises' buying behavior to make available products in a timely manner to customers with comprehensive online and offline support, enabling businesses to focus on the manufacturing and infrastructure sectors and get their products in time.</t>
  </si>
  <si>
    <t>Alpha Wave Global, Creation Investments Capital Management, Marshall Wace, Norwest, SoftBank Group, Tiger Global Management, Z47, Zodius Advisors India</t>
  </si>
  <si>
    <t>www.ofbusiness.com</t>
  </si>
  <si>
    <t>535744-72</t>
  </si>
  <si>
    <t>Plata Card</t>
  </si>
  <si>
    <t>Credit &amp; BNPL</t>
  </si>
  <si>
    <t>Artificial Intelligence &amp; Machine Learning, FinTech, Mobile, Mobile Commerce</t>
  </si>
  <si>
    <t>Developer of a financial platform intended to redefine the way people interact with their personal finances. The company's platform allows one to make purchases and cover expenses without the need for cash, offers benefits such as free insurance, discounts on restaurants and deals on entertainment, enabling users to process payments and support their transactions.</t>
  </si>
  <si>
    <t>Audeo Ventures, Bicycle Capital, BTG Pactual, FJ Labs, Hedosophia, Kora Management, Moore Strategic Ventures, Mosaic Capital, Qatar Investment Authority, Quonota, Spice Expeditions, TelevisaUnivision, University of Illinois Foundation, Valor Capital Group, Washington University in St. Louis, Wisconsin Investment Management Company</t>
  </si>
  <si>
    <t>www.platacard.mx</t>
  </si>
  <si>
    <t>969386-32</t>
  </si>
  <si>
    <t>Tempo</t>
  </si>
  <si>
    <t>Artificial Intelligence &amp; Machine Learning, Cryptocurrency/Blockchain, FinTech</t>
  </si>
  <si>
    <t>Developer of a blockchain platform designed to facilitate stablecoin and real-world payments. The company offers high-throughput transaction processing, low-cost global payments, opt-in privacy, stablecoin exchange through an integrated automated market maker and a machine payment protocol, enabling businesses, payment providers and artificial intelligence agent developers to conduct digital payments efficiently.</t>
  </si>
  <si>
    <t>Greenoaks, Paradigm, Ribbit Capital, Sequoia Capital, Shopify Ventures, Stripe, SV Angel, Symphony Ventures (California), Thrive Capital</t>
  </si>
  <si>
    <t>tempo.xyz</t>
  </si>
  <si>
    <t>169758-19</t>
  </si>
  <si>
    <t>Qonto</t>
  </si>
  <si>
    <t>Developer of a financial platform designed to offer assistance in banking operations, bookkeeping, and budget management. The company's platform offers to send and receive payments through digital bank accounts and also adapts to all types of companies, for any legal form or team size, enabling clients to transfer funds through a mobile application with the help of a physical or virtual card and manage transfers without any paperwork.</t>
  </si>
  <si>
    <t>Alkeon Capital Management, Alven Capital Partners, Ashley Flucas, Banca Sella Holding, Baudouin Prot, Bpifrance, Celine Lazorthes, Dominique Vidal, DST Global, Emrah Yuceer, Eurazeo, European Investment Bank, EXOR Seeds, finleap, Frank Zorn, Frédéric Potter, Gaingels, Hedosophia, HV (Germany), Ingo Uytdehaage, Insight Partners (New York), Jean-Charles Samuelian-Werve, Jean-David Benichou, Kohlberg Kravis Roberts, La French Tech, RTP Global, Sella Direct Ventures, Selma Ribica, Taavet Hinrikus, TCV, Tencent Holdings, Tiger Global Management, Valar Ventures, VR Ventures, Zinal Growth</t>
  </si>
  <si>
    <t>www.qonto.com</t>
  </si>
  <si>
    <t>160230-88</t>
  </si>
  <si>
    <t>Pleo</t>
  </si>
  <si>
    <t>Operator of an all-in-one business spending platform intended to simplify the expense process. The company's platform provides smart company cards paired with mobile applications to automatically match receipts and track spending in real-time with detailed analytics while eliminating expense reports and automating bookkeeping tasks as it integrates directly with accounting software providers, enabling businesses to access complete visibility over company spending.</t>
  </si>
  <si>
    <t>Alkeon Capital Management, Bain Capital Ventures, Coatue Management, Creandum, Ergo Partners, Founders, Joe Tsai, Kinnevik, Liqid (Financial Services), Louise Samet, Odyssey Ventures (London), Seedcamp, Speedinvest, Station FinTech Montreal, Stripes, Thrive Capital, William Demant Invest</t>
  </si>
  <si>
    <t>www.pleo.io</t>
  </si>
  <si>
    <t>234804-97</t>
  </si>
  <si>
    <t>CRED</t>
  </si>
  <si>
    <t>Developer of a credit card payment application designed to provide rewards for paying credit card bills on time. The company's application helps pay credit card bills and offers discounts on shopping, health services, and other spending, enabling customers to pay their card bills on time to maintain credit scores while also providing lucrative discounts.</t>
  </si>
  <si>
    <t>Akshay Kothari, Alan Mamedi, Alpha Wave Global, Amrish Rau, Anxa Holding, Apoletto Asia, Aroa Venture Partners, Chimera Capital, Coatue Management, DF International Partners, Dragoneer Investment Group, DST Global, Flucas Ventures, Gemini Investments (Holdings), General Catalyst, GIC Private, Greenoaks, HH DTPL Holdings II, Hillhouse Investment Group, Insight Partners (New York), Kishore Ganji, Marshall Wace, Meta Platforms, Mukesh Bansal, Peak XV Partners, QED Innovation Labs, Rainmatter Capital, Reddy Holdings (Hyderabad), Ribbit Capital, RTP Global, Satyan Gajwani, Sofina, Sriharsha Majety, Stak3 International, STEADFAST Capital Ventures, Tiger Global Management, Whiteboard Capital, Z47</t>
  </si>
  <si>
    <t>www.cred.club</t>
  </si>
  <si>
    <t>231414-22</t>
  </si>
  <si>
    <t>Rapyd Financial Network</t>
  </si>
  <si>
    <t>B2B Payments, FinTech, Mobile, SaaS</t>
  </si>
  <si>
    <t>Developer of a digital fintech-as-a-service platform designed to order cash, exchange extra foreign currency, and send cash to friends. The company's platform provides services like payments, checkout, funds collection, fund disbursements, compliance as a service, and logistics across a wide range of geographies, enabling customers to make easy cash transactions without requiring a bank account and card.</t>
  </si>
  <si>
    <t>AdFirst, Altimeter Capital Management, Annox Capital, Atlant Ventures, Avenir Growth Capital, Avid Ventures, B Capital Group, Bell Ventures (Limassol), BlackRock, BlackRock Global Funds, Coatue Management, Dragoneer Investment Group, Durable Capital Partners, Entrée Capital, Fidelity Management &amp; Research Company, FJ Labs, Funders, General Catalyst, Global Tech Ventures, GPS Ventures, IGNIA, LVL1 Group, NewView Capital, Oak HC/FT, Phoenix Court, Rancilio Cube, Social Discovery Group, Spark Capital, Stripe, Tal Capital, Tal Ventures, Target Global, Tiger Global Management, Vis Capital, Whale Rock Capital Management, XBO Ventures</t>
  </si>
  <si>
    <t>www.rapyd.net</t>
  </si>
  <si>
    <t>58411-45</t>
  </si>
  <si>
    <t>Socure</t>
  </si>
  <si>
    <t>Regulatory affairs &amp; compliance</t>
  </si>
  <si>
    <t>Artificial Intelligence &amp; Machine Learning, Big Data, Cybersecurity, FinTech, SaaS, TMT</t>
  </si>
  <si>
    <t>Developer of a digital identity verification platform designed to support compliance and fraud prevention. The company offers AI and machine learning-based identity verification, authentication, and risk assessment capabilities, enabling enterprises and government organizations to manage identity processes with improved accuracy and reduced fraud risk.</t>
  </si>
  <si>
    <t>Abundance Partners, Accel, Aka Capital Holdings, Alpha Partners, AlphaPrime Ventures, Amity Ventures, Apple Core Holdings, Archangel (New York), Archangel Fund, ASF Ventures, Bain Capital, Bain Capital Ventures, BAM Elevate, Banco Santander, Bridgespan VC, Burch Creative Capital, Cane Investment Partners, Capital One Ventures, Citi Ventures, Commerce Ventures, Deviation Capital, Emerald Development Managers, Empire Angels, Falcon Peak Capital, ff Venture Capital, Flint Capital, Founder Collective, Goanna Capital, GreenHawk Corporation, Greenspring Associates, Industry Ventures, Invus Opportunities, La Maison Partners, Loeb.nyc, Lyrical Partners, Mouro Capital, MVB Financial, Next Round Capital Partners, Orchard Ventures, Palo Alto Growth Capital, Plug and Play Tech Center, REV Venture Partners, RTP Global, Scale Venture Partners, Scale-Up (Venture Capital), Section Partners, Sorenson Ventures, Synchrony Ventures, T. Rowe Price Group, Tiger Global Management, Versatile Venture Capital, Wells Fargo Strategic Capital, West Coast Equity Partners, Work-Bench, Zain S Hasan Charitable Remainder Trust</t>
  </si>
  <si>
    <t>www.socure.com</t>
  </si>
  <si>
    <t>342062-65</t>
  </si>
  <si>
    <t>Tabby</t>
  </si>
  <si>
    <t>FinTech, Mobile Commerce, SaaS</t>
  </si>
  <si>
    <t>Developer of a buy now, pay later payment platform designed to enable shoppers to split purchases into installments without interest when paid on time. The company offers payment splitting into interest-free installments, extended monthly payment options, a payment card for use where card networks are accepted, purchase protection services, and a shopping application with price tracking and exclusive deals, enabling consumers and retail businesses to manage purchases flexibly and increase transaction accessibility.</t>
  </si>
  <si>
    <t>AB Xelerate, Abdul Latif Jameel (Conglomerates), Arab Bank, Arbor Ventures, Arzan Venture Capital, Bank Muscat, BECO Capital, Blue Pool Capital, BNVT Capital, Boyu Capital, Chalhoub Group, Chalhoub Ventures, Delivery Hero, Endeavor Catalyst, Fox Ventures (United Arab Emirates), Global Founders Capital, Global Ventures (Private Equity), Hassana, HOF Capital, HSG (Hong Kong), Impact46, Isometry Capital, Jameel Investment Management Company, Khwarizmi Ventures, Mamoura Diversified Global Holding, Middle East Venture Partners, MSA Capital, Mubadala Investment Company, NOMD Holdings, Outliers Venture Capital, PayPal Ventures, Peak XV Partners, Raed Ventures, Saudi Venture Capital Company, Sequoia Capital, Solaris (Financial Software), Soros Capital Management, Stonewater Ventures, STV, TPG, VentureSouq, Wellington Management</t>
  </si>
  <si>
    <t>www.tabby.ai</t>
  </si>
  <si>
    <t>264918-79</t>
  </si>
  <si>
    <t>Anchorage Digital</t>
  </si>
  <si>
    <t>Developer of a regulated financial platform designed to facilitate simple and secure participation in digital assets, all integrated with custody. The company's platform offers modern security engineering for secure crypto custody, trading, staking, and governance, enabling financial institutions to streamline their investments and regulatory oversight.</t>
  </si>
  <si>
    <t>#Angels, abrdn Property Income Trust, Accel, AME Cloud Ventures, Amplify Partners, Andreessen Horowitz, Apollo Credit Funds, Avichal Garg, Benchmark Capital Holdings, Bessemer Holdings, BlackRock, Blockchain Capital, BTIG, Caffeinated Capital, Delta Blockchain Fund, Dragonfly Capital (San Francisco), Elad Gil, Electric Capital, Elysium Venture Capital, GIC Private, GoldenTree Asset Management, Hack VC, iAngels, Indico Capital Partners, Innovius Capital Management, Intersection Growth Partners, Jana Messerschmidt, Jessica Verrilli, Katie Stanton, Khosla Ventures, Kohlberg Kravis Roberts, Kraken, LightSpeed, Lux Capital, Mark McCombe, Max Levchin, Moonwhale Ventures, Motive Partners, Naval Ravikant, NFX, Pantera Capital, ParaFi Capital, PayPal Ventures, PLUTUSVC, Polychain Capital, Pomp Investments, SCB 10X, SciFi VC, Senator Investment Group, Sequoia Capital, SV Angel, Ten Eleven Ventures, Tether Investments, The Goldman Sachs Group, Triton Capital (San Francisco), Visa Ventures, Wellington Management</t>
  </si>
  <si>
    <t>www.anchorage.com</t>
  </si>
  <si>
    <t>54220-06</t>
  </si>
  <si>
    <t>AngelList</t>
  </si>
  <si>
    <t>HR Tech, SaaS, TMT</t>
  </si>
  <si>
    <t>Operator of a venture investment platform intended to support fundraising, deal execution, and portfolio management. The company offers integrated fund administration, deal-by-deal investment structures, digital subscription workflows, and investor network access, enabling venture investors and startups to manage investments efficiently and scale operations.</t>
  </si>
  <si>
    <t>500 Global, Accomplice VC, Actarus Funds, Albert Ko, Altra Venture Partners, Andrew Wilkinson, Atacama Ventures, Autopilot Fund, BBQ Capital, BEENEXT Capital Management, Beyond (Greenwich), Bossa Invest, Builders + Backers, Calm Ventures, Cryptoverse Ventures, Dillon Hattab, DO Venture Partners, Dolik Ventures, Draper Associates, Duro Ventures, Evolution VC Partners, Expansion Venture Capital, FJ Labs, Flex Capital, Flucas Ventures, Golden Gate Ventures, Highfield Capital, Homebrew Management, Jonathon Triest, Karman Ventures, Kearny Jackson, Kube VC, Leyden Ventures, Ligature (Colorado), LoftyInc Capital Management, Makai VC, Mana Ventures, Mancora Ventures, Material V, Maven Ventures, Michael Sidgmore, MVC (New York), Palo Alto Growth Capital, Palumni VC, Paradox Capital (United States), Pascal Capital, Pioneer Fund, Polaris Capital (New York), Red Beard Ventures, Ride Home Fund, Riverside Ventures, Scale-Up (Venture Capital), SHL Capital, Socially Financed, Sprint VC, StartX (US), Steven Lurie, Stonewater Ventures, SuperAngel.Fund, Team Builder Ventures, Team Ignite Ventures, The Atlas Capital, Thicket Ventures, Think +, Thirdbase Capital, Tiger Global Management, Twelve31, Utopian Ventures (San Francisco), Version One Ventures, Vishal Rao, Vision Capital Ventures, Voxly Partners, Xinran Xiao</t>
  </si>
  <si>
    <t>www.angellist.com</t>
  </si>
  <si>
    <t>267691-60</t>
  </si>
  <si>
    <t>Bitpanda</t>
  </si>
  <si>
    <t>Developer of a digital investment platform designed to facilitate the buying and selling of cryptocurrencies, stocks, and commodities. The company's platform offers buying, selling, swapping, or sending digital assets while providing diverse payment and payout options.</t>
  </si>
  <si>
    <t>7percent Ventures, Alan Howard, AUBMES Invest, Cascade Investment Fund, DST Global, Fifth Down Capital, Gemini Investors, Hedosophia, Invested., Jump Capital, Jump Crypto, KK Incube Invest Management, LeadBlock Partners, Redo Ventures, RR2 Capital, Speedinvest, TechQuartier, UNIQA Ventures, Valar Ventures, Wintermute Ventures, Winterntermute Trading</t>
  </si>
  <si>
    <t>www.bitpanda.com</t>
  </si>
  <si>
    <t>146594-89</t>
  </si>
  <si>
    <t>Mission Lane</t>
  </si>
  <si>
    <t>Artificial Intelligence &amp; Machine Learning, Big Data, FinTech</t>
  </si>
  <si>
    <t>Provider of consumer finance services intended to help individuals access fair and transparent credit. The company offers a credit card with simplified terms, data-driven assessments, data-backed approvals, and a focus on user progress, respectful user experience, enabling underserved borrowers to build or rebuild credit with clarity and ease.</t>
  </si>
  <si>
    <t>CFT Capital Partners, Firebolt Ventures, GBM Ventures, Invus Opportunities, LL Funds, Oaktree Capital Management, QED Investors, Rose Park Advisors, The Goldman Sachs Group, The Invus Group, Woodland Management</t>
  </si>
  <si>
    <t>www.missionlane.com</t>
  </si>
  <si>
    <t>55782-55</t>
  </si>
  <si>
    <t>ChargeBee</t>
  </si>
  <si>
    <t>Artificial Intelligence &amp; Machine Learning, FinTech, SaaS</t>
  </si>
  <si>
    <t>Developer of a revenue growth management platform designed to offer subscription management services. The company's platform provides a comprehensive suite of services, including subscription management and recurring billing, pricing and payment optimization, revenue recognition, collections, and customer retention, enabling businesses of all sizes to grow their revenue.</t>
  </si>
  <si>
    <t>Accel, G Squared, Girish Mathrubootham, Insight Partners (New York), Mudhal VC, Peak XV Partners, Peter Amalraj, Ram Anantharaman, Sapphire Ventures, Sequoia Capital, Stan Kuruvilla, Steadview Capital Management, Suresh Sambandam, Tiger Global Management</t>
  </si>
  <si>
    <t>www.chargebee.com</t>
  </si>
  <si>
    <t>233221-15</t>
  </si>
  <si>
    <t>Dutchie</t>
  </si>
  <si>
    <t>Cannabis, E-Commerce, Mobile, SaaS</t>
  </si>
  <si>
    <t>Developer of an online cannabis marketplace designed to connect consumers to local dispensaries. The company's marketplace offers flowers, edibles, and vaporizers, along with in-store or curbside pickup or delivery, enabling dispensaries to run and scale their operations.</t>
  </si>
  <si>
    <t>Aria Emiko (Investment), Bracket Capital, Casa Verde Capital, Chaos Ventures (New York), D1 Capital Partners, DFJ Growth, Dragoneer Investment Group, Glynn Capital, Green Thumb Industries, Gron Ventures, Howard Schultz, JAM Fund, Jonathan Oringer, Level One Fund, Measure 8 Venture Partners, Park West Asset Management, Thirty Five Ventures, Thrive Capital, Tidemark (US), Tiger Global Management, Unicorn Venture Partners, Willoughby Capital</t>
  </si>
  <si>
    <t>dutchie.com</t>
  </si>
  <si>
    <t>58659-49</t>
  </si>
  <si>
    <t>DriveWealth</t>
  </si>
  <si>
    <t>Developer of financial technology systems designed to provide embedded finance and application programming interface-driven brokerage infrastructure. The company provides full-stack, cloud-based services for real-time fractional trading, enabling global partners like digital advisors, online brokers, and mobile online financial services companies to access the U.S. equities market and invest in real-time fractional shares on a dollar-equivalent basis.</t>
  </si>
  <si>
    <t>Accel, Amir Kabir, Apriori Ventures, Base10 Partners, Blue Dot Investors, Citi Ventures, CPP Investments, Fenway Summer, Fidelity International Strategic Ventures, FlightDeck, FTX, Greyhound Capital, Insight Partners (New York), Mouro Capital, MSA Capital (Family Office), Point72 Ventures, Quiet Capital, Raptor Group, Route 66 Ventures, SenaHill Partners, Skypointer, SoftBank Investment Advisers</t>
  </si>
  <si>
    <t>www.drivewealth.com</t>
  </si>
  <si>
    <t>173510-74</t>
  </si>
  <si>
    <t>Papaya Global</t>
  </si>
  <si>
    <t>HR Tech, SaaS</t>
  </si>
  <si>
    <t>Merger/Acquisition</t>
  </si>
  <si>
    <t>Developer of a global workforce management platform designed to connect companies with a global network of preferred suppliers. The company's cloud-based platform allows companies to automate payroll, payments, workforce management, and services to hire workers, enabling firms to streamline the payroll process, eliminate errors, and save operating costs.</t>
  </si>
  <si>
    <t>Access Industries, Access Ventures, Alkeon Capital Management, Alpha Wave Global, Bessemer Venture Partners, ClalTech, Dynamic Loop Capital, Google Accelerator, Greenoaks, Insight Partners (New York), IVP, Izaki Ventures, MCI Capital, New Era Capital Partners, Ronald Cohen, Scale Venture Partners, TempoCap, Tiger Global Management, Toba Capital, Workday Ventures, ZoiBel</t>
  </si>
  <si>
    <t>www.papayaglobal.com</t>
  </si>
  <si>
    <t>435217-06</t>
  </si>
  <si>
    <t>Pennylane</t>
  </si>
  <si>
    <t>Accounting, tax, &amp; compliance</t>
  </si>
  <si>
    <t>Developer of a digital accounting platform designed to bring financial and accounting data together in a single place. The company's platform combines people and technology to help managers in administrative management such as invoicing and collection, supplier payments, accounting, and management of cash and activity, enabling startups to streamline accounting and management results.</t>
  </si>
  <si>
    <t>Alpha Protocol Ventures, Blackstone, CapitalG, Chris Corbishley, Discovery Ventures (Berlin), DST Global, Global Founders Capital, Hedosophia, Kima Ventures, La French Tech, Meritech Capital Partners, Partech, Rocket Internet Capital Partners, Sequoia Capital, TCV</t>
  </si>
  <si>
    <t>www.pennylane.com</t>
  </si>
  <si>
    <t>55040-77</t>
  </si>
  <si>
    <t>SpotOn</t>
  </si>
  <si>
    <t>FinTech, FoodTech, Restaurant Technology, SaaS</t>
  </si>
  <si>
    <t>Developer of a cloud-based financial platform designed to help to build a better future for the business. The company's platform offers several comprehensive tools including payments, point-of-sale, custom websites, appointments, marketing, reviews, analytics, and loyalty with a consistent communication strategy by importing existing customer lists, enabling merchants to boost efficiency, connect with their customers, and make crucial business decisions.</t>
  </si>
  <si>
    <t>01 Advisors, Andreessen Horowitz, Coatue Management, Douglas Merritt, Dragoneer Investment Group, DST Global, Elysian Park Ventures, EPIQ Capital Group, Fabrica Ventures, Franklin Resources, Franklin Venture Partners, G Squared, Hustle Fund, James Hong, Michael Scarpelli, Mubadala Investment Company, Nihal Mehta, Palo Alto Growth Capital, R/GA Ventures, Scale-Up (Venture Capital), Shamrock Capital Advisors, Wellington Management, West Coast Equity Partners</t>
  </si>
  <si>
    <t>www.spoton.com</t>
  </si>
  <si>
    <t>114397-03</t>
  </si>
  <si>
    <t>Starling Bank</t>
  </si>
  <si>
    <t>Operator of a digital-only banking platform intended to offer online banking services. The company offers commercial banking services that can be managed with a mobile device, including real-time spending intelligence, personalization of services, and a same-day payment service, enabling users to transact in a paperless and branchless manner.</t>
  </si>
  <si>
    <t>Altered Capital, Banking Competition Remedies, Chrysalis Investments, Fidelity Management &amp; Research Company, Goldman Sachs Growth Equity, Google Accelerator, Harald McPike, McPike Global Family Office, Millennium Management, Qatar Investment Authority, Railpen, Tech Nation Group, The Goldman Sachs Group</t>
  </si>
  <si>
    <t>www.starlingbank.com</t>
  </si>
  <si>
    <t>343159-03</t>
  </si>
  <si>
    <t>Lentra</t>
  </si>
  <si>
    <t>Artificial Intelligence &amp; Machine Learning, FinTech</t>
  </si>
  <si>
    <t>Developer of an online lending platform designed to help banks democratize digital lending. The company's artificial intelligence-driven modular architecture helps banks create customized lending products and customer experiences, resulting in increased access to the new customer base, reduced non-performing assets, and improved operational efficiencies, enabling clients to expand their reach, reduce non-performing assets, optimize operational efficiencies, and use pay-as-you-go pricing for their growth.</t>
  </si>
  <si>
    <t>Bessemer Venture Partners, Citi Ventures, Dharana Capital, HDFC Investments Limited, Housing Development Finance Corporation, MUFG Bank, MUFG Innovation Partners, Mukesh Babu Financial Services, SIG China, SIG Venture Capital, Susquehanna</t>
  </si>
  <si>
    <t>www.lentra.ai</t>
  </si>
  <si>
    <t>166464-10</t>
  </si>
  <si>
    <t>Vestwell</t>
  </si>
  <si>
    <t>Retirement planning</t>
  </si>
  <si>
    <t>Provider of workplace savings and retirement plan administration services intended to expand access to employer-sponsored financial programs. The company's platform offers automated payroll integrations, plan design configuration, compliance oversight, recordkeeping, and advisor support tools, enabling employers, advisors, and individuals to manage retirement and education savings programs through a centralized digital infrastructure.</t>
  </si>
  <si>
    <t>Allianz Life Ventures, Allspring Global Investments, Bank of New York Mellon, Blue Owl Capital, Cambrian Associates, Commerce Ventures, Dan Raveh, Duke Capital Partners, Eight Roads, Fin Capital, FinTech Collective, F-Prime Capital, Franklin Resources, Franklin Venture Partners, Goldman Sachs Growth Equity, Greenspring Associates, HarbourVest Partners, Industry Ventures, Intuit, Intuit Ventures, John Carey, Jonathan Swanson, Lightspeed Venture Partners, Manulife Financial, Morgan Stanley, Nationwide Ventures, Neuberger Berman Group, Northwestern Mutual Future Ventures, Primary Venture Partners, Silver Lake, Silver Lake Waterman, Sixth Street Partners, Soapstone Capital, StepStone Group, Teachers Insurance and Annuity Association of America, Teamworthy Group, The Northwestern Mutual Life Insurance, TIAA Ventures, TriplePoint Capital, Wells Fargo Strategic Capital, William Maw</t>
  </si>
  <si>
    <t>www.vestwell.com</t>
  </si>
  <si>
    <t>84640-15</t>
  </si>
  <si>
    <t>Creditas</t>
  </si>
  <si>
    <t>FinTech, Mortgage Tech, TMT</t>
  </si>
  <si>
    <t>Developer of a digitally secured lending platform designed to offer lending, investment, and financing services at lower interest rates. The company's platform offers Brazilian consumer loans at affordable rates by using borrower collateral like homes and automobiles from investors or through partnerships with other, traditional financial institutions, enabling borrowers to pay their loans in installments that fit in their pocket.</t>
  </si>
  <si>
    <t>Accion, Across Capital Partners, Actyus, Advent International, Amadeus Capital Partners, Andbank, Endeavor Catalyst, Fidelity Management &amp; Research Company, Francisco Homem de Mello, Google Accelerator, Greentrail Capital, International Finance Corporation, Kaszek, Lightrock, Mouro Capital, Naspers, Next Billion Ventures, Prosus Ventures, QED Investors, Quona Capital, Redpoint eventures, Siesta Ventures, SoftBank Group, SoftBank Investment Advisers, SoftBank Latin America Fund, Spectra Investments, Sunley House Capital Management, Tarsadia Capital, VEF, Wellington Management</t>
  </si>
  <si>
    <t>www.creditas.com</t>
  </si>
  <si>
    <t>53736-85</t>
  </si>
  <si>
    <t>Addepar</t>
  </si>
  <si>
    <t>Advisortech</t>
  </si>
  <si>
    <t>Developer of a multi-product software designed to make investment decisions and portfolio outcomes. The company's platform aggregates all financial accounts to create a consolidated view of clients' portfolios and helps investment professionals provide informed, precise guidance for their clients, enabling investment professionals worldwide to make decisions with data, information and cutting-edge technology.</t>
  </si>
  <si>
    <t>8VC, Altered Capital, ASBC, Ascan Investments, Astir Ventures, Blumberg Capital, CE Innovation Capital, Craft Ventures, D1 Capital Partners, David Teten, EDBI, Edgewood Ventures, Fabrica Ventures, ff Venture Capital, Finches, Flex Capital, Friends &amp; Family Capital, Global Alternative Investment Management, Guava Capital, HighSage Ventures, IronArc Ventures, Jonathan Simmons, K3 Diversity Ventures, Kingfisher Investment Advisors, LeFrak, Manhattan Venture Partners, MSA Capital (Family Office), NM Capital (London), Octant Ventures, Prometheus Group, SeedFord Partners, Seven Pillar Ventures, SG Growth Capital, Sway Capital, Triton Funds, Valiant Peregrine, Valor Equity Partners, Versatile Venture Capital, Vitruvian Partners, WestCap (New York)</t>
  </si>
  <si>
    <t>www.addepar.com</t>
  </si>
  <si>
    <t>164343-88</t>
  </si>
  <si>
    <t>Flutterwave</t>
  </si>
  <si>
    <t>Developer of a cloud-based end-to-end digital financial platform designed to simplify payment infrastructure assistance. The company's platform covers all aspects of processing payments, from offering the payment gateway API to managing risks and settlement, and a processing system to connect directly to any local and international card schemes and bank accounts, enabling users to accept and process payments securely.</t>
  </si>
  <si>
    <t>4DX Ventures, 9Yards Capital Management, AAF Management, African Diaspora Network, Alder Companies, Alta Park Capital, Alvin Tse, Avenir Growth Capital, B Capital Group, Bhansali Equities, Brice Nkengsa, Calm Ventures, CapitalX, Caravelle Investment, Cedric Mateosyan Kutlu, Chaos Ventures (New York), Chui Ventures, Circle Ventures (Boston), Cornice Ventures, CRE Venture Capital, David Teten, DCVC, DST Global, Emergence Industries, Endeavor Catalyst, Ethos VC, FinTech Collective, FIS Ventures, Flourish Ventures, Gaingels, Glynn Capital, Golden Palm Investments, Green Visor Capital, Greycroft, HOF Capital, Ian Carnevale, Insight Partners (New York), Khosla Ventures, Kube VC, Liyuan Venture Capital, Lorimer Ventures, Lux Capital, Lynett Capital, MasterCard, Musha Ventures, Newtown Partners, Nimble Partners, Northstar.VC, Omidyar Network, Openner, Palm Drive Capital, PayPal Holdings, PayPal Ventures, Penataran Group, Plug and Play Tech Center, Purpose Venture Capital, Rayyan Islam, Reshape Ventures, Reverb Capital, Ripple, Salesforce Ventures, Seed Group, Segun Olukoya, SevenTrainVentures, Silverbacks Holdings, Social Capital, Soma Capital, Standard Bank of South Africa, Stonewater Ventures, Tekton Ventures, The Raba Partnership, Tiger Global Management, Tiger Management, Timothy Suzman, TO VC (New York), Upsher Management Company, Versatile Venture Capital, Visa Ventures, Whale Rock Capital Management, WME Group, Y Combinator, Zachariah George, Zillionize</t>
  </si>
  <si>
    <t>www.flutterwave.com</t>
  </si>
  <si>
    <t>169586-02</t>
  </si>
  <si>
    <t>Cedar (Enterprise Systems (Healthcare))</t>
  </si>
  <si>
    <t>Artificial Intelligence &amp; Machine Learning, FinTech, HealthTech, SaaS</t>
  </si>
  <si>
    <t>Developer of a digital financial management technology designed for healthcare billing, coverage, and payment processes. The company's technology leverages artificial intelligence to streamline administrative workflows, improve margin outcomes for healthcare providers, and enhance the financial experience for patients by offering personalized, transparent, and efficient payment and coverage offerings, enabling healthcare organizations to optimize revenue cycles and deliver better service to patients.</t>
  </si>
  <si>
    <t>Alkeon Capital Management, Andreessen Horowitz, Concord Health Partners, Craft Ventures, Crew Capital, Founders Fund, Humbition, Jeffrey Vacirca, Jerod Mayo, Kaiser Permanente Ventures, Kevin Systrom, Kinnevik, Lakestar, Memorial Hermann Foundation, Nathaniel Turner, Optum Ventures, Section Partners, Sound Ventures, SV Angel, Thrive Capital, Tiger Global Management, Zaffre Investments, ZoiBel</t>
  </si>
  <si>
    <t>www.cedar.com</t>
  </si>
  <si>
    <t>183752-92</t>
  </si>
  <si>
    <t>Ualá</t>
  </si>
  <si>
    <t>Developer of digital financial tools intended for the purpose of expanding access to banking and financial tools in Latin America. The company's platform integrates prepaid card issuance, mobile-based financial management, peer-to-peer transfers, bill payments, and access to credit products, enabling underbanked individuals and emerging middle-class users in the region to manage their finances more efficiently, securely and independently without relying on traditional banking infrastructure.</t>
  </si>
  <si>
    <t>166 2nd Financial Services, Adam Neumann, Alan Howard, AlleyCorp, Allianz X, AME Ventures, Chaos Ventures (New York), Claure Group, D1 Capital Partners, Endeavor Catalyst, Gaingels, Global Private Group, Goldman Sachs Asset Management, Google Accelerator, Greyhound Capital, Jacqueline Reses, Jefferies Financial Group, Jubarte Capital, Kape Capital, Monashees, Pershing Square Foundation, Point72 Ventures, Ribbit Capital, Rodina (Mexico), Sebastian Mejia, Silverhorn Investment Advisors, SoftBank Latin America Fund, Soros Fund Management, Spectra Investments, Stone Ridge Asset Management, SV Pacific Ventures, TABLE Holdings, TelevisaUnivision, Tencent Holdings, Tether (Financial Software), Trajectory Ventures</t>
  </si>
  <si>
    <t>www.uala.com.ar</t>
  </si>
  <si>
    <t>127406-44</t>
  </si>
  <si>
    <t>HighRadius</t>
  </si>
  <si>
    <t>Artificial Intelligence &amp; Machine Learning, B2B Payments, FinTech, SaaS, TMT</t>
  </si>
  <si>
    <t>Developer of financial software designed to automate accounts receivable and treasury processes. The company's autonomous finance platform reduces cycle times in the order-to-cash process through the automation of receivables and payments processes across credit, electronic billing and payment processing, cash application, deductions, and collections, enabling teams to achieve touchless cash management, accurate cash forecasting, and seamless bank reconciliation.</t>
  </si>
  <si>
    <t>AI Venture Labs, BofA Securities, Citi Ventures, Craig Courtemanche, D1 Capital Partners, Frank Slootman, Howie Liu, ICONIQ Growth, Michael Scarpelli, Susquehanna Growth Equity, Susquehanna Private Capital, The PNC Financial Services Group, Tiger Global Management</t>
  </si>
  <si>
    <t>www.highradius.com</t>
  </si>
  <si>
    <t>234058-42</t>
  </si>
  <si>
    <t>XTransfer</t>
  </si>
  <si>
    <t>Provider of cross-border trade, financial, and risk management services intended to support small and medium-sized enterprises. The company offers international payment processing, compliance risk control, and financial management tools, thereby enabling secure, cost-effective transactions and enhancing SME competitiveness in international markets.</t>
  </si>
  <si>
    <t>01VC, China Merchants Venture Capital, D1 Capital Partners, eWTP Capital, Gaorong Ventures, Lavender Hill Capital Partners, MindWorks Ventures, Telstra Ventures (Guernsey), The Up VC, Titanium Ventures, Yunqi Partners, Yunqi Path Capital</t>
  </si>
  <si>
    <t>www.xtransfer.cn</t>
  </si>
  <si>
    <t>62094-97</t>
  </si>
  <si>
    <t>Forter</t>
  </si>
  <si>
    <t>Artificial Intelligence &amp; Machine Learning, Cybersecurity, FinTech, SaaS</t>
  </si>
  <si>
    <t>Developer of a fraud prevention platform designed to help online retailers detect and eliminate transaction risks. The company's platform is an automated system that prevents credit card crime, account takeover, identity theft, and returns abuse and eliminates rules, scores, and manual reviews covered by a full chargeback guarantee, enabling e-commerce companies to automate transaction risk management processes and reduce transaction fraud in real-time.</t>
  </si>
  <si>
    <t>Adage Capital Management, Angular Ventures, Arbor Ventures, Bessemer Venture Partners, Citi Ventures, Commerce Ventures, Felix Capital, Firestreak Ventures, Industry Ventures, Itai Tsiddon, Julien Codorniou, Kortschak Investments, L Catterton, March Capital, NewView Capital, Philippe Suchet, Salesforce Ventures, Samsung NEXT Ventures, Scale Venture Partners, Sequoia Capital, Third Point Ventures, Tiger Global Management</t>
  </si>
  <si>
    <t>www.forter.com</t>
  </si>
  <si>
    <t>120927-25</t>
  </si>
  <si>
    <t>Human Interest</t>
  </si>
  <si>
    <t>Operator of an administration and advising platform intended to offer access to a secure financial future. The company's platform creates employee accounts automatically, where deductions are synced with payroll providers, as well as offers personalized investment advice, enabling small and medium-sized businesses to serve their employees with proper financial security.</t>
  </si>
  <si>
    <t>Aito Capital, Alumni Ventures, Anant Chimmalgi, Baillie Gifford, BlackRock, Bridgespan VC, Catapult VC, Cendana Capital, CPP Investments, Crosslink Capital, Depth Ventures, Firebolt Ventures, Four Cities Capital, FundersClub, Glynn Capital, Great Oaks Venture Capital, Immeasurable, Jake Gibson, Kingfisher Investment Advisors, Liquid 2 Ventures, Marshall Wace, Morgan Stanley Tactical Value, NewView Capital, Oberndorf Enterprises, Quiet Capital, SemperVirens Venture Capital, Slow Capital, Slow Ventures, SoftBank Investment Advisers, Spur Capital Partners, Susa Ventures, The Rise Fund, Toba Capital, TPG, TRAC VC, U.S. Venture Partners, Uncork Capital, Wing Venture Capital</t>
  </si>
  <si>
    <t>www.humaninterest.com</t>
  </si>
  <si>
    <t>169763-05</t>
  </si>
  <si>
    <t>Remote Technology</t>
  </si>
  <si>
    <t>Artificial Intelligence &amp; Machine Learning, HR Tech, Mobile, SaaS</t>
  </si>
  <si>
    <t>Developer of a recruiting platform designed to help companies of all sizes hire top talent from all over the world. The company's platform helps human resource executives to hire a person from anywhere with no compliance risk as well as helps management to allocate them to projects and make the payment, enabling clients to increase productivity and employment base in their organization.</t>
  </si>
  <si>
    <t>10X Capital, 20VC, 9Yards Capital Management, Aaron Levie, Accel, Adams Street Partners, AJI Capital, B Capital Group, Base Partners, Daft Capital, Day One Ventures, Dylan Field, Flat Capital, Flucas Ventures, Gaingels, General Catalyst, Highland Capital Partners, Index Ventures, Indico Capital Partners, Inkef, Jesse Middleton, Jobert Abma, Jon Dishotsky, Julia Hartz, Kevin Hartz, Kirsten Abma, Liquid 2 Ventures, Mischief, Operator Partners, OVHcloud Startup Program, Prototype Capital (San Francisco), Quain Investments, SemperVirens Venture Capital, Sequoia Capital, SoftBank Investment Advisers, Sytse Sijbrandij, Zachary Weinberg</t>
  </si>
  <si>
    <t>www.remote.com</t>
  </si>
  <si>
    <t>234177-04</t>
  </si>
  <si>
    <t>Loft Brasil Tecnologia</t>
  </si>
  <si>
    <t>Real Estate Technology</t>
  </si>
  <si>
    <t>Operator of an online property searching platform intended to buy, sell and rent residential and commercial properties. The company's platform has a searchable database that lets users find, browse, rate and purchase domestic and commercial properties based on feedback and reviews from registered customers, enabling property buyers and sellers to handle real estate deals transparently and unambiguously.</t>
  </si>
  <si>
    <t>8VC, ADQ, Advent International, Altimeter Capital Management, Andreessen Horowitz, Baillie Gifford, BTG Pactual, Caffeinated Capital, Canary (Brazil), Carlos Julio Ottati, Cercano Management, Citi Ventures, Close (Business/Productivity Software), CPP Investments, D1 Capital Partners, David Velez, DST Global, Endeavor Catalyst, Eric Wu, Fifth Wall, FJ Labs, Flight Deck Capital, GIC Private, Google Accelerator, Graph Ventures, Greyhound Capital, Guava Capital, Hugo Barra, Joseph Lonsdale, Launchbay Capital, Ligo Partners, London Technology Club, Manhattan Venture Partners, Max Levchin, Mike Krieger, Monashees, Nazca, Nigel Morris, Open Doors Partners, QED Investors, Rhombuz Ventures, SciFi VC, Seek Ventures, Silver Lake, SoftBank Latin America Fund, Soros Fund Management, Spectra Investments, Sri Batchu, Summit Peak Investments, Tarsadia Capital, The Finger Group, Thrive Capital, Tiger Global Management, Valor Capital Group, Vulcan Capital Management, Webforce Investments, Wollef, Zach Frenkel, Zigg Capital</t>
  </si>
  <si>
    <t>www.loft.com.br</t>
  </si>
  <si>
    <t>277801-21</t>
  </si>
  <si>
    <t>OnePay (New York)</t>
  </si>
  <si>
    <t>Developer of an all-in-one financial platform intended to help consumers manage their personal finances in a single place. The company offers a unified set of digital financial tools that support everyday money management and financial organization through one integrated platform, enabling individual consumers to monitor, control, and improve their financial progress with consolidated access to key financial functions.</t>
  </si>
  <si>
    <t>Bayshore Capital, Makai VC, Ribbit Capital, Walmart</t>
  </si>
  <si>
    <t>www.onepay.com</t>
  </si>
  <si>
    <t>113643-01</t>
  </si>
  <si>
    <t>Perk</t>
  </si>
  <si>
    <t>Artificial Intelligence &amp; Machine Learning, SaaS</t>
  </si>
  <si>
    <t>Debt Refinancing</t>
  </si>
  <si>
    <t>Developer of an intelligent travel and spend management platform designed to remove manual administrative work and improve workflow efficiency. The company offers automated travel booking, expense handling and invoice processing, enabling businesses and their employees to reduce time spent on routine tasks and focus on higher-value work.</t>
  </si>
  <si>
    <t>14W, Amplo, Aryeh Mergi, Atomico (UK) Partners, Blackstone, Blue Owl Capital, ClalTech, D&amp;FG Elements, DST Global, Elizabeth Boyer, EQT, Felix Capital, Gemini Investments (Holdings), General Catalyst, Gillian Tans, Greyhound Capital, Heartcore Capital, Jeffrey Del Papa, Johannes Reck, Kinnevik, Latitude (London), Mario Ricciardelli, Noteus Partners, Patrick Sader, Phoenix Court, Rancilio Cube, Robin Klein, Roland Zeller, Saul Klein, Sequoia Capital, SIX FinTech Ventures, SoftBank Investment Advisers, Spark Capital, Speedinvest, Start Capital, Target Global, The Baupost Group, Tom Stafford, Uriel Ben David, Uriel Ben Dayan, Yorai Linenberg, Yuri Milner, Zone II Ventures</t>
  </si>
  <si>
    <t>www.perk.com</t>
  </si>
  <si>
    <t>55139-05</t>
  </si>
  <si>
    <t>Tradeshift</t>
  </si>
  <si>
    <t>Artificial Intelligence &amp; Machine Learning, B2B Payments, FinTech, SaaS, Supply Chain Tech</t>
  </si>
  <si>
    <t>Developer of a cloud-based supply chain platform designed to facilitate digital trade transactions and streamline accounts payable processes for businesses. The company's platform automates invoice processing, enhances supplier onboarding, and ensures compliance with global e-invoicing regulations, enabling organizations to reduce operational costs and improve cash flow management through efficient financial operations.</t>
  </si>
  <si>
    <t>10X Group, A.GAIN, Ascan Investments, Avitas Capital Partners, AYTK, CE Innovation Capital, CreditEase, CrossWork, Doha Venture Capital, Fabrica Ventures, Fuel Capital, Fuel Venture Capital, Gray Swann, Greycroft, HSBC Holdings, Intuit, IPO CLUB, Jacob Seid, Koch, LUN Partners Group, Notion Capital, QH Capital, SharesPost, Skypointer</t>
  </si>
  <si>
    <t>www.tradeshift.com</t>
  </si>
  <si>
    <t>160713-64</t>
  </si>
  <si>
    <t>Kredivo Group</t>
  </si>
  <si>
    <t>Developer of a digital credit platform intended to offer credit financing. The company's platform provides access to credit for a large number of people and offers e-commerce shoppers instant credit financing based on real-time analysis, enabling customers to enjoy transparent and honest pricing for all their credit purchases.</t>
  </si>
  <si>
    <t>500 Southeast Asia, Alpha JWC Ventures, Asia Partners, Bualuang Ventures, Cathay Capital, Cathay Innovation, Defy Partners Management, Endeavor Catalyst, Foggy Valley Aotearoa, GMO Venture Partners, InterVest, Jungle Ventures, Kauffman Fellows, Kejora Capital, Mathieu Harding, MDI Ventures, Mirae Asset Capital, Mirae Asset Securities, Mizuho Bank, Naver, Next Billion Ventures, Openspace Capital, Quest Ventures, Reinventure Group, Singtel Innov8, Square Peg Capital, SV Investment, Telkomsel Ventures</t>
  </si>
  <si>
    <t>www.kredivocorp.com</t>
  </si>
  <si>
    <t>54554-05</t>
  </si>
  <si>
    <t>Alkami (NAS: ALKT)</t>
  </si>
  <si>
    <t>FinTech, Mobile, Mobility Tech, SaaS</t>
  </si>
  <si>
    <t>Alkami Technology Inc is a cloud-based digital banking solutions provider. The company offers the Alkami Digital Sales &amp; Service Platform, which includes a digital banking platform, onboarding and account opening solutions, and data and marketing tools. The platform enables financial institutions to onboard and engage users, support revenue growth, and improve operational efficiency through a cloud-based, multi-tenant architecture. The company provides services to clients under software-as-a-service arrangements. It derives substantially all of its revenues from SaaS subscription services charged for the use of digital sales and service solutions.</t>
  </si>
  <si>
    <t>General Atlantic, JANA Partners</t>
  </si>
  <si>
    <t>www.alkami.com</t>
  </si>
  <si>
    <t>266279-68</t>
  </si>
  <si>
    <t>Neblio Technologies</t>
  </si>
  <si>
    <t>Developer of a cryptocurrency trading platform designed to facilitate cryptocurrency transactions. The company's platform allows customers to trade multiple cryptocurrencies legally and withdraw funds to their bank account, enabling users to learn about cryptocurrencies in a secure and trusted environment.</t>
  </si>
  <si>
    <t>Alexander Packard, Ash Park Capital, B Capital Group, Bain Capital Asset Management, Bain Capital Ventures, BitMEX, Block.one, Broslyn Capital, Cadenza Capital, Coinbase Ventures, Draper Dragon, Hack VC, Jatin Aneja, Jump Crypto, Karn Nagpal, Kindred Ventures, Kingsway Financial Services, Mehta Ventures, Migration Capital, Oak Sky Capital, Pantera Capital, Polychain Capital, Rafael Ugolini, Republic, Republic Capital Adviser, Sanat Rao, Sanjay Mehta, SBX Capital, Steadview Capital Management, Sung Choi, Temasek Holdings, Uncorrelated Ventures, Utsav Somani</t>
  </si>
  <si>
    <t>www.coindcx.com</t>
  </si>
  <si>
    <t>51207-94</t>
  </si>
  <si>
    <t>Flywire (NAS: FLYW)</t>
  </si>
  <si>
    <t>Flywire Corp provides a secure payment platform, offering its clients a streamlined process to receive reconciled domestic and international payments more cost-effectively and efficiently. The company's solutions are built on three core elements, namely a payments platform, a proprietary payment network, and vertical-specific software backed by its deep industry expertise. Geographically, the majority of revenue is from the Americas.</t>
  </si>
  <si>
    <t>Temasek Holdings</t>
  </si>
  <si>
    <t>www.flywire.com</t>
  </si>
  <si>
    <t>156786-49</t>
  </si>
  <si>
    <t>Greenlight Financial Technology</t>
  </si>
  <si>
    <t>Developer of a smart debit card designed to help parents monitor their child's spending habits. The company's smart debit card helps to pick the exact stores where their kids can spend, freeze the card if lost or stolen, receive spending alerts, and automate allowances, enabling parents to track and monitor their child's investment decisions.</t>
  </si>
  <si>
    <t>Advanced Technology Development Center, Aflac Ventures, Ally Ventures, Amazon Alexa Fund, American National Bankshares, Andreessen Horowitz, BOND Capital (San Francisco), Boom Ventures, Canapi Ventures, Curql, Dancap Family Investment Office, Drive Capital, DST Global, Ethos VC, Evolution VC Partners, Fin Capital, FinSight Ventures, G Squared, Gaingels, Goodwater Capital, Gray Ventures, Janus Henderson Emerging Markets Private Investments, JP Morgan Chase, LionTree Partners, Live Oak Ventures, MicroVentures, NBKC Bank, New Enterprise Associates, Next Level Ventures, OurCrowd, Owl Ventures, PROOF, Relay Ventures, Sand Hill Angels, Service Provider Capital, Social Capital, Southern Equity Advisors, SunTrust Bank, SWS Venture Capital, Synchrony Ventures, TechSquare Labs, Truist Ventures, TTV Capital, Vanessa Larco, Venture Worx (US), Wellington Management, Wells Fargo, Wells Fargo Strategic Capital</t>
  </si>
  <si>
    <t>www.greenlight.com</t>
  </si>
  <si>
    <t>442706-05</t>
  </si>
  <si>
    <t>Jeeves</t>
  </si>
  <si>
    <t>Developer of a financial platform designed for customers to open multi-currency accounts and track company-wide spending. The company's platform offers features like sending cross-border payments, issuing corporate cards, and managing expenses from one platform, enabling businesses to streamline expense management for global teams.</t>
  </si>
  <si>
    <t>10X Capital, 3cubed Ventures, 9Yards Capital Management, Adolfo Babatz, Aito Capital, Alkeon Capital Management, AltaIR Capital, Alumni Ventures, Andre Iguodala, Andreessen Horowitz, Aramco Ventures, BlockFi Ventures, Boling Jiang, Browder Capital, Carlo Enrico, Carlos Martin, Clocktower Ventures, Crescent Capital (Los Angeles), Crew Capital, CRV, Daniel Vogel, David Velez, Des Traynor, Destiny (Financial Software), Financial Technology Partners, Firebolt Ventures, Florian Hagenbuch, Foreword, FoundersX Ventures, Four Cities Capital, Gabriel Braga, Gaingels, GIC Private, Hack VC, Hanfield Venture Partners, Haven Ventures, IdEA (Bucharest), Immad Akhund, Inflection Ventures (New York), Intersection Growth Partners, Investo (San Francisco), Irregular Expressions, Kevin Durant, Kishore Ganji, Larry Fitzgerald, Leonis Investissement, Makai VC, Mantis VC, Neer Venture Partners, Nordstar Partners, Odell Beckham, Pablo Gonzalez, Pierpaolo Barbieri, Prosperity7 Ventures, Rebel Fund, Ricardo Weder, SaxeCap, Sebastian Mejia, Soma Capital, Soros Fund Management, Spectra Investments, Stanford University Venture Fund, Stonewater Ventures, SV Pacific Ventures, SVB Capital, SVB Financial Group, Tencent Investment, The MBA Fund, Thirdbase Capital, Thirty Five Ventures, Thomas Blomfield, Tribe Capital, Uncorrelated Ventures, Unpopular Ventures, Urban Innovation Fund, VentureSouq, Wollef, Y Combinator, Zachary Prince</t>
  </si>
  <si>
    <t>www.tryjeeves.com</t>
  </si>
  <si>
    <t>277133-41</t>
  </si>
  <si>
    <t>MEMX</t>
  </si>
  <si>
    <t>Trading</t>
  </si>
  <si>
    <t>Operator of an equity exchange platform designed to reduce fixed costs and simplify the execution of equity trading. The company's platform provides operational transparency and increases competition while focusing on creating and promoting a fair, transparent, and efficient experience for all investors, enabling investors and traders to perform equity exchange efficiently and securely.</t>
  </si>
  <si>
    <t>Bank of America, Belvedere Capital Real Estate Partners, Belvedere Strategic Capital, BlackRock, BofA Securities, Bourse de Montréal, Charles Schwab, Chicago Trading Company, Citadel Enterprise Americas, Citadel Securities, Citigroup, Credit Suisse First Boston, CTC Venture Capital, E*TRADE, Equity Research Desk, Fidelity, Flow Traders, IMC Strategic Investments, Interactive Brokers, Jane Street, JP Morgan Chase, Manikay Partners, Markets Infrastructure Partners, Morgan Stanley, NASDAQ OMX BXSM, Optiver, TD Ameritrade, The Goldman Sachs Group, UBS Group, Virtu Financial, Wells Fargo, Williams Trading, Wolverine Capital Partners</t>
  </si>
  <si>
    <t>www.memx.com</t>
  </si>
  <si>
    <t>232149-34</t>
  </si>
  <si>
    <t>Modern Treasury</t>
  </si>
  <si>
    <t>Developer of a payments infrastructure platform designed to manage and automate money movement. The company's platform provides APIs for multi-rail payments, programmable accounts, payment orchestration, ledgering, reconciliation, compliance, and reporting across fiat and stablecoin rails, enabling businesses to build and scale embedded payment experiences.</t>
  </si>
  <si>
    <t>Altimeter Capital Management, Archetype Fund, Artisanal Ventures, Benchmark Capital Holdings, Capital Partners, Cervin Ventures, Cleo Capital, Four Cities Capital, Friends &amp; Family Capital, Liquid 2 Ventures, Mischief, NewView Capital, Not Boring, Pareto Holdings, Quiet Capital, Rivet Ventures, Salesforce Ventures, Spark Capital, SVB Capital, TQ Ventures, WndrCo, Y Combinator</t>
  </si>
  <si>
    <t>www.moderntreasury.com</t>
  </si>
  <si>
    <t>265979-35</t>
  </si>
  <si>
    <t>Critical Ideas</t>
  </si>
  <si>
    <t>Developer of a digital financial platform intended to facilitate cross-border money transfers and financial services. The company offers mobile-based payment services, international money transfers, virtual Visa cards, and investment capabilities in stocks, enabling users to conduct digital transactions, make online purchases, send money to the bank and mobile money accounts across countries and invest in global markets.</t>
  </si>
  <si>
    <t>137 Ventures, 500 Global, 9Yards Capital Management, AAIC Investment, Aito Capital, Altun Capital, Anant Chimmalgi, ARK Ventures (US), Bezos Expeditions, Debut Capital, Deciens Capital, Deep Acre, Ethos VC, Five Stones Investment Group, Flyer One Venture, FTX, Global FinTech Venture Partners, Global Tech Ventures, Intersection Growth Partners, Joseph Montana, Kube VC, Liquid 2 Ventures, Mancora Ventures, MyAsiaVC, One Way Ventures, Raptor Group, Realm Capital Ventures, Recharge Capital, Reddy Holdings (Hyderabad), Renn Ventures, Ribbit Capital, Rocketship.vc, Stellar (Financial Software), SVB Capital, TeleSoft Partners, TEN13, The Finger Group, The Pay It Forward Company, Tribe Capital, Vis Capital, Zag Capital</t>
  </si>
  <si>
    <t>www.chippercash.com</t>
  </si>
  <si>
    <t>431605-36</t>
  </si>
  <si>
    <t>Aven (Consumer Finance)</t>
  </si>
  <si>
    <t>Provider of secured credit and lending services intended for homeowners seeking to leverage property equity for financial flexibility. The company offers access to revolving credit lines and cash advances backed by home equity, featuring digital application processes, rapid approval, integration with property value assessment, variable and fixed rate options, no annual or origination fees, cash back rewards, and foreclosure protection, enabling individuals in the homeowner market to obtain high-limit credit, manage expenses, and consolidate debt with potentially lower interest rates.</t>
  </si>
  <si>
    <t>Bridgespan VC, Caffeinated Capital, Coatue Management, Day One Ventures, Electric Capital, Enterprise Holding (Singapore), Founders Fund, Four Cities Capital, General Catalyst, GIC Private, Hakluyt Capital, Han River Development, ID8 Investments, Khosla Ventures, Neo (Consulting Services (B2B)), Notable Capital, Nyca Partners, Original Capital, Resolute Ventures, SciFi VC, Sequoia Capital, Summit Peak Investments, Sweat Equity Ventures, The General Partnership, Thirdbase Capital, Tribe Capital, TriplePoint Capital</t>
  </si>
  <si>
    <t>www.aven.com</t>
  </si>
  <si>
    <t>434844-28</t>
  </si>
  <si>
    <t>ZA Group</t>
  </si>
  <si>
    <t>Developer of digital financial and insurance technology services designed for banking, insurance, and financial institutions operating in the fintech industry. The company offers digital banking, online insurance, and cloud-native insurance technology platforms along with digital transformation services, enabling consumers and institutional partners to access compliant financial services and modernized insurance infrastructure across international markets.</t>
  </si>
  <si>
    <t>AIA Group, Chow Tai Fook, EQT, Foresight Ventures (Singapore), Hivemind Capital, SoftBank Investment Advisers, ZhongAn Technology</t>
  </si>
  <si>
    <t>za.group</t>
  </si>
  <si>
    <t>438505-84</t>
  </si>
  <si>
    <t>ZipHQ</t>
  </si>
  <si>
    <t>Developer of an intake and procurement orchestration platform designed to provide a place for employees to request purchases. The company's platform automatically recommends preferred vendors, checks against price benchmarks, and integrates directly with the accounting, contract management, and information technology systems, enabling clients to reduce the time spent coordinating approvals, cut costs, and ensure compliance by coordinating purchase approvals in a single place.</t>
  </si>
  <si>
    <t>Adams Street Partners, AirAngels, Alkeon Capital Management, BOND Capital (San Francisco), CRV, DST Global, Fjor (US), Lenny Rachitsky, Maple Pledge Capital, Mischief, Night Capital, SV Angel, Tiger Global Management, Todd &amp; Rahul Capital, Todd Goldberg, Tokyo Black, Twenty Two Ventures, Y Combinator</t>
  </si>
  <si>
    <t>www.zip.com</t>
  </si>
  <si>
    <t>98420-77</t>
  </si>
  <si>
    <t>CloudWalk</t>
  </si>
  <si>
    <t>Developer of foundational agentic AI systems designed to autonomously execute financial and business operations. The company offers proprietary AI models and autonomous agents for payments, credit underwriting, fraud prevention, operations, marketing, and financial management, enabling merchants and consumers to manage financial and business activities with greater efficiency and autonomy.</t>
  </si>
  <si>
    <t>A*, Actyus, ArpexCapital, Coatue Management, DST Global, Firebolt Ventures, FIS Ventures, Gokul Rajaram, Kelvin Beachum, Light Capital Group, Marathon Management Partners, Massachusetts Institute of Technology, NewView Capital, Plug and Play Tech Center, Proximity Angels, The Hive, Valor Capital Group</t>
  </si>
  <si>
    <t>www.cloudwalk.io</t>
  </si>
  <si>
    <t>151423-66</t>
  </si>
  <si>
    <t>Lunar</t>
  </si>
  <si>
    <t>Developer of a digital banking application designed to facilitate online money transfers and payments. The company's application offers banking services such as balance checking, account opening, and applications for loans along with debit cards by partnering and cooperating with local banks, enabling customers to ease banking functions with enhanced security.</t>
  </si>
  <si>
    <t>100A, A.GAIN, Alan Howard, Anders Schrøder, C.W. Obel, Chr. Augustinus Fabriker, Copenhagen Fintech Lab, David Helgason, FinRebel, Fuel Venture Capital, Generation Ventures, Goose Valley Ventures, Greyhound Capital, Heartland (Aarhus), Inbox Capital, Ion Pacific, Jinderman &amp; Partners, Kichi Invest, Kinnevik, Klaus Oestergaard, Mads Kjær, MW&amp;L Capital Partners, NFT Ventures, Nykredit, Orbit Alliance, Oscarson Invest, Peter Mühlmann, Polynom Investment, PSV (Denmark), SEED Capital (Copenhagen), Skypointer, Socii Capital, Tencent Holdings, Vidici Ventures, Will Ferrell</t>
  </si>
  <si>
    <t>www.lunar.app</t>
  </si>
  <si>
    <t>265317-40</t>
  </si>
  <si>
    <t>NAX Group</t>
  </si>
  <si>
    <t>Developer of a web3-ready software intended to commercialize consumer and enterprise products. The company's proprietary platform develops software for digital, micro and platform services as well as cloud commerce that can be utilized to rapidly market test fully compliant products, tradable securities and marketplaces commercialize proprietary digital and exchange products with its corporate members to create significant growth, it works on rapid market tests for fully compliant digital products and launch it, enabling organizations to optimally securitize their assets and creates unfair advantages and outsized growth.</t>
  </si>
  <si>
    <t>GM Ventures, Line Break Capital</t>
  </si>
  <si>
    <t>www.naxgrp.com</t>
  </si>
  <si>
    <t>462370-42</t>
  </si>
  <si>
    <t>Moove</t>
  </si>
  <si>
    <t>FinTech, Mobile, Ridesharing, SaaS</t>
  </si>
  <si>
    <t>Capital Spending</t>
  </si>
  <si>
    <t>Operator of a global mobility fintech company intended to democratize access to financial services for mobility entrepreneurs. The company uses embedded alternative credit scoring technology in ride-hailing, logistics, mass transit, and instant delivery platforms, using proprietary performance and revenue analytics to underwrite customers who have previously been excluded from financial services, enabling customers to access and use the proprietary performance and revenue analytics of mobility entrepreneurs to fund loans.</t>
  </si>
  <si>
    <t>Actyus, Africinvest, Athena Equity Partners, BlackRock, BlueCrest Capital Management, Brice Nkengsa, BYLD (Dubai), Clocktower Ventures, DCM Ventures, Emso Asset Management, Endeavor Catalyst, Entangle (Luxembourg), FJ Labs, Franklin Templeton Global Private Equity, Full Circle Africa, Future Africa, Inishowen Partners, Ion Pacific, Iyinoluwa Aboyeji, Janus Henderson Emerging Markets Private Investments, KAAF Investments, Kepple Africa Ventures, Kinled Holding, Kreos Capital, Kyane Kassiri, Launch Africa Ventures, Left Lane Capital, LoftyInc Capital Management, Maya Capital, Mubadala Investment Company, MUFG Innovation Partners, Ontario Power Generation Pension Plan, Palm Drive Capital, Phoenix Court, Prosus Ventures, Quona Capital, Raptor Group, RM Equity Partners, Roka Works, Select Venture Equity, Silverbacks Holdings, Sona Asset Management, Spartech Ventures, Speedinvest, Square Associates, Stride Ventures, Tekton Ventures, thelatest.ventures, Triatlum Advisors, Uber, UNIQA Ventures, Valor Capital Group, Verod Capital Management, Verod-Kepple Africa Ventures, Victoria van Lennep, Wamda Capital, Woven Capital</t>
  </si>
  <si>
    <t>www.moove.io</t>
  </si>
  <si>
    <t>114455-53</t>
  </si>
  <si>
    <t>OakNorth Bank</t>
  </si>
  <si>
    <t>Developer of a banking platform designed to serve entrepreneurs. The company's platform provides flexible access to debt finance, business loans, property finance, and other financial management services, enabling businesses to secure working capital.</t>
  </si>
  <si>
    <t>Abrams Capital, Alanda Capital Management, AngelBay, EDBI, GIC Private, NIBC Bank, Sammaan Capital, SoftBank Investment Advisers, Sumitomo Mitsui Banking, Tech Nation Group, The Clermont Group, The Venture Center, Toscafund Asset Management</t>
  </si>
  <si>
    <t>www.oaknorth.co.uk</t>
  </si>
  <si>
    <t>268258-06</t>
  </si>
  <si>
    <t>Recharge</t>
  </si>
  <si>
    <t>E-Commerce, Marketing Tech, SaaS</t>
  </si>
  <si>
    <t>Operator of a specialized subscription management platform designed to power recurring revenue and customer loyalty for e-commerce brands. The company utilizes a robust no-code interface and a flexible API specifically optimized for the Shopify ecosystem, enabling merchants in sectors such as health, beauty, and food to manage complex subscription lifecycles, implement churn prevention tools, and enhance shopper lifetime value through personalized rewards, bundles, and AI-powered SMS communication.</t>
  </si>
  <si>
    <t>A*, Auspicious Fund, Bain Capital Ventures, Evolution VC Partners, Fifth Down Capital, Gaingels, ICONIQ Growth, Sand Hill Angels, Summit Partners, Sweat Equity Ventures, Wealthing VC Club</t>
  </si>
  <si>
    <t>www.getrecharge.com</t>
  </si>
  <si>
    <t>223380-37</t>
  </si>
  <si>
    <t>Unqork</t>
  </si>
  <si>
    <t>CloudTech &amp; DevOps, SaaS</t>
  </si>
  <si>
    <t>Developer of a no-code application development platform designed to help organizations build custom software. The company's platform helps to build, deploy, and manage complex applications without writing a single line of code and streamlines the product sales process to improve customer experience, enabling clients to build enterprise applications properly, with quality and at a lower cost than conventional approaches.</t>
  </si>
  <si>
    <t>Allegis Capital, Applied Equity Partners, Aquiline Capital Partners, BlackRock, Blue Collective, Bradford Brown, Broadridge Financial Solutions, CapitalG, Collate Capital, Daniel Kennedy, DoubleRock, Eldridge Industries, EQUIAM, Equity Investment Group, Fin Capital, FinTLV Ventures, G Squared, Generation Ventures (Palo Alto), Goldman Sachs Growth Equity, Hewlett Packard Enterprise, Hewlett Packard Pathfinder, HOF Capital, March Capital, Matthew Doka, Millennium New Horizons, MTech Capital, Operator Stack, Poalim Equity, Rotor Capital, Schonfeld Strategic Advisors, Summerfield Capital Management, Sunley House Capital Management, Thomvest Ventures, Verdure Capital Management, WiL (World Innovation Lab)</t>
  </si>
  <si>
    <t>www.unqork.com</t>
  </si>
  <si>
    <t>152414-38</t>
  </si>
  <si>
    <t>PayFit</t>
  </si>
  <si>
    <t>Accelerator/Incubator</t>
  </si>
  <si>
    <t>Developer of payroll software designed to automate payroll and human resource management tasks. The company's software automates the payroll of employees and manages social statements as well as offers a flexible HR system to track and manage working time, onboarding process, leaves and expense reports, enabling businesses to manage payroll and HR information online on a single platform.</t>
  </si>
  <si>
    <t>Accel, Amaury Sepulchre, Bpifrance, Eurazeo, Frst Capital, General Atlantic, Geoffroy Roux de Bézieux, Jean-Daniel Guyot, Kima Ventures, La French Tech, Nicolas Debock, Oleg Tscheltzoff, Otium Capital, Pierre Entremont, Purple (Paris), Resonance VC, Romain Cottard, Salica Investments, Serge Alleyne, Techmind, The Factory (France), The Family (Financial Services), Thibaud Elziere, Xavier Niel, YXS Capital</t>
  </si>
  <si>
    <t>www.payfit.com</t>
  </si>
  <si>
    <t>290991-61</t>
  </si>
  <si>
    <t>Zilch</t>
  </si>
  <si>
    <t>Operator of a direct-to-consumer ad-subsidized payments network intended to offer customers flexible payment solutions for online and in-store transactions. The company's virtual credit card has a zero interest rate, links it to the current account, and automatically splits the purchase into multiple payments, enabling users to buy the goods and pay anywhere for anything.</t>
  </si>
  <si>
    <t>BNF Capital, Chaos Ventures (New York), Deutsche Bank, dmg ventures, eBay Ventures, Gauss Ventures, KKCG, Limited Ventures, Lotus Capital Ventures, M&amp;F Fund, Pitalia Capital, Provider Investment, Sands Capital, Simon Nixon, Tech Nation Group, The Goldman Sachs Group, Ventura Capital, Visor Ventures, YLD (Sweden)</t>
  </si>
  <si>
    <t>www.zilch.com</t>
  </si>
  <si>
    <t>277307-56</t>
  </si>
  <si>
    <t>Payhawk</t>
  </si>
  <si>
    <t>Developer of a business spend management platform intended to assist small businesses in dealing with expenses. The company's platform helps enterprises to issue business cards to employees, set spending limits, control withdrawals, and provide automated invoice matching, expense categorization, reconciliation, and accounting integration, enabling clients to empower employees, reduce paperwork, and save management effort otherwise required in employee reimbursements.</t>
  </si>
  <si>
    <t>Alpha Protocol Ventures, BeamupLAB, Bek Ventures, Earlybird Venture Capital, Eleven Ventures, Endeavor Catalyst, Faris Sweis, Greenoaks, Hedosophia, HubSpot Ventures, INVOPPS FT21, Invus Opportunities, Keith Robinson, Lightspeed Venture Partners, Mark Antipof, Mark Ransford, MFG Invest, Nedelcho Spassov, NOMD Holdings, Pavel Iliev, Perry Blacher, Philipp Moehring, QED Investors, Repeat Ventures, SF Roofdeck Capital, Sprints (London), Stanimir Vassilev, Svetozar Georgiev, Tiny Supercomputer Investment Company, Vassil Terziev, Visa Innovation Program, VTI Capital</t>
  </si>
  <si>
    <t>www.payhawk.com</t>
  </si>
  <si>
    <t>56319-76</t>
  </si>
  <si>
    <t>bKash</t>
  </si>
  <si>
    <t>FinTech, Mobile, TMT</t>
  </si>
  <si>
    <t>Developer of a mobile payments services platform designed to ensure access to a broader range of financial services for the people of Bangladesh. The company's platform provides mobile money transfer and mobile banking services to store limited funds along with convenient ways to make payments and initiate fund transfers via basic mobile phones, enabling people to access a wide range of mobile banking services at their fingertips.</t>
  </si>
  <si>
    <t>Ant Group, BRAC Bank, Gates Foundation, Gray Ghost Ventures, International Finance Corporation, Money in Motion, Serious Change, SoftBank Investment Advisers</t>
  </si>
  <si>
    <t>www.bkash.com</t>
  </si>
  <si>
    <t>231240-07</t>
  </si>
  <si>
    <t>BVNK</t>
  </si>
  <si>
    <t>Cryptocurrency/Blockchain, FinTech, SaaS</t>
  </si>
  <si>
    <t>Developer of an enterprise-grade payments infrastructure designed to accelerate global money movement. The company's system offers tools to send, receive, hold, automate, manage, and convert between fiat and stable coins for custody, payments, and liquidity, enabling customers to avail a variety of domestic and international payment rails and blockchains.</t>
  </si>
  <si>
    <t>www.bvnk.com</t>
  </si>
  <si>
    <t>148927-78</t>
  </si>
  <si>
    <t>Clearco</t>
  </si>
  <si>
    <t>Artificial Intelligence &amp; Machine Learning, Big Data, FinTech, SaaS</t>
  </si>
  <si>
    <t>Operator of an online financial platform intended to provide growth capital to e-commerce companies. The company's platform uses proprietary software and data science models to identify high-growth funding opportunities and offers allocation in exchange for a steady revenue share of earnings until it's paid back, plus a certain percent fee, enabling startups to access an alternative source of allowance for their businesses without diluting equity.</t>
  </si>
  <si>
    <t>137 Ventures, 8VC, Asymmetric Capital Partners, Bedrock (Financial Services), Berggruen Holdings, Bigwing Venturetech, Bow Capital, C100 (Commercial Services), Crestar Partners, Daniel Debow, Emergence Equity Management, Feld Ventures, FJ Labs, Founders Circle Capital, Founders Fund, Frontline Ventures, Garage Capital, Golden Ventures, GPS Investment Partners, HarbourVest Partners, Hedgewood, Highland Capital Partners, Intuit, Jason Goldlist, Jesse Rasch, Kara Rieben, Kensington Capital Partners, Lift Ventures, Lionfish Capital, Makai VC, Mandeep Singh, Mango.vc, MyAsiaVC, Oak HC/FT, Owl Capital, Park West Asset Management, Peak State Ventures, Pinegrove Venture Partners, Plaza Asset Management, Plexo Capital, Proton Enterprises, Real Ventures, Social Capital, SoftBank Investment Advisers, Sozo Ventures, Stratos Technologies, Ted Graham, The Finger Group, Treville Capital Group, University of Toronto Entrepreneurship, Upper90 Capital Management, Vision Capital Ventures, Western Technology Investment, Y Combinator, Zag Capital</t>
  </si>
  <si>
    <t>www.clear.co</t>
  </si>
  <si>
    <t>56847-88</t>
  </si>
  <si>
    <t>Clip</t>
  </si>
  <si>
    <t>Artificial Intelligence &amp; Machine Learning, E-Commerce, FinTech, Mobile, SaaS</t>
  </si>
  <si>
    <t>Developer of a digital payment platform designed to empower businesses to accept a wide range of payment methods and drive growth. The company's platform enables merchants to accept credit and debit cards, contactless payments, and Samsung Pay through a user-friendly application, eliminating complex paperwork, monthly fees, and minimum sales requirements, enabling customers to pay conveniently and businesses to streamline payment acceptance.</t>
  </si>
  <si>
    <t>500 Global, 500 Startups LatAm, Alta Global Ventures, AMEX Ventures, Aramex Ventures, Axia Ventures, Capria Ventures, Dalus Capital, GC1 Ventures, General Atlantic, Grupo Financiero Banorte, Guadalajara Angel Investor Network, HealthCo Ventures, Laura González-Estéfani, MasterCard, MissionOG, Morgan Stanley Tactical Value, Ribbit Capital, RPS Ventures, SoftBank Latin America Fund, Televisa, The Goldman Sachs Group, Viking Global Investors, Visa, WillowTree Investments</t>
  </si>
  <si>
    <t>www.clip.mx</t>
  </si>
  <si>
    <t>118818-37</t>
  </si>
  <si>
    <t>Digital Asset</t>
  </si>
  <si>
    <t>Artificial Intelligence &amp; Machine Learning, Big Data, Cryptocurrency/Blockchain, FinTech, SaaS</t>
  </si>
  <si>
    <t>Developer of a distributed ledger technology designed to build encrypted straight-through processing tools. The company's technology offers tools for digital ledgers to track and settle digital and mainstream financial assets in a cryptographically secure environment, enabling organizations to work across traditional boundaries and create interconnected networks where information and assets flow freely.</t>
  </si>
  <si>
    <t>1/1 Capital, 1kx, 7RIDGE, Abu Dhabi Investment Authority, Alumni Ventures, Andreessen Horowitz, Apollo Credit Funds, ARK Ventures (US), Bank of New York Mellon, BNP Paribas, Castle Island Ventures, Circle Ventures, Citadel Securities, Coinbase Ventures, CoinDesk, Depository Trust &amp; Clearing, Deutsche Börse, DRW Venture Capital, Eldridge Industries, Fuse Incubator, Hanwha Investment &amp; Securities Company, Henry Yates, HSBC Holdings, IBM Deutschland, iCapital Holdings, Illuminate Financial, IMC Strategic Investments, Institutional Capital Network, Intersection Growth Partners, Jefferson River Capital, Liberty City Ventures, LongHash Ventures, Nasdaq, Optiver, Paxos, Polychain Capital, QCP Trading, R136 Ventures, Republic Digital Acquisition, S&amp;P Global, Salesforce Ventures, Samsung Venture Investment, SBI Holdings, SBI Insurance Group, SC Ventures, Shinhan Financial Group, Sid Mewara, Smash Capital, SOFI (Belgium), Spartan Group, TenSquared, The Depository Trust &amp; Clearing (GCA Validation Operations), The Goldman Sachs Group, TIBAS Ventures, TLG Capital Management, Tradeweb Markets, Virtu Financial, VMware, YZi Labs</t>
  </si>
  <si>
    <t>www.digitalasset.com</t>
  </si>
  <si>
    <t>227117-44</t>
  </si>
  <si>
    <t>Edaili</t>
  </si>
  <si>
    <t>FinTech, InsurTech, TMT</t>
  </si>
  <si>
    <t>Developer of an overseas asset allocation sales crowdsourcing platform intended to enhance the efficiency of the investment industry. The company's services combine a platform with curated financial products and highly-trained sales staff to provide flexible sales capabilities, enabling Chinese financial companies to broaden their sales channels while lowering expenditure and investors to create diverse, vetted portfolios.</t>
  </si>
  <si>
    <t>DST Global, K2VC, Lippo Karawaci, Luminous Ventures, MPC (Beijing), Shin Kong Venture Capital, Sky9 Capital, UCF Group</t>
  </si>
  <si>
    <t>www.edaili.com</t>
  </si>
  <si>
    <t>55245-88</t>
  </si>
  <si>
    <t>Feedzai</t>
  </si>
  <si>
    <t>Artificial Intelligence &amp; Machine Learning, Big Data, Cybersecurity, FinTech</t>
  </si>
  <si>
    <t>Developer of a financial risk management platform designed to offer finance-related fraud detection and prevention facilities. The company's platform leverages artificial intelligence and machine learning to detect anomalies and highlight potential cases of fraud, enabling financial institutions and retailers to prevent losses from fraudulent transactions and minimize risk exposure.</t>
  </si>
  <si>
    <t>33N Ventures, Alpha Square Group, Armilar Venture Partners, Basil Capital, Bombora Investment Management, Bonsai Partners, Bright Pixel Sonae, Buenavista Equity Partners, Buenavista Equity Partners Portugal, Building Global Innovators, Capital One Ventures, Capitalis Partners, Carnegie Mellon Portugal Program, Citi Ventures, Conexo Ventures, DCVC, EDBI, EDP Ventures, Explorer Investments, Financial Technology Partners, First Data, Fundo Revitalizar Centro, Gutbrain Ventures, Iberis Capital, Inveready Asset Management, J17 Ventures, Jonathan Weiner, Kohlberg Kravis Roberts, Lince Capital, Novabase Capital, Oak HC/FT, Omega Venture Partners, Oxy Capital, Sapphire Ventures, Seaya Capital Gestion SGEIC, Ten Eleven Ventures, Universidade de Coimbra, UPTEC, Wunala Capital</t>
  </si>
  <si>
    <t>www.feedzai.com</t>
  </si>
  <si>
    <t>229240-27</t>
  </si>
  <si>
    <t>Lendbuzz</t>
  </si>
  <si>
    <t>Lendbuzz Inc is a financial technology company that utilizes artificial intelligence, or AI, and machine learning algorithms to improve assess consumer credit risk and expand access to credit. It is engaged in the business of auto lending and activities closely related to auto lending.</t>
  </si>
  <si>
    <t>83North, Arkin Capital, Delaware Life Insurance, Massachusetts Institute of Technology, Mivtach Shamir Holdings, MUFG Innovation Partners, O.G. Venture Partners, Poalim Equity, Suhel Kothari, The Goldman Sachs Group, Viola Ventures, Wellington Management</t>
  </si>
  <si>
    <t>www.lendbuzz.com</t>
  </si>
  <si>
    <t>155652-22</t>
  </si>
  <si>
    <t>Momo</t>
  </si>
  <si>
    <t>Developer of an online mobile payment application designed for enhanced payment services for various domestic and international usage. The company's platform offers a digital wallet service and aids in transferring money or buying commodities, enabling users to do all financial transactions securely in a hassle-free way.</t>
  </si>
  <si>
    <t>Affirma Capital, Goldman Sachs Asset Management, Goodwater Capital, ICG Enterprise Trust, Kora Management, Macquarie Capital, Michael Sidgmore, Mizuho Bank, Tybourne Capital Management, Warburg Pincus, Ward Ferry Management</t>
  </si>
  <si>
    <t>www.momo.vn</t>
  </si>
  <si>
    <t>342166-51</t>
  </si>
  <si>
    <t>Navi</t>
  </si>
  <si>
    <t>Developer of a digital lending platform designed to make financial services simple, affordable, and accessible to everyone. The company's platform provides consumer-centric and technology-driven businesses in the banking, financial services, and insurance space, enabling users to access financial services at an affordable column.</t>
  </si>
  <si>
    <t>Ambit Finvest, anAmaya Capital, Anand Rao, Grey Grass India, International Finance Corporation, MS Gopalakrishnan, Nahar Industrial Enterprises, Narayanan Venkitaman, NDX Financial Services, Nitin Jagpratap, Northern Arc Investments, Paresh Suthankar, PhillipCapital, Prosus, Ravi Dyeware Company, Samit Shetty, Samuel Edwards, Sharad Sundarmony, Shweta Mani, Siddharth Colorchem, Sunil Edwards</t>
  </si>
  <si>
    <t>www.navi.com</t>
  </si>
  <si>
    <t>268751-35</t>
  </si>
  <si>
    <t>OPay</t>
  </si>
  <si>
    <t>Developer of a payment platform designed to help users send and receive money from any bank in Nigeria. The company's platform lets users send money, pay bills, and buy food by providing secure, easy-to-use and affordable financial services with fast user experience, incentive packages on transfer/airtime and data top-up, enabling users to have full control of their finances, payments and transactions with ease, all on one platform</t>
  </si>
  <si>
    <t>3W Partners Capital, Alpha Protocol Ventures, Bertelsmann Asia Investments, Dragonball Capital, Gaorong Ventures, GSR Ventures China, Hedosophia, HSG (Hong Kong), IDG Capital, Meituan, Redpoint China Ventures, SBVA, SoftBank Group, SoftBank Investment Advisers, Source Code Capital, Unicorn Capital Partners (Hong Kong), ZhenFund</t>
  </si>
  <si>
    <t>www.opayweb.com</t>
  </si>
  <si>
    <t>265324-42</t>
  </si>
  <si>
    <t>Persona (San Francisco)</t>
  </si>
  <si>
    <t>Artificial Intelligence &amp; Machine Learning, Cybersecurity, SaaS, TMT</t>
  </si>
  <si>
    <t>Developer of an identity verification system designed to protect and secure identity from theft and fraud. The company's system offers a comprehensive suite of fully automated identity verification components with worldwide coverage which can be configured, themed, and branded to create custom-tailored flows that cover any use case, enabling businesses to verify customer identities with a drop-in widget in less time.</t>
  </si>
  <si>
    <t>BOND Capital (San Francisco), Chemistry Ventures, Coatue Management, Dylan Field, Firebolt Ventures, First Round Capital, Founders Fund, Index Ventures, Insight Partners (New York), Kleiner Perkins, Meritech Capital Partners, Pathlight Ventures, Ribbit Capital, Scott Belsky, Tony Xu, William Hockey, Zachary Perret</t>
  </si>
  <si>
    <t>www.withpersona.com</t>
  </si>
  <si>
    <t>432607-24</t>
  </si>
  <si>
    <t>Pipe</t>
  </si>
  <si>
    <t>Artificial Intelligence &amp; Machine Learning, CloudTech &amp; DevOps, FinTech, SaaS</t>
  </si>
  <si>
    <t>Operator of a financial platform designed to help cloud service companies grow efficiently by providing non-dilutive funding. The company's platform integrate with a billing stack to qualify and underwrite businesses with recurring revenues to unlock their deferred cash flows, enabling firms to provide funds to fuel growth without giving up ownership or taking on debt.</t>
  </si>
  <si>
    <t>1/1 Capital, 10H Capital, 10X Capital, 3L Capital, 515 Ventures, 6ixth Event, 9Yards Capital Management, Abad Capital, Alexis Ohanian, Allocation10, Altra Venture Partners, Anthemis, Astir Ventures, Australian Gulf Capital, Bali Venture Partners, Balius Partners, BBQ Capital, Beyond (Greenwich), Blue Lion Global, Blue Opal Capital, Browder Capital, Calm Ventures, Captain Partners, CE Innovation Capital, Chamath Palihapitiya, Chapter One, Chris Zarou, Claire Diaz-Ortiz, Concentric Team, Counterpoint Global, Craft Ventures, Creandum, CreditEase Fintech Investment Fund, Cross Culture Ventures, David Hauser, DFO Management, Enabling Future, EQUIAM, Expansion Capital, Fika Ventures, Fin Capital, First Serve Partners, Fjor (US), Founders Circle Capital, Four Dimensional Partners, Fox Ventures (United Arab Emirates), GINCO Investments, Global Alternative Investment Management, Good Alpha Industries, Greenspring Associates, Ground Up Ventures, GTCC Wealth, Guy Oseary, Hack VC, Hanfield Venture Partners, Highfield Capital, HiJoJo Partners, HOF Capital, HubSpot Ventures, Hybridge Capital Management, iAngels, Incubayt Investments, Inertia Ventures, Inflection Ventures (New York), Janus Ventures, Joseph Lonsdale, Junipero, Kadous(), Kensington Capital Holdings, Lachy Groom, Level One Fund, Leyden Ventures, Liquid 2 Ventures, LoftyInc Capital Management, Lume Capital, MaC Venture Capital, Mad'a Investment, Mancora Ventures, Mango.vc, Mantis VC, Marc Benioff, Menlo Group, Michael Sidgmore, Mindrock Capital, Morgan Stanley, MSA Capital (Family Office), N47, National Investments, Naval Ravikant, Novos Capital, Oceanic Partners, Ocgrow Ventures, Okta, Okta Ventures, Pacific Reach Capital, Paradox Capital (United States), Parkpine Capital, Peter Akerson, Quonota, Raptor Group, Realm Capital Ventures, Regah Ventures, Republic, Republic Capital Adviser, Reshape Ventures, Rizvi Traverse Management, Roosh Ventures, Rosecliff Venture Partners, Ryan Hoover, Salesforce Ventures, Saraswati Ventures, SBI Investment, Scale-Up (Venture Capital), Seagate Ventures, Seven Seven Six, Shopify, Shrug Capital, Side Door Ventures, Siemens, Social Capital, Sound Ventures, Sutton Capital, SXM Global, Tepass Capital, Thirdbase Capital, TIME Ventures, Traction Club Partners, Transparent Equity Entrepreneurs, Trust Fund, Unbound Advisors (Investor), Uncorrelated Ventures, Uni-Ventures, Valhalla Private Capital, Verdure Capital Management, Veridical Ventures, VII Ventures, Vis Capital, Vision Capital Ventures, Wave7, Weekend Fund, West Coast Equity Partners, Worklife Ventures, ZoiBel</t>
  </si>
  <si>
    <t>www.pipe.com</t>
  </si>
  <si>
    <t>507301-75</t>
  </si>
  <si>
    <t>Rogo</t>
  </si>
  <si>
    <t>Developer of an artificial intelligence platform designed to automate financial workflows. The company's platform provides auditable excel models, investment memos, diligence materials, slide decks, enterprise-grade security, and bespoke deployment, enabling financial institutions to analyze market data and identify investment opportunities.</t>
  </si>
  <si>
    <t>137 Ventures, AlleyCorp, Alt Capital (San Francisco), Avra, BoxGroup, Company Ventures, Evantic Capital, Henry Kravis, J.P. Morgan Growth Equity Partners, Jack Altman, Kevin O'Connor, Kevin Ryan, Khosla Ventures, Kleiner Perkins, Mantis VC, Nordurver, Original Capital, Plug and Play Tech Center, Positive Sum, ScOp Venture Capital, Sequoia Capital, Stonecroft Management, Thrive Capital, Tiger Global Management, Truist Ventures, Wells Fargo</t>
  </si>
  <si>
    <t>www.rogo.ai</t>
  </si>
  <si>
    <t>183817-90</t>
  </si>
  <si>
    <t>Zeta</t>
  </si>
  <si>
    <t>Developer of a fintech platform designed to offer employee expense management services, corporate gifting, and co-branded debit and credit cards. The company's platform provides a cloud-based neo-banking space to enterprises, allowing them to issue co-branded debit, credit, and prepaid products to employees and manage employee benefits and allowances, enabling companies to have greater employee engagement through retail and corporate products.</t>
  </si>
  <si>
    <t>Astir Ventures, Avendus Capital, Chimera Capital, Lunate, MasterCard, Optum, Sodexo, SoftBank Investment Advisers, Start Path</t>
  </si>
  <si>
    <t>www.zeta.tech</t>
  </si>
  <si>
    <t>490006-81</t>
  </si>
  <si>
    <t>GVE</t>
  </si>
  <si>
    <t>Operator of a cashless payment infrastructure and electronic medical record platform intended for people to take advantage of digital technology. The company offers Central Bank Digital Currency (CBDC), which provides a cashless payment system using the secure technology EXC that is the basis of digital currencies issued by the central banks, a vaccine passport platform, and an electronic medical record platform, enabling users to access digital technology in the field of finance, healthcare, and other industries.</t>
  </si>
  <si>
    <t>Evolution Financial Group, Kondo Cotton Spinning Co.</t>
  </si>
  <si>
    <t>www.gve.net/en</t>
  </si>
  <si>
    <t>279171-91</t>
  </si>
  <si>
    <t>Flex (Financial Software)</t>
  </si>
  <si>
    <t>Developer of an online financial platform designed to pay and receive rent as scheduled. The company's platform assists users in paying their rent according to their preferred schedule over the month, instead of on the first date, which eliminates late fees, avoids overdrafts and improves monthly budgeting, enabling rentpayers to arrange and manage their finances and allowing landlords and property managers to simplify their monthly rent collection process.</t>
  </si>
  <si>
    <t>Camber Creek, Citi Ventures, Coatue Management, Detroit Venture Partners, Global Founders Capital, GMO Venture Partners, Hanaco Ventures, HOF Capital, Intersection Growth Partners, Lightspeed Venture Partners, Ludlow Ventures, Matrix, Novirian Capital, Renn Ventures, Restive Ventures, Ryan Falvey, Spark Growth Ventures, Stripes, Tiger Global Management, Tyler Griffin</t>
  </si>
  <si>
    <t>www.getflex.com</t>
  </si>
  <si>
    <t>59990-50</t>
  </si>
  <si>
    <t>Justworks</t>
  </si>
  <si>
    <t>Developer of a human resource management platform designed to manage employees, payroll, benefits, and compliance procedures. The company's cloud-based software platform gives small and medium-sized businesses access to benefits, payroll, human resources, and compliance support all in one place, and drives economies of scale through co-employment, enabling businesses to get attractive cost savings for customers and providing a richer suite of benefits for employees.</t>
  </si>
  <si>
    <t>Bain Capital Ventures, Capital Factory, Daring Journey Ventures, FirstMark Capital, Gotham Gal Ventures, Index Ventures, Joscelyn White, Latitude (London), Meritech Capital Partners, Peninsula Corporate Innovation, Phoenix Court, Redpoint Ventures, Spark Capital, Terrence Rohan, Thayer Street Partners, Thrive Capital, TriplePoint Capital, Union Square Ventures</t>
  </si>
  <si>
    <t>www.justworks.com</t>
  </si>
  <si>
    <t>493077-52</t>
  </si>
  <si>
    <t>Rain (New York)</t>
  </si>
  <si>
    <t>B2B Payments, Cryptocurrency/Blockchain, FinTech, Mobile</t>
  </si>
  <si>
    <t>Developer of a noncustodial wallet designed to help users spend their crypto without a centralized exchange. The company's wallet leverages a vertically integrated issuing stack focused on global services to allow users to access their funds at all times and spend the balance, enabling startups to access corporate capital wherever they are and drive the adoption of digital money.</t>
  </si>
  <si>
    <t>Alliance (Other Capital Markets/Institutions), Amber Atherton, Archetype Fund, Balaji Srinivasan, BDMI, Bessemer Venture Partners, Canonical (California), Circle Ventures, Clayton Gardner, Coinbase Ventures, Dragonfly (Boston), Dragonfly Capital (San Francisco), Endeavor Catalyst, Endeavor Puerto Rico, FinAccelerate, FirstMark Capital, Galaxy Ventures (New York), Goldcrest Capital, GPGI, Hard Yaka, ICONIQ Capital, James Murphy, Jeth Soetoyo, Khosla Ventures, Latitude Capital, Lightspeed Venture Partners, Mischief, NAVER D2SF, Nicholas Moschopoulos, NOMO Ventures, Norwest, Paul Veradittakit, Samsung NEXT Ventures, Sapphire Ventures, Shrisha Radhakrishna, Stanley Tang, Terraform Labs, Thayer Investment Partners, Timber Grove Ventures, Uniswap Labs, Vinyl Capital</t>
  </si>
  <si>
    <t>www.rain.xyz</t>
  </si>
  <si>
    <t>114628-06</t>
  </si>
  <si>
    <t>Roofstock</t>
  </si>
  <si>
    <t>Alternative investments</t>
  </si>
  <si>
    <t>Operator of an online property investment marketplace intended to help people buy and sell tenant-occupied rental properties. The company offers detailed home and tenant information, locally vetted property management options, as well as general market insights, tools, data, and analytics to evaluate listings, enabling investors to treat their real estate investments more like stock portfolios, focusing on asset allocation, rather than dealing with the hassles of researching and buying vacant homes that need to be repaired and leased.</t>
  </si>
  <si>
    <t>1Sharpe Ventures, 7GC &amp; Co, Acurio Ventures Partners, Akkadian Ventures, Asia Pacific Land, Bain Capital Ventures, Canvas Prime, Carriage House Rock, CAZ Investments, Cerity Partners Ventures, C-III Capital Partners, Citi Ventures, CSC UpShot Ventures, DoorDash, Eric Wu, ESO Fund, Expanding Capital, First American Financial, FJ Labs, German Ventures, Great Oaks Venture Capital, Grey Wolf VC, Jeff Fluhr, JLL Spark, Jones Lang LaSalle, Karman Ventures, Kevin Moore, Khosla Ventures, Lightspeed Venture Partners, Marc Benioff, Masco, Masco Ventures, Maya Valley Ventures, Navitas Capital, Newton Investment Management, Nextech Ventures, Nyca Partners, Otter Rock Capital, Owl Capital, Parker89, Partner Ventures, Pegasus Tech Ventures, QED Investors, R136 Ventures, Richard Boyle, SharesPost, Skypointer, SoftBank Investment Advisers, SV Angel, SVB Capital, ThirdStream Partners, Thomvest Ventures, TriplePoint Capital, Urban Capital Network, Wharton Cypher, Yield Capital Partners, ZenStone Venture Capital</t>
  </si>
  <si>
    <t>www.roofstock.com</t>
  </si>
  <si>
    <t>265626-01</t>
  </si>
  <si>
    <t>Altruist</t>
  </si>
  <si>
    <t>Developer of a digital investment platform designed to help financial advisors serve their clients. The company's platform assists in automating research, identifying problem areas, and streamlining operations, enabling advisors to help clients make proper and informed choices with their money.</t>
  </si>
  <si>
    <t>Adams Street Partners, Baillie Gifford, Carson Family Office, Declaration Partners, Endeavor Catalyst, Geodesic Capital, GIC Private, Granite Capital Management (New York), ICONIQ Growth, Insight Partners (New York), Martin Bicknell, Momentis (Omaha), Octant Ventures, Omani Carson, Rex Salisbury, Salesforce Ventures, Sound Ventures, The Vanguard Group, Venrock, William McNabb</t>
  </si>
  <si>
    <t>www.altruist.com</t>
  </si>
  <si>
    <t>54920-17</t>
  </si>
  <si>
    <t>MX</t>
  </si>
  <si>
    <t>Developer of digital transformation software designed for banks, credit unions, partners, and financial technology innovators. The company's software allows financial institutions to connect to the world's financial data through account aggregation, bank APIs, and transactional data enhancement, enabling clients to collect, enhance, analyze, present, and act on financial data in order to increase digital engagement and growth.</t>
  </si>
  <si>
    <t>Album VC, Battery Ventures, Benjamin Holzman, Canapi Ventures, CapitalG, Carriage House Rock, Commerce Ventures, Cota Capital, Cross Creek Advisors, Cyfr Capital, DG Daiwa Ventures, DG Ventures, Digital Garage, Fraser Bullock, Geodesic Capital, Greg Warnock, Greycroft, H.I.G. Growth Partners, Industry Ventures, Joshua James, National Development and Social Fund, NAventures, Nobutaka Mutaguchi, North Hill Ventures, Pelion Venture Partners, Regions Financial, Rick Alden, Smith Family Circle, Sorenson Capital, Sorenson Ventures, Todd Pederson, TPG, TTV Capital, USAA Corporate Development, Washington Federal Bank for Savings, Zacharias James</t>
  </si>
  <si>
    <t>www.mx.com</t>
  </si>
  <si>
    <t>453523-51</t>
  </si>
  <si>
    <t>AI Bank</t>
  </si>
  <si>
    <t>Provider of banking and financial services intended for young people and small and micro enterprises. The company provides young people and small and micro enterprises with payment, financing, and wealth management services based on its excellent financial risk control capabilities and advanced technologies such as artificial intelligence, big data and cloud computing, enabling clients to enjoy a simple and reliable financial life.</t>
  </si>
  <si>
    <t>Baidu Ventures, China CITIC Bank, CPP Investments</t>
  </si>
  <si>
    <t>www.aibank.com</t>
  </si>
  <si>
    <t>510577-39</t>
  </si>
  <si>
    <t>Flatpay</t>
  </si>
  <si>
    <t>Developer of an online payment platform designed to streamline card payments to small and medium-sized businesses. The company's platform processes payment transactions across banks, tenures and product categories using a single sale point terminal, enabling clients to ensure seamless payment processing in all markets.</t>
  </si>
  <si>
    <t>AVP, Booom, Dawn Capital, Fuel Ventures, Hedosophia, Mario Götze, SEED Capital (Copenhagen), Smash Capital, Valar Ventures</t>
  </si>
  <si>
    <t>www.flatpay.com</t>
  </si>
  <si>
    <t>158232-16</t>
  </si>
  <si>
    <t>Varo</t>
  </si>
  <si>
    <t>FinTech, Mobile Commerce, TMT</t>
  </si>
  <si>
    <t>Developer of a financial platform designed to improve the mobile banking experience. The company's platform offers various services, including financial insights and analysis of spending, real-time budgeting, and predictive forecasts of cash flow, making direct deposits, and online bill payment, and also offers access to other financial applications, enabling users to make smart financial decisions and progress.</t>
  </si>
  <si>
    <t>1435 Capital Management, 75 &amp; Sunny, Acuity Partners., Almak Capital, Berkshire Partners, Bhansali Equities, Calm Ventures, CE Innovation Capital, Coliseum Capital Management, Cornice Ventures, Declaration Partners, Ebridge Ventures, Eldridge Industries, Evolution VC Partners, Firebolt Ventures, Gaingels, Gallatin Point Capital, Gopher Asset Management, HarbourVest Partners, InvestX, Jeffrey Skoll, Kwanza Jones &amp; José E. Feliciano Supercharged Initiative, LaurelCrest Partners, Lone Pine Capital, LUN Partners Group, Manatt Ventures, Marshall Wace, Next Legacy Partners, Northview Lifesciences, Okeanos (United States), OurCrowd, Paul Hewson, Progressive Investment Company, PROOF, Raptor Group, Red Hook Capital, Reform Ventures, Ripple Capital, Russell Westbrook Enterprises, Saints Capital, Sanabil Investments, Sand Hill Angels, Sky and Ray, Stack Capital Group, SuRo Capital, SV Pacific Ventures, Swifte (New York), The Progressive, The Rise Fund, TPG, Uni-Ventures, Vitamin Capital, VNTR Capital, Warburg Pincus, WndrCo, Wouter Kneepkens</t>
  </si>
  <si>
    <t>www.varomoney.com</t>
  </si>
  <si>
    <t>154599-22</t>
  </si>
  <si>
    <t>DailyPay</t>
  </si>
  <si>
    <t>FinTech, TMT</t>
  </si>
  <si>
    <t>Operator of a financial wellness platform designed to provide earned wage access to serve all sectors. The company offers a digital wallet system including an on-demand pay technology that delivers the industry's leading on-demand pay solution with modern, insight-driven pay strategies that help leading employers to activate their workforce and build stronger relationships with their employees, enabling employees to send their money directly to any bank account and buy goods and services.</t>
  </si>
  <si>
    <t>1/1 Capital, 9.58 Ventures, Access Technology Ventures, Ajay Kapur, AllianceBernstein, Almak Capital, Anthem Venture Partners, Azoic Ventures, Barclays, BullVC, Carrick Capital Partners, Cedar Mundi Ventures, Citigroup, Eldar Vagapov, Empede Capital Partners, Epic Venture Partners, EQUIAM, ESO Fund, Fin Capital, Financière Saint James, First Ascent Ventures, Food Retail Ventures, Gaingels, Hard Yaka, IMPULSE International, Inspiration Ventures, Larnabel Ventures, Lionshield, LIP Ventures, MicroVentures, Novatron Capital, OurCrowd, PROOF, Sand Hill Angels, Second Alpha Partners, Section Partners, Sidekick Partners, Sweetwater Private Equity, TPG Angelo Gordon, University Growth Fund, Ventioneers, Venture Capital Fund of America, Vitamin Capital, WTA Capital, Zenith Capital (Washington)</t>
  </si>
  <si>
    <t>www.dailypay.com</t>
  </si>
  <si>
    <t>61927-03</t>
  </si>
  <si>
    <t>Acorns Grow</t>
  </si>
  <si>
    <t>Developer of automated financial tools designed for personal saving and investing purposes. The company's platform integrates micro-investing, retirement planning, banking, and educational content into a single mobile-first experience that rounds up everyday purchases, allocates funds into diversified portfolios, and offers goal-based recommendations, enabling individuals with limited financial expertise or resources to build long-term wealth, develop consistent saving habits, and access simplified investment strategies without requiring large initial capital or active portfolio management.</t>
  </si>
  <si>
    <t>415 Investments, Alexander Rodriguez, Andav Capital, A-Rod, AustralianSuper, Bain Capital Ventures, BDMI, BlackRock, Blue Owl Capital, Brent Callinicos, Bridge Capital Holding, Capital V Strategies, CE Innovation Capital, Christopher Ashton Kutcher, Christopher Jones, Comcast Ventures, Connetic Ventures, Dana Settle, Dany Garcia, Declaration Partners, DFO Management, DST Global, Dwayne Johnson, East Dune Holdings, Edison Partners, Fifth Era Blockchain Coinvestors Fund Manager, Forecast Labs, Gabrielle Sulzberger, Galaxy Digital (New York), Gold Mark Venture Partners, Great Oaks Venture Capital, Greycroft, HDS Capital, Headline, Hedosophia, Hemisphere Ventures, Industry Ventures, Inside Capital, Jennifer Lopez, Jeremy Stephan, Kevin Durant, Khaira Capital, Leggett Ventures, LFG Ventures (VC), Makai VC, Material V, MATH Venture Partners, MicroVentures, Mosaic General Partnership, NBCUniversal Media, Nettle Ventures, Nyca Partners, Octane (California), PayPal Ventures, Rakuten Americas, Rakuten Capital, Revaia, Richard Thaler, Senator Investment Group, Shlomo Benartzi, STS Ventures, SUM Ventures, TempoCap, The Capital Group Companies, The Finger Group, The Rise Fund, Thirty Five Ventures, Tidepool Partners, Torch Capital, TPG, Tubergen Ventures, Vibora Capital, Vinthera</t>
  </si>
  <si>
    <t>www.acorns.com</t>
  </si>
  <si>
    <t>471323-35</t>
  </si>
  <si>
    <t>Clar Global</t>
  </si>
  <si>
    <t>Developer of a credit platform designed to connect banks with consumers and increase transparency in the lending process. The company's platform facilitates direct loan offerings from lenders to consumers, enabling banks and financial institutions to make more informed financial decisions and reach a wide audience while simplifying the consumer credit experience.</t>
  </si>
  <si>
    <t>Centripetal VC, Encomenda, IB Invest, Ilija Batljan, Mans Belfrage, Marcus Jacobsson, Nekko Capital, Peter Dahlberg, Petra Marklund, Saeid Esmaeilzadeh, Zentro Founders</t>
  </si>
  <si>
    <t>www.clar.co</t>
  </si>
  <si>
    <t>55639-99</t>
  </si>
  <si>
    <t>Trulioo</t>
  </si>
  <si>
    <t>Developer of an electronic identity verification platform designed for businesses to assess the risks associated with digital identities. The company's platform combines the traditional offline community-based method of confirming identity and the infrastructure of social networking websites to verify a user's identity online, enabling businesses to comply with cross-border anti-money laundering and know the customer rules.</t>
  </si>
  <si>
    <t>AMEX Ventures, Arc Ventures (United States), Banco Santander (Brasil), BDC Capital, Blue Cloud Ventures, Blumberg Capital, Citi Ventures, Copenhagen Fintech Lab, Framework Venture Partners, Goldman Sachs Growth Equity, Mouro Capital, Plug and Play Tech Center, Stereo Capital, TCV, WillowTree Investments</t>
  </si>
  <si>
    <t>www.trulioo.com</t>
  </si>
  <si>
    <t>494114-23</t>
  </si>
  <si>
    <t>Micro Connect</t>
  </si>
  <si>
    <t>Operator and developer of a new market infrastructure platform designed for connecting global capital with micro and small businesses. The company offers Daily Revenue Obligations (DROs) as a new asset class for direct, providing investors direct and diversified exposure to the daily and transparent cash flows of millions of stores in China's vibrant consumer economy, while making capital more accessible and affordable to business owners, enabling a fund platform, structured product solutions, and a licensed exchange.</t>
  </si>
  <si>
    <t>ABCI Securities, Adrian Cheng Chi-Kong, Ausvic Capital, Baillie Gifford, Cell Rising Capital, Chuang's Consortium International, Dara Holdings, Horizons Ventures, HSG (Hong Kong), Jane Street, Keywise Capital Management, Lenovo Capital and Incubator Group, OMVC, Rubix Holdings (Hong Kong)</t>
  </si>
  <si>
    <t>www.microconnect.com</t>
  </si>
  <si>
    <t>170920-90</t>
  </si>
  <si>
    <t>Neon ( Financial Services)</t>
  </si>
  <si>
    <t>Developer of a digital banking platform designed to unite technologies to simplify users' financial experience. The company's platform provides banking services to its users without needing a physical branch and makes payments, issues slips, and buys with its virtual cards, enabling customers to access their bank transactions from their smartphones without hassle.</t>
  </si>
  <si>
    <t>Accion, Artemisia, Banco Bilbao Vizcaya Argentaria, Banco Votorantim Empreendimentos e Participacoes, Blackrock Innovation Capital Group, Cercano Management, DEG, DOMO.VC, Endeavor Catalyst, Everstake Capital, Flourish Ventures, General Atlantic, International Finance Corporation, Kube VC, Monashees, Omidyar Network, PayPal Ventures, Propel Venture Partners, Quona Capital, Sella Direct Ventures, Spectra Investments, Tera Capital (Stouffville), Yellow Ventures, Yellowwoods Capital Holdings</t>
  </si>
  <si>
    <t>www.neon.com.br</t>
  </si>
  <si>
    <t>300299-23</t>
  </si>
  <si>
    <t>Spotter (Specialized Finance)</t>
  </si>
  <si>
    <t>Provider of financial liquidity services intended to help independent content creators. The company's services offer up-front cash to individuals who focus on specific sub-topic categories to expand their content channel and remain independent, enabling content creators to get the funds necessary to invest in their business.</t>
  </si>
  <si>
    <t>8capita, Access Industries, Amazon.com, Coffin Capital &amp; Ventures, Euston Ventures, FinRebel, Flux Capital, Gallery Ventures, GPS Investment Partners, HighPost Capital, Innova Capital Partners, John Tan, Kharis Capital, Koro Capital, McWin Partners, Perch Bay Group, PhenixFIN, Pierpoint Capital, Quiet Capital, SoftBank Investment Advisers, Stonebridge (London), Third Wave Digital, Treville Capital Group</t>
  </si>
  <si>
    <t>www.spotter.com</t>
  </si>
  <si>
    <t>500865-67</t>
  </si>
  <si>
    <t>Wave (Financial Software)</t>
  </si>
  <si>
    <t>Developer of a financial platform designed to provide cashless services. The company's platform offers a digital financial network offering services like deposit and withdrawal of money, bill payments, money transfers, and many more, enabling clients to use cashless transactions for their business.</t>
  </si>
  <si>
    <t>Alexis Ohanian, Base Capital (Cape Town), Coinbase Ventures, Founders Fund, Glynn Capital, HRTG Partners, International Finance Corporation, Kleiner Perkins, LoftyInc Capital Management, Norfund, Partech, Ribbit Capital, Samuel Altman, Serena Ventures, Silverbacks Holdings, Stellar (Financial Software), Stripe, Wuri Ventures, Y Combinator</t>
  </si>
  <si>
    <t>www.wave.com</t>
  </si>
  <si>
    <t>125143-57</t>
  </si>
  <si>
    <t>Scalable Capital</t>
  </si>
  <si>
    <t>Operator of a wealth management platform designed to simplify investment decisions. The company's platform leverages a proprietary risk management technology to automatically allocate portfolios based on a quantitative measure of risk attitude and offers on-demand financial advice, enabling users to invest in capital markets with smoother investment performances and better risk-adjusted returns.</t>
  </si>
  <si>
    <t>Balderton Capital, Barclays, BlackRock, Hedosophia, HV (Germany), Mato Peric, Michele Daoud, MPGI Holdings, Noteus Partners, Rahul Mehta, Reiner Mauch, Sofina, Tencent Holdings, Tengelmann Ventures, Tim Marbach, Werk 1</t>
  </si>
  <si>
    <t>www.scalable.capital</t>
  </si>
  <si>
    <t>433217-89</t>
  </si>
  <si>
    <t>Wayflyer</t>
  </si>
  <si>
    <t>Artificial Intelligence &amp; Machine Learning, E-Commerce, FinTech, Industrials</t>
  </si>
  <si>
    <t>Operator of an analytics platform intended to provide revenue-based financing for e-commerce brands. The company's underwriting engine analyzes marketing performance on a daily basis to provide stores with analytics and granular recommendations designed to improve performance, enabling clients to optimize campaign budgets for growth.</t>
  </si>
  <si>
    <t>ACE Ventures (Geneva), AdFirst, Anatoly Yakovenko, Bias Capital, Binocular Investments, Capital 49, Counterpart Advisors, Credit Suisse, DST Global, Endeavor Catalyst, Foreword, ForwardLeap, Guillaume Pousaz, J.P. Morgan, JP Morgan Chase Strategic Investments, Kinled Holding, Kube VC, Left Lane Capital, Madrone Capital Partners, MiddleGame Ventures, Neuberger Berman Group, Prosus Ventures, QED Investors, Rabo Corporate Venturing, Renn Ventures, Shane Lowry, Speedinvest, Studio VC, The Goldman Sachs Group, UNIQA Ventures, VU Venture Partners, WME Group, Zinal Growth</t>
  </si>
  <si>
    <t>www.wayflyer.com</t>
  </si>
  <si>
    <t>161554-69</t>
  </si>
  <si>
    <t>Solaris (Financial Software)</t>
  </si>
  <si>
    <t>Developer of an API-based Banking-as-a-Platform designed to integrate banking services for emerging digital-first companies. The company's platform uses blockchain technology and provides an easy-to-integrate, customizable platform for card-based payment aggregation, consumer lending, payments automation, virtual payments, and know-your-customer document verification, enabling businesses to create and customize their digital banking portal for facilitating cashless and online modes of payment and customer engagement.</t>
  </si>
  <si>
    <t>ABN AMRO Holding (Parts of the Dutch Commercial Bank Operations), ABN AMRO Ventures, Arvato, Athos (Private Equity), Banco Bilbao Vizcaya Argentaria, Boerse Stuttgart, Cercano Management, CoastCap, Compagnie Nationale à Portefeuille, Dedicated Venture Capital, Ericsenz Capital, finleap, FJ Labs, FOX Group (Hamburg), Fuse Capital (Private Equity), Global Brain, Hegus, Ilavska Vuillermoz Capital, IONIQ, La Maison Partners, Lakestar, LENOS Equity, Maria Pennanen, Motive Partners, NOMD Holdings, Pathway Capital Management, Plug and Play Tech Center, Raiffeisen Innovation Invest, Samsung Catalyst Fund, SBI Investment, Scope Hanson, Storm Ventures, UniCredit, Visa Ventures, Vulcan Asset Management, yabeo Capital</t>
  </si>
  <si>
    <t>www.solarisgroup.com</t>
  </si>
  <si>
    <t>186757-66</t>
  </si>
  <si>
    <t>Capitolis</t>
  </si>
  <si>
    <t>Developer of a financial platform designed to optimize resource allocation among market participants. The company's platform facilitates seamless transactions between financial institutions, enhances access to diversified capital, and improves risk management, enabling banks and other financial entities to operate efficiently while fostering a capital market environment.</t>
  </si>
  <si>
    <t>9Yards Capital Management, Andreessen Horowitz, Barclays, BNP Paribas, Canapi Ventures, Citigroup, Greenfield Partners, iAngels, Index Ventures, J.P. Morgan, Morgan Stanley, Robyn Capital, S Capital VC, Sequoia Capital, Spark Capital, Standard Chartered, State Street, SVB Capital, SVB Financial Group, Thomas Glocer, UBS Group, Vintage (Private Equity)</t>
  </si>
  <si>
    <t>www.capitolis.com</t>
  </si>
  <si>
    <t>57762-82</t>
  </si>
  <si>
    <t>FloQast</t>
  </si>
  <si>
    <t>Artificial Intelligence &amp; Machine Learning, Big Data, CloudTech &amp; DevOps, FinTech, SaaS</t>
  </si>
  <si>
    <t>Developer of a cloud-based accounting transformation platform designed to simplify monthly financial close with a centralized checklist and automated tie-outs. The company's platform integrates with existing systems and checklists to work the way a team does, with increased visibility and centralization for every month-end close, enabling accountants to organize and automate their workflow processes.</t>
  </si>
  <si>
    <t>9Yards Capital Management, Amplify.LA, BDT &amp; MSD Partners, Coupa Ventures, Focus Opportunity Fund, ICONIQ Growth, Insight Partners (New York), Karmel Capital, Meritech Capital Partners, NewView Capital, Norwest, Polaris Partners, Redpoint Ventures, Sapphire Ventures, WiL (World Innovation Lab)</t>
  </si>
  <si>
    <t>www.floqast.com</t>
  </si>
  <si>
    <t>336248-74</t>
  </si>
  <si>
    <t>Lumin Digital</t>
  </si>
  <si>
    <t>Developer of a cloud-based digital banking platform designed to help financial institutions preserve and grow relationships in today's evolving market. The company's platform features include card controls, integrated bill pay, security, dashboards, remote deposit capture and more, enabling customers to capture, store, and transfer data quickly and accurately.</t>
  </si>
  <si>
    <t>Affinity Plus Federal Credit Union, Clear Fir Partners, Falcon Partners, Light Street Capital Management, NewView Capital, Partners Group</t>
  </si>
  <si>
    <t>www.lumindigital.com</t>
  </si>
  <si>
    <t>340875-01</t>
  </si>
  <si>
    <t>Pave</t>
  </si>
  <si>
    <t>Developer of a compensation management platform designed to help companies plan and communicate wages. The company's platform integrates with the existing payroll software to verify details like past performance, equity vesting status and compensation benchmarks to streamline salary planning, enabling businesses to help employees overcome uncertainty surrounding tax implications and improve their compensation package.</t>
  </si>
  <si>
    <t>Andreessen Horowitz, Atomico (UK) Partners, Backend Capital, Bessemer Venture Partners, Bezos Expeditions, Chemistry Ventures, Contrary (San Francisco), Craft Ventures, Dash Fund, Graduate Fund, Index Ventures, Insight Partners (New York), Jeffrey Weiner, Kleiner Perkins, Next Play Ventures, Octopus Ventures, Original Capital, PeopleTech Partners, Phoenix Court, Sequoia Resources, Streamlined Ventures Management, Taimur Sajid, Tribe Capital, Tudor Havriliuc, Village Global, Y Combinator</t>
  </si>
  <si>
    <t>www.pave.com</t>
  </si>
  <si>
    <t>95108-77</t>
  </si>
  <si>
    <t>Self Financial</t>
  </si>
  <si>
    <t>Provider of credit-building financial products intended to help individuals improve their credit scores. The company offers features such as credit builder loans, a secured credit card, and rent and bill reporting services, ultimately facilitating access to better financial opportunities and lower interest rates. enabling consumers to establish positive credit histories while providing educational resources on personal finance.</t>
  </si>
  <si>
    <t>Accion, Actions Capital, Alex Welch, Altos Ventures, Chris Onan, Conductive Ventures, Darren Crystal, Fletcher Richman, Industry Ventures, Kairos HQ, Kickstart (US), Meritech Capital Partners, Morgan Linton, Ozmen Ventures, Right Side Capital Management, Silverton Partners, Sophia Lee, Techstars, Temerity Capital Partners, Upslope Ventures, yabeo Capital</t>
  </si>
  <si>
    <t>www.self.inc</t>
  </si>
  <si>
    <t>122771-08</t>
  </si>
  <si>
    <t>Alloy</t>
  </si>
  <si>
    <t>Developer of an identity risk management platform intended to streamline financial institutions' compliance and fraud prevention processes. The company's platform offers a centralized dashboard that integrates multiple data sources for KYC and AML compliance, automates identity verification, and enhances fraud detection capabilities, enabling banks and fintechs to efficiently manage customer onboarding while minimizing risk and improving operational efficiency.</t>
  </si>
  <si>
    <t>Aaron Frank, Agmen Capital, Alpha Edison, Avenir Growth Capital, Avid Ventures, BAM Elevate, Bessemer Venture Partners, Canapi Ventures, Charles Birnbaum, Correlation Ventures, Eniac Ventures, Felicis, Flourish Ventures, Harmony Partners, Hummingbird Ventures, Justin Overdorff, Life Extension Ventures, Lightspeed Venture Partners, Mahmoud Abdelkader, Mischief, Primary Venture Partners, Rajesh Patel, Raptor Group, Selah Ventures, SHC Capital Holdings, Simcoe Capital Management, Spark Capital, T-Bird Capital, Vestigo Ventures, Waybury Capital</t>
  </si>
  <si>
    <t>www.alloy.com</t>
  </si>
  <si>
    <t>161471-35</t>
  </si>
  <si>
    <t>Ascend Money</t>
  </si>
  <si>
    <t>Operator of a technology group intended to create opportunities through digital services and infrastructure. The company offers a range of services through affiliated businesses and operating brands related to finance, travel, digital marketing, e-commerce, cloud, and data, with advanced technology support, enabling firms to get help in business expansion and get improved opportunities and support.</t>
  </si>
  <si>
    <t>Ant Group, Bow Wave Capital Management, Charoen Pokphand Group, Krungsri Finnovate, MUFG Bank, NTT DoCoMo</t>
  </si>
  <si>
    <t>ascendmoneygroup.com</t>
  </si>
  <si>
    <t>122957-92</t>
  </si>
  <si>
    <t>Built Technologies</t>
  </si>
  <si>
    <t>Commercial lending</t>
  </si>
  <si>
    <t>CloudTech &amp; DevOps, FinTech, Real Estate Technology, SaaS</t>
  </si>
  <si>
    <t>Developer of a construction lending platform designed to mitigate risk and simplify construction loan management. The company's platform offers real-time visibility into construction portfolios while simplifying the complex loan administration process and accelerating the movement of money into projects by eliminating siloed systems and manual processes, enabling stakeholders, inspectors, and other users to reduce construction loan risk, increasing loan profitability, transforming the borrower experience and simplifying compliance.</t>
  </si>
  <si>
    <t>9Yards Capital Management, Addition, Alexander Lurie, Brookfield Growth, Canapi Ventures, Citigroup, Connor Theilmann, Daniel Goldsmith, Fifth Wall, Goldman Sachs Asset Management, GreenPoint Partners, HDS Capital, Index Ventures, Jacqueline Reses, Jordan Park Group, Lowell Putnam, Max Ventures, Nine Four Ventures, Nyca Partners, Regions Financial, Renegade Partners, TCV, The Witkoff Group, Tishman Speyer Properties, Valley Ventures, XYZ Venture Capital</t>
  </si>
  <si>
    <t>www.getbuilt.com</t>
  </si>
  <si>
    <t>117674-11</t>
  </si>
  <si>
    <t>Current (Commercial Banks)</t>
  </si>
  <si>
    <t>Cryptocurrency/Blockchain, FinTech</t>
  </si>
  <si>
    <t>Developer of a consumer financial technology platform designed to improve access to financial services for individuals. The company offers banking, payment processing, liquidity management, and credit products, enabling consumers to access and manage financial tools that support their everyday financial needs.</t>
  </si>
  <si>
    <t>AAF Management, Activant Capital, Andreessen Horowitz, Asenza Capital, Astronaut Capital, Auria Capital, Avenir Growth Capital, Block.one, Cota Capital, Cross River Partners, Elizabeth Street Ventures, Expa, Fifth Third, Foundation Capital, Future Perfect Ventures, Galaxy Interactive, General Catalyst, Human Ventures, Invus Opportunities, James Donaldson, Launchpad Capital, Leon Capital Group, Openner, QED Investors, Sapphire Ventures, Seed Group, Springcoast Capital Partners, ST Residential, Tiger Global Management, TQ Ventures, TruStage Ventures, Wellington Management</t>
  </si>
  <si>
    <t>www.current.com</t>
  </si>
  <si>
    <t>434261-17</t>
  </si>
  <si>
    <t>Kikoff</t>
  </si>
  <si>
    <t>Developer of a financial platform designed to provide financial security. The company's platform offers a suite of artificial intelligence-powered products that help consumers build credit, cut debt, save on bills, and access money, enabling individuals to take control of their financial future.</t>
  </si>
  <si>
    <t>Abstract Ventures, Coatue Management, Core Innovation Capital, Foundation Capital, Lightspeed Venture Partners, Melissa Smith, Notable Capital, Novirian Capital, Portage, Stephen Curry, Teresa Ressel</t>
  </si>
  <si>
    <t>www.kikoff.com</t>
  </si>
  <si>
    <t>160824-52</t>
  </si>
  <si>
    <t>KreditBee</t>
  </si>
  <si>
    <t>Microlending</t>
  </si>
  <si>
    <t>Operator of an online micro-lending platform intended to provide hassle-free financing for people to pursue their passions. The company's platform offers flexible installment-based purchases to young professionals and college students with no credit history or credit cards via flexible monthly payment plans, enabling users who are certainly creditworthy but do not have any convenient options in the market to avail of personal finance at maximum ease and in minimum time.</t>
  </si>
  <si>
    <t>A.P. Moller Holding, Advent International, Archerman Capital, Arkam Ventures, CoBuilder Partners, Dragon Funds, E-city Ventures, Global Incubation Services, Hornbill Capital, ICICI Bank, India SME Investments, Kunlun Investment, Lexin Fintech, Mirae Asset Capital, Mirae Asset Global Investments, Motilal Oswal Private Equity, Motilal Oswal Real Estate Investment Advisors, MUFG Bank, NewQuest Capital, Plum Ventures, Premji Invest, RK Group, Shunwei Capital, Source Code Capital, TPG NewQuest, White Oak Capital Management, Yeahmobi</t>
  </si>
  <si>
    <t>www.kreditbee.in</t>
  </si>
  <si>
    <t>264839-59</t>
  </si>
  <si>
    <t>Kushki Ecuador</t>
  </si>
  <si>
    <t>Developer of a digital payment platform designed to revolutionize the online payments industry. The company's platform offers a payment box, recurring payments, smart links and tokenization, which offers multi-channel payment processing in real-time and integrates channels of physical stores, e-commerce and m-commerce, enabling users to accept digital payments with operational efficiencies and reducing costs, as well as help businesses manage their business with total control and transparency.</t>
  </si>
  <si>
    <t>AMK Investment Office, Buenavista Equity Partners, Buenavista Equity Partners Portugal, Cibersons, Clocktower Ventures, Conexo Ventures, Devlabs Ventures, DILA Capital, Function (Miami), GBM Ventures, Glade Brook Capital Partners, Hedosophia, Kaszek, Launchbay Capital, Magma Partners, Seedstars International Ventures, Skypointer, SoftBank Latin America Fund, Spectra Investments, True Capital Management, Western Technology Investment</t>
  </si>
  <si>
    <t>www.kushkipagos.com</t>
  </si>
  <si>
    <t>554358-07</t>
  </si>
  <si>
    <t>Norm Ai</t>
  </si>
  <si>
    <t>Artificial Intelligence &amp; Machine Learning, Legal Tech, SaaS</t>
  </si>
  <si>
    <t>Developer of a regulatory AI agent platform designed to automate compliance processes. The company's platform solves the regulatory sludge problem by converting regulations into AI agents that can make autonomous compliance determinations, enabling businesses to delegate tasks via instructions, while at the same time validating the resulting work product at any level of granularity.</t>
  </si>
  <si>
    <t>Allison Pickens Ventures, Atypical Ventures, Bain Capital Ventures, Basis Set Ventures, Blackstone Innovations Investments, Citi Ventures, Coatue Management, Craft Ventures, Expa, Fenwick &amp; West, Haystack Management Company, Henry Kravis, Jeff Hammes, Jefferson River Capital, Khosla Ventures, M13, Marc Benioff, New York Life Ventures, Nue Capital, Octant Ventures, Oren Etzioni, The Vanguard Group, TIAA Ventures, Tony James</t>
  </si>
  <si>
    <t>www.norm.ai</t>
  </si>
  <si>
    <t>62210-71</t>
  </si>
  <si>
    <t>PayStand</t>
  </si>
  <si>
    <t>Artificial Intelligence &amp; Machine Learning, B2B Payments, Cryptocurrency/Blockchain, FinTech, SaaS</t>
  </si>
  <si>
    <t>Developer of a next-generation B2B payment engine designed to use modern internet, blockchain, and SaaS technologies to transform and automate payments. The company's engine is a modern payment platform that accepts electronic payments through invoices, website, billing systems, and mobile applications, and routes gateway between multiple payment methods by replacing manual processing of paper checks with associated challenges of tracking, reconciliation and manual labor, enabling enterprises of all sizes to reduce their time to cash, lower cost and improves their operational efficiency.</t>
  </si>
  <si>
    <t>Athena Capital (New York), Babak Yazdani, Battery Ventures, BlueRun Ventures, Capital for Founders, Central Coast Angels, Cervin Ventures, Christopher Risley, Commerce Ventures, Commerce.Innovated, Coppel, DNX Ventures, EPIC Ventures, Gaingels, Industrious Ventures, Jonathan Ebinger, King River Capital, Lanchi Ventures, LEAP Global Partners, Michael Liou, NewView Capital, Open Opportunity Fund, R42 Group, Rise Together Ventures, Ronjon Nag, Salman Azhar, Santa Cruz Ventures, Serra Ventures, Signatures Capital, SoftLayer Catalyst, South Swell Ventures, SPJ GTM Ventures, Streamlined Ventures Management, Sunil Grover, TiE Silicon Valley, Transform Capital (San Francisco), True Blue Partners, Ullas Naik, Wildcat Venture Partners</t>
  </si>
  <si>
    <t>www.paystand.com</t>
  </si>
  <si>
    <t>150350-77</t>
  </si>
  <si>
    <t>Upside (Washington DC)</t>
  </si>
  <si>
    <t>Developer of a cashback rewards platform designed for earning savings. The company's platform offers personalized cashback offers on everyday purchases such as gas, groceries and dining, enabling consumers to save on regular spending and routine expenses.</t>
  </si>
  <si>
    <t>Anthony Abate, Aramco Ventures, Bessemer Venture Partners, Bienville Capital, Builders VC, Capital One Ventures, DCVC, Elad Gil, Formation 8, Gasan Investments, General Catalyst, Gokul Rajaram, Hal Varian, Lunch Pail Ventures, Mark Gross, Sean Glass, Zachary Bogue</t>
  </si>
  <si>
    <t>www.upside.com</t>
  </si>
  <si>
    <t>182847-25</t>
  </si>
  <si>
    <t>Veriff</t>
  </si>
  <si>
    <t>Artificial Intelligence &amp; Machine Learning, Cybersecurity, Mobile, SaaS</t>
  </si>
  <si>
    <t>Developer of a SaaS-based identity verification platform designed to make online identity verification services secure. The company's platform offers a secure authentication, cross-platform technology that aids in detecting fraud as well as recognizes any website or mobile application to verify drivers' licenses, passports, and other identities, enabling the commercial sectors to improve fraud prevention and compliance with know your customer regulations.</t>
  </si>
  <si>
    <t>Accel, ACE Ventures (Geneva), Alkeon Capital Management, BaltCap, Change Ventures, Christopher Ashton Kutcher, Elad Gil, Hillstead Capital, Inbank Technologies, Index Ventures, IVP, Kelnase Holding, Lemonade Stand (Estonia), Lift99, Metaplanet Holdings, Mobi Solutions, Mojo Capital, Mosaic Ventures, NordicNinja VC, Paul Buchheit, Sabrina Hahn, Siena Secondary Fund, Specialist VC, Superangel, SV Angel, Taavet Hinrikus, Tiger Global Management, Y Combinator</t>
  </si>
  <si>
    <t>www.veriff.com</t>
  </si>
  <si>
    <t>126941-14</t>
  </si>
  <si>
    <t>ZeroHash</t>
  </si>
  <si>
    <t>Artificial Intelligence &amp; Machine Learning, CloudTech &amp; DevOps, Cryptocurrency/Blockchain, FinTech, SaaS</t>
  </si>
  <si>
    <t>Developer of a crypto and stablecoin infrastructure platform designed to allow any platform to integrate digital assets natively into its own customer experience. The company's tool handles the entire back-end complexity and regulatory licensing required to offer digital asset products, enabling clients to get secure custody of both fiat and digital assets through its wide banking network and encryption and private key storage infrastructure.</t>
  </si>
  <si>
    <t>8 Decimal Capital, Akash Gupta, Apollo Global Management, Bain Capital Ventures, Blockhead Capital, Blue Fire Capital, Byzantine Marine, Chris LoPresti, CMT Digital Holdings, DriveWealth, F2Pool, FTMO, IG Group Holdings, IMC Trading, Immad Akhund, Interactive Brokers, Jason Gardner, Jump Crypto, Konza Valley Capital, Liberty City Ventures, Marvelous Peach Capital, Monday Capital, Morgan Stanley, New Cannabis Ventures, Norís Capital, Northwestern Mutual Future Ventures, Nyca Partners, OKCoin, Pareto Holdings, PEAK6 Strategic Capital, Plug and Play Tech Center, Point72 Ventures, QCP Trading, Queueco, RenGen (New York), Silver 8 Capital, Simplex Ventures, Social Finance, Socially Financed, Struck Capital, tastytrade, Tetras Capital, Tradestation Group, Uncorrelated Ventures, Wyre, XMS Capital Partners</t>
  </si>
  <si>
    <t>www.zerohash.com</t>
  </si>
  <si>
    <t>58964-68</t>
  </si>
  <si>
    <t>Paddle (Financial Software)</t>
  </si>
  <si>
    <t>Developer of revenue delivery software designed to power growth across acquisition, renewals, and expansion. The company's platform allows companies to transform their revenue delivery infrastructure into a strategic growth lever to sell globally with all sales tax, payments, and data compliance guaranteed, enabling companies to increase global conversions, reduce churn, stay compliant, and scale up fast.</t>
  </si>
  <si>
    <t>83North, AccessPoint Fund, BGF (Financial Services), Canadian Imperial Bank of Commerce, Chrysanthos Chrysanthou, dara5, FTV Capital, Kindred Capital, Kohlberg Kravis Roberts, MacPaw, Markco Media, Notion Capital, RSJ Investments, SVB Capital, SV-FINTECH Fund, The Global Voucher Group</t>
  </si>
  <si>
    <t>www.paddle.com</t>
  </si>
  <si>
    <t>435866-68</t>
  </si>
  <si>
    <t>Pigment</t>
  </si>
  <si>
    <t>Budgeting &amp; forecasting</t>
  </si>
  <si>
    <t>Artificial Intelligence &amp; Machine Learning, Big Data, SaaS</t>
  </si>
  <si>
    <t>Developer of a business planning platform intended to build and adapt strategic plans. The company's platform consumes data from many sources in real-time and presents it in an intuitive, full-spectrum view of the company that helps users play with multiple future scenarios through charts, simulations, and continuous modeling, enabling companies to scale their operations through data-driven methods.</t>
  </si>
  <si>
    <t>AG2R La Mondiale, Blossom Capital, David Clarke, European Investment Fund, Felix Capital, FirstMark Capital, Frst Capital, Gloria Baeuerlein, Greenoaks, ICONIQ Growth, Illusian Founder Office, Index Ventures, IVP, Julien Codorniou, La French Tech, Meritech Capital Partners, Molten Ventures, Paul Melchiorre, RSJ Investments, Sandberg Bernthal Venture Partners, Visionaries Club</t>
  </si>
  <si>
    <t>www.pigment.com</t>
  </si>
  <si>
    <t>222690-61</t>
  </si>
  <si>
    <t>Sunmi (HKG: 06810)</t>
  </si>
  <si>
    <t>FinTech, Mobile, Mobile Commerce, Restaurant Technology, TMT</t>
  </si>
  <si>
    <t>Shanghai Sunmi Technology Co Ltd operates as a Business Internet of Things (BIoT) solution provider. It is engaged in the design, research and development, production, and sales of smart devices, along with the provision of related services. The company's offerings include CPad, Interactive Display, Mobile Terminals, Payment Terminals, Desktop Terminals, etc. the Group only has one operating segment. It generates revenue predominantly from sales of its BIoT solutions mainly including smart devices.</t>
  </si>
  <si>
    <t>Zhejiang Kunxin Investment Management</t>
  </si>
  <si>
    <t>www.sunmi.com</t>
  </si>
  <si>
    <t>181699-66</t>
  </si>
  <si>
    <t>Ouyeel</t>
  </si>
  <si>
    <t>E-Commerce, Industrials, TMT</t>
  </si>
  <si>
    <t>Operator of an online steel transaction platform created to build dynamic shared and service oriented ecosystem of the steel industry. The company's platform Ouyeel, provides a wide range of services including industry news, transactions, logistics and storage, processing, investment and fundraising and financial products to steel companies.</t>
  </si>
  <si>
    <t>China Merchants Commerce Leasing, Linklogis, Shandong Iron &amp; Steel Company</t>
  </si>
  <si>
    <t>www.ouyeel.com</t>
  </si>
  <si>
    <t>1158146-29</t>
  </si>
  <si>
    <t>Fundamental</t>
  </si>
  <si>
    <t>Financial foundation models</t>
  </si>
  <si>
    <t>Developer of a predictive analytics platform designed for structured enterprise data. The company's platform utilizes large tabular modeling, deep learning for structured data, autonomous pattern recognition, non-linear relationship analysis, and cloud-native deployment, enabling data scientists to generate accurate predictions, forecast demand, and analyze customer churn through an integrated digital interface.</t>
  </si>
  <si>
    <t>Amerocap, Andrena Ventures, Aravind Srinivas, Assaf Rappaport, Battery Ventures, Capital One Ventures, Drysdale Ventures, FJ Labs, Headline, Henrique Dubugras, Hetz Ventures, Illuminate Financial, Irregular Expressions, Kindred Ventures, Kri Ventures, Mitsubishi UFJ Morgan Stanley Securities, Motier Ventures, Oak HC/FT, Olivier Pomel, QPVentures, Quadrille Capital, RRE Ventures, Salesforce Ventures, Sarona Ventures, Valor Equity Partners</t>
  </si>
  <si>
    <t>fundamental.tech</t>
  </si>
  <si>
    <t>166288-96</t>
  </si>
  <si>
    <t>M1</t>
  </si>
  <si>
    <t>Developer of a money management platform designed to help manage and grow money with control and automation. The company's platform guides to invest in custom stock and exchange-traded fund portfolios, borrow a line of credit, and conduct digital banking services that integrate with investments, enabling users to get help in wealth building by investing in digital checking and lines of credit.</t>
  </si>
  <si>
    <t>AMK Investment Office, Chaifetz Group, Chicago Ventures, Clocktower Ventures, Coatue Management, Jump Capital, Left Lane Capital, Matthew Pritzker Company, Nimble Partners, Nimble Ventures, Potentum Partners, SoftBank Investment Advisers, Starting Line, Toba Capital</t>
  </si>
  <si>
    <t>www.m1.com</t>
  </si>
  <si>
    <t>462664-45</t>
  </si>
  <si>
    <t>Array (Boca Raton)</t>
  </si>
  <si>
    <t>Big Data, Cybersecurity, FinTech, SaaS</t>
  </si>
  <si>
    <t>Developer of a financial and credit health measuring platform designed for users to gain personalized credit and financial data. The company's platform provides tokenized data security, data attribution, dictionaries with various embedded, white-label sites, and application programming interfaces that can be customized and deployed, enabling businesses to avoid monthly data commitments and the need to stick with any single bank, credit bureau, or security vendor.</t>
  </si>
  <si>
    <t>Annox Capital, Ashley Flucas, Battery Ventures, Blue Trail Partners, Bossa Invest, Citi Ventures, CVS Health, Experian Ventures, Fin Capital, Firebolt Ventures, FIS Fintech Accelerator, Full In Partners, General Catalyst, Jack Abramowitz, James Conigliaro, Kearny Jackson, Kosinski Ventures, Kube VC, LeFrak, Ligo Partners, NextView Ventures, Nyca Partners, Operator Partners, Plug and Play Tech Center, Scale Asia Ventures, The Venture Center, TruStage Ventures, Wells Fargo, Zeal Talent Ventures</t>
  </si>
  <si>
    <t>www.array.com</t>
  </si>
  <si>
    <t>267243-76</t>
  </si>
  <si>
    <t>Thunes</t>
  </si>
  <si>
    <t>B2B Payments, FinTech, Mobile, Mobile Commerce, SaaS</t>
  </si>
  <si>
    <t>Developer of a cross-border payment network designed for a seamless transfer of funds between payment systems. The company's platform offers remittance processing, mass payouts, virtual accounts, payment collection, and business payment technology using application programming interfaces (APIs) with lower fees, enabling wallet providers, technology companies, payment service providers (PSPs), money transfer operators, and banks to make interoperable money movement accessible worldwide.</t>
  </si>
  <si>
    <t>01F Group, Apis Partners, Bessemer Venture Partners, Bravo Investment Holdings, Build Collective, Checkout.com, EDBI, Endeavor Catalyst, Granite Asia, Helios Investment Partners, Insight Partners (New York), Marshall Wace, Monk's Hill Ventures, Visa, Vitruvian Partners, Zico Trust</t>
  </si>
  <si>
    <t>www.thunes.com</t>
  </si>
  <si>
    <t>264599-92</t>
  </si>
  <si>
    <t>Liquidity</t>
  </si>
  <si>
    <t>Operator of an investment fund intended to offer growth capital for tech companies across North America, Europe, Asia-Pacific, the Middle East, and North Africa. The company offers large-scale, non-dilutive, credit facilities tailored to specific needs including term loans, revolving credit, monthly recurring revenue (MRR) line, and acquisition financing along with a platform that assesses and scores credit risk, optimizes portfolios, and predicts market trends, enabling companies to scale their growth and investors to improve return on investments.</t>
  </si>
  <si>
    <t>Apollo Global Management, Key, Mitsubishi UFJ Financial Group, MUFG Innovation Partners, Spark Capital</t>
  </si>
  <si>
    <t>www.liquidity.com</t>
  </si>
  <si>
    <t>442989-28</t>
  </si>
  <si>
    <t>Slash</t>
  </si>
  <si>
    <t>Operator of an online banking platform intended to transfer funds between personal and business bank accounts. The company's virtual card, banking, bill pay, and accounting platform offers features such as free domestic wires, automated clearinghouse transfers, unlimited virtual and physical corporate credit cards, and comprehensive reporting tools, enabling businesses to efficiently manage their finances while maximizing cashback rewards and enhancing security.</t>
  </si>
  <si>
    <t>Connect Ventures (Financial Services), Epakon Capital, Formulate Ventures, Garage Capital, Gfc, Global Founders Capital, Goodwater Capital, GSB Impact Fund, John A. Entwistle, Joshua Browder, Justin Mateen, Khosla Ventures, Menlo Ventures, New Enterprise Associates, Ribbit Capital, Soma Capital, William Hockey, Y Combinator, Zachary Abrams</t>
  </si>
  <si>
    <t>www.slash.com</t>
  </si>
  <si>
    <t>343124-74</t>
  </si>
  <si>
    <t>Scalapay</t>
  </si>
  <si>
    <t>E-Commerce, FinTech</t>
  </si>
  <si>
    <t>Developer of a payment platform designed to make shopping convenient. The company's platform offers a payment method that allows customers to buy online and in-store and pay the purchase in three installments without any additional interest, enabling customers with an easy and flexible payment method that will make every purchase easy.</t>
  </si>
  <si>
    <t>Baleen Capital, Clear Fir Partners, Clearsign Capital, Daniel Gammell, Deimos Group, Fasanara Capital, Growing Capital, Ithaca Investments, Lambda Alpha, Michele Attisani, Moore Capital Management, Poste Italiane, Rakesh Gangwal, Tencent Holdings, Tiger Global Management, Willoughby Capital, Woodson Capital Management, YADAY</t>
  </si>
  <si>
    <t>www.scalapay.com</t>
  </si>
  <si>
    <t>265754-98</t>
  </si>
  <si>
    <t>Moniepoint</t>
  </si>
  <si>
    <t>B2B Payments, FinTech, Mobile</t>
  </si>
  <si>
    <t>Developer of a financial ecosystem designed for payments, banking, credit, and business management purposes. The company's ecosystem offers tools such as instant debit cards, seamless transfers, insurance protection, expense cards, accounting, and working capital loans, enabling businesses in emerging markets to perform transactions, manage finances, and promote operations efficiently.</t>
  </si>
  <si>
    <t>Alder Tree Investments, Alphabet, Blue Earth Capital, British International Investment, Capria Ventures, Development Partners International, Endeavor Catalyst, Fedha Capital, FMO Entrepreneurial Development Bank, Gbenga Oyebode, Global Ventures, Global Ventures (Private Equity), Google Assistant Investment, International Finance Corporation, Kepple Africa Ventures, LeapFrog Investments, Lightrock, New Voices Fund, Novastar Ventures, Oui Capital, Proparco, QED Investors, Quantum (Lagos), Soma Capital, Swedfund International, Talal AlAjeel, The Continent Venture Partners, Tyme Group, Ventures Platform, Verod Capital Management, Visa</t>
  </si>
  <si>
    <t>www.moniepoint.com</t>
  </si>
  <si>
    <t>113844-16</t>
  </si>
  <si>
    <t>Nium</t>
  </si>
  <si>
    <t>Artificial Intelligence &amp; Machine Learning, B2B Payments, Big Data, Cryptocurrency/Blockchain, FinTech, Mobile, SaaS</t>
  </si>
  <si>
    <t>Developer of a real-time cross-border payments system designed to build a global network for transactions. The company offers a global payout infrastructure supporting account, wallet, and card disbursements across multiple currencies and countries, enabling financial institutions and businesses to send and receive funds safely.</t>
  </si>
  <si>
    <t>Andrew Vigneault, Arjun Sethi, Atinum Investment, Beacon Venture Capital, BOND Capital (San Francisco), BRI Ventures, Brunei Investment Agency, CapitalSG, Choco Up, CreedCap Asia Advisors, Elang Mahkota Teknologi, Endeavor Catalyst, Flexcap Ventures, FMO Entrepreneurial Development Bank, Fullerton Financial Holdings, GIC Private, Global Founders Capital, Gokul Rajaram, GSR Ventures China, Kanwarpal Bindra, Kasikornbank, MDI Ventures, Moore Strategic Ventures, NCORE Ventures, NewView Capital, Nordic Archipelago Investments, Ossa Investments, Plug and Play Tech Center, Riverwood Capital, Rocket Internet, SC Ventures, Temasek Holdings, Tribe Capital, Vertex Growth, Vertex Ventures Southeast Asia &amp; India, Visa Ventures, WME Group</t>
  </si>
  <si>
    <t>www.nium.com</t>
  </si>
  <si>
    <t>280085-77</t>
  </si>
  <si>
    <t>FPL Technologies</t>
  </si>
  <si>
    <t>Operator of a fintech company intended to provide a credit card reimagined for the mobile generation. The company allows users to control all aspects of credit cards, including credit limit, instant rewards redemption, domestic and international use, online or offline transactions, and contactless payments, enabling customers to get a fully digital experience and allowing them to control the rewards they wish to avail.</t>
  </si>
  <si>
    <t>Alteria Capital, Better Tomorrow Ventures, Disha Shah, GIC Private, Hummingbird Ventures, INVOPPS FT21, Invus Opportunities, Janchor Partners, Manish Patel, Matrix Ventures, Ocean View Investments, Peak XV Partners, QED Innovation Labs, QED Investors, Sarv Investments, Sequoia Capital, Sparkle Fund, Temasek Holdings, The Fintech Meetup, Yatra Angel Network, Z47</t>
  </si>
  <si>
    <t>www.getonecard.app</t>
  </si>
  <si>
    <t>268290-46</t>
  </si>
  <si>
    <t>TaxBit</t>
  </si>
  <si>
    <t>Developer of a SaaS-based compliance and reporting platform designed for tax and accounting purposes. The company's platform automates information collection and validation, integrates data with financial systems, and provides robust examination support, enabling enterprises and governments to ensure and streamline digital asset accounting.</t>
  </si>
  <si>
    <t>1/1 Capital, 9Yards Capital Management, Alameda Research, Album VC, Anthony Pompliano, Bossa Invest, Coinbase Ventures, Collab+Currency, Collaborative Fund, Dragonfly Capital (San Francisco), Dragonfly Capital Partners, Galaxy Ventures (New York), Global Founders Capital, Hack VC, Haun Ventures Management, In-Q-Tel, Insight Partners (New York), IVP, K2 Global, Madrona Venture Group, Michael Vaughan, Nortiyus, Original Capital, Paradigm, PayPal Ventures, Ribbit Capital, Ryan Smith, Sapphire Ventures, Table Management, Tiger Global Management, Tribe Capital, TTV Capital, Valar Ventures, William Ackman, Winklevoss Capital Management</t>
  </si>
  <si>
    <t>www.taxbit.com</t>
  </si>
  <si>
    <t>454899-34</t>
  </si>
  <si>
    <t>iTrustCapital</t>
  </si>
  <si>
    <t>Cryptocurrency/Blockchain, FinTech, Mobile, SaaS</t>
  </si>
  <si>
    <t>Developer of a trading platform designed to trade directly through tax-advantaged retirement accounts. The company's platform supports the transfer of multiple tokens such as ripple, EOS, and Ethereum, and also provides market analysis charts and insights as a reference and eliminates the costly inefficiencies and outdated processes of previous individual retirement account (IRA) models, enabling users to buy, sell, and trade digital assets while creating financial. independence</t>
  </si>
  <si>
    <t>John Vojtech, Left Lane Capital, Pelion Venture Partners</t>
  </si>
  <si>
    <t>www.itrustcapital.com</t>
  </si>
  <si>
    <t>51346-81</t>
  </si>
  <si>
    <t>Betterment</t>
  </si>
  <si>
    <t>Provider of investment advisory services intended to manage money through cash management, guided investing, and retirement planning. The company offers a globally diversified portfolio of index-tracking exchange-traded funds with personalized advice in a goal-based investing framework, enabling customers to open and customize regular investment accounts, trust accounts, and accounts for retirement income.</t>
  </si>
  <si>
    <t>Aflac Ventures, Alemis Ventures, Ali Banai, Anthemis, Auspicious Fund, Bessemer Venture Partners, Birchaven Group, Bridgespan VC, Citi Ventures, Cognic Capital, Fabrice Grinda, Francisco Partners, Future Perfect Ventures, Globespan Capital Partners, Hybridge Capital Management, ID8 Investments, Inertia Ventures, Intersection Growth Partners, Jason Finger, Kinnevik, Menlo Ventures, Meros Equity Global Management, Mobile Internet Capital, Not Boring, Ossian Capital, Rabil Ventures, Red Swan Ventures, Runway Growth Capital, SeedFord Partners, SharesPost, SquareOne Capital, Sukna Ventures, Sweetwater Private Equity, The Finger Group, Treasury (New York), UniCredit EVO</t>
  </si>
  <si>
    <t>www.betterment.com</t>
  </si>
  <si>
    <t>493372-90</t>
  </si>
  <si>
    <t>Kapital Bank (Commercial Banks)</t>
  </si>
  <si>
    <t>Artificial Intelligence &amp; Machine Learning, Big Data, FinTech, Mobile</t>
  </si>
  <si>
    <t>Operator of a banking platform intended to gain visibility and control over financial services. The company offers investment opportunities with returns, commission-free accounts, auto loans with flexible terms, and a convenient mobile app for managing accounts, enabling customers to make payments, transfers, and investments from anywhere at any time.</t>
  </si>
  <si>
    <t>Accial Capital, Alpha Edison, Alumni Ventures, Arash Ferdowsi, Broom Ventures, Cervin Ventures, Colabora Ventures, Conexo Ventures, Cyfr Capital, David Rusenko, Dittes Ventures, Flucas Ventures, FoundersX Ventures, Koro Capital, Kube VC, Marbruck Investments, Miami Angels, MicroVentures, MS&amp;AD Ventures, MVP, MyAsiaVC, Nexis Capital, Niya Partners, Olam Capital, Overlook Capital, Pelion Venture Partners, Pioneer Fund, Soma Capital, Telesoft, TeleSoft Partners, Tenacity Venture Capital, The K Funds, Trajectory Ventures, Tribe Capital, Tru Arrow Partners, True Capital Management, Y Combinator</t>
  </si>
  <si>
    <t>www.kapital.com</t>
  </si>
  <si>
    <t>93703-42</t>
  </si>
  <si>
    <t>Konfio</t>
  </si>
  <si>
    <t>Developer of an online lending platform designed to offer micro-business loans. The company's platform complements traditional financial analysis and helps clients achieve economic growth through access to credit options with a proprietary algorithm that combines data and technology to measure creditworthiness, providing convenience and affordability to customers who are creditworthy but historically underserved by traditional banking, enabling small businesses to grow operations and businesses with competitive rates.</t>
  </si>
  <si>
    <t>500 Global, 500 Startups LatAm, Accion, Actyus, IFC(American TV channel), IGNIA, International Finance Corporation, Kaszek, Lightrock, QED Investors, Quona Capital, SoftBank Capital, SoftBank Latin America Fund, Spectra Investments, Tarsadia Capital, VEF, Wollef</t>
  </si>
  <si>
    <t>www.konfio.mx</t>
  </si>
  <si>
    <t>153720-37</t>
  </si>
  <si>
    <t>slice</t>
  </si>
  <si>
    <t>Developer of a digital financial services application intended for the management of personal credit, payments, and banking transactions. The company offers savings accounts, UPI-based credit cards, ATMs, fixed deposits, borrowing tools, and UPI-powered bank branches, enabling consumers to stay fully in control of their finances and have a rewarding banking experience.</t>
  </si>
  <si>
    <t>8i Ventures, Advent Global Solutions, Advent International, Anfa, Better Capital, Better Capital (California), Binny Bansal, Blume Venture Advisors, Broadbridge Capital Management, Culture Cap, DasCapital, DG Daiwa Ventures, Emphasis Ventures (EMVC), GMO Venture Partners, Guaranty Financial Group, Gunopsy, Gunosy, Hartmann Holdings, InnoVen Capital, Insight Partners (New York), Kunal Shah, Lenarco Limited, Mint Capital, Moore Strategic Ventures, Oskar Hartmann, Paramark Ventures, PitchRight Ventures, Ranjan Reddy, Roger Bravo Advisors, Sameer Verma, Seek Ventures, Simile Venture Partners, Sony Innovation Fund, Stargazer Ventures, Stride Ventures, Sunley House Capital Management, Tiger Global Management, Tracxn Labs, Vikram Chachra</t>
  </si>
  <si>
    <t>www.slice.bank.in</t>
  </si>
  <si>
    <t>338656-51</t>
  </si>
  <si>
    <t>Farther</t>
  </si>
  <si>
    <t>Operator of an investment advisory firm intended to provide technology-enabled wealth management services. The company offers financial planning, investment management, and portfolio advisory services through a platform that combines data-driven insights with human financial advisors, enabling clients to manage, preserve, and grow their wealth based on their financial goals and risk tolerance.</t>
  </si>
  <si>
    <t>Bessemer Venture Partners, Blaize Wallace, CapitalG, Chris Robinette, Commonweal Ventures, Context Ventures, Cota Capital, FinRebel, General Atlantic, Habitat Partners, Khosla Ventures, Lightspeed Venture Partners, MassChallenge, MassMutual Ventures, Maxis (Istanbul), Moneta Venture Capital, NewView Capital, The Harbor Entrepreneur Center, Tifin, Viewpoint Ventures</t>
  </si>
  <si>
    <t>www.farther.com</t>
  </si>
  <si>
    <t>226728-64</t>
  </si>
  <si>
    <t>Pilot</t>
  </si>
  <si>
    <t>Developer of an AI-based financial management platform designed for bookkeeping, compliance, and operational oversight purposes. The company's platform offers structured bookkeeping, tax preparation for federal and state requirements, support for research and development tax credits, and outsourced advisory services, including budgeting, KPI tracking, and fundraising guidance, enabling businesses to maintain accurate financial records, ensure regulatory compliance, and make informed decisions for growth and sustainability.</t>
  </si>
  <si>
    <t>515 Ventures, Agmen Capital, Akkadian Ventures, AMEX Ventures, ASDF Ventures, Auldbrass Partners, Authentic Ventures, Bezos Expeditions, Chemistry Ventures, Emerson Collective, EQUIAM, Founders Circle Capital, Geodesic Capital, Index Ventures, John Collison, Nitesh Banta, Olima Ventures, Patrick Collison, Sequoia Capital, South Park Commons, Stripe, SV Angel, Whale Rock Capital Management, WndrCo</t>
  </si>
  <si>
    <t>www.pilot.com</t>
  </si>
  <si>
    <t>230976-73</t>
  </si>
  <si>
    <t>Esusu (US)</t>
  </si>
  <si>
    <t>FinTech, Real Estate Technology, SaaS</t>
  </si>
  <si>
    <t>Developer of a financial platform designed to offer credit-building through rent payment reporting. The company's tool captures rental payment data and reports it to credit bureaus to boost scores, enabling property owners to attract tenants, reduce turnover, and improve collections to increase their operating income.</t>
  </si>
  <si>
    <t>Acumen America, Acumen Fund, Albert Ko, Allison Allen, Blue Meridian Partners, DataHack4Fi, Financial Health Network., Founder Institute, Geraldine R. Dodge Foundation, Impact America Fund, Katapult Group, Kleiner Perkins, Kwanza Jones &amp; José E. Feliciano Supercharged Initiative, Lauder Zinterhofer Family Office, Meliora Group, Mohamed Kazaz, Motley Fool Ventures, Next Play Ventures, Open Opportunity Fund, Plug and Play Tech Center, Predictive Venture Partners, Schusterman Family Investments, Serena Ventures, SoftBank Investment Advisers, Temerity Capital Partners, Terner Labs, The Equity Alliance, The Global Good Fund, The Related Companies, Type One Ventures, Westbound Equity Partners, Wilshire Lane Capital, Zeal Capital Partners</t>
  </si>
  <si>
    <t>www.esusurent.com</t>
  </si>
  <si>
    <t>454650-67</t>
  </si>
  <si>
    <t>Flex (Financial Services)</t>
  </si>
  <si>
    <t>Artificial Intelligence &amp; Machine Learning, B2B Payments, Big Data, FinTech, SaaS</t>
  </si>
  <si>
    <t>Operator of a financial platform intended to unify business and personal finances for entrepreneurs. The company's platform integrates business banking, credit, expense management, automation of accounts payable and receivable, along with personal benefits, enabling entrepreneurs to gain control over both business and personal transactions, improving efficiency and access to resources.</t>
  </si>
  <si>
    <t>305 Ventures, 53 Stations, AAF Management, Anti Fund, Banana Capital, Beyond (Greenwich), Broadshade Investments, Carnrite Ventures, Channel Angels, Chapter One, Companyon Ventures, CP Overture, Crosslink Capital, Dhuna Ventures, Draft Ventures, EquipmentShare, Fifth Wall, FirstLook Partners, FJ Labs, Florida Funders, Founders First, Great Oaks Venture Capital, Halo Fund, Home Depot Ventures, Huck Hong, Hustle Fund, Inkwell Ventures, Jon Broscious, Joyance Partners, Kosinski Ventures, Mani Kapital, Miles Lasater, MS&amp;AD Ventures, Newlands, Not Boring, Portage, Restive Ventures, Romulus Capital, Sachse Family Fund, SideCar Angels, Soham Maniar, Soma Capital, SPiCE VC, Sriram Krishnan, Suffolk Technologies, SuperAngel.Fund, Supernode Ventures, Takeoff Capital, Team Ignite Ventures, The Council (San Francisco), Titanium Ventures, Tusk Venture Partners, Wellington Access Ventures, YADAY</t>
  </si>
  <si>
    <t>www.flex.one</t>
  </si>
  <si>
    <t>458649-28</t>
  </si>
  <si>
    <t>Imprint (Financial Software)</t>
  </si>
  <si>
    <t>Developer of full-stack payments and loyalty platform designed to provide payment processing services. The company's platform lets merchants and consumers execute their financial transactions and also gain loyalty and reward points, enabling users to carry on with their daily financial receipts and payments in a simplified way.</t>
  </si>
  <si>
    <t>137 Ventures, 1809 Capital, Affirm, Allen &amp; Company of Florida, Alpha Protocol Ventures, Azuro Capital, BoxGroup, Bridgespan VC, Good Friends, Hedosophia, Hyperlink Ventures, James Corden, Khosla Ventures, Kleiner Perkins, Lachy Groom, Lloyd Blankfein, Ribbit Capital, Spice Capital, Spice Expeditions, Stripe, Thrive Capital, Timeless (New York), Zeal Talent Ventures</t>
  </si>
  <si>
    <t>www.imprint.co</t>
  </si>
  <si>
    <t>634680-91</t>
  </si>
  <si>
    <t>Juspay</t>
  </si>
  <si>
    <t>Operator of a global payments operating system intended to provide scale and simplicity for users. The company's platform manages multiple payment aggregators and payment gateway routing transactions to an end-to-end unified payments interface infrastructure, helping enterprises worldwide with simplified global coverage, orchestration, conversions, fraud reduction, and improved customer experiences.</t>
  </si>
  <si>
    <t>Accel, Anupama Sharma, Ashish Hemrajani, Avendus Capital, Kedaara Capital, Parikshit Dar, Raghupathi Ramakrishnan, Rajesh Balpande, SoftBank Investment Advisers, VEF, Wellington Management, WestBridge Capital (San Mateo)</t>
  </si>
  <si>
    <t>www.juspay.io</t>
  </si>
  <si>
    <t>109314-73</t>
  </si>
  <si>
    <t>MoneyView</t>
  </si>
  <si>
    <t>FinTech, Mobile, SaaS, TMT</t>
  </si>
  <si>
    <t>Provider of personal loan services intended to offer instant money management. The company's services help to check eligibility, offer real-time visibility of finances, and provide loans at low-interest rates through a paperless process and also helps users to track and manage their expenses, enabling customers to get instant loans along with flexible repayment terms and provide a real-time view of their finances.</t>
  </si>
  <si>
    <t>Accel, Alex Bresler, Alok Mittal, Alteria Capital, Apis Partners, Dream Incubator, Evolvence Equity Partners, Lok Capital, Nexus Ventures, Ribbit Capital, Rockstone Ventures, South Park Commons, Sparkle Fund, Stride Ventures, Tiger Global Management, Trusted Insight</t>
  </si>
  <si>
    <t>www.moneyview.in</t>
  </si>
  <si>
    <t>461970-91</t>
  </si>
  <si>
    <t>Raise Fintech Ventures</t>
  </si>
  <si>
    <t>Provider of financial services intended to build technology-led consumer products and infrastructure centered around financially literate users. The company offers customer-centric investing facilities that secure wealth, making payments seamless, and manage insurance distribution, enabling customers to manage their money effectively.</t>
  </si>
  <si>
    <t>3one4 Capital, Aashish Somaiyaa, Alpha Wave Global, Amod Malviya, Amrish Rau, Anjali Bansal, Anupam Mittal, BEENEXT Capital Management, Blume Venture Advisors, ChrysCapital, Deepinder Goyal, DSP Family Office, Gaurav Munjal, Girish Mathrubootham, Harsh Jain, Harshil Mathur, Hornbill Capital, Jitendra Gupta, JM Financial, Kalyan Krishnamurthy, Kunal Shah, Mars Shot Ventures, Mirae Asset Capital, Mirae Asset Global Investments, Mitsubishi UFJ Asset Management, MUFG Bank, Multi-Act Equity Consultancy, Peercheque, Rahul Chari, Ramesh Damani, Rocketship.vc, Sameer Nigam, Sandeep Tandon, Sanjeev Barnwal, Social Leverage, Sujeet Kumar, Sunil Mittal, Vidit Aatrey</t>
  </si>
  <si>
    <t>www.raiseholding.co</t>
  </si>
  <si>
    <t>294878-26</t>
  </si>
  <si>
    <t>Stori</t>
  </si>
  <si>
    <t>FinTech, Mobile Commerce</t>
  </si>
  <si>
    <t>Developer of a tech-driven financial platform designed to provide credit, deposit, investment, and payment services through a unified mobile application. The company leverages advanced technology to simplify and secure financial management, enabling users to borrow, save, and invest in one place.</t>
  </si>
  <si>
    <t>BAI Capital, Camford Capital, Davidson Kempner Capital Management, DHVC, Gaspar Global Ventures, General Catalyst, GIC Private, Goodwater Capital, Granite Asia, Lightspeed Venture Partners, Notable Capital, R3D3 Ventures, Redpoint China Ventures, Source Code Capital, Tresalia Capital, Vision Plus Capital, ZMT Capital</t>
  </si>
  <si>
    <t>www.storicard.com</t>
  </si>
  <si>
    <t>162586-36</t>
  </si>
  <si>
    <t>Super.com</t>
  </si>
  <si>
    <t>Artificial Intelligence &amp; Machine Learning, Big Data, Mobile</t>
  </si>
  <si>
    <t>Provider of a consumer savings platform intended to help users reduce spending across travel, financial services, and everyday purchases. The company offers a paid membership with hotel booking cashback, cash advances, and credit-building features, enabling consumers to maximize savings while improving financial management.</t>
  </si>
  <si>
    <t>Acrew Capital, Alignvest Management Corporation, Allen Shim, BDC Capital, Bee Partners, C100 (Commercial Services), Carson Private Capital, Christopher Best, Deborah Liu, DMZ (Toronto), EDC Investments, Full In Partners, Hyphen Capital, Inovia Capital, Josh Proctor, Lion Capital, Mike Lee, Negative Burn Ventures, Neha Narkhede, Next (Consulting Services), Plaza Asset Management, Stephen Curry, Thayer Ventures Management Company, Titanium Ventures, TPG</t>
  </si>
  <si>
    <t>www.super.com</t>
  </si>
  <si>
    <t>437250-97</t>
  </si>
  <si>
    <t>Unit (New York)</t>
  </si>
  <si>
    <t>Developer of a financial infrastructure platform designed to help companies launch vertical banks. The company's platform allows financial features into products such as accounts, cards, payments, and lending while taking care of compliance and maintaining banking relationships, enabling businesses to launch banking experiences in less time and create a differentiated product that increases lifetime customer value.</t>
  </si>
  <si>
    <t>Accel, Aito Capital, Aleph (Israel), Better Tomorrow Ventures, Craig Hunter, Flourish Ventures, Insight Partners (New York), Karman Ventures, Kearny Jackson, Michael Vaughan, Not Boring, Operator Partners, Operator Stack, Pathlight Ventures, Realm Capital Ventures, Selah Ventures, Serunjogi Ventures, Stonewater Ventures, Team Ignite Ventures, The Stepstone Group, TLV Partners, Wix Ventures</t>
  </si>
  <si>
    <t>www.unit.co</t>
  </si>
  <si>
    <t>186641-83</t>
  </si>
  <si>
    <t>Xpansiv</t>
  </si>
  <si>
    <t>Climate Tech, FinTech, SaaS</t>
  </si>
  <si>
    <t>Developer of digital market infrastructure intended for trading and managing energy and environmental commodities. The company's platform integrates trading exchanges, brokerage services, registries, data systems, and lifecycle management tools for commodities such as renewable energy certificates, carbon credits, electricity, fuels, water, and recycled materials, supporting transaction execution, market access, asset management, reporting, and data transparency across global markets, enabling financial institutions, corporations, governments, and energy producers to transact, track, and manage environmental commodities efficiently.</t>
  </si>
  <si>
    <t>Aramco Ventures, Atlas Merchant Capital, Avista Development, Aware Super, Bank of America, Blackstone, Blackstone Group (research firm), Boman Group, BP Ventures (London), Clean Energy Finance Corporation, Commonwealth Bank of Australia, East Dune Holdings, Energy Innovation Capital, Gestio Capital, Global Investors, Grail Partners, Grok Ventures, Hartree Partners, INP Capital, Macquarie Group, Mirae Asset Capital, Oxy Low Carbon Ventures, Perennial Partners (Funds and Trusts), S&amp;P Global, Shaw and Partners, The Goldman Sachs Group, ThirdStream Partners, TRIREC, Vitruvian Partners, WAM Microcap, Wunala Capital</t>
  </si>
  <si>
    <t>www.xpansiv.com</t>
  </si>
  <si>
    <t>53964-82</t>
  </si>
  <si>
    <t>Zopa</t>
  </si>
  <si>
    <t>Developer of a peer-to-peer lending platform designed to furnish consumer loans easily. The company's platform offers personal loans and connects a community of peers willing to invest their savings and individual borrowers who have been vetted for good financial behavior, while also allowing financial institutions to lend through it, enabling clients to get access to products and tools that empower them to manage their money.</t>
  </si>
  <si>
    <t>1/0 Capital, A.P. Moller Holding, Arrowgrass Capital Partners, Augmentum Fintech, Bank Muscat, Chimera Capital Management, Davidson Kempner Capital Management, Giano Capital, IAG Capital Partners, JNE Partners, Marie Steinthaler, Nneka Ukpai, Northzone Ventures, PayPal Holdings, Runa Capital, Silverstripe Investment Management, SoftBank Investment Advisers, Uprising Ventures, VentureFounders, Verdane, Volution Ventures, Yannick Roux</t>
  </si>
  <si>
    <t>www.zopa.com</t>
  </si>
  <si>
    <t>225758-08</t>
  </si>
  <si>
    <t>Caribou (Denver)</t>
  </si>
  <si>
    <t>FinTech, InsurTech</t>
  </si>
  <si>
    <t>Provider of automotive refinancing services intended to bring customers rates and lower monthly payments. The company offers services that include auto refinances, auto insurance, total loss protection, guaranteed asset protection, key replacement coverage, and cosmetic care packages, helping users reduce their monthly payments and save interest.</t>
  </si>
  <si>
    <t>Accomplice VC, Ashley Flucas, Calm Ventures, Curql, Firebolt Ventures, Flucas Ventures, Gaingels, Goldman Sachs Asset Management, Goldman Sachs Growth Equity, Harmonic (USA), Harmonic Growth Partners, IA Capital Group, Innovius Capital Management, Link Ventures, Makai VC, Moderne Ventures, Motley Fool Ventures, Next Level Ventures, QED Investors, Quiet Capital, Raven One Ventures, Realm Capital Ventures, Republic Capital Adviser, Stonewater Ventures, TruStage Ventures</t>
  </si>
  <si>
    <t>www.caribou.com</t>
  </si>
  <si>
    <t>472212-01</t>
  </si>
  <si>
    <t>Yubi</t>
  </si>
  <si>
    <t>Developer of a debt management platform designed to help institutional and retail investors find an array of debt deals to fund. The company's platform connects startups with investors for fundraising through the issue of debentures and provides credit underwriting tools, analytical models, structuring tools, and automated execution workflows, as well as sends real-time notifications on different transactions, enabling institutional investors and other related sectors to explore, evaluate, and execute transactions and make better credit decisions.</t>
  </si>
  <si>
    <t>B Capital Group, Creation Investments Capital Management, CRED, Dragoneer Investment Group, GK91 GLOBAL PRIVATE, Insight Partners (New York), Kumar Gaurav, Lightrock, Lightspeed India Partners, Pavestone Ventures, Peak XV Partners, Stride Ventures, TVS Capital, Vivriti Capital</t>
  </si>
  <si>
    <t>www.go-yubi.com</t>
  </si>
  <si>
    <t>277209-37</t>
  </si>
  <si>
    <t>Taptap Send</t>
  </si>
  <si>
    <t>Developer of a financial platform designed to send money across the world. The company's platform allows fast transfers to mobile money wallets on popular networks with just a few taps and a debit card, enabling clients to reduce their wastage of time by not having to go and physically deposit money.</t>
  </si>
  <si>
    <t>Alarko Ventures, Balderton Capital, Blue Collective, Breyer Capital, Canaan Partners, CoVentures (South Africa), Crescent Enterprises, ESAS Ventures, Finberg, FJ Labs, Gallery Ventures, Helios ( Leisure Facilities), Musha Ventures, Omidyar Network, Patamar Capital, Reid Hoffman, Slow Ventures, Spark Capital, TO VC (New York), Unbound Advisors (Investor), Wamda Capital, Wellington Management, Western Technology Investment</t>
  </si>
  <si>
    <t>www.taptapsend.com</t>
  </si>
  <si>
    <t>95062-42</t>
  </si>
  <si>
    <t>Satispay</t>
  </si>
  <si>
    <t>FinTech, Mobile, Mobile Commerce, TMT</t>
  </si>
  <si>
    <t>Operator of a mobile payment application designed to provide an alternative to credit and debit cards for convenient and safe transactions. The company's application uses only secure and non-sensitive data because it works without credit cards for money transfers, mobile recharge, bill payments, and online or offline purchases, allowing users to transfer money with simplicity while providing merchants with a transparent, cost-effective pricing model.</t>
  </si>
  <si>
    <t>Ad4Ventures, Addition, B Heroes, Banca di Piacenza, Banca Sella Holding, Banca Valsabbina, Bcc Leasing, Block, Coatue Management, Fondo Pensione Aperto Previgest Fund Mediolanum, Greyhound Capital, Growth Engine (Milan), Gruppo Bertoldi Holding, Investinit, Lightrock, Massimiliano Scrigner, Proximity Capital, Sella Direct Ventures, Smartclub, Tencent Holdings, Tim Ventures</t>
  </si>
  <si>
    <t>www.satispay.com</t>
  </si>
  <si>
    <t>40694-86</t>
  </si>
  <si>
    <t>Happy Money</t>
  </si>
  <si>
    <t>Developer of a financial platform designed to help individuals get out of debt and build savings for future use. The company's platform helps its members to integrate a package of products and services that includes a loan to refinance credit card debt, support from dedicated member advocates, access to ongoing education, and the consistent application of psychometric research and psychology to drive positive and sustained behavior change along the path to financial wellness, enabling clients to get an easy way to pay off the loan and increase credit score.</t>
  </si>
  <si>
    <t>Alt Option Return, Broadshade Investments, FirstMark Capital, Kai Huang, Karmel Capital, Nathaniel Turner, PTK Investments, Pure Imagination Brands, Rational Innovation, Richard Heitzmann, Tencent Holdings, Toba Capital, TruStage Ventures, UniCredit EVO</t>
  </si>
  <si>
    <t>www.happymoney.com</t>
  </si>
  <si>
    <t>126270-37</t>
  </si>
  <si>
    <t>Alpaca</t>
  </si>
  <si>
    <t>Artificial Intelligence &amp; Machine Learning, Big Data, Cryptocurrency/Blockchain, FinTech, Mobile, SaaS</t>
  </si>
  <si>
    <t>Developer of a modern brokerage platform designed to access financial markets with a developer-friendly application programming interface. The company's platform allows programmer traders and funds to trade stocks and crypto with algorithms, enabling businesses to build investing applications and embed investing into their product lineups.</t>
  </si>
  <si>
    <t>850 Management, Aaron Levie, Abstract Ventures, Altered Capital, Asiff Hirji, Bank Muscat, BIP Systems, BNP Paribas Développement, Brett Huneycutt, CapitalX, Citadel Securities, DasCapital, Derayah Financial, Diagram Ventures, Draper Fisher Jurvetson Portage, Drive Capital, DRW Venture Capital, Eldridge Industries, Elefund, Endeavor Catalyst, Fathom Capital (Switzerland), Flat Capital, Four Cities Capital, Gambit Ventures, Horizons Ventures, IDEO, Jacqueline Reses, Kita Capital Management, Kraken, McArthur Capital, Minkabu The Infonoid, MUFG Innovation Partners, Nate Roland, National Investments, NEC Capital Solutions, Nimble Partners, Opera Tech Ventures, Peak XV Partners, Portage, Positive Sum, Red Devil Investors, Riverside Ventures, Sagard, SBI Holdings, Scala Ventures, Social Leverage, Spark Capital, Tribe Capital, Unbound Advisors (Investor), Vlad Yatsenko, X&amp;, Y Combinator, Zillionize</t>
  </si>
  <si>
    <t>www.alpaca.markets</t>
  </si>
  <si>
    <t>537946-39</t>
  </si>
  <si>
    <t>Basis (Financial Software)</t>
  </si>
  <si>
    <t>Developer of an artificial intelligence-based accounting assistant software designed to offer accounting automation agents. The company's software specializes in solving tax and accounting questions and workflows by streamlining tasks such as closing books, adjusting entries, reconciling accounts, compiling financial statements, and generating work papers, enabling accounting firms to increase efficiencies across work and access services to gain insights for clients regarding labor-intensive tasks.</t>
  </si>
  <si>
    <t>Aaron Levie, Accel, Adam D'Angelo, Amjad Masad, Avid Ventures, Avra, Azeem Azhar, Better Tomorrow Ventures, BoxGroup, Claire Johnson, Clément Delangue, Clement Delaunge, Daniel Gross, Douwe Kiela, Factorial Capital, GV, Jack Altman, Jeff Dean, Jeffrey Wilke, Khosla Ventures, Kyle Vogt, Larry Summers, Lenny Rachitsky, Lloyd Blankfein, Michele Catasta, Nat Friedman, NFDG, Noam Brown</t>
  </si>
  <si>
    <t>www.getbasis.ai</t>
  </si>
  <si>
    <t>58361-41</t>
  </si>
  <si>
    <t>Housecall Pro</t>
  </si>
  <si>
    <t>Artificial Intelligence &amp; Machine Learning, Mobile, SaaS</t>
  </si>
  <si>
    <t>Developer of a field service management software designed to connect back-end business operations and homeowners. The company's software specializes in managing business workflows, such as job scheduling, plumbing, carpet cleaning, landscaping, pest control, home cleaning, handyman services, chimney sweeping, technician dispatching, automated receipts and invoicing, payment processing, customer database, and custom marketing campaigns, enabling clients to streamline their workflows and operations and avail various services through a single platform.</t>
  </si>
  <si>
    <t>Akkadian Ventures, August Capital, Baird Capital, Balderton Capital, Brendan Wales, Canter Capital, Circle Square Capital, Delta-v Capital, EvoNexus, General Catalyst, Invus Opportunities, KGC Capital, NewView Capital, Permira, Watsco Ventures</t>
  </si>
  <si>
    <t>www.housecallpro.com</t>
  </si>
  <si>
    <t>343311-04</t>
  </si>
  <si>
    <t>Moss (Financial Software)</t>
  </si>
  <si>
    <t>Developer of a technology-based payment and credit card platform designed to help companies optimize their finances. The company's platform offers a trackable one-stop system that allows businesses to empower their employees with physical and virtual credit cards, as well as automated invoice processing, receipt capture, and expense categorization, enabling businesses to maintain real-time control over employee spending.</t>
  </si>
  <si>
    <t>A*, Andre Bajorat, Avenir Growth Capital, BoxGroup, Cherry Ventures, Expansion Capital, Global Founders Capital, Lorenz Jüngling, Pathlight Ventures, Philippe da Mota, Portage, Rocket Internet, TechQuartier, Tiger Global Management, Valar Ventures</t>
  </si>
  <si>
    <t>www.getmoss.com</t>
  </si>
  <si>
    <t>277195-78</t>
  </si>
  <si>
    <t>Fenbeitong</t>
  </si>
  <si>
    <t>Developer of a corporate wallet app allowing users to manage, pay and receive reimbursement for corporate expenditures. The company aims to lower the cost and improve the efficiency of managing corporate expenditures by generating trip-invoices through their app.</t>
  </si>
  <si>
    <t>Aramco Ventures, BitRock Capital (SG), Bojiang Capital, China Growth Capital, CreditEase, D1 Capital Partners, DST Global, Eight Roads, Emergence Equity Management, GL Ventures, Glade Brook Capital Partners, Hillhouse Investment Group, IDG Capital, Prosperity7 Ventures, Ribbit Capital, Tencent Investment, Whale Rock Capital Management</t>
  </si>
  <si>
    <t>www.fenbeitong.com</t>
  </si>
  <si>
    <t>161260-66</t>
  </si>
  <si>
    <t>Spendesk</t>
  </si>
  <si>
    <t>Developer of an all-in-one expense management platform designed to streamline the tedious admin associated with spending and managing money at work. The company's platform delivers more visibility and automation to finance teams, combining spend approvals, virtual and physical cards for employees, expense reimbursements, budgets, and invoice management into one source, enabling businesses to liberate themselves and their people from financial management and focus on their core business to do their best work.</t>
  </si>
  <si>
    <t>Arnaud Crepier, Christophe Maurissen, Cody Cagnina, Edward Lando, Eight Roads, Financière Saint James, Frédéric Montagnon, FundersClub, General Atlantic, Hexa, Index Ventures, Julien Romanetto, Kima Ventures, La French Tech, Laurent Asscher, Louis Jonckheere, Michael Benabou, MVC (New York), Natan Fisher, Nicolas Steegmann, Pareto Holdings, Pieterjan Bouten, Techmind, Thibaud Elziere, Tiger Global Management, Wind Capital, YADAY</t>
  </si>
  <si>
    <t>www.spendesk.com</t>
  </si>
  <si>
    <t>169415-83</t>
  </si>
  <si>
    <t>E-Life Financial</t>
  </si>
  <si>
    <t>Provider of financial technology services designed to facilitate payment processing and travel-related financial transactions. The company offers payment acceptance, internet payment, foreign currency exchange, travel finance services, and value-added transaction capabilities, enabling travel businesses, merchants, and consumers to conduct secure and convenient financial activities across travel and commerce channels.</t>
  </si>
  <si>
    <t>Caissa Tourism Group, Capital Airlines, Chengdu Dingxing Quantum Investment Management, H Capital, HNA Capital, Jade Capital, Pacific Securities, Sunhonor Capital, Yinling Capital</t>
  </si>
  <si>
    <t>www.www.elife-fin.com</t>
  </si>
  <si>
    <t>179022-16</t>
  </si>
  <si>
    <t>9fin</t>
  </si>
  <si>
    <t>Developer of an artificial intelligence-powered data and analytics platform designed to centralize everything that's needed to analyze a credit. The company's platform uses computer vision and machine learning to find key data on high-yield bonds and the companies that issue them, along with up-to-date tracking and monitoring of deals, real-time market news and events, and price data on bonds displayed as charts for the fixed-income market, enabling income professionals to save time and make proper investment decisions.</t>
  </si>
  <si>
    <t>500 Global, Adfisco, AI Seed, Alan Morgan, British Business Bank, CPP Investments, Emona Capital, Fly Ventures, Funding London, Google Accelerator, HarbourVest Partners, Highland Europe, Ilavska Vuillermoz Capital, Innovation Depot, Jonathan Cochrane, London Co-Investment Fund, Michael Orland, MK Venture Capital, Paul Forster, Redalpine, Sanjeev Jeyakumar, Sarah Smith, Seedcamp, Spark Capital, Tech Nation Group, Thomas Stone</t>
  </si>
  <si>
    <t>www.9fin.com</t>
  </si>
  <si>
    <t>226652-41</t>
  </si>
  <si>
    <t>Best Wonder (HKG: 06657)</t>
  </si>
  <si>
    <t>B2B Payments, FinTech, SaaS, TMT</t>
  </si>
  <si>
    <t>Baiwang Co Ltd is an enterprise digitalization solutions provider in China, focusing on offering cloud-based SaaS solutions and on-premises solutions for financial and tax digitalization solutions, data-driven analytics services as well as other enterprise through Baiwang Cloud platform empowering the enterprises to unlock greater data value, transform data into digital productivity, and accelerate intelligent upgrade across industries. It process a variety of transaction documents, including among others, invoices, receipts, bills, and other accounting records, that accurately reflect key business transactions of enterprises. The company derives all of its revenue from the PRC.</t>
  </si>
  <si>
    <t>www.baiwang.com</t>
  </si>
  <si>
    <t>64995-76</t>
  </si>
  <si>
    <t>Octane</t>
  </si>
  <si>
    <t>Developer of a financing platform designed to connect people with their passions by making lifestyle purchases. The company's platform and innovative risk strategies deliver a seamless, end-to-end buying experience that adds value throughout the customer journey, inspiring enthusiasts with its editorial brands, instantly prequalifying consumers for financing online with its suite of e-commerce tools, routing customers to partner dealerships for an easy closing experience, and supporting customers throughout their loan with award-winning loan servicing, enabling dealers to secure loans, insurance, and warranties on behalf of their customers.</t>
  </si>
  <si>
    <t>Aamer Abdullah, Aaron Allon, Anant Chimmalgi, Camping World Holdings, Chaos Ventures (New York), Citi Ventures, Contour Venture Partners, Dreamit Ventures, FinTech Collective, FundersClub, Gaingels, Good Sam Enterprises, Groundswell Ventures, Holler Classic, Huntington Bancshares, IA Ventures, Interplay Ventures, Parkwood, Progressive Investment Company, Rider Insurance, The Finger Group, Third Prime, Upper90 Capital Management, Valar Ventures, Wesley Barton</t>
  </si>
  <si>
    <t>www.octane.co</t>
  </si>
  <si>
    <t>151333-39</t>
  </si>
  <si>
    <t>Digital Moneybox</t>
  </si>
  <si>
    <t>Developer of a mobile savings and investment application designed to offer the opportunity to save and invest for the future. The company's mobile savings and investment application assists people in opening a personal savings account where the spare change generated from everyday transactions can be saved and invested, enabling users to earn higher returns on their savings than traditional current and savings accounts.</t>
  </si>
  <si>
    <t>Amundi, Apis Partners, Arāya Ventures, BA Capital (Newark), Breega, Burda Principal Investments, Connection Capital, Endre Sagi, Fidelity International Strategic Ventures, Fiduciary Co-Investment Partners, Love Capital, Open CNP, Oxford Capital Partners, Polar Capital, Salica Investments</t>
  </si>
  <si>
    <t>www.moneyboxapp.com</t>
  </si>
  <si>
    <t>58860-91</t>
  </si>
  <si>
    <t>Fundbox</t>
  </si>
  <si>
    <t>Developer of an AI-driven cash flow management platform designed to facilitate business payments and credit network systems utilizing machine learning. The company leverages deep data analytics for invoice financing offerings and a line of credit to increase average order volumes and improve close rates by offering net terms, enabling SMEs to accelerate cash flow against their outstanding invoices and manage their businesses better.</t>
  </si>
  <si>
    <t>9Yards Capital Management, Allianz X, Amplo, Arbor Ventures, Battery Ventures, Bezos Expeditions, B-FLEXION Capital Holdings, Big-Tech 50, Blumberg Capital, Cameron Ventures, Cathay Capital, Cathay Innovation, CAZ Investments, CE Innovation Capital, Christopher Ashton Kutcher, Dan Rubinstein, David Krell, David Sacks, Emil Michael, Entrée Capital, FJ Labs, Founders Circle Capital, Gaingels, General Catalyst, GMO Internet Group, GMO Venture Partners, Hamilton Lane, Hanaco Ventures, HarbourVest Partners, Healthcare of Ontario Pension Plan, Hedosophia, Jay Mandelbaum, Jeffrey Bezos, Joshua Reeves, Khosla Ventures, LionBird, Mana Ventures, Mark Britto, Material V, Meadow Street Capital, MUFG Innovation Partners, Newton Investment Management, Nyca Partners, Omidyar Technology Ventures, Pegasus Tech Ventures, Recruit Strategic Partners, Renn Ventures, SBI Holdings, SEB Private Equity, SharesPost, Shlomo Kramer, Sound Ventures, Spark Capital, SV Angel, Synchrony Ventures, Thomas Glocer, Urban Capital Network, Vikram Pandit, Wealthing VC Club</t>
  </si>
  <si>
    <t>www.fundbox.com</t>
  </si>
  <si>
    <t>169756-21</t>
  </si>
  <si>
    <t>Juniper Square</t>
  </si>
  <si>
    <t>Developer of an integrated platform designed to streamline private partnerships. The company offers capabilities across fundraising and investor operations and fund administration, with features such as centralized workflows, enhanced transparency, and a 360-degree view of investment data, enabling general partners and limited partners in commercial real estate, private equity, and venture capital firms to have a unified system with workflows for efficient investment administration.</t>
  </si>
  <si>
    <t>Blue Owl Capital, CSC UpShot Ventures, Felicis, Fifth Wall, Flex Capital, HighSage Ventures, Justin Alanis, LeFrak, Nasdaq Ventures, OVO Fund, Pappy Capital, Precursor Ventures, Red Swan Ventures, Redpoint Ventures, Ribbit Capital, Tishman Speyer Properties, Wayne Pryor, Zigg Capital</t>
  </si>
  <si>
    <t>www.junipersquare.com</t>
  </si>
  <si>
    <t>230106-70</t>
  </si>
  <si>
    <t>KeyRock</t>
  </si>
  <si>
    <t>Developer of a digital asset trading platform designed to provide liquidity and trading infrastructure for tokenized financial markets. The company offers market making, over-the-counter trading, options, treasury solutions, and liquidity management services, enabling traders to manage digital asset trading, price discovery, and market liquidity across centralized and decentralized exchanges.</t>
  </si>
  <si>
    <t>Chris Larsen, CoreNest Capital, FundSeeder, MiddleGame Ventures, Pamir Gelenbe, Ripple, Seeder Fund, SIX FinTech Ventures, Start It X, Tenity, TNN Capital, Volta Ventures</t>
  </si>
  <si>
    <t>www.keyrock.com</t>
  </si>
  <si>
    <t>161830-54</t>
  </si>
  <si>
    <t>Sunbit</t>
  </si>
  <si>
    <t>Developer of a preferred payment platform designed to split up purchases into easier and smaller payments. The company's artificial intelligence and machine learning technology approves the majority of people who apply and eases the stress of paying for expenses by giving people more options on how and when to pay, offers a point-of-sale lending technology available at several service locations, including auto dealership service centers, optical practices, dentist offices, and specialty healthcare services, enabling clients to eliminate financial waste and passing the savings back to the people.</t>
  </si>
  <si>
    <t>AltaIR Capital, Alumni Ventures, Bikram Dang, Chestnut Street Ventures, Chicago Ventures, G Squared, Group 11, Heroic Ventures, Jesse Johnson, MORE Investment House, Output Capital, Skydeck Capital, Soundproof Ventures, Starting Line, The Harel Group, Transpose Platform Management, Warren Hogarth, Zeev Ventures</t>
  </si>
  <si>
    <t>www.sunbit.com</t>
  </si>
  <si>
    <t>493215-31</t>
  </si>
  <si>
    <t>DataSnipper</t>
  </si>
  <si>
    <t>Developer of an intelligent automation platform designed to help auditors accelerate the speed of audits. The company's platform specializes in automating and easily documenting tests of details, tests of controls, walkthroughs, and financial statement procedures, enabling companies to achieve the efficiency of an audit quality trail through the collaboration tool.</t>
  </si>
  <si>
    <t>Coöperatieve Rabobank, Index Ventures, Insight Partners (New York), Monashees, Rabo Investments</t>
  </si>
  <si>
    <t>www.datasnipper.com</t>
  </si>
  <si>
    <t>227393-47</t>
  </si>
  <si>
    <t>Moonfare</t>
  </si>
  <si>
    <t>Developer of a global private equity investment platform designed to broaden access to private market investing for long-term wealth creation. The company offers access to private equity funds from established managers alongside curated co-investments, secondaries, and direct deals sourced through a global network, enabling eligible individual investors and family offices to build diversified portfolios with lower entry barriers and reduced volatility.</t>
  </si>
  <si>
    <t>7GC &amp; Co, Alpha Protocol Ventures, Amédée Maingard, Andreas Raffel, Arend von Riegen, Axel Kniehl, Axel May, Bordier &amp; Cie, Bridge Nine Capital Partners, Cadence Growth Capital, Caesar Ventures, Christopher Caesar, Edward Law, Fidelity International Strategic Ventures, Florian Koburger, Georg Wunderlin, German Accelerator, Gregers Kronborg, Guntard Gutmann, Hans-Dieter Rompel, Henrik Kraft, Insight Partners (New York), James Pitt, Jens Spudy, Joachim Grendel, Jorg Kukies, Kaj-Erik Relander, Konstantin Urban, Lamivoie Capital Partners, Loric Ventures, Manfred Ferber, Marco Rodzynek, Michelle Capiod, Mirko Meyer-Schönherr, Novum Partners, Oliver Haarmann, Peter Klose, Rajaa Mekouar, Ralf Schremper, Rene Marius Köhler, Robert Osterrieth, Rolf Nuijens, Stefan Koburger, Stefan Schreiter, Thilo Selchow, Thomas Ebeling, Thomas Jetter, Thomas Putter, Tobias Huzarski, Vagn Sorensen, Vitruvian Partners, Wijnand Donkers</t>
  </si>
  <si>
    <t>www.moonfare.com</t>
  </si>
  <si>
    <t>232137-28</t>
  </si>
  <si>
    <t>Titan (Asset Management)</t>
  </si>
  <si>
    <t>FinTech, SaaS, TMT</t>
  </si>
  <si>
    <t>Developer of an asset management platform designed to support investors in capital allocation and financial decision-making to yield high returns. The company's mobile-first platform has a fleet of open-access actively managed investment strategies that encrypt all personal information of users, enabling investors to manage complex financial decisions and build wealth with ongoing support and professional guidance.</t>
  </si>
  <si>
    <t>Accel, Andreessen Horowitz, B3 Capital, BoxGroup, Christopher Ashton Kutcher, Coatue Management, Dreamers VC, EQUIAM, General Catalyst, Jared Leto, Joshua Reeves, Kevin Durant, Kevin Hartz, Lee Fixel, Liquid 2 Ventures, Maverick Ventures, Mike Krieger, Odell Beckham, Paul Buchheit, Paul Graham, Samuel Altman, Scribble Ventures, Sound Ventures, South Park Commons, Twenty Two Ventures, Willard Smith, Y Combinator</t>
  </si>
  <si>
    <t>www.titan.com</t>
  </si>
  <si>
    <t>265188-34</t>
  </si>
  <si>
    <t>Nxin</t>
  </si>
  <si>
    <t>AgTech, E-Commerce, Supply Chain Tech</t>
  </si>
  <si>
    <t>Operator of an online platform intended to provide data, e-commerce, and financial services to the agriculture industry. The company's platform provides a full range of services to farmers and distributors in the form of knowledge encyclopedia database for the agriculture-related population to address the needs of different users, enabling farmers to the profitability and development capacity of the farm by building an ecological circle for connecting various resources.</t>
  </si>
  <si>
    <t>Anyou Biotechnology, Beijing Join-Cheer Software Company, Dabeinong Group, Hejun Group, Shaanxi Coal Industry, Yonyou Network Technology, Zhongguancun Big Data Industry Alliance</t>
  </si>
  <si>
    <t>www.nxin.com</t>
  </si>
  <si>
    <t>234576-82</t>
  </si>
  <si>
    <t>Nesto</t>
  </si>
  <si>
    <t>Artificial Intelligence &amp; Machine Learning, FinTech, Mortgage Tech, Real Estate Technology, SaaS</t>
  </si>
  <si>
    <t>Developer of a mortgage platform designed to make property financing convenient and transparent. The company's platform leverages artificial intelligence algorithms to screen the entire market in search of relevant mortgage products while also furnishing commission-free advice and unbiased support throughout the process, enabling homebuyers to make educated financing and property decisions.</t>
  </si>
  <si>
    <t>BMO Capital Partners, Breyer Capital, Diagram Ventures, Endeavor Catalyst, Fidelity, Fondaction, Fonds de solidarite FTQ, Formentera Capital, Google Accelerator, IGM Financial, Investissement Quebec, James Breyer, La Caisse, Marc Alloul, Michael Paulus, Michael Rowell, NAventures, Picton Mahoney Asset Management, Portage, TD Bank (USA)</t>
  </si>
  <si>
    <t>www.nesto.ca</t>
  </si>
  <si>
    <t>54811-09</t>
  </si>
  <si>
    <t>C2FO</t>
  </si>
  <si>
    <t>Developer of a cashflow optimization platform designed to provide quick, flexible access to low-cost capital to businesses worldwide. The company's platform acts as a matchmaker and negotiation tool that helps pair buyers with multiple suppliers, giving the buyers a discount and allocating working capital to the suppliers at less-than-bank rates and automates the early payment discount-related invoicing processes and cash flow cards for suppliers, enabling enterprises of all sizes to dynamically manage the working capital to grow their business.</t>
  </si>
  <si>
    <t>International Finance Corporation, Iron Mountain (Systems and Information Management), Mubadala Capital, OpenAir Equity Partners, Schultz Family Foundation, SoftBank Investment Advisers, Temasek Holdings, Third Point Ventures, Transform VC, Union Square Ventures, Vista Equity Partners</t>
  </si>
  <si>
    <t>www.c2fo.com</t>
  </si>
  <si>
    <t>243635-77</t>
  </si>
  <si>
    <t>Sygnum Bank</t>
  </si>
  <si>
    <t>Provider of banking services for cryptocurrencies intended to make digital currency transparent. The company's services include institutional-grade custody with a fiat-digital asset gateway, brokerage, a portfolio of regulated digital asset banking, asset management, tokenization, and business-to-business banking services, enabling institutional and private qualified investors, corporates, and banks to invest in the digital asset economy with complete trust.</t>
  </si>
  <si>
    <t>Animoca Brands, Artichoke Capital, Azimut Holding, Baboon VC, Fenbushi Capital, Fulgur Ventures, KB Investment, Khalili Brothers, Mirana Ventures, Polymorphic Capital, SBI Digital Asset Holdings, SBI Holdings, SCB 10X, Sun Hung Kai &amp; Company, Sunova Capital Management, Upsher Management Company, VinaCapital Ventures, WEMIX, Wille Finance</t>
  </si>
  <si>
    <t>www.sygnum.com</t>
  </si>
  <si>
    <t>232142-95</t>
  </si>
  <si>
    <t>Ajaib Teknologi Indonesia</t>
  </si>
  <si>
    <t>Developer of a smart online investment application designed to democratize access to financial products. The company's application assists Indonesians to save and grow their money by investing in stocks, exchange-traded funds, and mutual funds, starting with low minimums and no account fees, enabling customers to invest in companies effectively at lower risks.</t>
  </si>
  <si>
    <t>Alpha JWC Ventures, Bangkok Bank, Cakra Ventures, David Velez, DST Global, Horizons Ventures, ICONIQ Growth, Insignia Ventures Partners, IVP, Nu Holdings, Orient Growth Ventures, OXZ Capital, Ribbit Capital, SBVA, Seunggeon Lee, Stanford LaunchPad, Toss, Y Combinator</t>
  </si>
  <si>
    <t>ajaib.co.id</t>
  </si>
  <si>
    <t>167233-51</t>
  </si>
  <si>
    <t>Akulaku</t>
  </si>
  <si>
    <t>Developer of a financial technology platform designed to provide convenient credit and payment alternatives. The company's platform incorporates installment purchasing, personal loans, and banking tools, enabling users to address their financial requirements, access adaptable payment methods, and enhance their ability to make purchases effectively.</t>
  </si>
  <si>
    <t>Ant Group, Arbor Ventures, China Capital, China Growth Capital, Dhyanesh Shah, Eight Roads, Fanpujinke Group, Genesis Alternative Ventures, ICU Ventures, IDG Capital, January Capital, Legend Capital, Mitsubishi UFJ Financial Group, Peak XV Partners, Qiming Venture Partners, Shunwei Capital, Siam Commercial Bank, Silverhorn Investment Advisors, We Capital (China), Welight Capital</t>
  </si>
  <si>
    <t>www.akulaku.com</t>
  </si>
  <si>
    <t>493319-44</t>
  </si>
  <si>
    <t>Augustus</t>
  </si>
  <si>
    <t>Operator of an AI- intelligent bank intended to offer stablecoin banking services. The company's platform leverages disruptive payment technology to convert every bank account into an instant payment wallet, enabling customers to pay directly from their accounts with no additional effort.</t>
  </si>
  <si>
    <t>10x Founders, Alan Chang, Alex Bouaziz, Alexander Rinke, André Schwämmlein, Angel Invest, Balaji Srinivasan, Brevan Howard Asset Management, Christian Grobe, CMT Digital Holdings, Creandum, Daniel Krauss, David Velez, Farooq Malik, Felix Haas, Gavin Uberti, Hummingbird, James Cox, Jan Oberhauser, Jens Lapinski, Jeppe Rindom, Jochen Engert, Karim Atiyeh, Koen Koppen, Loric Ventures, Martin Blessing, Matthias Knecht, Maximilian Tayenthal, Nico Rosberg, North Equity, Oliver Merkel, Other People's Capital, QED Investors, Road Capital Management, Sean Neville, Soma Capital, Tiger Global Management, Valar Ventures, Variant (Brooklyn), Victor Cardenas, Victor Riparbelli</t>
  </si>
  <si>
    <t>www.augustus.com</t>
  </si>
  <si>
    <t>65261-08</t>
  </si>
  <si>
    <t>FreshBooks</t>
  </si>
  <si>
    <t>Developer of cloud-based accounting software designed to make online invoicing easy and secure. The company's software offers easy-to-use invoicing, expense management, online payments, and time-tracking features that automate time-consuming tasks, enabling small businesses to generate and maintain professional bookkeeping receipts accurately for efficient business management.</t>
  </si>
  <si>
    <t>Accomplice VC, Active Capital, Agman, Atlas Venture, Barclays, Calm Ventures, Claridge, Coparion, eBay, Evolution VC Partners, Gaingels, Georgian, Heliad, J.P. Morgan, JP Morgan Chase, Manulife Financial, Northleaf Capital Partners, Oak Investment Partners, Patrick Condon, PayPal Ventures, Saints Capital, Sand Hill Angels, Swifte (New York), Teralys Capital, Vinyl Capital</t>
  </si>
  <si>
    <t>www.freshbooks.com</t>
  </si>
  <si>
    <t>169379-47</t>
  </si>
  <si>
    <t>Huisuanzhang</t>
  </si>
  <si>
    <t>Developer of a cloud-based platform and mobile app designed to provide bookkeeping, invoicing, tax planning and other financial services. The company offers enterprise financial and tax services to small and medium enterprises in China through a cloud platform and mobile app, providing affordable financial and tax services to SMEs.</t>
  </si>
  <si>
    <t>CreditEase, Gaocheng Capital, Shanghai Fengshi Financial Services (Group), Sichuan Hexie Shuangma, Sunshine Insurance Group, Tendence Capital, THG Ventures, Vala (Consumer Finance), Xiaomi Technology</t>
  </si>
  <si>
    <t>www.huisuanzhang.com</t>
  </si>
  <si>
    <t>458373-52</t>
  </si>
  <si>
    <t>JHD Technologies</t>
  </si>
  <si>
    <t>Big Data, E-Commerce, FinTech, Supply Chain Tech</t>
  </si>
  <si>
    <t>Developer and operator of a financial and distribution services platform intended to connect enterprises to customers in lower-tier cities and rural areas of China. The company has built its own warehousing and logistics system to open up the last mile of rural logistics distribution and provide one-stop purchasing service for small shops in rural areas, thereby customizing online stores, empowering them with e-commerce, enabling enterprise users to increase the income while providing consumers in rural areas with convenient e-commerce and inclusive financial services.</t>
  </si>
  <si>
    <t>Accurent (New York), Indigo Capital Partners</t>
  </si>
  <si>
    <t>www.jihuiduo.cn</t>
  </si>
  <si>
    <t>432904-78</t>
  </si>
  <si>
    <t>LeapFinance</t>
  </si>
  <si>
    <t>EdTech, FinTech</t>
  </si>
  <si>
    <t>Developer of a financial services platform designed to increase global opportunities for Indian students. The company's platform offers loans without the need for physical assets as security at a low rate of interest that covers both tuition and living expenses, enabling students to achieve their educational goals.</t>
  </si>
  <si>
    <t>Apis Partners, Bhupinder Singh, Harvard Management Company, Jungle Ventures, KB Investment, Kunal Shah, Manu Midha, Mars Growth Capital, Owl Ventures, Paramark Ventures, Peak XV Partners, Sequoia Capital, Steadview Capital Management, Summit Action, Vishal Gupta</t>
  </si>
  <si>
    <t>www.leapfinance.com</t>
  </si>
  <si>
    <t>231340-24</t>
  </si>
  <si>
    <t>Masterworks</t>
  </si>
  <si>
    <t>Masterworks 257 LLC Ltd facilitates investment in individual works of art (each, an Artwork) that will be owned by a series of the Company. Each Artwork that the company acquires will be owned by a separate series of the Company. Each series will raise investment capital by offering Class A shares.</t>
  </si>
  <si>
    <t>Galaxy Interactive, Hartbeat Ventures, Left Lane Capital, Tru Arrow Partners</t>
  </si>
  <si>
    <t>www.masterworks.com</t>
  </si>
  <si>
    <t>183174-76</t>
  </si>
  <si>
    <t>MioTech (Shanghai)</t>
  </si>
  <si>
    <t>Artificial Intelligence &amp; Machine Learning, Big Data, FinTech, SaaS, TMT</t>
  </si>
  <si>
    <t>Provider of big data solutions intended to leverage artificial intelligence (AI) to provide users with sustainability and ESG data. The company's solutions utilize artificial intelligence technologies to capture and build ESG data for their platform and can provide financial institutions, enterprises and governments with ESG (environmental, social, corporate governance) data, ratings, indices, sustainable development risks and energy monitoring software, and research and consulting services, enabling clients to monitor, manage, and analyze sustainability data across different sectors and geographies in real time to solve climate change, sustainable development and social responsibility challenges.</t>
  </si>
  <si>
    <t>2050 Capital, B Capital Group, Brightway Future Capital, Crestwave Capital, GIC Private, Guotai Junan International, Horizons Ventures, HSBC Ventures, IOVC, J.P. Morgan, Moody's, Palm Drive Capital, Shanghai Realway Capital Asset Management, Silverhorn Investment Advisors, TOM Group, UpHonest Capital, ZhenFund</t>
  </si>
  <si>
    <t>www.miotech.com</t>
  </si>
  <si>
    <t>66113-56</t>
  </si>
  <si>
    <t>Omise</t>
  </si>
  <si>
    <t>Developer of online payments infrastructure designed for regional and cross-border commercial transactions. The company's platform provides unified payment APIs, support for major local and international payment methods, comprehensive merchant dashboards, settlement and reconciliation tools, fraud and risk-filtering capabilities, and scalable infrastructure, enabling businesses across diverse sectors to accept digital payments securely, manage operational workflows, and maintain continuity in high-volume transaction environments.</t>
  </si>
  <si>
    <t>31Ventures, 500 TukTuks, Aioi Nissay Dowa Insurance, Ascend Money, Block Ventures, Bonds Investment Group, Chain Capital (Shanghai), Continue Capital, East Ventures, Excel Venture Management, Finnomena, Global Brain, Golden Gate Ventures, Hashed, JIC Venture Growth Investments, KR1, Krungsri Finnovate, Mars Growth Capital, Mirai Creation Capital, MUFG Bank, Nirvana Capital (Block Chain), Nomura Holdings, Pantera Capital, SCB 10X, Sinar Mas Digital Ventures, SMBC Venture Capital, SPARX Group Company, Sumitomo Mitsui Banking, Toyota Financial Services ( United States), ZMT Capital</t>
  </si>
  <si>
    <t>www.omise.co</t>
  </si>
  <si>
    <t>183282-40</t>
  </si>
  <si>
    <t>Open Financial Technologies</t>
  </si>
  <si>
    <t>Developer of a digital banking platform designed to offer efficient and secure banking services and automate business payments. The company's platform includes a digital business account that can be activated using a fully digital onboarding process and comes with integrated GST-compliant invoicing, bookkeeping, payments, API Banking, and a credit line, enabling SMEs to manage cash flows, automate accounting, and get insights into their businesses.</t>
  </si>
  <si>
    <t>3one4 Capital, Alphabet, Amrish Rau, Apremaya Radhakrishnan, Archana Priyadarshini, Astir Ventures, BEENEXT Capital Management, BetaPlus (India), Better Capital (California), BlueLotus Ventures, IIFL Finance (Acquired), ISME Ace, Jitendra Gupta, Kishore Ganji, Multiply Ventures, Recruit Strategic Partners, SBI Investment, Speedinvest, Tanglin Venture Partners, Temasek Holdings, The Seed Fund (Investor), Thirdbase Capital, Tiger Global Management, Vaibhav Domkudkar, Visa Accelerator, Yolo Investments</t>
  </si>
  <si>
    <t>open.money</t>
  </si>
  <si>
    <t>172599-58</t>
  </si>
  <si>
    <t>PingPong</t>
  </si>
  <si>
    <t>Provider of cross-border payment and financial infrastructure designed for businesses engaged in international commerce. The company's platform provides global payment collection, supplier payouts, multi-currency accounts, foreign exchange management, card issuing, payment checkout, treasury management, banking-as-a-service capabilities, and application programming interfaces, enabling businesses, e-commerce sellers, platforms, and financial institutions to send, receive, and manage cross-border payments through a unified financial platform.</t>
  </si>
  <si>
    <t>Ally Capital China, China Broadband Capital Partners, China International Capital Corporation, CICC Private Equity, CITIC Securities, Coatue Management, Cybernaut Investment (China), Eight Roads, Gaocheng Capital, General Atlantic, Gfc, Hundsun Technologies, IDG Capital, Mangrove Capital, Ocean Link Partners, Restone Capital, Seeders, Sunyard Technology, Tiger Global Management, Tzitzit Asset, Warburg Pincus, Zhejiang Huarui Holdings</t>
  </si>
  <si>
    <t>www.pingpongx.com</t>
  </si>
  <si>
    <t>483567-13</t>
  </si>
  <si>
    <t>QI Tech</t>
  </si>
  <si>
    <t>Developer of a banking-as-a-service platform designed to invest and manage credit assets and raise debt. The company's platform provides licensed technology and automated financial tools that offer debt issuance, slips issuance, credit analysis, and receivables lock, enabling the fintech market to facilitate the entry and management of banking systems.</t>
  </si>
  <si>
    <t>Across Capital Partners, Endeavor Catalyst, General Atlantic, GIC Private</t>
  </si>
  <si>
    <t>www.qitech.com.br</t>
  </si>
  <si>
    <t>54866-89</t>
  </si>
  <si>
    <t>SmartAsset</t>
  </si>
  <si>
    <t>Developer of a financial advisory platform designed to connect consumers to financial advisors and financial products. The company's platform offers financial modeling, a decision engine and optimization tools through its educational content and personalized calculators and content to make confident and informed decisions, enabling users to make smart personal finance decisions regarding home buying, retirement, and taxes.</t>
  </si>
  <si>
    <t>Andrew Vigneault, Brendan Wallace, Citi Ventures, Contour Venture Partners, Denis Grosz, Evolution VC Partners, Fitz Gate Ventures, FJ Labs, Flexcap Ventures, Focus Financial Partners, Gray Ventures, IA Capital Group, Javelin Venture Partners, KBW Ventures, New York Life Ventures, North Bridge Venture Partners, Otter Rock Capital, Peterson Partners, PROOF, Quotidian Ventures, Red Hook Capital, Ric Fulop, Sand Hill Angels, SV Angel, SWS Venture Capital, TruStage Ventures, TTV Capital, Y Combinator</t>
  </si>
  <si>
    <t>www.smartasset.com</t>
  </si>
  <si>
    <t>459147-07</t>
  </si>
  <si>
    <t>Tamara</t>
  </si>
  <si>
    <t>Developer of a financial platform designed to empower people to buy and shop transparently. The company's platform helps merchants offer flexible payment options by using its application programming interfaces or plugins with the option to pay in installments, enabling clients to offer a variety of payment options and increase sales.</t>
  </si>
  <si>
    <t>Checkout.com, Coatue Management, Endeavor Catalyst, Goanna Capital, Impulse Ventures, Keheilan Asset Management, Musaab Hakami, Nama Ventures, Pinnacle Capital, Sanabil Investments, Shorooq Partners, SNB Capital, Tech Invest Com, Vision Ventures (Saudi Arabia)</t>
  </si>
  <si>
    <t>www.tamara.co</t>
  </si>
  <si>
    <t>174348-64</t>
  </si>
  <si>
    <t>Taxfix</t>
  </si>
  <si>
    <t>Developer of an online tax assistance application intended to simplify tax declarations. The company's application leverages a smart, dynamic questionnaire and machine learning technology to fully automate communication with the user and accommodate fiscal differences across countries for future internationalization, enabling customers to receive back the hard-earned tax refunds that they deserve.</t>
  </si>
  <si>
    <t>Creandum, Index Ventures, Picus Capital, Redalpine, Seedcamp, Simon Sebastian, Speedinvest, Teachers' Venture Growth, Valar Ventures</t>
  </si>
  <si>
    <t>www.taxfix.de</t>
  </si>
  <si>
    <t>433444-60</t>
  </si>
  <si>
    <t>Teya</t>
  </si>
  <si>
    <t>Developer of a payment platform designed to provide integrated financial and business management services. The company offers a range of services and software, such as issuer payment processing, cloud-native payments, and business management software-as-a-service to global FinTechs, payment providers, banks, and MNOs, enabling small and medium-sized businesses to manage payments, banking, and operations through a unified digital ecosystem.</t>
  </si>
  <si>
    <t>2B Global Capital, Accel, Baillie Gifford, Base Partners, D1 Capital Partners, EXOR Seeds, FJ Labs, G Squared, Glynn Capital, Hard Yaka, Hedosophia, HOF Capital, IP Group, Lone Pine Capital, LTS Growth, Ribbit Capital, TCV, Tiger Global Management, Valor Capital Group, Volpe Capital, Wellington Management</t>
  </si>
  <si>
    <t>www.teya.com</t>
  </si>
  <si>
    <t>185055-67</t>
  </si>
  <si>
    <t>TNG FinTech Group</t>
  </si>
  <si>
    <t>FinTech, Mobile Commerce, SaaS, TMT</t>
  </si>
  <si>
    <t>Developer of digital wallet platform intended to offer to access basic financial banking duties. The company's digital wallets provide financial services through its e-wallet platform featuring functions such as electronic payment, person-to-person (P2) money transfer, global remittance, global cash withdrawal, money transfers, currency exchange and digital bill payments, among other services, enabling people to get convenient, mobile and globally-enabled financial capabilities.</t>
  </si>
  <si>
    <t>CTF Services (Kowloon), Cyberport Hong Kong, FinTech Innovation Lab, Infinity Group, KBR Fund Management, NewMargin Capital, Nogle, SU&amp;Financial Investment, Utopian Ventures (San Francisco)</t>
  </si>
  <si>
    <t>www.tngfintech.com</t>
  </si>
  <si>
    <t>265140-01</t>
  </si>
  <si>
    <t>TRM Labs</t>
  </si>
  <si>
    <t>Developer of a regulatory technology platform designed to address compliance in the cryptocurrency industry. The company's platform includes on-chain customer due diligence, transaction monitoring and customer relationship management to automatically detect suspicious activity like money laundering and market manipulation, enabling organizations to streamline on-chain compliance for digital assets and save time by reducing risk.</t>
  </si>
  <si>
    <t>50T, Alumni Ventures, AMEX Ventures, Aramex Ventures, B Capital Group, Bessemer Venture Partners, Block, Blockchain Capital, Brevan Howard Asset Management, Calanthia Mei, Cap Table Coalition, Castle Island Ventures, Citi Ventures, CMT Digital Holdings, DRW Venture Capital, Emilie Choi, Frank Slootman, Galaxy Ventures, Galaxy Ventures (New York), Geodesic Capital, Initialized Capital, Intersection Growth Partners, JP Morgan Chase, Jump Capital, Jump Crypto, Marshall Wace, Michael Scarpelli, Mischief, Operator Partners, Pario Ventures, PayPal Ventures, Quiet Capital, Salesforce Ventures, SGH Capital, Silver Buckshot, Tapas Capital, Texas McCombs Investment Advisers, The Goldman Sachs Group, The MBA Fund, Thoma Bravo, Tidepool Labs, Tiger Global Management, TLC Collective, Transform Ventures, Trevor Wright, VentureSouq, Visa, Visa Ventures, Y Combinator</t>
  </si>
  <si>
    <t>www.trmlabs.com</t>
  </si>
  <si>
    <t>170527-06</t>
  </si>
  <si>
    <t>TrueLayer</t>
  </si>
  <si>
    <t>Developer of an open banking platform designed to connect with banks, neobanks, and digital wallets. The company's platform helps companies to securely and efficiently access their customers' bank accounts to share financial data, make payments, and validate their identity, enabling companies to initiate payments directly from the user's bank account and offer frictionless payments without interrupting the user experience.</t>
  </si>
  <si>
    <t>Addition, Anthemis, Atom Expeditions, Connect Ventures (UK), Daniel Graf, David Avgi, eBay Ventures, ENDRA Capital, Eric Nadalin, Federico Pomi, Graph Ventures, Michele Attisani, Moffu Labs, Mouro Capital, Northzone Ventures, Social Capital, SquareOne Capital, Stripe, Surojit Chatterjee, TechQuartier, Temasek Holdings, Tencent Holdings, Tiger Global Management, Tony Jamous, Visa Ventures, Visionaries Club, Zack Kanter</t>
  </si>
  <si>
    <t>www.truelayer.com</t>
  </si>
  <si>
    <t>233863-48</t>
  </si>
  <si>
    <t>Vise</t>
  </si>
  <si>
    <t>Operator of a portfolio management platform intended to automate investment administration using artificial intelligence. The company's platform makes customized portfolios using single securities with automated trade execution and ongoing rebalancing, including designing personalized portfolios for clients, managing portfolios, and providing ongoing intelligence, enabling financial advisors to get access to customized and intelligent investment technologies to help their clients achieve their goals.</t>
  </si>
  <si>
    <t>Adrian Aoun, Alexandr Wang, Arrive Opportunities Management, Bling Capital, BOND Capital (San Francisco), Canvas Prime, Caravelle Investment, Contrary (San Francisco), Delian Asparouhov, DuContra Ventures, Electric Feel Ventures, Ethos VC, Founders Fund, Gaingels, Great Oaks Venture Capital, Henrique Dubugras, Human Capital, John Collison, Jon Xu, Lachy Groom, Mana Ventures, Manhattan West Asset Management, Mantis VC, Michael Ovitz, Nathaniel Turner, NFX, Nikesh Arora, Northstar.VC, OVTR VC, Pedro Franceschi, Ribbit Capital, S2 Capital, Sequoia Capital, Spearhead (VC), Steve Chen, The MBA Fund, TQ Ventures, Ullas Naik, Uncharted Ventures (San Francisco), Venture Initiation Program, Zachary Weinberg</t>
  </si>
  <si>
    <t>www.vise.com</t>
  </si>
  <si>
    <t>435853-27</t>
  </si>
  <si>
    <t>Vivid Money</t>
  </si>
  <si>
    <t>Developer of a financial platform designed to combine all daily money needs in one app. The company's platform offers features that include payments, transfers, high-interest saving accounts, multi-currency accounts for travels, spending reports and split bills, enabling users to get provided with an easy, flexible and transparent solution to manage and grow their money.</t>
  </si>
  <si>
    <t>Greenoaks, Ribbit Capital, SBVA, SoftBank Investment Advisers</t>
  </si>
  <si>
    <t>www.vivid.money</t>
  </si>
  <si>
    <t>63952-57</t>
  </si>
  <si>
    <t>WeLab Holdings</t>
  </si>
  <si>
    <t>Big Data, FinTech</t>
  </si>
  <si>
    <t>Operator of a fintech platform intended to provide digital banking and consumer financing services. The company offers mobile-based lending services, proprietary risk management technology, privacy computing capabilities, and AI-driven financial tools, enabling retail consumers and enterprise clients to access convenient and accessible financial services.</t>
  </si>
  <si>
    <t>Alibaba Entrepreneurs Fund, Allianz X, AngelHub, CCB International, China Construction Bank, DST Global, Fubon Bank (Hong Kong), Gobi Partners, Guangdong Technology Financial Group, Hong Kong investment, Horizons Ventures, HSBC Holdings, HSG (Hong Kong), ICONIQ Growth, ING Nederland, ING Ventures, International Finance Corporation, Jorg Mohaupt, Ka-Shing Li, KG Investments, Kharis Capital, Khazanah Nasional, Lakestar, Palm Drive Capital, Prudential Hong Kong, Silverhorn Investment Advisors, TOM Group, Tribe Capital, Ule Network, Wings Capital Ventures, Yuri Milner</t>
  </si>
  <si>
    <t>www.wolaishuke.com</t>
  </si>
  <si>
    <t>103397-77</t>
  </si>
  <si>
    <t>Xendit</t>
  </si>
  <si>
    <t>Developer of a payments and financial operations platform designed to manage transactions and fund flows across markets. The company offers payment acceptance, payout processing, and fund management capabilities, enabling businesses to handle transactions across payment methods and operate efficiently.</t>
  </si>
  <si>
    <t>01VC, AAF Management, Accel, ACV Capital, Amasia, Berkeley SkyDeck, BRI Ventures, Coatue Management, Comcast Ventures, East Ventures, Gil Ofer, GMO Venture Partners, Goat Capital, Golden Gate Ventures, Goodwater Capital, Insight Partners (New York), Intudo Ventures, Invus Opportunities, Jacket River Consulting &amp; Capital, Justin Kan, KI Capital, Kickstart Ventures, Kleiner Perkins, LAUNCH Accelerator (Berkeley), Medici Ventures, MyAsiaVC, Olive Hill Group, Olive Tree Capital, Partech, Plug and Play Tech Center, Shota Nakagawa, Sovereign's Capital, Sumon Sadhu, Tiger Global Management, Toba Capital, Y Combinator</t>
  </si>
  <si>
    <t>www.xendit.co</t>
  </si>
  <si>
    <t>163940-23</t>
  </si>
  <si>
    <t>XforcePlus</t>
  </si>
  <si>
    <t>Big Data, FinTech, SaaS, Supply Chain Tech</t>
  </si>
  <si>
    <t>Provider of enterprise SaaS solutions designed to provide efficient invoicing, payment reconciliation and tax services for enterprise clients. The company provides an invoice management platform including services of VAT invoicing (paper &amp; electronic), electronic billing, payment reconciliation and settlement, tax reporting, tax analysis, and other related services, enabling businesses to have more efficient management of invoicing and taxation.</t>
  </si>
  <si>
    <t>DHVC, Dragoneer Investment Group, Eastern Bell Venture Capital, GL Ventures, Golden Education, IDG Capital, Ivy Capital (Shanghai), MSA Capital, Oceanpine Capital, Temasek Holdings, Venturous Group, Yonghua Capital</t>
  </si>
  <si>
    <t>www.xforceplus.com</t>
  </si>
  <si>
    <t>172908-28</t>
  </si>
  <si>
    <t>Korea Credit Data</t>
  </si>
  <si>
    <t>Artificial Intelligence &amp; Machine Learning, Big Data, Industrials</t>
  </si>
  <si>
    <t>Provider of business management services intended to help firms with data and connections. The company's platform provides functions necessary for business operations, such as card payment schedules, frequent customer analysis, customer review monitoring, and tax invoice inquiry, as well as incorporates the use of cache notes based on data, connections, and pattern recognition, collecting and linking business transaction information, enabling small and medium-sized enterprises to solve their everyday business problems.</t>
  </si>
  <si>
    <t>Bass Investment, Daniel Shin, DATA-STARS, D-Camp, Dunamu &amp; Partners, Fiserv, GS Holdings, Hillspring Investment, Kakao Ventures, KB Financial Group, KB Innovation HUB, K-Clavis, Kolon Investment, KT, KT Investment, Kunicorn Investment, LG Card, LG Uplus, Morgan Stanley Tactical Value, Playmake Ventures, QUAD Investment Management, Samsung Fire &amp; Marine Insurance, Samsung Venture Investment, Shinhan Securities, Tech Incubator Program for Startup, Wibee Fintech Laboratory, Yukyung PSG Asset Management</t>
  </si>
  <si>
    <t>www.kcd.co.kr</t>
  </si>
  <si>
    <t>108913-78</t>
  </si>
  <si>
    <t>KOHO</t>
  </si>
  <si>
    <t>Provider of financial services intended to simplify and optimize money management. The company's platform allows completing day-to-day banking operations while offering tools such as goals, cash flow projections, group spending, spending insights, and categorizations, enabling users to manage their expenses and banking operations on the go.</t>
  </si>
  <si>
    <t>BDC Capital, Black Dragon Capital, BridXe, Drive Capital, Eldridge Industries, Endeavor Catalyst, Greyhound Capital, Healthcare of Ontario Pension Plan, HOOPP Capital Partners, Jonathan Bixby, Launch Academy (Vancouver), Les Whiting, Michael Linford, Mike Benna, Mubadala Investment Company, National Bank of Canada, NAventures, Portage, Propelr Growth, Rockefeller Capital Management, Round13 Capital, Savano Capital Partners, Scott Lake(Angel), Tobi Lütke, TTV Capital</t>
  </si>
  <si>
    <t>www.koho.ca</t>
  </si>
  <si>
    <t>57010-33</t>
  </si>
  <si>
    <t>Waarborgregeling</t>
  </si>
  <si>
    <t>Provider of financial services intended to facilitate self-employed people. The company's services offer loan guarantee schemes to help entrepreneurs, non-profit organizations and financial institutions, and other enterprises to obtain credit from the bank, enabling clients to get financial assistance for developing their businesses.</t>
  </si>
  <si>
    <t>PMV (Belgium)</t>
  </si>
  <si>
    <t>59048-38</t>
  </si>
  <si>
    <t>Sumeria (Financial Software)</t>
  </si>
  <si>
    <t>Developer of a peer-to-peer payments application designed to make payments efficient. The company's application is a social interface to link the phone with a card and pay anyone with one app, users can put money aside or use money in that sub-account for a specific purpose, associate their payment card with an account, and a virtual card with another account, enabling customers to make payments through a mobile wallet system without carrying any cheques or ATM card.</t>
  </si>
  <si>
    <t>Accel, Alpha Protocol Ventures, Belcube, Dragoneer Investment Group, DuVal Family Association, Echo Street Capital Management, Financière Saint James, Founders Future, Grégoire de Streel, Harold Mechelynck, Hedosophia, Jean Zurstrassen, La French Tech, NewAlpha Asset Management, ODDO BHF Group, Siparex, Tencent Holdings, XAnge, YADAY</t>
  </si>
  <si>
    <t>www.sumeria.eu</t>
  </si>
  <si>
    <t>50964-49</t>
  </si>
  <si>
    <t>SavvyMoney</t>
  </si>
  <si>
    <t>Underwriting &amp; loan management</t>
  </si>
  <si>
    <t>Developer of a credit score, lending, and deposit analytics platform designed to help members of financial institutions and fintech companies understand and improve their credit and financial health. The company's platform provides credit scores, lending and deposit capabilities, reports, and daily monitoring, enabling financial institutions and fintech companies to spend less time identifying leads and more time helping consumers improve financial outcomes and find savings.</t>
  </si>
  <si>
    <t>Canapi Ventures, Edward Ojdana, Michael Tanne, New Cycle Capital, PSG, Spectrum Equity, TB Capital, TransUnion, Tugboat Group</t>
  </si>
  <si>
    <t>www.savvymoney.com</t>
  </si>
  <si>
    <t>91659-16</t>
  </si>
  <si>
    <t>Shift Technology</t>
  </si>
  <si>
    <t>Artificial Intelligence &amp; Machine Learning, Cybersecurity, FinTech, InsurTech, SaaS</t>
  </si>
  <si>
    <t>Developer of an artificial intelligence(AI)-powered underwriting platform designed to support claims handling, fraud detection, and compliance decision-making. The company's platform offers generative, agentic, and predictive AI capabilities for risk analysis, fraud investigation, payment review, and liability assessment, enabling insurers and insurance operations teams to improve accuracy, reduce financial leakage, and increase operational efficiency.</t>
  </si>
  <si>
    <t>Accel, Advent International, Agoranov, Avenir Growth Capital, Bessemer Venture Partners, Bpifrance, Cristóbal Conde, Elaia Partners, General Catalyst, Guidewire Software, HDS Capital, IRIS (Private Equity), La French Tech, Microsoft for Startups, Mundi Ventures, Paris&amp;Co Incubateurs, Plug and Play Tech Center</t>
  </si>
  <si>
    <t>www.shift-technology.com</t>
  </si>
  <si>
    <t>493413-94</t>
  </si>
  <si>
    <t>Sipay</t>
  </si>
  <si>
    <t>Developer of a financial technology platform designed for processing payments, managing digital transactions, and facilitating electronic money transfers. The company's platform integrates virtual and physical point-of-sale systems, open banking, wire transfers, digital wallets, and prepaid cards, enabling businesses and individuals to conduct secure transactions, optimize payment processes, and access a comprehensive suite of financial services.</t>
  </si>
  <si>
    <t>Amrish Rau, Anfa, Edward Lando, Elephant Partners, Entertech Istanbul Teknokent, Jitendra Gupta, Kunal Shah, QuantumLight Capital, Ravish Naresh, Ventura Capital</t>
  </si>
  <si>
    <t>www.sipay.com.tr</t>
  </si>
  <si>
    <t>170720-20</t>
  </si>
  <si>
    <t>PayPay Securities</t>
  </si>
  <si>
    <t>Developer of a mobile trading brokerage application designed to permit investors to trade securities on the go. The company's application offers mobile-first brokerage services, integration with digital payment, access to stocks, mutual funds, and exchange-traded funds, and simplified investing features, enabling individual investors and everyday users to participate in financial markets and manage investments with ease.</t>
  </si>
  <si>
    <t>LY Corporation, MCP Capital, Mizuho Securities, PayPay Securities, SoftBank Group, Tokai Tokyo Financial Holdings, Venture Labo Investment</t>
  </si>
  <si>
    <t>www.paypay-sec.co.jp</t>
  </si>
  <si>
    <t>119616-85</t>
  </si>
  <si>
    <t>Curve</t>
  </si>
  <si>
    <t>Developer of a banking platform designed to consolidate multiple cards and accounts into one smart card and application. The company's proprietary technology unifies customers' fragmented financial lives, allowing them to manage all their cards and accounts through a single platform while adding value through zero foreign transaction fees, enhanced rewards and money management capabilities, enabling consumers and businesses to eliminate hidden fees, reduce borrowing costs and maximize rewards.</t>
  </si>
  <si>
    <t>Speedinvest</t>
  </si>
  <si>
    <t>www.curve.com</t>
  </si>
  <si>
    <t>227661-94</t>
  </si>
  <si>
    <t>Mintifi</t>
  </si>
  <si>
    <t>Developer of a digital supply chain financing and working capital management platform designed for addressing inventory needs within distribution networks. The company's platform offers revolving purchase credit lines up to a specified limit, and short-term loans, enabling small and medium businesses to accelerate inventory churn, drive higher sales, and manage cash flow with flexible repayment options.</t>
  </si>
  <si>
    <t>Elevation Capital (India), Growth Catalyst Partners, International Finance Corporation, Norwest, Premji Invest, Prosus, Teachers' Venture Growth</t>
  </si>
  <si>
    <t>www.mintifi.com</t>
  </si>
  <si>
    <t>267452-92</t>
  </si>
  <si>
    <t>Monarch Money</t>
  </si>
  <si>
    <t>Developer of a finance management platform designed to keep track of personal expenses. The company's platform aggregates all the transactions across all bank accounts and credit cards into a single list and creates a budget to understand expenses through goal-tracking tools, investment monitoring, collaborative planning features, and customizable financial reports, enabling individuals and households to manage their finances, gain clarity, control, and confidence in their financial decision-making.</t>
  </si>
  <si>
    <t>2xN, Accel, Clocktower Ventures, Esalen Ventures, Forerunner Ventures, FPV Ventures, Kearny Jackson, Lars Fjeldsoe-Nielsen, Makai VC, Menlo Ventures, NewView Capital, Page One Ventures, Signal Rank, SignalFire</t>
  </si>
  <si>
    <t>www.monarch.com</t>
  </si>
  <si>
    <t>52258-60</t>
  </si>
  <si>
    <t>Prosper</t>
  </si>
  <si>
    <t>Developer of a peer-to-peer lending platform designed for facilitating personal loans and investments. The company's platform connects creditworthy borrowers with investors, offering a range of financial including personal loans, credit cards, and home equity lines of credit, enabling individuals to consolidate debt, finance home improvements, cover healthcare costs, and improve their financial well-being.</t>
  </si>
  <si>
    <t>Agnostic Ventures, Akkadian Ventures, Atlanticus Holdings, Avant Global, Cloud Toronto Venture Capital, Corner (New York), David Mort, FinEX Asia, Francisco Partners, IVP, NEXT Investors, QED Investors, Sweetwater Private Equity, USAA Corporate Development</t>
  </si>
  <si>
    <t>www.prosper.com</t>
  </si>
  <si>
    <t>184747-15</t>
  </si>
  <si>
    <t>Novo</t>
  </si>
  <si>
    <t>Developer of a banking platform designed to provide business deposit accounts to small businesses. The company's platform uses artificial intelligence technology with traditional depository accounts to offer a personalized banking experience powered by a network of FDIC-insured community banks, enabling small business owners, freelancers, and entrepreneurs to manage their business finances and checking accounts all in one place.</t>
  </si>
  <si>
    <t>137 Ventures, Barclays, Bossa Invest, BoxGroup, Crosslink Capital, Hack VC, Kevin Moore, Magic Fund, Matthew Mickiewicz, Notable Capital, Plug and Play Tech Center, Rainfall Ventures, Red Sea Ventures, Right Side Capital Management, RRE Ventures, Silicon Badia, SPAR Ventures, Stanford Law School Venture Fund, Stripes, Techstars, Valar Ventures</t>
  </si>
  <si>
    <t>www.novo.co</t>
  </si>
  <si>
    <t>438321-34</t>
  </si>
  <si>
    <t>Capchase</t>
  </si>
  <si>
    <t>Developer of a recurring revenue financing platform designed to finance the growth of operations with cash tied up in future monthly payments. The company's platform offers monthly or quarterly payments for the client's service offered to their customers, while still collecting the money upfront, enabling clients to grow fast without dilution and expensive financing.</t>
  </si>
  <si>
    <t>01 Advisors, Amara Venture Partners, Benjamin Orthlieb, Bling Capital, Bob Rosin, BoxGroup, Caffeinated Capital, Caffeine Ventures, Calm Ventures, Daniel Graf, Defy Partners Management, Dolik Ventures, Flex Capital, Gaingels, GTMfund, Invesco, Kibo Ventures, Lorimer Ventures, Mancora Ventures, ONEVC, QED Investors, Rohit Bodas, Sanat Rao, Saraswati Ventures, Scaleup Spain Network, SciFi VC, Seaya Capital Gestion SGEIC, Summit Peak Investments, Thijn Lamers, Thomvest Ventures, Trajectory Capital, Wesley Barrow, WillowTree Investments</t>
  </si>
  <si>
    <t>www.capchase.com</t>
  </si>
  <si>
    <t>169067-89</t>
  </si>
  <si>
    <t>Republic</t>
  </si>
  <si>
    <t>Operator of an equity crowdfunding platform designed to help private companies connect with investors. The company's platform offers community finance, accredited investment opportunities, full-service tokenization, digital asset management, blockchain advisory, and private institutional capital to help startups raise capital globally, enabling investors access to venture and crypto assets for diversified growth</t>
  </si>
  <si>
    <t>529 Ventures, 7feur, Aditya Nagarsheth, ArkStream Capital, Atreides Management, AU21 Capital, Binance, Blockchain Ventures (CVC), Bogaroo, Borderless Capital, Brevan Howard Asset Management, Brighter Capital, Broadhaven Capital Partners, Calm Ventures, Ceras Ventures, CGV FoF, Chamillionaire, CoinFund, Company Ventures, Daniel Kim, Digital Finance Group, Diverse Angels (Los Angeles), Duro Ventures, East Chain Co, Electric Feel Ventures, Endowment Wealth Management, Esalen Ventures, FBG Capital, Gaingels, Galaxy Interactive, Global Alternative Investment Management, Great Horned Capital, Greycroft, Griffin Gaming Partners, Hack VC, Hamilton Lane, Hashed, Hazoor Capital, Highfield Capital, HOF Capital, Hudson River Trading, Infinity Labs (BVI), J.A.S Ventures, Jeffrey Tarrant, Kaya Ventures, Kopek Ventures, LFG Ventures (VC), Lubos Menus, Lume Capital, Makai VC, MEXC Ventures, Michael Sidgmore, Motley Fool Ventures, Neo Neo, Newman Capital, NGC Ventures(Singapore), Nomura Strategic Ventures, OKX Ventures, Passport Capital, Pentos Ventures, Pillar VC, Prosus Ventures, Realist Ventures, Realm Capital Ventures, Relumin, RenGen (New York), Resolved Ventures, Rogue Capital, Sachse Family Fund, SBX Capital, SNZ Holding, Sophie Liao, Stonewater Ventures, Sunset Ventures (Los Angeles), SuperAngel.Fund, Tao Capital Partners, The Aventures, The Pay It Forward Company, The Players Impact, Tishman Speyer Properties, Toss, Transform Investments, Tribe Capital, Utopian Ventures (San Francisco), Valor Equity Partners, Versatile Venture Capital, Vision Capital Ventures, YZi Labs, ZhenFund, zk Capital</t>
  </si>
  <si>
    <t>www.republic.com</t>
  </si>
  <si>
    <t>183856-42</t>
  </si>
  <si>
    <t>Touch 'n Go</t>
  </si>
  <si>
    <t>E-Commerce, FinTech, Mobile, SaaS, TMT</t>
  </si>
  <si>
    <t>Developer of e-payment technology platform intended to led the digital transformation of Malaysia's progress towards a cashless society. The company's platform offers mobile e-payment services for payments at toll roads, public transportation systems, street parking, and retailers as well as e-commerce services, enabling both retail users and small to mid-sized businesses to meet physical and online payment infrastructure.</t>
  </si>
  <si>
    <t>AIA Group, Ant Group, Bow Wave Capital Management, CIMB Group Holdings, Lazada</t>
  </si>
  <si>
    <t>www.touchngo.com.my</t>
  </si>
  <si>
    <t>267586-66</t>
  </si>
  <si>
    <t>Codat</t>
  </si>
  <si>
    <t>Developer of a data sharing and AI insights platform designed to help financial institutions build connections with their business customers. The company's platform offers features such as spend insights, accounting automation, and business lending solutions, along with robust connectivity with various accounting and ERP systems, enabling businesses to streamline financial operations and make informed credit decisions efficiently.</t>
  </si>
  <si>
    <t>Acequia Capital, AMEX Ventures, Banking Competition Remedies, Canapi Ventures, Index Ventures, J.P. Morgan Growth Equity Partners, Jacob Goodwin, PayPal Ventures, Plaid, Shopify, Tiger Global Management</t>
  </si>
  <si>
    <t>www.codat.io</t>
  </si>
  <si>
    <t>226335-34</t>
  </si>
  <si>
    <t>Access Fintech</t>
  </si>
  <si>
    <t>Risk management</t>
  </si>
  <si>
    <t>Developer of a data and insights network platform designed to enhance efficiencies in financial markets. The company's platform facilitates real-time data collaboration, optimizes workflows, and improves transaction processes while ensuring data transparency and interoperability among various financial institutions, enabling banks and brokers to reduce operational costs and enhance decision-making capabilities.</t>
  </si>
  <si>
    <t>Bank of America, Bank of New York Mellon, BlackRock, BNP Paribas, Citigroup, Credit Suisse First Boston, Dawn Capital, Deutsche Bank, Deutsche Bank Ventures, Engine (Accelerator), Goldman Sachs Growth Equity, JP Morgan Chase, WestCap (New York)</t>
  </si>
  <si>
    <t>www.accessfintech.com</t>
  </si>
  <si>
    <t>126586-00</t>
  </si>
  <si>
    <t>Lithic</t>
  </si>
  <si>
    <t>B2B Payments, FinTech, Mobile, Mobile Commerce, TMT</t>
  </si>
  <si>
    <t>Developer of a card issuing platform designed to facilitate secure online transactions. The company's platform features the ability to prioritize privacy and safety while not compromising financial information, and is convenient to use as compared to a regular credit card, enabling users and enterprises to transact in a secure manner and protect their privacy and security.</t>
  </si>
  <si>
    <t>Alison Rosenthal, Andy Roth, Artisanal Ventures, Bessemer Venture Partners, Blank Ventures, Commerce Ventures, Edward Lando, EmergeVest, Exor, EXOR Seeds, Index Ventures, Jim Messina, Masha Bucher, MasterCard, Not Boring, Pareto Holdings, Quiet Capital, Rainfall Ventures, Rocketship.vc, Spark Capital, Stripes, Teamworthy Group, TriplePoint Capital, Tusk Venture Partners, Walkabout Ventures</t>
  </si>
  <si>
    <t>www.lithic.com</t>
  </si>
  <si>
    <t>265321-36</t>
  </si>
  <si>
    <t>Middesk</t>
  </si>
  <si>
    <t>Developer of an enterprise platform designed to help companies manage risk and compliance at scale, with minimal friction. The company's platform permits organizations to capture, verify, and monitor business credentials for contractual and regulatory compliance and centralizes the credentialing process, enabling clients to accelerate onboarding and increase efficiency.</t>
  </si>
  <si>
    <t>Accel, Canapi Ventures, Daniel Yanisse, Elad Gil, Gaingels, Insight Partners (New York), Jonathan Perichon, Mariam Naficy, Mischief, Pascal Levy-Garboua, Sequoia Capital, Spark Capital, William Hockey, Y Combinator</t>
  </si>
  <si>
    <t>www.middesk.com</t>
  </si>
  <si>
    <t>119609-47</t>
  </si>
  <si>
    <t>Best Egg</t>
  </si>
  <si>
    <t>Developer of an online lending platform designed to make money accessible for people without having an impact on their credit scores. The company's platform offers personal loans, credit cards, and a financial health resource center that are processed online, enabling users to get loans to finance large purchases or consolidate and pay off debt.</t>
  </si>
  <si>
    <t>www.bestegg.com</t>
  </si>
  <si>
    <t>442706-68</t>
  </si>
  <si>
    <t>Juni</t>
  </si>
  <si>
    <t>Developer of an integrated payment service platform designed to get detailed customizable reports on the financials. The company's platform tracks all the funds of a business under one dashboard with a centralized overview of all the bank accounts, networks and payment services, enabling digital entrepreneurs to make better decisions and scale up operations to unleash the full potential of digital commerce.</t>
  </si>
  <si>
    <t>Bonnier Capital, Cherry Ventures, DST Global, EQT Ventures, Felix Capital, FJ Labs, Jarno Vanahatapio, Johan Bendz, Mubadala Capital, Ron Stolero</t>
  </si>
  <si>
    <t>www.juni.co</t>
  </si>
  <si>
    <t>265127-77</t>
  </si>
  <si>
    <t>Klar</t>
  </si>
  <si>
    <t>Developer of a credit card account application intended to offer deposit and credit services for Mexican customers. The company's application provides instant credit and no commission cashback and withdrawal services via a card and mobile application, enabling customers to avail themselves of secure, cost-effective alternatives to traditional credit and debt services.</t>
  </si>
  <si>
    <t>Accion, Acrew Capital, Annelies Gamble, Arc Labs, Aspect Ventures, Banco Santander Mexico, DEG, Endeavor Catalyst, FJ Labs, General Atlantic, Gilgamesh Ventures, Grupo Fórmula, International Finance Corporation, Mouro Capital, Prosus Ventures, Quona Capital, Roosh Ventures, Televisa, Western Technology Investment</t>
  </si>
  <si>
    <t>www.klar.mx</t>
  </si>
  <si>
    <t>127264-60</t>
  </si>
  <si>
    <t>LeafLink</t>
  </si>
  <si>
    <t>Cannabis, Mobile, SaaS</t>
  </si>
  <si>
    <t>Developer of a software ecosystem intended to connect retailers with brands and distributors for streamlined cannabis commerce. The company offers tools to drive brand awareness and boost sales to licensed retailers, upload product menus, track orders, engage with customers, offer preferred pricing and discounts, and find local logistics partners, enabling cannabis brands and retailers to streamline orders and client management.</t>
  </si>
  <si>
    <t>9Yards Capital Management, Benjamin Crane, Brett Harwood, Casa Verde Capital, CD Private Equity, Colgate University, Common Group (United States), CPMG, FJ Labs, Founders Fund, Interplay Ventures, J Heart Ventures, James Cleland, Jonathan Hung, Josh Arbit, Key Investment Partners, KI Capital, L2 Venture, L2 Ventures, Lerer Hippeau, Muse Capital, Nosara Capital, Paul Ciriello, Phyto Partners, Reverb Capital, Talent Resources Ventures, Thermal (Santa Monica), Thrive Capital, TIA Ventures, Tiger Global Management, Wan Zhu, William Hapworth, Wisdom VC</t>
  </si>
  <si>
    <t>www.leaflink.com</t>
  </si>
  <si>
    <t>166672-81</t>
  </si>
  <si>
    <t>LockTrust</t>
  </si>
  <si>
    <t>Developer of an electronic payments processing and funds remittance platform designed to manage payments. The company's platform helps users to handle the entire payment management cycle and maintain multiple accounts and multi-merchant businesses, enabling companies to have multiple banking technologies to handle transactions and enjoy the freedom of flexible accounts for credit, business loans, cash advance, and payroll as well as a pre-paid debit.</t>
  </si>
  <si>
    <t>Financial Attunement, Jean-Marc Landau</t>
  </si>
  <si>
    <t>locktrust.com</t>
  </si>
  <si>
    <t>169207-66</t>
  </si>
  <si>
    <t>Petal.</t>
  </si>
  <si>
    <t>Operator of a credit card company intended to make credit accessible to everyone. The company uses a technology that analyzes an individual's digital financial record and measures objective components of each individual's creditworthiness in real-time, enabling consumers to build credit, track spending, and manage money better, all with no credit score required.</t>
  </si>
  <si>
    <t>www.petalcard.com</t>
  </si>
  <si>
    <t>460203-49</t>
  </si>
  <si>
    <t>Zolve</t>
  </si>
  <si>
    <t>Developer of a neo-banking platform designed to provide consumers with access to financial products. The company's platform aims to create a financial world beyond borders that provides equitable access to global financial products on a single platform, enabling individuals to save money and invest it further, helping them achieve financial freedom to pursue their ambitions.</t>
  </si>
  <si>
    <t>Accel, Alkeon Capital Management, Ashish Gupta, Blume Venture Advisors, Coatue Management, Creaegis, DG Daiwa Ventures, DST Global, Founder Collective, GMO Venture Partners, Greg Kidd, Hard Yaka, HSBC Venture &amp; Growth Investments, HSBC Ventures, Kunal Shah, Lightspeed India Partners, Rahul Kishore, Rahul Mehta, SBI Investment, SoftBank Group, Sparta Group, State Bank of India, Tiger Global Management, TriplePoint Capital</t>
  </si>
  <si>
    <t>www.zolve.com</t>
  </si>
  <si>
    <t>180802-27</t>
  </si>
  <si>
    <t>Tilt Finance</t>
  </si>
  <si>
    <t>Operator of a financial technology company intended to expand access to fair credit. The company's application offers features including cash advance, interest checking, automated savings, personalized recommendations, and budget tracking with financial security through machine learning models, enabling users to access financial knowledge and improve financial outcomes seamlessly.</t>
  </si>
  <si>
    <t>Blackbird Ventures, blisce/, Daniel Scrivner, David Velez, Defy Partners Management, Eagle Point Trinity Senior Secured Lending Company, Heliad, Icon Ventures, Initialized Capital, Joel Moxley, Launchpad Capital, Neo (Consulting Services (B2B)), Nimble Partners, Noemis Ventures, Quiet Capital, Sequoia Capital, SM Ventures, South Park Commons, Tim Lee</t>
  </si>
  <si>
    <t>tilt.com</t>
  </si>
  <si>
    <t>431203-33</t>
  </si>
  <si>
    <t>Neo Financial</t>
  </si>
  <si>
    <t>Developer of a digital banking platform designed to provide credit cards and deposit accounts for personal financial management. The company offers secured credit cards, cashback rewards programs, and insured chequing and savings accounts through banking partnerships, enabling consumers to build credit history and manage everyday spending.</t>
  </si>
  <si>
    <t>10X Capital, Afore Capital, Alberta Investment Management, Altos Ventures, Alumni Ventures, Blank Slate Ventures, Blank Ventures, Breyer Capital, C100 (Commercial Services), Caldwell Growth Opportunities Fund, David Baszucki, District Ventures Capital, Evolution (Venture Capital), FJ Labs, Gaingels, Golden Ventures, Greenoaks, Harvest Venture Partners, Inovia Capital, Knollwood Investment Advisory, Ligo Partners, Manitoba Government, Maple VC, Michael Wessinger, Northleaf Capital Partners, Peter Thiel, Plaza Asset Management, Sandstone Asset Management, Spring St. Group, Stewart Butterfield, Thomvest Ventures, TLG Capital Management, Tobi Lütke, Tribe Capital, Valar Ventures, Ventura Capital</t>
  </si>
  <si>
    <t>www.neofinancial.com</t>
  </si>
  <si>
    <t>301011-22</t>
  </si>
  <si>
    <t>M2P Fintech</t>
  </si>
  <si>
    <t>Operator of a comprehensive fintech platform intended to facilitate digital payment processing and banking services. The company offers features such as a unified API for seamless integration, support for various payment methods, including cards and wallets, and compliance with regulatory standards, enabling businesses and financial institutions to enhance payment capabilities, streamline operations, and improve customer experiences in a rapidly evolving digital economy.</t>
  </si>
  <si>
    <t>Abhishant Pant, Alok Mittal, Amrish Rau, Ashneer Grover, Astir Ventures, Bank Muscat, BEENEXT Capital Management, BetaPlus (India), Better Capital (California), Cedar-IBSi FinTech lab, DMI Finance, Emphasis Ventures (EMVC), Flourish Ventures, Helios Investment Partners, Incubate Fund Asia, Insight Partners (New York), iSeed (India), Jitendra Gupta, Jitendra Gupta, Kunal Shah, MUFG Innovation Partners, Nexus Venture Partners, Omidyar Network, Peifu Hsieh, QED Innovation Labs, Rainmatter Capital, SMBC Asia Rising Fund, Sparkle Fund, Sprout Venture Partners, Superb Capital, Taj Investment Holdings, The Fintech Meetup, Tiger Global Management, Vikram Chachra, Visa, White Whale Ventures</t>
  </si>
  <si>
    <t>www.m2pfintech.com</t>
  </si>
  <si>
    <t>118373-77</t>
  </si>
  <si>
    <t>Willow Wealth</t>
  </si>
  <si>
    <t>Developer of a digital wealth management platform designed to provide access to institutional investment products. The company's platform connects accredited investors to asset-based investment opportunities across multiple asset classes, enabling investors to easily invest in alternative investments and provide borrowers with affordable capital.</t>
  </si>
  <si>
    <t>166 2nd Financial Services, Amber Arbucci, Andrew Perry, Anthony Coelho, Beedie Capital, Calm Ventures, Capital V Strategies, Cordoba Advisory Partners, Court Cunningham, Donald Marron, Edison Partners, Expansion Venture Capital, FJ Labs, Gaingels, General Catalyst, Greycroft, Khosla Ventures, Kingfisher Capital, Kingfisher Investment Advisors, Mayfair Equity Partners, Rahul Gupta, Raine Ventures, Ray Lewis, Raymond James (Toronto), RedBird Capital Partners, Saturn Partners, Soros Fund Management, StepStone Group, Stratos Technologies, Tarsadia Investments, TFO The Family Office, Thrive Capital, Todd Deutsch, Top Tier Capital Partners, Transform Capital (San Francisco), Will Coffield</t>
  </si>
  <si>
    <t>www.willowwealth.com</t>
  </si>
  <si>
    <t>521195-86</t>
  </si>
  <si>
    <t>Moment</t>
  </si>
  <si>
    <t>Developer of an artificial intelligence operating system designed to automate fixed income trading and wealth management workflows. The company utilizes automated compliance checks, algorithmic execution engines, and unified institutional data systems, enabling wealth management firms, financial advisors, and institutional investors to streamline investment research, optimize portfolio allocation, and execute fixed income trades within a single system.</t>
  </si>
  <si>
    <t>Andreessen Horowitz, Avra, Contrary (San Francisco), Evolution (Venture Capital), Henry Kravis, Index Ventures, Lightspeed Venture Partners, Neo (Consulting Services (B2B)), Neo (Corporation), Sequoia Capital, Socially Financed, T0 Ventures, The Fintech Fund, Venrock</t>
  </si>
  <si>
    <t>www.moment.com</t>
  </si>
  <si>
    <t>277849-45</t>
  </si>
  <si>
    <t>Prizeout</t>
  </si>
  <si>
    <t>AdTech, FinTech, Marketing Tech</t>
  </si>
  <si>
    <t>Operator of an ad-tech company intended to facilitate user acquisition in the space of digital gift card redemption. The company's platform helps users make a profit from the cashout process in terms of customer acquisition, retention, and loyalty, enabling clients to have value and flexibility and impact their money.</t>
  </si>
  <si>
    <t>Aermont Capital, Anchor Capital GP, Astralis Capital, Avenue H Capital, Beyond (Greenwich), Chaos Ventures (New York), Coelius Capital, Gaingels, Hands On Angel, Jeff Liboon, Launchpad Capital, Mark Cuban, MGV Capital Group, Natural Bridge Ventures, Perella Weinberg Partners, Permit Ventures, Preceptor Capital, Private Ventures Group, Really Cool, Reseda Group, RiverPark Ventures, Sprint VC</t>
  </si>
  <si>
    <t>www.prizeout.com</t>
  </si>
  <si>
    <t>124629-22</t>
  </si>
  <si>
    <t>Stockbit</t>
  </si>
  <si>
    <t>Operator of an investment platform intended to share stock-related ideas, news, and other financial information in real-time. The company's platform monitors stock price charting platforms to show stock valuation and offer complete financial data, and also permits investors to share information and ideas that are focused solely on the Indonesian market and individual stocks, enabling individuals and investors to discuss, analyze, and make informed investment decisions.</t>
  </si>
  <si>
    <t>500 Global, 500 Southeast Asia, Aceville, ACV Capital, Analog Capital, Andreas Handayanto, Archipelago Investment Partners, Asia Growth Capital Advisors, B Capital Partners, Convergence Ventures, David Soukhasing, East Ventures, FreakOut Holdings, Golden Summit International, Harvard Management Company, Ideosource, LightVC, Peak XV Partners, Priscilla Masagung, Prosus Ventures, Rondy Yong, Sequoia Capital</t>
  </si>
  <si>
    <t>www.stockbit.com</t>
  </si>
  <si>
    <t>230727-16</t>
  </si>
  <si>
    <t>STORES</t>
  </si>
  <si>
    <t>E-Commerce</t>
  </si>
  <si>
    <t>Operator of an e-commerce service platform designed to support economic development driven by commitment, passion, and fun. The company's platform offers digitalization of businesses through its digital store platform, online store establishment service, and a cashless payment terminal, enabling firms to seamlessly transition to the digital economy.</t>
  </si>
  <si>
    <t>Anatole Investment, ANRI, Bain Capital Tech Opportunities, Bonds Investment Group, Credit Saison, Dawn Capital (Tokyo), Dentsu Innovation Partners, GV, Innovation Network Corporation of Japan, Japan Policy Finance Corporation, Mitsubishi UFJ Capital, Mitsui Sumitomo Kaijo Capital, PayPal Ventures, SBI Investment, Seibu Shinkin Capital, Sumitomo Mitsui Marine Capital, The Goldman Sachs Group, WiL (World Innovation Lab), YJ Capital, Z Venture Capital</t>
  </si>
  <si>
    <t>www.st.inc</t>
  </si>
  <si>
    <t>63910-54</t>
  </si>
  <si>
    <t>Raisin</t>
  </si>
  <si>
    <t>Operator of an online financial marketplace intended to provide users with access to better deposit rates across Europe. The company's platform features an option to choose savings and investment products, ranging from overnight flexible savings to long-term deposits and other offers from several institutions in Europe, enabling individuals and businesses to earn returns by depositing money in different banks with competitive interest rates.</t>
  </si>
  <si>
    <t>Alpha Protocol Ventures, Avala Capital, b2venture, Binomial Ventures, BlueLion Incubator, Deutsche Bank Ventures, FJ Labs, Frühstarter Ventures, Futury Capital, German Accelerator, Goldman Sachs Growth Equity, Greycroft, Headline, Hedosophia, Heliad, Index Ventures, Intersection Growth Partners, M&amp;G, Macquarie Investment Management Austria Kapitalanlage, Orange Ventures, PayPal Ventures, Phoenix Court, Raffay, Ribbit Capital, The Goldman Sachs Group, Thiel Capital, Thrive Capital, Tom Stafford, Top Tier Capital Partners, Vinthera, Vitruvian Partners, XAnge, Yuri Milner</t>
  </si>
  <si>
    <t>www.raisin.com</t>
  </si>
  <si>
    <t>185633-38</t>
  </si>
  <si>
    <t>Brighte</t>
  </si>
  <si>
    <t>CleanTech, Climate Tech, FinTech, SaaS</t>
  </si>
  <si>
    <t>Developer of an automated digital application designed to facilitate interest-free payments on home energy and improvements. The company's platform focuses on funding renewable consumer energy upgrades such as solar, batteries, electric vehicles, and other energy-efficient technologies, enabling homeowners to get access to the new innovations in energy sources like solar and battery storage.</t>
  </si>
  <si>
    <t>Airtree Ventures, Grok Ventures, KPMG mLabs, Naomi Milgrom, Qualgro, Scott Farquhar, Skip Capital, Tripple</t>
  </si>
  <si>
    <t>www.brighte.com.au</t>
  </si>
  <si>
    <t>442766-44</t>
  </si>
  <si>
    <t>Highnote</t>
  </si>
  <si>
    <t>Developer of a unified virtual payment platform designed to handle complex payment processing business flows. The company's platform is extensible through a developer-friendly open application programming interface that uses a fully integrated issuer processor to offer control, flexibility and speed, enabling merchants and businesses to accelerate their growth through digital transformation to grow customer loyalty, engagement and revenue.</t>
  </si>
  <si>
    <t>Adams Street Partners, Costanoa Ventures, Oak HC/FT, Omega Venture Partners, Pinegrove Venture Partners, Renaud Laplanche, Spring Creek Partners, SVB Capital, WestCap (New York), William Ready, XYZ Venture Capital</t>
  </si>
  <si>
    <t>www.highnote.com</t>
  </si>
  <si>
    <t>482316-67</t>
  </si>
  <si>
    <t>Loop (Chicago)</t>
  </si>
  <si>
    <t>Developer of a logistics payments platform designed to automate the invoice-to-payment cycle. The company's AI-driven platform digitizes all freight documents, performing real-time invoice audits and facilitating payments, enabling companies to reduce costs and control working capital.</t>
  </si>
  <si>
    <t>8VC, 9Yards Capital Management, A.P. Moller - Maersk, Applico Capital, Arcturus Venture, Atacama Ventures, Bhansali Equities, Expa, Flexport, Founders Fund, Four More Capital, Index Ventures, J.P. Morgan Growth Equity Partners, Kivu Ventures, Latitude Ventures (New York), Lineage, Mark Pincus, MaRS Investment Accelerator Fund, McVestCo, Nichole Wischoff, Northstar.VC, OEL Ventures, Operator Stack, Raptor Group, Saltwater Capital, Susa Ventures, Tao Capital Partners, Team Ignite Ventures, Valor Equity Partners, Wischoff Ventures</t>
  </si>
  <si>
    <t>www.loop.com</t>
  </si>
  <si>
    <t>458494-66</t>
  </si>
  <si>
    <t>Parafin</t>
  </si>
  <si>
    <t>Provider of an end-to-end payment processor intended to offer one-click financing to sellers on online platforms. The company offers customized, embedded financial products through platforms, such as on-demand marketplaces, point-of-sales systems and vertical SaaS, enabling retail sellers to grow the gross merchandising volume and unlock a new revenue stream.</t>
  </si>
  <si>
    <t>Akshay Kothari, Baiju Bhatt, Broocknell Ventures, Enterprise Holding (Singapore), GIC Private, Greenoaks, Henry Ward, Index Ventures, Jasmine Ventures, Mischief, Notable Capital, Original Capital, Pathlight Ventures, Redpoint Ventures, Ribbit Capital, Ryan King, Shrey Shahi, Silicon Valley Bank, Stanley Tang, Stonewater Ventures, SV Angel, Talok Capital, Thrive Capital, Trinity Capital (Phoenix), Vlad Tenev</t>
  </si>
  <si>
    <t>www.parafin.com</t>
  </si>
  <si>
    <t>183405-43</t>
  </si>
  <si>
    <t>Stashfin</t>
  </si>
  <si>
    <t>Provider of digital lending services intended to empower customers by improving their financial health. The company provides loans related to personal, cash, small, instant, and marriage as well as private, unsecured, medical, home renovation, debt consolidation, travel, mobile, and laptop, enabling customers by offering a transparent, frictionless, and instant personal loan experience safely and securely.</t>
  </si>
  <si>
    <t>Abstract Ventures, Altara Ventures, Alteria Capital, Analog Capital, Fasanara Capital, growX Ventures, Integrated Capital, Invariantes Fund, JDAC Capital, Positive Moves, Pramod Kabra, Praveen Malhotra, Ranu Vohra, Raoul Bajaj, Saison Capital, Snow Leopard Ventures, Tencent Cloud, Tencent Holdings, Uncorrelated Ventures, Vibhav Dhawan</t>
  </si>
  <si>
    <t>www.stashfin.com</t>
  </si>
  <si>
    <t>267423-76</t>
  </si>
  <si>
    <t>Wrapbook</t>
  </si>
  <si>
    <t>Artificial Intelligence &amp; Machine Learning, FinTech, HR Tech, SaaS</t>
  </si>
  <si>
    <t>Operator of a payroll and production management platform intended to make accounting easier and more secure. The company's platform offers onboarding and digital payment services for vendors and contractors, as well as features tax filing and payments, billable time tracking, and expense approval, to streamline payroll processes and manage production finances efficiently, enabling production teams to focus on their work, save time, maintain compliance, and increase operational efficiency.</t>
  </si>
  <si>
    <t>4S Bay Partners, A*, Andreessen Horowitz, Bessemer Venture Partners, Equal Ventures Management, Field Ventures (New York), Firebolt Ventures, GreenHawk Corporation, Jeffrey Katzenberg, Michael Ovitz, New York University, NYU Entrepreneurial Institute, One Planet Group, Plexo Capital, Steven Sarowitz, Tiger Global Management, Uncork Capital, WndrCo</t>
  </si>
  <si>
    <t>www.wrapbook.com</t>
  </si>
  <si>
    <t>156488-14</t>
  </si>
  <si>
    <t>Squire Technologies</t>
  </si>
  <si>
    <t>Developer of a barbershop management software designed to help barbers and shop owners operate businesses with cashless and contactless pay transactions. The company's application has the capability to serve independent professionals, stand-alone locations, and multi-location franchises, with tools such as point of sale, scheduling, payroll, customer relationship management, and a host of other features, enabling barbers to manage waitlists, set up loyalty programs, have customers book and pay for services, and much more.</t>
  </si>
  <si>
    <t>43North, 645 Ventures, Ara Mahdessian, Aurum Partners, Base10 Partners, Blake Chandlee, Blue Fog Capital, Charles Phillips, Comcast Ventures, Craig Courtemanche, CRV, Debut Capital, Endeavor Catalyst, ICONIQ Growth, Jesse Middleton, Kima Ventures, Michael Seibel, Naveen Jain, New General Market Partners, New Markets Venture Partners, Noemis Ventures, Open Opportunity Fund, Paul Buchheit, Paul Judge, Pharrell Williams, Quincy Jones, San Francisco 49ers, SoftBank Group, Stephen Curry, TechSquare Labs, Techstars, Tiger Global Management, Trevor Noah, Trinity Ventures, Vahe Kuzoyan, WeWork, Y Combinator, Zoran Usancevic</t>
  </si>
  <si>
    <t>www.getsquire.com</t>
  </si>
  <si>
    <t>327111-04</t>
  </si>
  <si>
    <t>Teamshares</t>
  </si>
  <si>
    <t>PIPE</t>
  </si>
  <si>
    <t>Operator of an employee ownership platform intended to offer liquidity to small entrepreneurs through buyouts. The company's platform specializes in buying small businesses from retiring owners while retaining all employees and earned stock in the company which continues to be independent, offers leadership, financial education, equity management software and financial products, enabling lenders, brokers and owners to be provided with help to keep their legacy and work culture intact.</t>
  </si>
  <si>
    <t>Live Oak Acquisition</t>
  </si>
  <si>
    <t>www.teamshares.com</t>
  </si>
  <si>
    <t>52260-85</t>
  </si>
  <si>
    <t>YapStone</t>
  </si>
  <si>
    <t>B2B Payments, E-Commerce, FinTech, Mobile, Mobile Commerce, SaaS</t>
  </si>
  <si>
    <t>Developer of a global payments platform designed to power electronic payments. The company's platform provides a portfolio of online and mobile payments to monetize transactions flowing through the platforms and improve conversion while minimizing capital and operational expenses for sharing economy marketplaces, enabling marketplace and software customers to take advantage of the full range of payment methods for consumers through flexible global payouts to merchants, instant and deferred funding, and split payments functionality.</t>
  </si>
  <si>
    <t>Comerica, Knickerbocker Capital (New York), Koa Labs, MasterCard</t>
  </si>
  <si>
    <t>www.yapstone.com</t>
  </si>
  <si>
    <t>494027-92</t>
  </si>
  <si>
    <t>Oxyzo</t>
  </si>
  <si>
    <t>Provider of financial services intended to transform small and medium enterprises into large enterprises. The company offers customized credit services that are typically offered at low-interest rates, collateral-free credit options, and quick loan processing timelines, enabling small and medium enterprises to expand their operations, increase revenue, and consequently improve their profit margins.</t>
  </si>
  <si>
    <t>Alpha Wave Global, Chimera Capital, Creation Investments Capital Management, Norwest, Tiger Global Management, Z47</t>
  </si>
  <si>
    <t>www.oxyzo.in</t>
  </si>
  <si>
    <t>433064-08</t>
  </si>
  <si>
    <t>Check (New York)</t>
  </si>
  <si>
    <t>Developer of a payroll platform designed to scale business without growing the team. The company's platform provides tools to automate direct deposit, tax calculation, filing, and remittance, all via application programming interface, eliminating the need for integrations to sync, additional logins to remember, or PDFs to export, enabling developers to create payroll products efficiently.</t>
  </si>
  <si>
    <t>ASDF Ventures, Bedrock (Financial Services), Contrary (San Francisco), Index Ventures, Mischief, Pascal Capital, Stripe, Thrive Capital</t>
  </si>
  <si>
    <t>www.checkhq.com</t>
  </si>
  <si>
    <t>343169-38</t>
  </si>
  <si>
    <t>Neo Capital</t>
  </si>
  <si>
    <t>Provider of loan and wealth management services. The company mainly provides integrated wealth management and lending services to users through its online financial platform, effectively improving lending safety and wealth management efficiency.</t>
  </si>
  <si>
    <t>www.xiaoniu66.com</t>
  </si>
  <si>
    <t>223497-73</t>
  </si>
  <si>
    <t>PaySend</t>
  </si>
  <si>
    <t>Developer of a payment application intended to transact in multiple currencies. The company's application offers a multi-currency global account with a proxy card technology that allows customers to avoid cross-border fees and manage their money using real exchange rates, enabling customers to send and receive money worldwide at a fixed low price.</t>
  </si>
  <si>
    <t>Claret Capital Partners, Digital Space Ventures, Global Venture Alliance, Graphene Ventures, Hermes GPE, InfraVia Capital Partners, London Technology Club, MARCorp Financial, Marko Sjoblom, MasterCard, One Peak Partners, Plug and Play Tech Center</t>
  </si>
  <si>
    <t>www.paysend.com</t>
  </si>
  <si>
    <t>231447-25</t>
  </si>
  <si>
    <t>Colendi</t>
  </si>
  <si>
    <t>Developer of an embedded finance and AI-driven digital banking ecosystem intended to offer access to credit, savings, investments and banking services. The company offers alternative credit-scoring based on secure on-device data, micro-credit and BNPL options, global investment instruments and personalized AI tools, enabling individuals and small businesses in emerging and regulated markets to build financial credibility and manage money effortlessly.</t>
  </si>
  <si>
    <t>Altun Capital, Citi Ventures, Endeavor Turkiye, Finberg, Hedef Girisim Sermayesi Yatırım Ortaklıgı, ITK Ventures, Migros Ticaret, ODS Investor, Platform XIT, Re-Pie Portfolio Management, RePie Yatırım Holding, Sepil Ventures, Startupfon, Turcorn 100</t>
  </si>
  <si>
    <t>www.colendi.com</t>
  </si>
  <si>
    <t>97863-85</t>
  </si>
  <si>
    <t>Kiavi</t>
  </si>
  <si>
    <t>FinTech, Mortgage Tech, Real Estate Technology</t>
  </si>
  <si>
    <t>Operator of a technology-enabled lending platform intended to provide financing to residential real estate investors. The company offers fix-and-flip loans, bridge loans, new construction financing, rental property loans, and jumbo loans, enabling clients to purchase, renovate, build, and finance residential investment properties across multiple U.S. markets.</t>
  </si>
  <si>
    <t>Acequia Capital, Acurio Ventures Partners, Antonio Osio, Ariel Poler, Benefit Street Partners, Cowboy Ventures, DHVC, Fabrice Grinda, First Round Capital, FJ Labs, Foundation Capital, Gore Creek Partners, Grupo de Inversiones Suramericana, Innovation Industrial Technology Transfer, Inside Capital, Jared Kopf, Jeffrey Huber, Jose Marin, Lee Linden, MicroVentures, Moatable, MVC (New York), Noah Holdings, Quiet Capital, R136 Ventures, Ribbit Capital, Rodolfo Gonzalez, SAB Capital, Sberbank, SBI Investment, Section Partners, Stella Maris Partners, Upshift Capital, Veronorte, Woori Technology Investment Company, ZMT Capital</t>
  </si>
  <si>
    <t>www.kiavi.com</t>
  </si>
  <si>
    <t>436596-85</t>
  </si>
  <si>
    <t>Zeller</t>
  </si>
  <si>
    <t>Developer of business finance technology intended to manage money, track expenses, and earn from capital. The company offers a portable electronic funds transfer at point of sale machine with direct connectivity with the bank account for transfer of funds and tools for business transaction accounts, in-store or online payments, invoicing, and more, enabling businesses to accept payments, manage finances, and pay recipients.</t>
  </si>
  <si>
    <t>Addition, Apex Capital Partners, Headline, Hostplus Superannuation Fund, Spark Capital</t>
  </si>
  <si>
    <t>www.myzeller.com</t>
  </si>
  <si>
    <t>180702-10</t>
  </si>
  <si>
    <t>BangSun Technology</t>
  </si>
  <si>
    <t>Artificial Intelligence &amp; Machine Learning, Big Data, FinTech, Robotics and Drones, TMT</t>
  </si>
  <si>
    <t>Developer of a real-time financial risk management platform created to provide risk management products for areas including ticketing, transport, telecom and public security. The company's financial risk management platform develops real-time risk control system for the financial sector and anti-fraud products, based on a number of core technologies including device fingerprint, proxy IP recognition, suspicious communication recognition, risk control engines, machine learning and workflow management. Its services include payment anti-fraud, application anti-fraud, Internet lending, data service, robot defense and anti-money, enabling businesses to get safe and secure financial transactions.</t>
  </si>
  <si>
    <t>Co-Stone Capital, FG Venture, Fortune Capital, Hunan High-Tech Investment Group, Jinghong Capital, Kelly Yifang Capital, Legend Capital, MFund, NSFOCUS, SDIC Venture Capital, VT Ventures, Xinglu Investment, Zheshang Venture Capital</t>
  </si>
  <si>
    <t>www.bsfit.com</t>
  </si>
  <si>
    <t>181975-69</t>
  </si>
  <si>
    <t>Halo Investing</t>
  </si>
  <si>
    <t>Developer of an investment platform designed to democratize access to protective investments. The company's platform connects advisors and investors with global financial institutions to analyze, purchase, and manage structured investment products including market-linked certificates of deposit, buffered exchange-traded funds, and annuities, and digital execution capabilities, enabling financial professionals to incorporate protective investment strategies into client portfolios efficiently and at scale.</t>
  </si>
  <si>
    <t>Abu Dhabi Catalyst Partners, Allianz Life Ventures, Alumni Ventures, Blank Ventures, Castellan Group, G Squared, Koch, Mubadala Investment Company, Owl Capital, Piton Investment Management, Terrence Murphy Companies, Triumph Capital China, William Blair &amp; Company</t>
  </si>
  <si>
    <t>www.haloinvesting.com</t>
  </si>
  <si>
    <t>178231-60</t>
  </si>
  <si>
    <t>10x Banking</t>
  </si>
  <si>
    <t>Operator of a digital banking platform intended to navigate and solve changing customer trends, market conditions, and regulatory requirements. The company's platform specializes in providing financial services based on open banking principles, covering banking process automation, compliance reporting, security, and analytics, enabling banks to drive cost-efficiency and connect customer interfaces in their systems.</t>
  </si>
  <si>
    <t>Activant Capital, AshGrove Capital, Blackrock Innovation Capital Group, CPP Investments, JP Morgan Chase, NBS Ventures, Ping An Voyager Partners, WestPac Companies</t>
  </si>
  <si>
    <t>www.10xbanking.com</t>
  </si>
  <si>
    <t>233935-66</t>
  </si>
  <si>
    <t>Addi</t>
  </si>
  <si>
    <t>Artificial Intelligence &amp; Machine Learning, Big Data, FinTech, Mobile, SaaS</t>
  </si>
  <si>
    <t>Developer of a consumer finance platform designed to promote digital commerce with a buy now, pay later facility. The company's platform allows users to apply for credit at the moment of purchase in the stores of their allied business partners with interest-free installment payments, enabling borrowers to get affordable loans for their shopping needs.</t>
  </si>
  <si>
    <t>8VC, Accion, AlleyCorp, Andreessen Horowitz, BBVA Spark, BTG Pactual, Citius, Decart Ventures, Diligent Capital Partners, Endeavor Catalyst, Enterprise Holding (Singapore), Esteban Reyes, Fasanara Capital, Flashpoint Venture Capital Group, Fortius Ventures, Foundation Capital, Gaingels, GIC Private, Greycroft, Hans Tung, Huey Ru Lin, Intersection Growth Partners, Jon Ardrey, Michael Sidgmore, Monashees, Nonlinear Capital, Notable Capital, Notion Capital, Quona Capital, Scott Weiss, Socii Capital, SoftBank Group, Spectra Investments, SquareOne Capital, The Goldman Sachs Group, The Marathon Fund (Washington), Tom Stafford, Union Square Ventures, Village Global, Wayra</t>
  </si>
  <si>
    <t>co.addi.com</t>
  </si>
  <si>
    <t>152767-81</t>
  </si>
  <si>
    <t>AutoFi</t>
  </si>
  <si>
    <t>Developer of a digital automotive sales and financing platform designed to help prospective car buyers purchase and finance vehicles from a dealership's website. The company's platform connects car buyers to authorized dealerships and lenders to automate the car buying process through the mobile application, including vehicle selection and financing process, enabling customers to get financing and purchase vehicles in a hassle-free way.</t>
  </si>
  <si>
    <t>500 Global, Adam Carver, BMW i Ventures, Bruce Toll, Crosslink Capital, Eniac Ventures, Fabrice Grinda, FJ Labs, Ford Motor Credit Company, Hard Yaka, Laconia Capital Group, Lerer Hippeau, Max Ventures, Paul Holliman, Reshape Ventures, Sandy Cass, Santander Consumer USA, SVB Financial Group, ZenStone Venture Capital</t>
  </si>
  <si>
    <t>www.autofi.com</t>
  </si>
  <si>
    <t>121415-77</t>
  </si>
  <si>
    <t>ClearScore Technology</t>
  </si>
  <si>
    <t>Provider of a financial platform designed to access credit scores and reports for free. The company provides free credit scores, credit reports, dark web monitoring, affordability assessments and open banking insights, enabling consumers to manage financial health and access personalized credit products.</t>
  </si>
  <si>
    <t>And Rising, Blenheim Chalcot, Brightbridge Ventures, ESAS Holding, Invus Opportunities, Lead Edge Capital, QED Investors, Salica Investments</t>
  </si>
  <si>
    <t>www.clearscore.com</t>
  </si>
  <si>
    <t>166205-17</t>
  </si>
  <si>
    <t>Ethic</t>
  </si>
  <si>
    <t>Developer of a data-driven technology platform designed to offer simplified financial planning services and portfolios. The company's platform leverages investment consulting technology that creates sustainable portfolios that are optimized to reduce tracking error to the underlying passive index against well-established benchmarks, enabling family offices, health advisers and endowment foundations to provide customized sustainability insights and optimized passive portfolio construction for their clients.</t>
  </si>
  <si>
    <t>500 Global, 77 Ventures, 9Yards Capital Management, Access Ventures, Adam Milgrom, Ashby Monk, Big Sky Partners, Blackbird Ventures (US), Blackhorn Ventures, Cantos Ventures, Cordes Foundation, Farvatn Venture, Fidelity, Fifty Years, Generation Investment Management, Jake Gibson, Jordan Park Group, Justin Rockefeller, Kapor Capital, Kima Ventures, Mitchell Kapor, Nicholas Crocker, Nyca Partners, Oak HC/FT, One World, Sagana, Sound Ventures, State Street Investment Management, ThirdStream Partners, UBS Group, Urban Innovation Fund</t>
  </si>
  <si>
    <t>www.ethic.com</t>
  </si>
  <si>
    <t>436757-86</t>
  </si>
  <si>
    <t>Fonoa</t>
  </si>
  <si>
    <t>Developer of tax automation and compliance software designed to help companies streamline the entire transactional chain. The company's software helps to automatically determine and calculate a tax rate and amount to apply to the sales transactions, as well as offers invoicing compliance, country reporting, issuance of fully VAT-compliant invoices, tax compliance, and other related services, enabling tax managers to manage their obligations without stress.</t>
  </si>
  <si>
    <t>9Yards Capital Management, A*, Allison Allen, Carlos Gonzalez-Cadenas, Coatue Management, Dawn Capital, Eurazeo, Feldsmith Capital, FJ Labs, Forestay Capital, Gautam Gupta, Gergely Orosz, Headline, Highfield Capital, Index Ventures, Jacques Erasmus, Karman Ventures, Kevin Hartz, Mandeep Singh, Matt Robinson, OMERS Ventures, Pirque, Prabir Adarkar, Prototype Capital (San Francisco), R&amp;H Fund Services (Edinburgh), Sprint VC, Stonewater Ventures</t>
  </si>
  <si>
    <t>www.fonoa.com</t>
  </si>
  <si>
    <t>439260-40</t>
  </si>
  <si>
    <t>Hebbia</t>
  </si>
  <si>
    <t>Financial agent infrastructure</t>
  </si>
  <si>
    <t>Artificial Intelligence &amp; Machine Learning, FinTech, Legal Tech, SaaS</t>
  </si>
  <si>
    <t>Developer of an artificial intelligence platform designed to support knowledge work through task breakdown and document analysis. The company offers AI agents that interpret and process complex tasks into smaller actions, enabling professionals in finance, law, and large organizations to extract, organize, and review large volumes of documents using generative models.</t>
  </si>
  <si>
    <t>9Yards Capital Management, Abstract Ventures, Access Ventures (New York), Adam Naor, Andreessen Horowitz, Avra, Cory Levy, DataPower Capital, Eric Schmidt, Floodgate, GV, Heroic Ventures, Human Capital, Index Ventures, Jerry Yang, Kavitark Shriram, Kevin Hartz, Marty Chavez, Michael Fertik, Naval Ravikant, Peter Thiel, Plug and Play Tech Center, Presight (Abu Dhabi), Radical Ventures, Ram Shriram, Rigby Technology Investments, Sherpalo Ventures, Shorooq Partners, Stanley Druckenmiller, Zain S Hasan Charitable Remainder Trust</t>
  </si>
  <si>
    <t>www.hebbia.com</t>
  </si>
  <si>
    <t>265190-14</t>
  </si>
  <si>
    <t>Unit21</t>
  </si>
  <si>
    <t>Artificial Intelligence &amp; Machine Learning, Cybersecurity, FinTech</t>
  </si>
  <si>
    <t>Developer of an AI-powered financial crime prevention platform designed to help financial institutions detect, investigate, and prevent fraud and money laundering. The company offers real-time fraud monitoring, AML transaction monitoring, sanctions screening, case management, regulatory filing, and AI-driven investigation agents, enabling banks and fintechs to automate compliance, reduce fraud losses, and improve alert accuracy across global operations.</t>
  </si>
  <si>
    <t>A.Capital Ventures, Andrew Wilkinson, Christopher Britt, Commerce.Innovated, Core Innovation Capital, Diane Greene, Esalen Ventures, Gaingels, Gradient Ventures, ICONIQ Growth, Kearny Jackson, Liquid 2 Ventures, Mana Ventures, Michael Vaughan, Olima Ventures, Ryan King, Samuel Hodges, Script Capital (United States), South Park Commons, Sumit Agarwal, SV Angel, Tiger Global Management, Uncorrelated Ventures, Vibe Capital, Village Global, William Hockey</t>
  </si>
  <si>
    <t>www.unit21.ai</t>
  </si>
  <si>
    <t>222753-16</t>
  </si>
  <si>
    <t>Clarity AI</t>
  </si>
  <si>
    <t>Artificial Intelligence &amp; Machine Learning, Big Data, CleanTech, Climate Tech, FinTech, SaaS</t>
  </si>
  <si>
    <t>Developer of a sustainability technology platform designed to deliver environmental and social insights. The company's platform uses machine learning and big data to contribute to socially efficient capital allocation by providing decision-makers with the tools to understand the capabilities of sustainability analysis related to investing, corporate research, benchmarking, consumer e-commerce, and regulatory reporting, enabling investors to assess the sustainability of all societal stakeholders.</t>
  </si>
  <si>
    <t>14W, Atempo Growth, Balderton Capital, BlackRock, DB1 Ventures, Deutsche Börse, Fifth Wall, Founders Fund, Jonathan Ive, Kibo Ventures, Matthew Freud, Mundi Ventures, Seaya Capital Gestion SGEIC, SoftBank Investment Advisers</t>
  </si>
  <si>
    <t>www.clarity.ai</t>
  </si>
  <si>
    <t>458583-04</t>
  </si>
  <si>
    <t>Sardine</t>
  </si>
  <si>
    <t>Developer of a device intelligence platform designed to provide risk and fraud infrastructure for the online economy. The company's platform uses artificial intelligence and risk engine software that personalizes and reduces sign-up friction while increasing fraud detection through several data points screened in real time about the device, browser, and behavioral biometrics, enabling companies to build the risk and fraud layer of the fintech infrastructure and reduce costs in the ecosystem.</t>
  </si>
  <si>
    <t>11.2 Capital, Activant Capital, Adam Nash, Albert Cheng, Alloy Labs, Andreessen Horowitz, Ankit Jain, Anthony Kline, Coinbase Ventures, ConsenSys, Cristian Strat, Cross Creek Advisors, Cross River Digital Ventures, Dan Romero, David Roeske, DCG Expeditions, Eric Schmidt, Essence Venture Capital, Evolution (Venture Capital), Expansion Capital, Experian Ventures, Factorial Funds, Fidelity National Information Services, FIS Fintech Accelerator, FJ Labs, Geodesic Capital, George Easley, GV, Helios Investment Partners, Independent Community Bankers of America, ING Ventures, ISV Startup Springboard, John Lilly, Linda Xie, Mircea Pasoi, Moody's Analytics, National Bank of Canada, NAventures, Nico Chinot, Nyca Partners, Ranjan Reddy, Roger Chen, Serunjogi Ventures, Sound Ventures, Stephen Huynh-Ufford, Sweat Equity Ventures, The General Partnership, The Venture Center, Uniswap Labs Ventures, University Growth Fund, Vikram Pandit, Village Global, Visa, XYZ Venture Capital</t>
  </si>
  <si>
    <t>www.sardine.ai</t>
  </si>
  <si>
    <t>89601-85</t>
  </si>
  <si>
    <t>Matchmove</t>
  </si>
  <si>
    <t>Artificial Intelligence &amp; Machine Learning, B2B Payments, Cryptocurrency/Blockchain, FinTech, InsurTech, Mobile, Mobile Commerce, SaaS</t>
  </si>
  <si>
    <t>Developer of a Banking-as-a-Service platform designed to help businesses embed financial services into their offerings. The company offers an integrated software infrastructure that supports payments, deposits, and card issuance, enabling enterprises to increase revenue streams, strengthen customer engagement, and build long-term loyalty.</t>
  </si>
  <si>
    <t>Credit Saison, Crystal Loft Group Limited, GMO Venture Partners, Iconic World Limited, KFC Ventures, M Cash Integrasi, Nityo Infotech, NTT Docomo Ventures, Plug and Play Tech Center, PT Quantum Clovera Investama, Rudi Komajaya, SEEDS Capital, Singapura Finance, V V Pentafond Pte Ltd, Vickers Venture Partners, ZTC Private Markets</t>
  </si>
  <si>
    <t>www.matchmove.com</t>
  </si>
  <si>
    <t>52925-05</t>
  </si>
  <si>
    <t>Raise</t>
  </si>
  <si>
    <t>Operator of an online gift card marketplace intended to help sell and buy discount gift cards. The company's marketplace offers a subscription-based platform through which members can buy discounted gift cards or sell their unwanted gift cards for cash, enabling consumers to access digital payment options and enjoy the purchasing power in their hands.</t>
  </si>
  <si>
    <t>Accel, Alumni Ventures, Amber Group, Anagram (Financial Software), Bessemer Venture Partners, Blackpine, Borderless Capital, Click Ventures (New York), G Squared, Global Founders Capital, GSR, Haun Ventures Management, Jason Pritzker, Jeff Cantalupo, Karatage, Listen Ventures, Lon Chow, Manta Ray Ventures, Morningside Capital (Chicago), New Enterprise Associates, Paper Ventures, PayPal Ventures, Pharsalus Capital, Polkadot, Rajiv Gokal, Selini Capital, Soma Capital, Sonic Boom Ventures, Talia Goldberg, Teddy Gorisse, Tekin Salimi, Tensility Venture Partners, The Pritzker Organization, Thomas Preston-Werner, Tribal Ventures, Wayne Chang</t>
  </si>
  <si>
    <t>www.raise.com</t>
  </si>
  <si>
    <t>64980-73</t>
  </si>
  <si>
    <t>Elliptic</t>
  </si>
  <si>
    <t>Artificial Intelligence &amp; Machine Learning, Cryptocurrency/Blockchain, Cybersecurity, FinTech</t>
  </si>
  <si>
    <t>Developer of a blockchain analytics platform designed to manage financial crime risk and ensure regulatory compliance. The company offers real-time transaction screening, cross-chain forensic analysis, and automated AML workflows, enabling financial institutions and regulators to detect illicit activity and monitor digital asset risk across multiple blockchain networks.</t>
  </si>
  <si>
    <t>Albion Capital, AlbionVC, British Business Bank, Circle Ventures, Deutsche Bank, Digital Currency Group, Evolution Equity Partners, Fuse Incubator, HSBC Holdings, J.P. Morgan, JP Morgan Chase, Kings Arms Yard VCT, Mouro Capital, Nasdaq Ventures, Octopus Ventures, One Peak Partners, Paladin Capital Group, SBI Holdings, SBI Investment, SBI Ventures Two, SignalFire, SoftBank Investment Advisers, Tech Nation Group, Volution Ventures, Wells Fargo, Wells Fargo Strategic Capital, WndrCo</t>
  </si>
  <si>
    <t>www.elliptic.co</t>
  </si>
  <si>
    <t>225235-36</t>
  </si>
  <si>
    <t>Golden Technology</t>
  </si>
  <si>
    <t>Developer of a digital invoicing and transaction record-keeping platform in China. The company's platform provides services including electronic invoicing, reimbursing, record-keeping and transaction inspection and management applicable to grocery retailers, parking lots and restaurants, providing convenient and low-cost alternatives to traditional, paper-based receipts.</t>
  </si>
  <si>
    <t>Anhui Xinhua Media, CDH Investments, China Capital Zhongcai Fund Management, Dalian Wanda Group, DHVC, GL Ventures, Guangdong Yuecai Venture Capital, IDG Capital, Prometheus Capital (Shanghai), Shenzhen Capital Group, Tencent Investment, Yuecai Zhongyin Private Equity Investment Fund Management (Guangdong)</t>
  </si>
  <si>
    <t>www.goldentec.com</t>
  </si>
  <si>
    <t>503131-87</t>
  </si>
  <si>
    <t>Hiive</t>
  </si>
  <si>
    <t>Operator of an all-in-one liquidity platform intended to act as both a central marketplace and a transaction execution system for trading the shares of private, pre-IPO companies. The company provides guidelines to brokers in the global pre-initial public offering secondary market while eliminating the opacity and uncertainties traditionally associated with private market trading and direct trading systems for private securities, enabling private venture capital-backed companies to centrally manage and set parameters around the secondary market for their stock.</t>
  </si>
  <si>
    <t>Agmen Capital, AJI Capital, Calm Ventures, Hack VC, Harmony Partners, HOF Capital, Renaud Laplanche, Splash Capital, Uncorrelated Ventures</t>
  </si>
  <si>
    <t>www.hiive.com</t>
  </si>
  <si>
    <t>234208-09</t>
  </si>
  <si>
    <t>INDmoney</t>
  </si>
  <si>
    <t>Developer of a wealth management and advisory platform designed to cater to the needs of investors. The company's platform offers artificial intelligence and machine learning-based investment planning, tax analytics, tax savings strategies, future cash flows, and liabilities management, it helps manage and automatically track their personal finances and at the same time invest across the Indian Stock market, enabling customers to add family members manage their loans and investments accounts and get recommendations to maximize portfolio gains.</t>
  </si>
  <si>
    <t>ABG Capital, Ankur Goyal, Ankur Warikoo, Divyang Bhardwaj, Dragoneer Investment Group, Peyush Bansal, Sixteenth Street Capital, Steadview Capital Management, Sunny Bajaj, Tiger Global Management, Vinay Saraf</t>
  </si>
  <si>
    <t>www.indmoney.com</t>
  </si>
  <si>
    <t>113370-76</t>
  </si>
  <si>
    <t>PayJoy</t>
  </si>
  <si>
    <t>Provider of consumer financing services intended for people in emerging markets. The company's services permit customers to register at a local merchant with their identity, choose a smartphone, make a deposit, and select a payment plan of their choice, enabling underbanked segment customers to receive affordable smartphone financing.</t>
  </si>
  <si>
    <t>500 Global, Aidenlair Capital, Alexandre Carel, Assurant Ventures, AVV (Ascend Vietnam Ventures), Braid (Financial Services), Citi Ventures, Claridge Venture Partners, Collin Wallace, Core Innovation Capital, Daniel Bragiel, DNX Ventures, Eastlabs, EchoVC Partners, Eric Chen, Frank Lee, Grant Taylor, Greylock, Invus Opportunities, John Dukellis, Long Journey Ventures, Mesh Lakhani, Mindset Ventures, Mouro Capital, OVO Fund, Red Swan Ventures, Safa Rashtchy, Singularity Investments, Stephen Ciesinski, Stratos Technologies, SuRo Capital, Tekton Ventures, Terry Duryea, The Invus Group, Think +, Three Fish Capital, Union Square Ventures, Upper90 Capital Management, Vance Bjorn, VARIV, Warburg Pincus</t>
  </si>
  <si>
    <t>www.payjoy.com</t>
  </si>
  <si>
    <t>163297-36</t>
  </si>
  <si>
    <t>LTSE</t>
  </si>
  <si>
    <t>Operator of an SEC-regulated national securities exchange intended to align companies and long-term investors with shared goals. The company's exchange provides software tools that help companies capitalize, hire, compensate, and grow from startup to initial public offering and beyond, enabling clients to raise capital while keeping their focus on long-term instead of short-term results.</t>
  </si>
  <si>
    <t>500 Global, Alt Option Return, Alumni Ventures, Andreessen Horowitz, Collaborative Fund, CSC UpShot Ventures, Floodgate, Founders Fund, Impact Assets, Initialized Capital, James Walton, Marc Andreessen, Obvious Ventures, Renn Ventures, Seraph Group, SNR, Sweat Equity Ventures, The Space Between, Uprising Ventures, Weekend Fund, Y Combinator</t>
  </si>
  <si>
    <t>www.ltse.com</t>
  </si>
  <si>
    <t>179964-64</t>
  </si>
  <si>
    <t>Billie</t>
  </si>
  <si>
    <t>B2B Payments, FinTech, TMT</t>
  </si>
  <si>
    <t>Developer of an online payments platform designed to expedite B2B invoicing and payments. The company's platform leverages big data analytics and digitalized processes to facilitate instant financing of the customer's purchase directly at the online point-of-sale and invoice factoring, enabling SMEs to handle all their outgoing invoices without hidden fees and paperwork.</t>
  </si>
  <si>
    <t>Avala Capital, Creandum, Dawn Capital, Eurodata (Network Management Software), ey ventures, Frühstarter Ventures, Global Founders Capital, GR Capital, Hedosophia, Klarna Group, Picus Capital, Rheingau Founders, RM Equity Partners, Rocket Internet, Speedinvest, Tencent Holdings, UNIQA Ventures</t>
  </si>
  <si>
    <t>www.billie.io</t>
  </si>
  <si>
    <t>431359-12</t>
  </si>
  <si>
    <t>Oxbury</t>
  </si>
  <si>
    <t>Operator of a commercial bank intended to focus on agricultural operations. The company provides farmers with seasonal cash flow before and after harvests and savings accounts to any individual or business that wants to back British farmers and UK agriculture, enabling farmers to spend less time securing finances for their ventures.</t>
  </si>
  <si>
    <t>Beeches Group, British Business Investments, Cargill, Cottagequinn Enterprises, Frontier Agriculture, Grosvenor Food &amp; AgTech, HL Hutchinson, Hutchinsons(NZ), Salica Investments, Wispville Group</t>
  </si>
  <si>
    <t>www.oxbury.com</t>
  </si>
  <si>
    <t>154309-24</t>
  </si>
  <si>
    <t>Funding Societies</t>
  </si>
  <si>
    <t>Developer of a lending platform designed to offer short-term financing for small and medium enterprises. The company's platform provides various flexible financing options, including micro and term loans and invoice financing with advanced credit scoring and risk assessment models to evaluate borrower creditworthiness, enabling businesses to meet urgent cash flow needs and support growth.</t>
  </si>
  <si>
    <t>500 Global, 500 TukTuks, Alpha JWC Ventures, AMTD Group Company, Atlas Global Kapital, AVV (Ascend Vietnam Ventures), BRI Ventures, Cathay Venture, Cool Japan Fund, Cuscaden Peak Investments, EDBI, Endeavor Catalyst, Flybridge (New York), Gobi Partners, Golden Gate Ventures, Indies Capital Partners, K3 Ventures, Maybank, Peak XV Partners, Qualgro, Rapyd Ventures, Samsung Venture Investment, SeedPlus, Sequoia Capital, SGInnovate, SoftBank Group, SoftBank Investment Advisers, Sumitomo Mitsui Banking, Taurus Wealth Advisors, VNG (Software Development Applications), Vulpes Ventures</t>
  </si>
  <si>
    <t>www.fundingsocieties.com</t>
  </si>
  <si>
    <t>58737-97</t>
  </si>
  <si>
    <t>Bluevine</t>
  </si>
  <si>
    <t>Developer of working capital management software designed to provide small businesses with access to capital as per their requirements. The company offers financing through a business line of credit or invoice factoring products, where it pays a certain percentage of the unpaid invoices immediately and the remainder, minus a fee, upon payment of the invoice, enabling businesses to run their business, get an advance on their invoices to meet payroll, buy supplies or grow.</t>
  </si>
  <si>
    <t>83North, AxessVentures, Big-Tech 50, BullVC, Charles Amadon, Citi Ventures, Correlation Ventures, Fortress Investment Group, ION Asset Management, ION Trading UK, Juan Lobato, Kima Ventures, Kreos Capital, Lightspeed Venture Partners Israel, M12, Maor Investments, Menlo Ventures, MUFG Innovation Partners, Nationwide Ventures, O.G. Venture Partners, Rakuten Capital, SVB Capital, SVB Financial Group, Taher Behbehani, TriplePoint Capital, Vintage (Private Equity)</t>
  </si>
  <si>
    <t>www.bluevine.com</t>
  </si>
  <si>
    <t>231541-03</t>
  </si>
  <si>
    <t>Stream</t>
  </si>
  <si>
    <t>Operator of a financial wellbeing company intended for frontline workers to earn income, budget utilities through savings mechanisms, and financial education resources.The company's platform provides a set of financial tools that allow businesses to assist employees and set aside funds as savings, access tools for developing financial plans and goals, budget expenses and spending details and track and manage financial worries and resources for new users, enabling workers to access their earned income at any time during the monthly pay cycle.</t>
  </si>
  <si>
    <t>Balderton Capital, Barrow Cadbury Trust, Better Society Capital, BlackRock, Breega, British Business Bank, Connect Ventures, David Lloyd Leisure, Fabric Ventures, Fair By Design, Firestartr, Funding London, INTERA Investments, Jeffrey Bezos, Joseph Rowntree Foundation, Keybridge Venture Partners, Latitude (London), Lead Edge Capital, Lombard Odier Investment Managers, London Co-Investment Fund, Northzone Ventures, Phoenix Court, QED Investors, Repeat Ventures, Smash Capital, Social Tech Trust, Sofina, Village Global, William Gates, XYZ Venture Capital</t>
  </si>
  <si>
    <t>www.stream.co</t>
  </si>
  <si>
    <t>411241-69</t>
  </si>
  <si>
    <t>AtoB</t>
  </si>
  <si>
    <t>Artificial Intelligence &amp; Machine Learning, B2B Payments, Big Data, FinTech, Mobile, Mobility Tech, SaaS</t>
  </si>
  <si>
    <t>Operator of a financial technology platform for modernizing global transportation payments. The company's platform provides drivers and fleet operators with easy-to-use financial products such as no hidden fees fleet cards, widespread fuel discounts, anti-fraud tools, instant direct-deposit payroll, real-time vendor payments, and access to bank accounts and savings tools to provide ease on the road and network efficiencies, enabling firms in the trucking and logistics industry with access to a quick and transparent transaction with no added costs.</t>
  </si>
  <si>
    <t>137 Ventures, Bloomberg Beta, Charles Songhurst, Cleo Capital, Climate Capital, Collaborative Fund, Contrary (San Francisco), Cristina Cordova, Cyan Banister, Darragh Buckley, Designer Fund, Destiny (Financial Software), Dream Capital (New York), Elad Gil, Eric Schmidt, Fifth Down Capital, General Catalyst, Gokul Rajaram, Human Capital, Immad Akhund, Jetstream (San Francisco), Kamco Invest, Leadout Capital, Ligature (Colorado), Long Journey Ventures, MasterCard, MyAsiaVC, Naval Ravikant, Original Capital, Qasar Younis, Rahul Gupta, Samsara Ventures, Samuel Hodges, Saraswati Ventures, Scott Banister, Shervin Pishevar, Stanley Tang, SV Pacific Ventures, Todd &amp; Rahul Capital, Tony Xu, XYZ Venture Capital, Y Combinator</t>
  </si>
  <si>
    <t>www.atob.com</t>
  </si>
  <si>
    <t>327445-48</t>
  </si>
  <si>
    <t>Jupiter (Financial Software)</t>
  </si>
  <si>
    <t>Developer of a digital banking application designed to help users track their expenses. The company's application gives helpful insights into where money is going and how it's growing and it also provides complete support to make payments and digital transactions, enabling users to manage their finances more efficiently and accurately.</t>
  </si>
  <si>
    <t>3one4 Capital, Alteria Capital, Amrish Rau, Anupam Mittal, Ashish Hemrajani, Bedrock (Financial Services), BEENEXT Capital Management, Better Capital (California), David Velez, Global Founders Capital, Google Accelerator, Greyhound Capital, Hummingbird Ventures, Invus Opportunities, Kunal Bahl, Kunal Shah, Lee Fixel, Manish Vij, Mirae Asset Capital, Mirae Asset Global Investments, Mirae Asset Venture Investments (India), MUFG Innovation Partners, Munish Varma, Navroz Udwadia, Nithin Kamath, Nu Holdings, Onnivation, Peak XV Partners, Pivot Ventures, QED Investors, Rainmatter Capital, Rocket Internet, Rohit Bansal, Sandeep Tandon, Sequoia Capital, Sriharsha Majety, Stride Ventures, Tanglin Venture Partners, Tiger Global Management, Titan Capital, Utsav Somani, Whiteboard Capital, Z47</t>
  </si>
  <si>
    <t>www.jupiter.money</t>
  </si>
  <si>
    <t>720005-14</t>
  </si>
  <si>
    <t>Kast</t>
  </si>
  <si>
    <t>Operator of a neo-bank platform intended to reduce friction in making international payments by bypassing traditional banking networks. The company's platform lets customers hold and spend stablecoins through traditional payment avenues and also issues credit cards that work with standard merchant networks, enabling users to spend their stablecoin holdings at merchants who don't support crypto transactions.</t>
  </si>
  <si>
    <t>CMCC Global, DST Global, Goodwater Capital, HSG (Hong Kong), Left Lane Capital, Peak XV Partners, QED Investors, Titan Fund</t>
  </si>
  <si>
    <t>www.kast.xyz</t>
  </si>
  <si>
    <t>268570-63</t>
  </si>
  <si>
    <t>KhataBook</t>
  </si>
  <si>
    <t>Developer of a smartphone-based ledger application designed to assist entrepreneurs in managing their business and personal credits. The company's application helps to track business transactions securely, automatically sends a payment reminder to the customers, and provides a platform for online payment collection through UPI and QR, enabling micro, small, and medium merchants to keep track of all their transactions and payments.</t>
  </si>
  <si>
    <t>Aditya Agarwal, Akshay Kothari, Alexander Will, Alexander Willemsen, Alkeon Capital Management, Alpha Wave Global, Amit Ranjan, Amrish Rau, Anand Chandrasekaran, Aparna Chennapragada, Archana Priyadarshini, Ashim Datta, B Capital Group, Balaji Srinivasan, Better Capital (California), Christina Cordova, Christopher Gioia, Cristina Cordova, Dhruv Agarwala, DST Global, Elizabeth Weil, Emphasis Ventures (EMVC), Erik Peterson, Five Stones Investment Group, Frank Fumarola, Gaingels, Gil Seton, Gokul Rajaram, Hummingbird Ventures, Hybridge Capital Management, InfoEdge Ventures, Ivan Montoya, Jay Dahal, Jitendra Gupta, John-Paul Gallo, Kathy Wang, Kearny Jackson, Kevin Weil, Kube VC, Kunal Bahl, Kunal Shah, Launchbay Capital, MahendraSingh Dhoni, Mango.vc, Manikya Saiteja, Michael Jarmuz, Mohan Kanchi, Moore Strategic Ventures, Nipun Mehra, Notable Capital, Peak XV Partners, Pivot Ventures, Prasetia Dwidharma, Preetham Gaddam, Rahul Vohra, Rakesh Sakhamoori, Realm Capital Ventures, Reddy Holdings (Hyderabad), Ribbit Capital, Rocketship.vc, Rohit Bahl, Rohit Bansal, RTP Global, Rudy Siva, Sand Hill Angels, SBI Investment, Scott Schonberger, Sequoia Capital, Sriram Krishnan, Sundeep Yerramreddy, Surge (Accelerator), SV Pacific Ventures, Tencent Holdings, The Pay It Forward Company, Titan Capital, Tom Lesche, Tribe Capital, Uncorrelated Ventures, Unilever Ventures, VentureSouq, Vibe Capital, Vivek Patel, Y Combinator, Zuhaib Khan</t>
  </si>
  <si>
    <t>www.khatabook.com</t>
  </si>
  <si>
    <t>340743-34</t>
  </si>
  <si>
    <t>Reap (Financial Software)</t>
  </si>
  <si>
    <t>Developer of a digital payments platform intended to simplify and automate invoice management, reporting and reconciliation process. The company's platform enables Small and Medium Enterprises to gain access to inexpensive capital and immediately improve operational cash flow/working capital, thereby fulfilling their liquidity needs.</t>
  </si>
  <si>
    <t>www.reap.global</t>
  </si>
  <si>
    <t>140773-78</t>
  </si>
  <si>
    <t>Social Worth Technologies</t>
  </si>
  <si>
    <t>Developer of an online lending platform designed to offer short-term loans and salary advances. The company's platform provides cash loans, personal loans, loans against mutual funds, credit cards, educational, medical, solar, and other loans, and offers credit score, financial wellness, and eligibility calculators, enabling customers to avail of financing in crunch times and plan loans better.</t>
  </si>
  <si>
    <t>Alteria Capital, Amara Partners, Ashok Agarwal, Bhoruka Finance Corporation, Chiratae Ventures, Dewan Housing Finance, Dhyanesh Shah, Eight Roads, Innovate UK, InnoVen Capital, International Finance Corporation, JioGenNext, Kabira Mobility, Loglabs Venture, Norwest, Piramal Finance, Sammaan Capital, The Rise Fund, TR Capital, Trifecta Capital</t>
  </si>
  <si>
    <t>www.fibe.in</t>
  </si>
  <si>
    <t>437651-02</t>
  </si>
  <si>
    <t>Relay</t>
  </si>
  <si>
    <t>B2B Payments, FinTech, Mobile Commerce</t>
  </si>
  <si>
    <t>Developer of a digital payment platform designed for instant electronic lumper payments. The company's platform offers a payment network that allows clients to provide fleets on the road with contactless, fast, and trackable online payments to get consumer products to shelves faster, enabling the logistics industry including carriers, brokers, and shippers to streamline payments, optimize operations, and to get receipts instantly.</t>
  </si>
  <si>
    <t>9Yards Capital Management, Addition, Consensys Mesh, GreenPoint Partners, Nathaniel Turner, Overline, QuarterMoore, Ribbit Capital, Service Provider Capital, Spark Capital, Sway Capital, Zag Capital</t>
  </si>
  <si>
    <t>www.relaypayments.com</t>
  </si>
  <si>
    <t>462296-26</t>
  </si>
  <si>
    <t>Clara (Financial Software)</t>
  </si>
  <si>
    <t>Developer of a spend management software designed to simplify and automate corporate expense management. The company's software offers real-time insights that centralize and analyze all company spending, automate expense reporting, approvals, and compliance, virtual cards, and tracking for all travel-related payments, enabling businesses to gain insights into spending and control budgets effectively.</t>
  </si>
  <si>
    <t>A*, Acrew Capital, Adapt Ventures, Aito Capital, Alter Global, Avid Ventures, Bayhouse Capital, BoxGroup, Canary (Brazil), Canary Ventures, China Science &amp; Merchants Investment Management Group, Christopher Howard, Citi Ventures, Citius, Coatue Management, Commerce Ventures, David Blitzer, DST Global, Endeavor Catalyst, Ethos VC, Evolution (Venture Capital), Finaccess Capital, Fluent Ventures, Gaingels, General Catalyst, Global Founders Capital, Goanna Capital, Google Accelerator, ICONIQ Growth, JAM Fund, Jeremy Henrickson, Kaszek, Kevin Ryan, Lago Innovation Fund, Liquid 2 Ventures, Mana Ventures, Mark Jacobstein, Monashees, Notable Capital, Nyca Partners, Pathlight Ventures, Picus Capital, Richard Dulude, Saran Chari, SaxeCap, Sebastián Galnares, Shyam Sankar, Soma Capital, SV Angel, Thomas Marano, Tiger Global Management, VentureSouq, Vladimir Giverts</t>
  </si>
  <si>
    <t>www.clara.com</t>
  </si>
  <si>
    <t>222614-65</t>
  </si>
  <si>
    <t>Public</t>
  </si>
  <si>
    <t>Operator of a multi-asset brokerage platform designed to provide investment management and trading services. The company's platform supports trading across equities, bonds, exchange-traded funds, options, digital assets, and treasury securities, while offering portfolio automation, direct indexing, tax optimisation tools, cash management accounts, margin lending, and market intelligence features, enabling individual investors and traders to manage diversified portfolios and automate investment activities.</t>
  </si>
  <si>
    <t>1802 Ventures, 840 Venture Partners, Abalone Group, Abbhi Capital, Accel, Adrian Grenier, Advancit Capital, Aglaé Ventures, Altra Venture Partners, Altun Capital, Atlant Ventures, Bobby Wagner, Brianne Kimmel, Caffeinated Capital, Caleb McLaughlin, Cantos Ventures, Capital V Strategies, Casey Neistat, Cassis &amp; Cassis Capital, Destiny (Financial Software), Dick Parsons, Dreamers VC, DuContra Ventures, Forecast Labs, Frontline One Capital, Fueled (New York), Gaingels, Greycroft, Groundswell Ventures, Highfield Capital, HyperGuap, Incisive Ventures, Inderpal Singh, Inflection Ventures (New York), Inspired Capital (New York), Intuition Capital, J.J. Watt, Keisuke Honda, Khaira Capital, Kilmahew Ventures, Kri Ventures, Lakestar, Ligature (Colorado), LionTree Partners, MaC Venture Capital, Makai VC, Malex Enterprises, Mantis VC, Maria Sharapova, Matthew Kennedy, Michael Vaughan, Morgan DeBaun, MyAsiaVC, North Equity, Odenn Ventures, Philip DeFranco, PLG Ventures, Prehype, Proton Enterprises, Quain Investments, Republic Capital Adviser, SBX Capital, Scenic Management, Scott Belsky, Scott Galloway, Sean Combs, Shari Redstone, Sophia Amoruso, Sprint VC, The Chainsmokers, Threadneedle Ventures, Tiger Global Management, Tony Hawk, True Equity, Trust Fund, Ujwal Sutaria, Vine Ventures (New York), West Quad Ventures, Willard Smith, Witz Ventures, Worklife Ventures, Zoe Saldana</t>
  </si>
  <si>
    <t>www.public.com</t>
  </si>
  <si>
    <t>534561-49</t>
  </si>
  <si>
    <t>Bretton AI</t>
  </si>
  <si>
    <t>Developer of an artificial intelligence compliance agent platform designed for financial crime investigations. The company's technology agents facilitate automating workflows like suspicious activity investigations, entity due diligence, and regulatory reporting, enabling clients to manage compliance tasks.</t>
  </si>
  <si>
    <t>Canvas Prime, Greylock, Sapphire Ventures, Soma Capital, Thomson Reuters Ventures, TIAA Ventures, Tim Mayopoulos, Y Combinator</t>
  </si>
  <si>
    <t>www.bretton.com</t>
  </si>
  <si>
    <t>182911-06</t>
  </si>
  <si>
    <t>Finix</t>
  </si>
  <si>
    <t>Developer of an online payments platform designed to provide payment processing for SaaS, marketplace, and e-commerce platforms. The company offers APIs, embedded payments, underwriting, reconciliation, dispute management, automated reporting, and fee management tools, enabling clients to manage payment processing and operations.</t>
  </si>
  <si>
    <t>Acrew Capital, Act One Ventures, Activant Capital, Alumni Ventures, AMEX Ventures, Angeles Investors, Aspect Ventures, Bain Capital Ventures, Bennett Mathews, Cap Table Coalition, Chingona Ventures, Citi Ventures, Class 5 Global, Collide Capital, Cross River Digital Ventures, Franklin Resources, Franklin Venture Partners, Fuerza Ventures, Gaingels, Hanwha Asset Management (USA), Highstreet Insurance Partners, Homebrew Management, Insight Partners (New York), Inspired Capital (New York), LEAP Global Partners, Les Whiting, Lightspeed Venture Partners, Mana Ventures, Open Opportunity Fund, Opulentia, Owl Capital, Plug and Play Tech Center, Precursor Ventures, PSP Partners, Reverb Capital, Sequoia Capital, Sweat Equity Ventures, SWS Venture Capital, The General Partnership, The K Funds, Top Corner Capital, Transform Capital (San Francisco), Tribeca Venture Partners, VamosVentures, VilCap Investments, Visa Ventures</t>
  </si>
  <si>
    <t>www.finix.com</t>
  </si>
  <si>
    <t>149862-07</t>
  </si>
  <si>
    <t>IceKredit</t>
  </si>
  <si>
    <t>Artificial Intelligence &amp; Machine Learning, Big Data, FinTech, TMT</t>
  </si>
  <si>
    <t>Developer of an AI-based (artificial intelligence) credit rating and risk management platform intended to provide clients with cutting-edge Artificial General Intelligence technologies. The company's platform leverages big data to provide powerful insights, innovative models to make smarter decisions and accurate analytics to achieve better results, enabling its clients to optimize marketing campaigns, reduce costs, boost efficiencies, and enhance profitability.</t>
  </si>
  <si>
    <t>100Partner Capital, Ally Capital China, Beijing Weilie Capital Management Consulting, CCV Management, Frees Fund, Guochuang Zhongding, Lingfeng Capital, Microsoft for Startups, Oriental Fortune Capital, Shanghai Guohe Capital, Shanghai Guoxin Investment, YongRui Investment, Yoozoo, Yunqi Partners</t>
  </si>
  <si>
    <t>www.icekredit.com</t>
  </si>
  <si>
    <t>182455-30</t>
  </si>
  <si>
    <t>Jerry</t>
  </si>
  <si>
    <t>Artificial Intelligence &amp; Machine Learning, FinTech, InsurTech, Mobile</t>
  </si>
  <si>
    <t>Developer of an artificial intelligence-driven insurance comparison platform designed to simplify the time-consuming process of managing all things car. The company's platform offers car insurance, including property damage liability coverage, auto repairs, and medical payments coverage, enabling customers to find good insurance rates, refinance car loans with ease, and get transparency into maintenance and repair costs.</t>
  </si>
  <si>
    <t>Aarjav Trivedi, Aaron Magness, ABACO (New York), AI Venture Labs, Aurum Venture Partners, Bow Capital, Bragiel Brothers, Brandon Krieg, Chi-Hua Chien, Daniel McGehee, David Shen, Edward Robinson, FTV Capital, FundersClub, Gautam Shah, Goodwater Capital, Highland Capital Partners, Immad Akhund, Jayaprakash Vijayan, Johnson Cook, Jon McNeill, Jonathan Weiner, Kamerra, Lawrence Chu, Liquid 2 Ventures, Michael Vaughan, NewDo Venture, Oriza Ventures, Park West Asset Management, Plug and Play Tech Center, Risto Lahdesmaki, Samyak Pandya, Sunghwan Choi, SV Angel, Timothy Sheehan, TriplePoint Capital, Y Combinator, Yossi Levi, Zillionize</t>
  </si>
  <si>
    <t>www.jerry.ai</t>
  </si>
  <si>
    <t>182849-23</t>
  </si>
  <si>
    <t>Form3</t>
  </si>
  <si>
    <t>Developer of a cloud-based payment technology designed to offer payment processing, clearing, and settlement services. The company's technology facilitates agency payment services that can be accessed through an application programming interface on a per-transaction commercial model with no upfront costs, enabling businesses to get reliable and secure access to various payment schemes and bank partnerships.</t>
  </si>
  <si>
    <t>83North, ACF Investors, Atempo Growth, Banking Competition Remedies, Barclays, British Business Bank, Lloyds Banking Group, MasterCard, Molten Ventures, Nationwide Ventures, The Goldman Sachs Group, Visa</t>
  </si>
  <si>
    <t>www.form3.tech</t>
  </si>
  <si>
    <t>164350-90</t>
  </si>
  <si>
    <t>OneChronos</t>
  </si>
  <si>
    <t>Developer of a financial trading platform designed to optimize market transactions through combinatorial auctions. The company offers auction-based market infrastructure, smart order matching, and trading capabilities for financial assets and digital resources, enabling institutional traders and market participants to execute transactions with improved pricing efficiency and liquidity access.</t>
  </si>
  <si>
    <t>9Yards Capital Management, Addition, Amino Capital, BoxGroup, DCVC, DST Global, Green Visor Capital, Hisham Jazzar, Mohammad El-Bibany, Page One Ventures, Rising Tide Fund, Y Combinator</t>
  </si>
  <si>
    <t>www.onechronos.com</t>
  </si>
  <si>
    <t>340840-90</t>
  </si>
  <si>
    <t>Digits Financial</t>
  </si>
  <si>
    <t>Developer of an AI accounting platform designed to generate and send interactive reports in one click. The company's platform redefines financial management by combining AI precision with trusted human expertise, automates bookkeeping and provides real-time insights into a business's financial health, from accurate financials to streamlined tax management, enabling startups and small businesses to keep a pulse on all their company financials.</t>
  </si>
  <si>
    <t>20VC, Adrian Aoun, Alan Rose, Alex Roetter, Ali Rowghani, Anne Dwane, Anthony Noto, April Underwood, Benchmark Capital Holdings, Bessemer Venture Partners, Brandon Farwell, Brian Lee, Chloe Sladden, Chris Keller, David Cancel, David Chang, David Yee, Elad Gil, Elizabeth Weil, Eric Wu, Erik Huberman, Founders First, G Squared, Gabe Greenbaum, GV, Harry Stebbings, Jason Robins, Jeffrey Orlowski, Jeremy Levine, Jonathan Badeen, Jonathan Bassett, Justin Kan, Katrina Lake, Kellie Abreu, Kevin Weil, Kimber Lockhart, Merlin Kauffman, Michael Winter, Mike Selfridge, Nat Friedman, Owen Brainard, Pat Kinsel, Paul Falzone, Richard Jun, SoftBank Investment Advisers, Sriram Krishnan, Will Koffel, Zoë Barry</t>
  </si>
  <si>
    <t>www.digits.com</t>
  </si>
  <si>
    <t>110137-96</t>
  </si>
  <si>
    <t>Point</t>
  </si>
  <si>
    <t>FinTech, Real Estate Technology, TMT</t>
  </si>
  <si>
    <t>Developer of a home equity investment platform designed to access the wealth locked up in home equity. The company's platform conducts an on-site appraisal and uses third-party automated valuation models and proprietary pricing algorithms to determine the value of the property and the amount of loan that can be provided to diversify the wealth by selling some equity in the homes without taking any additional debt, enabling homeowners to access a new asset class and earn a higher return on their investment.</t>
  </si>
  <si>
    <t>Alpaca VC, Andreessen Horowitz, Atalaya Capital Management, Bloomberg Beta, Bradley Greiwe, DAG Ventures, Deer Park Road, Enterprise Community Partners, Financial Health Network, Financial Health Network., Grey Wolf VC, Greylock, Inovia Capital, JP Morgan Chase, Keri Findley, Kingsbridge Investment Partners, Laurence Tosi, Matthew Humphrey, Montage Ventures, Nimble Ventures, Prudential Financial, Redwood Trust, Restive Ventures, Ribbit Capital, SV Angel, The Palisades Group, Vikram Pandit, WestCap (New York)</t>
  </si>
  <si>
    <t>www.point.com</t>
  </si>
  <si>
    <t>509698-00</t>
  </si>
  <si>
    <t>Pay.com.au</t>
  </si>
  <si>
    <t>B2B Payments, FinTech</t>
  </si>
  <si>
    <t>Developer of a business-to-business payment platform designed to help businesses manage their payments and expenses. The company's platform provides rewards for payments on business expenses such as rent, suppliers, bill payments, equipment, and payroll, enabling firm owners and managers to maximize the benefits of using credit cards and their rewards across business payments.</t>
  </si>
  <si>
    <t>Adam Schwab, Gandel Invest, Hugh Robertson, Morgans Financial, Ophir Asset Management Sydney, Paul Dwyer, Thorney Investment Group, Wilson Asset Management</t>
  </si>
  <si>
    <t>www.pay.com.au</t>
  </si>
  <si>
    <t>454435-21</t>
  </si>
  <si>
    <t>Nelogica</t>
  </si>
  <si>
    <t>Developer of advanced financial applications designed to cater to the financial market. The company offers various analysis, monitoring, and asset trading systems along with news on the current market conditions, enabling investors and companies to make secure and informed decisions while giving access to a wide range of financial instruments.</t>
  </si>
  <si>
    <t>Cercano Management, Crescera Capital, Endeavor Catalyst, Spectra Investments</t>
  </si>
  <si>
    <t>www.nelogica.com.br</t>
  </si>
  <si>
    <t>432613-27</t>
  </si>
  <si>
    <t>Tonik</t>
  </si>
  <si>
    <t>Developer of a digital banking platform designed to incorporate secure online financial transactions. The company's platform offers retail financial products, including deposits, loans, current accounts, payments and cards, on a secure platform, enabling customers to improve their financial liquidity through technology by making savings more efficient.</t>
  </si>
  <si>
    <t>Alpha JWC Ventures, Altara Capital, Altara Ventures, Baring Vostok Capital Partners, Blauwpark Partners, Camerton holdings, Citius, Diligent Capital Partners, DST Global, iGlobe Partners, Insignia Ventures Partners, KAN Investments, Mizuho Bank, Mukkul Dasgupta, Nuriel Group, Oak Drive Ventures, Orient Growth Ventures, Peak XV Partners, Plio Limited, Point72 Ventures, Prosus Ventures, Rahul Mehta, Sixteenth Street Capital, The Kraft Family Foundation, Toloka</t>
  </si>
  <si>
    <t>www.tonikbank.com</t>
  </si>
  <si>
    <t>160527-43</t>
  </si>
  <si>
    <t>Datarails</t>
  </si>
  <si>
    <t>Developer of a financial analytics platform designed to uncover actionable insights. The company's platform utilizes artificial intelligence to gather, prepare, analyze, and convert data into valuable information that can be leveraged by the executive team, enabling finance professionals to access and leverage data independently, regardless of technical competency.</t>
  </si>
  <si>
    <t>ClalTech, Google Accelerator, Grays Peak Capital, Horizon Capital, ICON (Other Commercial Services), Icon Ventures, Innovation Endeavors Management Company, JAL Ventures, Joey Low, La Maison Partners, Microsoft for Startups, Oded Caspi, One Peak Partners, Qumra Capital, Star Farm Ventures, Titan Capital Partners, Vertex Ventures Israel, Vintage (Private Equity), Zeev Ventures</t>
  </si>
  <si>
    <t>www.datarails.com</t>
  </si>
  <si>
    <t>472172-32</t>
  </si>
  <si>
    <t>Jar</t>
  </si>
  <si>
    <t>Developer of a micro-savings platform designed for habit-based investment purposes. The company's platform rounds up spare change from a user's online transactions or debits a user-defined amount daily, weekly, or monthly to automatically buy digital gold, supports flexible withdrawal or conversion into physical gold, and ensures small-ticket investing in a secure, insured system, enabling Indian consumers to build wealth over time with minimal effort.</t>
  </si>
  <si>
    <t>1 Finance, Adam Nash, AdvantEdge Founders, Alex Lin, Ali Moiz, Alvin Tse, Andreessen Horowitz, Ankush Gera, Arkam Ventures, Astir Ventures, Ayush Shukla, Byron Ling, CapitalX, Christopher Laughlin, Cloud Capital (India), Cloud Capital (Sweden ), Emphasis Ventures (EMVC), Eximius Ventures, Folius Ventures, Force Ventures (India), Gaingels, Gaurav Ragtah, Howard Lindzon, Jeremy Cai, Joel John, Kashish Sharma, Keith Ryu, Kube VC, Kunal Khattar, Kunal Shah, LVX, Manik Gupta, Murtaza Hussain, Musha Ventures, Novo Capital, Old Well Labs, Onnivation, Paramark Ventures, Pareto Holdings, Paul Kesserwani, PeerCapital, Rahul Bhardwaj, Rainfall Ventures, Rocketship.vc, Roots Ventures, Rule72, Rupert van Millingen, Saurabh Jain, SGH Capital, Shaan Puri, Shamir Karkal, Shiva Sangwan, Snow Leopard Ventures, Spring Marketing Capital, Subhadeep Mondal, Suleman Ali, Swadharma Source Ventures, Team Ignite Ventures, Third Prime, Tiger Global Management, Tiny Capital, Tribe Capital, Uncommon Capital, Upsparks Capital, Victor Jacobsson, Vivekananda Hallekere, WarmUp Ventures, WEH Ventures, Yes VC, Zachary Hargreaves</t>
  </si>
  <si>
    <t>www.myjar.app</t>
  </si>
  <si>
    <t>58420-90</t>
  </si>
  <si>
    <t>Pontera</t>
  </si>
  <si>
    <t>Developer of a fintech platform designed to be the bridge to better wealth management. The company's platform works across the vast majority of retirement plans and seamlessly integrates with existing portfolio management tools to help advisors improve their clients' financial outcomes, enabling advisors to protect client data and ensure clients retain ultimate control of their accounts.</t>
  </si>
  <si>
    <t>Ataria, Blumberg Capital, Collaborative Fund, Hanaco Ventures, Horizons Ventures, Hyperwise Ventures, ICONIQ Growth, Jonathan Soberg, KDX Ventures, Lightspeed Venture Partners, LTS Growth, The Founders Kitchen, ThirdStream Partners, Vikram Pandit</t>
  </si>
  <si>
    <t>www.pontera.com</t>
  </si>
  <si>
    <t>163816-12</t>
  </si>
  <si>
    <t>Covalto</t>
  </si>
  <si>
    <t>Developer of a lending platform designed to offer easy, reliable, and transparent credit. The company's platform offers credit models focused on overall performance rather than considering only the owner's personal credit history, enabling clients to obtain accessible credit to grow their business.</t>
  </si>
  <si>
    <t>Blue like an Orange Sustainable Capital, Breyer Capital, Broadhaven Capital Partners, BTI Partners, City Hall Capital, Credenz Servicios Financieros, David Chan, Elevar Equity, FinRebel, Flatiron Partners, Fourth Green Capital, IGNIA, John Mack, Kaszek, Lau Family Fund, M4Fund, Michael Sidgmore, Nilay Jhaveri, PERSEA Ventures, Point72 Ventures, QED Investors, Ram Ahluwalia, Spectra Investments, Steven Lau, Supernode Ventures, The Goldman Sachs Group, Third Lake Capital, Thomvest Ventures, Uprise Ventures, Victory Park Capital Advisors, Wolfson Group, Yolo Investments</t>
  </si>
  <si>
    <t>www.covalto.com</t>
  </si>
  <si>
    <t>472367-98</t>
  </si>
  <si>
    <t>UNO Digital Bank</t>
  </si>
  <si>
    <t>Developer of a digital lending platform designed to help bridge the financial inclusion gap and help customers solve their financial needs. The company's platform provides cloud-native infrastructure for hybrid micro-services with digital interface to solve all financial needs with speed and ease as well as facilitates AI-driven tools for onboarding, facial recognition, and voice recognition, enabling accountholders to apply for loans through mobile or website and analyze their credit ratings.</t>
  </si>
  <si>
    <t>Akash Bhanshali, CoantumLeap, Creador, Gateway Partners (Singapore), Nextinfinity Management, Positive Moves, Samir Arora, Sandeep Batra, Yuj Ventures</t>
  </si>
  <si>
    <t>www.uno.bank</t>
  </si>
  <si>
    <t>467633-44</t>
  </si>
  <si>
    <t>Anrok</t>
  </si>
  <si>
    <t>Developer of a sales tax software designed to monitor, calculate, and remit tax across any financial stack. The company's software offers configurations, filing frequency alerts, enhanced visibility, and automated filing and remittance, enabling clients to automate the manual work and reduce unnecessary expenses around sales tax and value-added tax.</t>
  </si>
  <si>
    <t>Alex Estevez, Avra, Catalyze Advisors, Chemistry Ventures, Cristina Cordova, David Faugno, Elad Gil, Index Ventures, Intuit Ventures, Karen Peacock, Khosla Ventures, LDV Partners, MKT1, Position Ventures, Sapphire Ventures, Sequoia Capital, Signal Rank, Spark Capital</t>
  </si>
  <si>
    <t>www.anrok.com</t>
  </si>
  <si>
    <t>63351-28</t>
  </si>
  <si>
    <t>EarnIn</t>
  </si>
  <si>
    <t>Developer of a payroll disbursement platform designed to give employees real-time access to their earned paycheck with no interest or fees. The company's platform tracks the number of hours an employee has worked and gives them access to their pay in advance using an electronic timesheet and direct deposit right from the smartphone, enabling users to have more financial control to pay their bills on time and avoid late and overdraft fees.</t>
  </si>
  <si>
    <t>Andreessen Horowitz, Cleo Capital, Coatue Management, Cultural Leadership Fund, Dust Road Ventures, Felicis, G Squared, GMO Venture Partners, Graph Ventures, March Capital, Matrix, Renn Ventures, Ribbit Capital, Spark Capital, SVB Financial Group, Thrive Capital, TriplePoint Capital</t>
  </si>
  <si>
    <t>www.earnin.com</t>
  </si>
  <si>
    <t>601625-80</t>
  </si>
  <si>
    <t>Jump</t>
  </si>
  <si>
    <t>Developer of an AI assistant and workflow automation platform designed to convert financial advisory meetings, emails, and documents into notes, tasks, and compliance records. The company's platform captures conversations, extracts action items, creates client notes, automates follow-ups, and maintains audit-ready records with integrations to common advisory systems, enabling financial advisors and wealth management firms to reduce administrative work and standardize compliance documentation.</t>
  </si>
  <si>
    <t>Aaron Skonnard, Allianz Life Ventures, Battery Ventures, Citi Ventures, Element Ventures (Utah), F-Prime Capital, Hans Tung, Insight Partners (New York), Pelion Venture Partners, Peterson Partners, Ryan Anderson, Sorenson Capital, TIAA Ventures, University Growth Fund</t>
  </si>
  <si>
    <t>www.jump.ai</t>
  </si>
  <si>
    <t>489315-52</t>
  </si>
  <si>
    <t>Nitra</t>
  </si>
  <si>
    <t>Developer of machine learning-powered financial software designed to provide credit cards, loans, accounts, payments, and expense management. The company's platform offers software banking services, enabling medical clients to find the right balance between supporting their patients and running their practice, starting with tools that deliver a simpler, smarter way to manage their spending.</t>
  </si>
  <si>
    <t>8090 Partners, AAF Management, Actions Capital, AME Cloud Ventures, Andreessen Horowitz, AppWorks, Comma Capital, Cursive Holdings, Distique Capital, Dreamers VC, Dunamu &amp; Partners, Era Funds, Expara, Gaingels, Gold House Ventures, Hyphen Capital, Inauguration Capital, Jerry Yang, K8 Capital, KB Financial Group, KB Investment, Mana Ventures, Markham Valley, Necessary Ventures, New Enterprise Associates, Pantera Capital, Private Equity International, Purestone Capital, Root and Shoot Ventures, Sazze Partners, Signal Rank, Slope Capital, Soma Capital, SparkLabs Group, The Garage Syndicate, Treville Capital Group, Utopian Ventures (San Francisco), Vertical Partners</t>
  </si>
  <si>
    <t>www.nitra.com</t>
  </si>
  <si>
    <t>155056-06</t>
  </si>
  <si>
    <t>Propel</t>
  </si>
  <si>
    <t>Developer of a government benefits management application designed to help low-income individuals monitor and use electronic benefit transfer funds. The company's platform connects to state benefits portals to retrieve balances and transaction histories, and provides digital banking features, enabling U.S. EBT cardholders to manage benefits, reduce losses, and stretch assistance across essential expenses.</t>
  </si>
  <si>
    <t>345 Partners, Alexa von Tobel, Andreessen Horowitz, Blue Ridge Labs, Cultural Leadership Fund, Financial Health Network, Financial Health Network., Flourish Ventures, GoodCompany Ventures, Inspired Capital (New York), Jared Leto, Jay Borenstein, Jeremy Lin, JP Morgan Chase, Kevin Durant, Kleiner Perkins, Max Levchin, Mischief, Nasir Jones, New York Life Ventures, Nyca Partners, Omidyar Network, Omidyar Technology Ventures, Restive Ventures, Salesforce Ventures, SciFi VC, Serena Ventures, Team Ignite Ventures, Thirty Five Ventures, Village Capital, Winwin care</t>
  </si>
  <si>
    <t>www.propel.app</t>
  </si>
  <si>
    <t>160946-02</t>
  </si>
  <si>
    <t>PrimaryBid</t>
  </si>
  <si>
    <t>Developer of an online investment platform designed to help private investors participate in new share placings by listed companies. The company's platform automates the aggregation of retail demand and allows a large and active pool of investors to be connected with companies and invest through a website or mobile application, enabling businesses across the Eurozone to let investors access their discounted share issuance.</t>
  </si>
  <si>
    <t>www.primarybid.com</t>
  </si>
  <si>
    <t>184236-31</t>
  </si>
  <si>
    <t>Cloud Helios</t>
  </si>
  <si>
    <t>Developer of a SaaS based platform designed for business travel and expense reimbursement. The company's business travel and expense management software uses intelligent forecasting, big data mining, AI technologies to offer expense management, reimbursement control and invoice management to provide expense and reimbursement management for companies and businesses.</t>
  </si>
  <si>
    <t>Blue Lake Capital, China Renaissance, SB China Venture Capital, Z Capital</t>
  </si>
  <si>
    <t>www.huilianyi.com</t>
  </si>
  <si>
    <t>439456-60</t>
  </si>
  <si>
    <t>AdenaSoft</t>
  </si>
  <si>
    <t>Developer of financial technology software designed to help financial services companies streamline operations and expand offerings in forex, crypto, and payment systems. The company's software offers customizable white-label platforms for forex and cryptocurrency trading, integrated IT systems, and user-friendly interfaces, enabling fintech firms and brokers to launch, manage, and scale their businesses efficiently.</t>
  </si>
  <si>
    <t>Atinum Investment, Company K Partners, Daegyeong Investment, DSC Investment, E&amp;F Private Equity, Grayhawk Capital, HB Investment, InterValue Partners, Korea Investment &amp; Securities, Laguna Investment, Premier Partners, Stonebridge Ventures (Seoul), Timefolio Asset Management, Ulmus Investment</t>
  </si>
  <si>
    <t>www.adenasoft.com</t>
  </si>
  <si>
    <t>178460-74</t>
  </si>
  <si>
    <t>Ocrolus</t>
  </si>
  <si>
    <t>Developer of an artificial intelligence-driven document automation service designed to enhance the accuracy and efficiency of lending decision processes. The company offers a platform featuring automated data extraction from diverse financial documents, real-time data validation, actionable analytics for credit risk assessment, seamless integration with lending workflows, and support for multiple lending sectors including small business, mortgage, and consumer lending, enabling financial institutions and lenders to make faster, more consistent credit decisions while expanding access to affordable credit and reducing operational costs.</t>
  </si>
  <si>
    <t>1st &amp; Main Growth Partners, 9Yards Capital Management, Anthony Gellert, ARC Angel Fund, Bill King, Boro Capital, Bullpen Capital, Christopher Craig, Cohen Circle, Cross River Digital Ventures, Differential Ventures, Elevate Innovation Partners, Executive Forum Angels, Fin Capital, FinTech Collective, Gaingels, Golden Vision Capital, Greg Neufeld, HBS Alumni Angels of Greater New York, Hugh Nguyen, Invus Opportunities, Laconia Capital Group, Mana Ventures, Nikhil Sama, Oak HC/FT, Plug and Play Tech Center, QED Investors, Ram Ahluwalia, RiverPark Ventures, Samuel Hodges, Stage 2 Capital, Tanya Barnes, Teamworthy Group, Thomvest Ventures, Trevor Bond, TriplePoint Capital, ValueStream Ventures, Verdure Capital Management, Vincent Passione, Westchester Angels</t>
  </si>
  <si>
    <t>www.ocrolus.com</t>
  </si>
  <si>
    <t>99281-71</t>
  </si>
  <si>
    <t>AppZen</t>
  </si>
  <si>
    <t>Developer of an autonomous and compliance management intended to help finance teams scale with autonomous processing, saving money and reducing risk while boosting growth. The company's platform combines patented deep learning, computer vision, and semantic analysis with intelligence from thousands of online data sources to understand financial transactions in a business context and make decisions before those transactions happen, enabling clients to reduce spending, comply with the policy, and streamline the process.</t>
  </si>
  <si>
    <t>500 Global, Alberto Lopez Toledo, Arjun Menon, Azoic Ventures, Coatue Management, CPP Investments, David McClure, Evolution VC Partners, Geodesic Capital, Human Capital Development, KBW Ventures, Lightspeed Venture Partners, MasterCard, Philippe Suchet, PROOF, Redpoint Ventures, Resolute Ventures, Sand Hill Angels, SilverHaze Partners, Wally Wang</t>
  </si>
  <si>
    <t>www.appzen.com</t>
  </si>
  <si>
    <t>124481-44</t>
  </si>
  <si>
    <t>Smart Pension</t>
  </si>
  <si>
    <t>Developer of an automated enrollment pension platform intended to streamline and promote savings, and financial well-being. The company's platform allows clients to automate enrollment, and manage pension funds and beneficiaries and offers financial literacy content, pension calculators, governance guides, and interactive planning tools, enabling clients to protect the financial futures of their members.</t>
  </si>
  <si>
    <t>Aquiline Capital Partners, Asseily Ventures, Barclays, Canadian Imperial Bank of Commerce, Chris Adelsbach, Chrysalis Investments, DWS Group, Edward Asseily, Fidelity International Strategic Ventures, HSBC UK, JP Morgan Asset Management, Legal &amp; General Investment Management, MUFG Pension &amp; Market Services, Natixis, Portfolio Ventures, Stensrud Family, Thomas Valentine, William Reeve</t>
  </si>
  <si>
    <t>www.smart.co</t>
  </si>
  <si>
    <t>279989-83</t>
  </si>
  <si>
    <t>Agicap</t>
  </si>
  <si>
    <t>Developer of a cash flow management software designed to help clients focus on the present and future by helping them put cash at the heart of their decision-making. The company's software provides managers with simple and reliable services for cash flow forecasts, and visualization of incoming and outgoing payment reports, enabling clients to get cash flow forecasts and simulate the impact scenarios on cash flows.</t>
  </si>
  <si>
    <t>AVP, BlackFin Capital Partners, Greenoaks, Kima Ventures, La French Tech, Partech</t>
  </si>
  <si>
    <t>www.agicap.com</t>
  </si>
  <si>
    <t>55693-72</t>
  </si>
  <si>
    <t>MoneyFarm</t>
  </si>
  <si>
    <t>Operator of an online wealth management platform intended to grow and protect wealth inexpensively with transparency. The company's platform is used for creating investment portfolios based on investment targets and measure risk taking capacities, managed portfolios, enabling customers to monitor and recommend balancing of investments.</t>
  </si>
  <si>
    <t>Allianz Global Investors, Allianz X, Cabot Square Capital, Endeavor Catalyst, Fondazione di Sardegna, Jupiter Venture, M&amp;G, Poste Italiane, Route 66 Ventures, Smedvig Ventures, The Net Value, United Ventures, Venrex Investment Management</t>
  </si>
  <si>
    <t>www.moneyfarm.com</t>
  </si>
  <si>
    <t>518348-89</t>
  </si>
  <si>
    <t>Arcana</t>
  </si>
  <si>
    <t>Big Data, FinTech, SaaS</t>
  </si>
  <si>
    <t>Developer of an investment intelligence platform designed to support portfolio construction, risk evaluation, and analyst research workflows. The company offers real-time analytics, AI-powered research tools, and integrated workflow capabilities across reports, spreadsheets, APIs, and mobile access, enabling hedge funds and asset managers to improve investment analysis and decision-making efficiency.</t>
  </si>
  <si>
    <t>Abstract Ventures, Akshay Kothari, CMS Holdings (New York), D1 Capital Partners, Duquesne Fund Services, Floating Point Group, Folius Ventures, GoldenTree Asset Management, Positive Sum, Ryan Roslansky, Sandeep Nailwal, Santiago Santos, Soma Capital, Tiger Global Management, Uncommon Projects</t>
  </si>
  <si>
    <t>www.arcana.io</t>
  </si>
  <si>
    <t>169680-43</t>
  </si>
  <si>
    <t>BillGO</t>
  </si>
  <si>
    <t>Developer of a business-to-business (B2B) payment platform designed to advance payment systems securely. The company's platform reminds consumers when their bills are due and allows them to view, manage, and pay all their bills from a consolidated location in real time, enabling clients to offer their customers a secure and easy-to-use system for paying and processing bills online.</t>
  </si>
  <si>
    <t>Andrew Wilkinson, BankTech Ventures, Capital One Ventures, Caruso Ventures, Cohen Circle, Commerce Ventures, Costanoa Ventures, Industry Ventures, MVB Financial, Peter Kight, United Services Automobile Association, USAA Corporate Development, Valley Ventures</t>
  </si>
  <si>
    <t>www.billgo.com</t>
  </si>
  <si>
    <t>233798-50</t>
  </si>
  <si>
    <t>Kuda</t>
  </si>
  <si>
    <t>Developer of a full-service digital-only bank platform designed to assist consumers in smart budgeting, saving, and spending. The company's platform allows the opening of a digital account synchronized with the bank, which excludes unnecessary bank charges, helps in earning interest, and also assists in gaining access to low-interest loans, enabling consumers to save periodically and earn interest for their savings while excluding any physical banking hassle.</t>
  </si>
  <si>
    <t>AdFirst, Brandon Krieg, Century Oak Ventures, Chris Adelsbach, Edward Robinson, Entrée Capital, Fireball Capital, Full Circle Africa, Haresh Aswani, Johan Lorenzen, Jonomi Ventures, Launch Africa Ventures, Lish Jung, ODBA, Oliver Jung, Raffael Johnen, Ragnar Meitern, R-Ventures, SBI Investment, Silverbacks Holdings, Startupbootcamp AfriTech, Startupbootcamp Holding, Target Global, Valar Ventures</t>
  </si>
  <si>
    <t>www.kuda.com</t>
  </si>
  <si>
    <t>339765-85</t>
  </si>
  <si>
    <t>Pinwheel (Financial Software)</t>
  </si>
  <si>
    <t>Developer of an employment and income data platform designed to offer income data engineered for fintech innovation. The company's platform offers insights into the income data of people and powers use cases like direct deposit switching, income, and employment verification and earned wage access, enabling financial institutions to become the primary bank, reduce risk, and activate users.</t>
  </si>
  <si>
    <t>Adam Nash, AMEX Ventures, Amit Agarwal, Coatue Management, Company Ventures, Edward Lando, EQUIAM, Fenway Summer, First Round Capital, Franklin Resources, Franklin Venture Partners, Gokul Rajaram, Indeed, Jacqueline Reses, Jeffrey Wald, Michael Vaughan, Notable Capital, Pareto Holdings, Primary Venture Partners, Rajeev Date, SemperVirens Venture Capital, Shishir Mehrotra, Shiva Rajaraman, Stonewater Ventures, Tony Xu, TQ Ventures, Triton Capital (San Francisco), Upfront Ventures, Verdure Capital Management, Wonder Ventures</t>
  </si>
  <si>
    <t>www.pinwheelapi.com</t>
  </si>
  <si>
    <t>503679-61</t>
  </si>
  <si>
    <t>Rillet</t>
  </si>
  <si>
    <t>Developer of accounting software designed to support efficient financial management for SaaS and usage. The company's software offers automated invoicing, revenue recognition, CRM, and expense management to accelerate month-end close and facilitate invoicing, revenue management, and payables, enabling businesses to track financials and accounting effortlessly.</t>
  </si>
  <si>
    <t>Andreessen Horowitz, BoxGroup, Catalyze Advisors, Creandum, Cristina Cordova, Edwine Alphonse, European Investment Fund, First Round Capital, Fog Ventures (San Francisco), Gloria Baeuerlein, Gordon Wintrob, ICONIQ Growth, Kevin Hartz, Kri Ventures, Lee Kirkpatrick, Michael Yip, Oak HC/FT, Puzzle Ventures (Berlin), Ron Gill, Scott Belsky, Sequoia Capital, Small World Capital, Susa Ventures, Thejo Kote, Zack Kanter</t>
  </si>
  <si>
    <t>www.rillet.com</t>
  </si>
  <si>
    <t>529570-27</t>
  </si>
  <si>
    <t>Scapia</t>
  </si>
  <si>
    <t>Developer of credit card applications designed for people to help them with their traveling expenses. The company's application allows tracking credit card spending while offering coins on transactions that can be redeemed in the form of hotel and flight booking, enabling users to pay and redeem for travel and hotel stays with zero forex transaction charges.</t>
  </si>
  <si>
    <t>3State Ventures, Elevation Capital (India), General Catalyst, Keki Mistry, Peak XV Partners, Tanglin Venture Partners, Z47</t>
  </si>
  <si>
    <t>www.scapia.cards</t>
  </si>
  <si>
    <t>503503-66</t>
  </si>
  <si>
    <t>SignalPlus</t>
  </si>
  <si>
    <t>Developer of a fully automated trading system designed to bridge the infrastructure gap in option platforms. The company's platform offers an artificial intelligence-powered trading robot that automates market-making and risk hedging, enabling traders to use a customized options trading platform for digital and crypto assets.</t>
  </si>
  <si>
    <t>AppWorks, Archerman Capital, Avenir Group, Baboon VC, BlockBooster, Cherubic Ventures, Chiron Partners, GBV Capital, Hashkey Capital, Incuba Alpha, Lingfeng Capital, OKX Ventures, Paradigm Fund, SNZ Holding, Stratified Capital</t>
  </si>
  <si>
    <t>www.signalplus.com</t>
  </si>
  <si>
    <t>437938-84</t>
  </si>
  <si>
    <t>WithClutch</t>
  </si>
  <si>
    <t>Developer of refinancing auto loan platform designed to address income inequality. The company's software helps to access new payment options whenever their credit has improved, interest rates have gone down or a new lender is found that can offer terms, enabling clients to benefit from disciplined payments.</t>
  </si>
  <si>
    <t>Alkeon Capital Management, Andreessen Horowitz, Curql, Firebolt Ventures, Floating Point (Boston), Iterative Accelerator, Next Level Ventures, Peterson Partners, TruStage Ventures</t>
  </si>
  <si>
    <t>www.withclutch.com</t>
  </si>
  <si>
    <t>227756-44</t>
  </si>
  <si>
    <t>Gojo &amp; Company</t>
  </si>
  <si>
    <t>Provider of financial services intended to extend inclusion globally through improved access to money lending and borrowing irrespective of one's background. The company's services mainly focus on investment holding several microfinance institutions around the world, and investing in the financial inclusion space across emerging markets, enabling unbanked communities to achieve economic empowerment and financial independence.</t>
  </si>
  <si>
    <t>15th Rock, Abf Capital, AIZAWA Investments, Aizawa Securities, ANRI, Asian Capital Alliance (Asia), Asset Management One, Baillie Gifford, Beyond Next Ventures, Capital X (China), Chiba Dojo, Chugin Capital Partner, Cool Japan Fund, Credit Saison, Daiichi Life Group, Daiwa House Ventures, DIMENSION (Japan), Dream Incubator, Felicity Global Capital, FFG Venture Business Partners, Fujitsu Ventures, Global Brain, Globe Advisors Ventures, Globis Capital Partners, GMO Venture Partners, Hakuhodo DY Ventures, HFA Capital, HiJoJo Partners, Hungchi Capital, International Christian University, International Cooperation and Development Fund, iSG Investment Works, Itochu, Iwagin Future Investment, Izawa Investments, Jafco, Japan International Cooperation Agency, J-Startup, KDDI Ventures Program, Link and Motivation, Marubeni, Marui Group, MIraidoor, Miyagin Venture Capital, Nippon Venture Capital, Nissay Capital, NOW (Japan), Overseas Demand Development Support Organization, QR Investment, Rheos Capital Works, Ricoh Leasing Company, Samurai Incubate, San-in Godo Bank, SBI Investment, Seven Bank, SG Capital (Tokyo), SMBC Nikko Securities, Sompo Holdings, Sumisho Venture Partners, Sumitomo Mitsui Trust Bank, TGVest Capital, Tokyo University of Science Investment Management, TransLink Capital, Tsuneishi Capital Partners, Tusic, Venture Labo Investment</t>
  </si>
  <si>
    <t>www.gojo.co</t>
  </si>
  <si>
    <t>61695-73</t>
  </si>
  <si>
    <t>Jimu (Financial Software)</t>
  </si>
  <si>
    <t>Provider of an online platform intended to offer peer-to-peer (P2P) lending services. The company's platform facilitates access to crowd-funded loans and other financial services, enabling small and medium enterprises to get the required funding for their development.</t>
  </si>
  <si>
    <t>HT CC, Investec, Mandra Capital, MPC (Beijing), MSA Capital, Shunwei Capital, Ventech (Paris), Vertex Ventures China, Xiaomi Technology, Zhong Capital Holding Group</t>
  </si>
  <si>
    <t>www.jimu.com</t>
  </si>
  <si>
    <t>509126-14</t>
  </si>
  <si>
    <t>Opto Investments</t>
  </si>
  <si>
    <t>Provider of independent investment advisors with insights and tools intended to access private market investments. The company's platform connects investment advisors to top-performing managers and a full suite of alternative asset tools with expert insight, enabling clients to boost revenue and access private investment opportunities to build long-term wealth.</t>
  </si>
  <si>
    <t>8VC, Brave Capital (San Francisco), Brewer Lane Ventures, Clocktower Ventures, DFO Management, Fin Capital, HOF Capital, LeFrak, Silicon Valley Data Capital, Tiger Global Management, Zarco Investment Group</t>
  </si>
  <si>
    <t>www.optoinvest.com</t>
  </si>
  <si>
    <t>265311-01</t>
  </si>
  <si>
    <t>CoGo (New Zealand)</t>
  </si>
  <si>
    <t>Artificial Intelligence &amp; Machine Learning, CleanTech, SaaS</t>
  </si>
  <si>
    <t>Developer of a carbon footprint management platform intended for sustainability monitoring and reporting purposes. The company's platform integrates directly with banking and accounting systems to analyze transaction data, calculate real-time environmental impact scores based on spending patterns, and provide automated recommendations for emission reductions, enabling financial institutions and small businesses to measure, manage, and report their ecological footprint to facilitate a transition toward lower-carbon operations.</t>
  </si>
  <si>
    <t>42Collective, 53 Degrees Capital, Anake Goodall, Andrew Thorburn, Aspire NZ Seed Fund, Bran Investments, Conduit Connect, Dave Moskovitz, David Lee, Enterprise Angels, FinTech Innovation Lab, Foggy Valley Aotearoa, Free Electrons, Gandel Invest, Greenlight Ventures NZ, Grow London, Icehouse Ventures, ING Belgium, James Watt, Jason Stockwood, K1W1, Mark Sainsbury, New Zealand Growth Capital Partners, OTP LAB, Pentland Ventures, Quadrian VC, Richard Collier-Keywood, Seed The Change, Soul Capital</t>
  </si>
  <si>
    <t>www.cogo.co</t>
  </si>
  <si>
    <t>264938-14</t>
  </si>
  <si>
    <t>Rho Technologies</t>
  </si>
  <si>
    <t>Developer of a digital banking platform intended to cater to the needs of high-growth companies. The company offers commercial banking, spend management, and growth capital together in a single platform to gain access to flexible checking accounts for everyday operations and safely store reserve capital in an insured treasury management account, enabling businesses to grant and control the spending of every team member with physical and virtual corporate cards.</t>
  </si>
  <si>
    <t>01 Advisors, 75 &amp; Sunny, Christopher Golda, Claritas Capital, Clocktower Ventures, Company Ventures, DFJ Growth, Dragoneer Investment Group, Eagle Point Trinity Senior Secured Lending Company, Eric Kinariwala, Freya Ventures, Helium-3 Ventures, Inspired Capital (New York), Interplay Ventures, Joshua Stech, M13, Mercer Ventures (New York), Michael Vaughan, PEAK6 Strategic Capital, Rogue Capital Partners, Runway Growth Finance BDC, Socially Financed, Stephen Sikes, Synergis Capital, Torch Capital, Witz Ventures</t>
  </si>
  <si>
    <t>www.rho.co</t>
  </si>
  <si>
    <t>110510-29</t>
  </si>
  <si>
    <t>Wetravel</t>
  </si>
  <si>
    <t>Developer of an online payment and booking platform designed for multi-day travel companies. The company's platform helps travel companies collect money when they organize their travel itineraries for friends or other groups, as well as helps them to collect payments for that trip and promote it on social media, email, and other channels, enabling trip organizers to simplify the process of organizing, sharing, and managing group trips.</t>
  </si>
  <si>
    <t>500 Global, Amino Capital, Base10 Partners, Berkeley SkyDeck, Brett Wilson, Creative Ventures, Cross Creek Advisors, Diego Alcaino, Dorm Room Fund, Edith Yeung, Elsita Sanya, First Round Capital, Foundation Capital, Hansoo Lee Fellowship, Index Ventures, LAUNCH Accelerator (Berkeley), Left Lane Capital, Pirque, Sapphire Ventures, Swift Ventures, Taihill Venture, The House Fund, Thunder Future, Victor Jacobsson</t>
  </si>
  <si>
    <t>www.wetravel.com</t>
  </si>
  <si>
    <t>399416-23</t>
  </si>
  <si>
    <t>Fi Money</t>
  </si>
  <si>
    <t>Developer of a money management platform designed to offer digital banking services. The company's platform provides digital bank accounts and co-branded debit cards that link existing financial services products onto a single mobile banking interface ,as well as automatically sets aside money for the cardholder, enabling users to optimize their savings and make informed financial decisions.</t>
  </si>
  <si>
    <t>Alpha Wave Global, B Capital Group, Chimera Capital, David Velez, GL Ventures, Hillhouse Investment Group, Kunal Shah, Oceanview Capital Partners, Peak XV Partners, QCM Holdings, Quiet Capital, Rainmatter Capital, Ribbit Capital, Temasek Holdings</t>
  </si>
  <si>
    <t>www.fi.money</t>
  </si>
  <si>
    <t>54107-11</t>
  </si>
  <si>
    <t>SigFig</t>
  </si>
  <si>
    <t>Developer of a wealth management platform designed to offer personalized investment advice. The company's platform uses a combination of design, data science, and technology to provide the information and guidance to achieve personal financial goals, enabling investors of all wealth levels to improve their investment management process and get accessible and affordable guidance for their financial planning.</t>
  </si>
  <si>
    <t>Bain Capital Ventures, Citizens Financial Group, Comerica, DCM Ventures, Eaton Vance, General Atlantic, Morgan Stanley, Mouro Capital, New York Life Enterprises, New York Life Ventures, Nyca Partners, Realization Capital Partners, Santander Consumer Finance, Team Builder Ventures, UBS Group, Union Square Ventures, Wells Fargo</t>
  </si>
  <si>
    <t>www.sigfig.com</t>
  </si>
  <si>
    <t>222292-00</t>
  </si>
  <si>
    <t>Exactera</t>
  </si>
  <si>
    <t>Developer of a tax compliance software designed to turn tax data into business intelligence. The company's software leverages AI models for transfer pricing, tax provision, and research and development tax credits and helps their customers to stay ahead of the pace of change through technology enablement and access to deep industry expertise, enabling tax professionals to mitigate risk and streamline compliance and documentation processes with complete accuracy.</t>
  </si>
  <si>
    <t>Insight Partners (New York), Savant Growth</t>
  </si>
  <si>
    <t>www.exactera.com</t>
  </si>
  <si>
    <t>279507-70</t>
  </si>
  <si>
    <t>AscendEX</t>
  </si>
  <si>
    <t>Out of Business</t>
  </si>
  <si>
    <t>Developer of a digital asset trading platform designed for cryptocurrency exchange and related services. The company's platform provides access to spot and futures trading, copy trading functionalities, and decentralized exchange, supported by margin trading, and various deposit and withdrawal methods, along with access to market news and educational resources, enabling global investors to trade a wide variety of cryptocurrencies and leveraged tokens, participate in earning programs, and engage with new crypto offerings.</t>
  </si>
  <si>
    <t>www.ascendex.com</t>
  </si>
  <si>
    <t>434133-73</t>
  </si>
  <si>
    <t>Persefoni</t>
  </si>
  <si>
    <t>Artificial Intelligence &amp; Machine Learning, CleanTech, Climate Tech, SaaS</t>
  </si>
  <si>
    <t>Developer of a carbon management and reporting platform intended to manage carbon footprint. The company uses automation and artificial intelligence to collect and standardize emissions data, calculate footprints across all scopes, align reporting with regulatory and voluntary frameworks, and provide analytics dashboards, enabling organizations to manage climate disclosures and decarbonization efforts in a consistent and audit-ready way.</t>
  </si>
  <si>
    <t>Alumni Ventures, Bain &amp; Company, Carnrite Ventures, Clearvision Ventures, De Capital (Japan), Diligent (New York), EDF Pulse Ventures, Eneos Innovation Partners, Kentaro Kawamori, KG Investments, L Marks, Lloyd's Lab, MarketX, New Valley, NGP Energy Capital Management, NGP Energy Technology Partners, Parkway Venture Capital, Prelude Ventures, Rice Investment Group, Sallyport, Sumitomo Mitsui Banking, Suneight Investment, Terrence Murphy Companies, The Ferrante Group, The Rise Fund, TPG</t>
  </si>
  <si>
    <t>www.persefoni.com</t>
  </si>
  <si>
    <t>162910-72</t>
  </si>
  <si>
    <t>Niyo</t>
  </si>
  <si>
    <t>Operation of a digital banking platform intended to offer forex services and simplify financial services through technology. The company's platform provides products, including digital banking keys, prepaid forex cards, and mobile banking apps, enabling salaried employees and international travelers to load funds in rupees and spend across countries with no forex markup fee.</t>
  </si>
  <si>
    <t>100Unicorns, Accel, Alteria Capital, Beams Fintech Fund, Elev8 Venture Partners, Horizons Ventures, JS Capital Management, Lightrock, MGA Ventures, Multiples Alternate Asset Management, Prime Venture Partners, ProfitBoard Ventures, Spring Marketing Capital, Tencent Holdings</t>
  </si>
  <si>
    <t>www.goniyo.com</t>
  </si>
  <si>
    <t>179815-51</t>
  </si>
  <si>
    <t>Rossum</t>
  </si>
  <si>
    <t>Developer of a compliance platform designed to automate regulatory processes and risk assessment workflows. The company offers digital onboarding, transaction monitoring, and AML and KYC screening tools, enabling financial institutions and regulated businesses to manage compliance and reduce manual effort.</t>
  </si>
  <si>
    <t>www.rossum.ai</t>
  </si>
  <si>
    <t>108421-12</t>
  </si>
  <si>
    <t>ComplyAdvantage</t>
  </si>
  <si>
    <t>Artificial Intelligence &amp; Machine Learning, Big Data, Cybersecurity, FinTech, SaaS</t>
  </si>
  <si>
    <t>Developer of a fraud and anti-money laundering risk detection platform designed to neutralize financial crime and comply with regulations. The company's platform offers a real-time database of people and companies to help organizations identify risk events from structured and unstructured data points daily, enabling enterprises to calibrate risk, improve workload efficiency, and gain crime insight.</t>
  </si>
  <si>
    <t>Andreessen Horowitz, Asseily Ventures, Balderton Capital, Caroline Worboys, Christopher Pilling, Communitas Capital Partners, DIG Ventures, Edward Asseily, Frederick Knox, Goldman Sachs Growth Equity, Index Ventures, Leo Lion, Michael Kent, Ontario Teachers' Pension Plan, Philip Edmans, Plug and Play Tech Center, Rupert van Millingen, Socii Capital, Suranga Chandratillake, Teachers' Venture Growth, The Goldman Sachs Group, Timothy Bunting, TRAC VC, Triarch Capital Group, TriplePoint Capital, UpHonest Capital, William Kirby</t>
  </si>
  <si>
    <t>www.complyadvantage.com</t>
  </si>
  <si>
    <t>458126-47</t>
  </si>
  <si>
    <t>Aiwyn</t>
  </si>
  <si>
    <t>Developer of an AI-powered billing platform designed to fix a company's work-to-cash cycle. The company's platform utilizes artificial intelligence to automate and enhance time-consuming processes, including invoice preparation, collections, and payments, enabling accounting firms to save time, accelerate cash flow, and deliver a superior client experience.</t>
  </si>
  <si>
    <t>10X Capital, Bessemer Venture Partners, Cerity Partners Ventures, Charlotte Fund, CreativeCo Capital, Fresh Founders, Hillandale Advisors, Kohlberg Kravis Roberts, Merian Ventures, Operator Partners, Relevance Ventures, Revolution (Washington DC), Revolution Ventures</t>
  </si>
  <si>
    <t>www.aiwyn.ai</t>
  </si>
  <si>
    <t>226103-68</t>
  </si>
  <si>
    <t>Aspire</t>
  </si>
  <si>
    <t>Developer of a finance management platform designed to make business banking efficient and transparent. The company's platform provides convenient access to funding and financial tools to manage bank accounts, credit cards, invoicing, and expenses in a single unified software, enabling clients to streamline their cash management and make smart business decisions.</t>
  </si>
  <si>
    <t>ACE Capital, AFG Partners, Alexandre Prot, Andreas Ehn, Arc Labs, B Capital Group, BAce Capital, Beacon Venture Capital, Boleh Ventures, CE Innovation Capital, Crane Venture Partners, DST Global, Fasanara Capital, Fintech Nation, Gerry Giacomán Colyer, Hedosophia, Hendra Kwik, Hummingbird Ventures, Hustle Hard Ventures, Insignia Ventures Partners, LGT Capital Partners, Lightspeed Venture Partners, Lisa Enckell, MassMutual Ventures, Moses Lo, Orios Venture Partners, PayPal Ventures, Peak XV Partners, Picus Capital, Pierpaolo Barbieri, Pioneer Fund, Prasetia Dwidharma, R301 Capital, Sequoia Capital, Steve Anavi, Stratos Technologies, Taavet Hinrikus, Tencent Holdings, Y Combinator</t>
  </si>
  <si>
    <t>www.aspireapp.com</t>
  </si>
  <si>
    <t>454976-47</t>
  </si>
  <si>
    <t>xQuant (China)</t>
  </si>
  <si>
    <t>Developer of financial software intended to provide quantitative financial analysis. The company develops a investment management and analysis system "xAsset" for financial institutions including banks, brokers, funds, and insurances, enabling users to make better financial decisions.</t>
  </si>
  <si>
    <t>CITIC Jingshi Investment, CITIC Securities, E Fund Management, Gaocheng Capital, Guotai Junan Innovation Investment, Hupan Capital, Lingang Technology Innovation Center, Shanghai Guoxin Investment, Shenzhen Synergetic Innovation Fund Management, Springs Capital, ZSY Capital</t>
  </si>
  <si>
    <t>www.xquant.com</t>
  </si>
  <si>
    <t>433186-57</t>
  </si>
  <si>
    <t>Primer (Financial Software)</t>
  </si>
  <si>
    <t>Developer of an automated payment ecosystem designed to optimize front and backend flows of payment. The company's online payment platform unifies the fragmented ecosystem to help online merchants power e-commerce experiences, enabling clients to increase authorization rates, reduce costs, and expand into new markets.</t>
  </si>
  <si>
    <t>Accel, Balderton Capital, David Mytton, ICONIQ Growth, Kima Ventures, Kinled Holding, Peak XV Partners, RTP Global, Seedcamp, Sofina, Speedinvest, Surface Ventures, Taavet Hinrikus, Tencent Holdings, William Neale</t>
  </si>
  <si>
    <t>www.primer.io</t>
  </si>
  <si>
    <t>54853-39</t>
  </si>
  <si>
    <t>Mswipe</t>
  </si>
  <si>
    <t>Operator of a leading digital payment and financial alternative company, intended to support the growing merchant community across India. The company specializes in terminal-based mobile POS technology that works with all smartphones, tablets, and computers, and links to any bank account, enabling merchants to accept debit and credit card payments using their mobile devices.</t>
  </si>
  <si>
    <t>Alpha Wave Global, Axis Private Equity, B Capital Group, Deepak Shahdadpuri, DSG Consumer Partners, Epiq Capital, Fosun Capital Group, Meru Capital, Ola Electric Mobility, Praveen Chakravarty, Ratan Tata, RNT Associates, University of California, Z47</t>
  </si>
  <si>
    <t>www.mswipe.com</t>
  </si>
  <si>
    <t>119115-19</t>
  </si>
  <si>
    <t>Stash</t>
  </si>
  <si>
    <t>Developer of a personal finance application designed to make savings and investments accessible to everyone. The company's application offers personal investment accounts, retirement accounts and custodial accounts for minors as well as provides the option to buy fractional shares of stocks, bonds and funds with no add-on trading commissions, enabling users to save small sums of money and make micro-investments regardless of their age and income in a hassle-free manner.</t>
  </si>
  <si>
    <t>www.stash.com</t>
  </si>
  <si>
    <t>265459-06</t>
  </si>
  <si>
    <t>Atlas Card</t>
  </si>
  <si>
    <t>Developer of an online financial platform designed to offer a digital bank account and personalized card facilities for secure transactions. The company's application follows a point-based system to allow its users to transfer money without overdraft or transfer fees with no minimum balance and offer reward points on all travel and dining purchases, enabling users to use their mobile phones for daily financial transactions anytime.</t>
  </si>
  <si>
    <t>Anton Levy, Astro Capital (NY), BC/BL Holdco, Breyer Capital, Broocknell Ventures, Canapi Ventures, Capitoria, Chapter One, Cosmic Management, Eric Schmidt, Evolution VC Partners, Expansion Capital, Friends &amp; Family Capital, Gaingels, Human Capital, Kindred Ventures, Launchbay Capital, Marathon Management Partners, Mendoza Ventures, Olaf Carlson-Wee, Oriza Ventures, Pascal Levy-Garboua, Restive Ventures, Robot Ventures, Ryan Falvey, Sequoia Capital, Spearhead (VC), Twenty Two Ventures, Valar Ventures, VentureSouq, Verified Capital, Y Combinator</t>
  </si>
  <si>
    <t>www.atlascard.com</t>
  </si>
  <si>
    <t>267612-04</t>
  </si>
  <si>
    <t>ADDX</t>
  </si>
  <si>
    <t>Developer of an investment platform designed to make the private market accessible to all. The company offers issuance, settlement, custody, and secondary trading of digital securities and smart contracts using distributed ledger and blockchain technology to streamline the issuance and trading process, enabling investors and issuers to access and trade in capital markets securely.</t>
  </si>
  <si>
    <t>DeClout, Development Bank of Japan, EXEO Innovation Fund, Hamilton Lane, Hanwha Asset Management, JIC Venture Growth Investments, Juroku Bank, Krungsri Finnovate, Mobile Internet Capital, Singapore Exchange, Ternary Fund Management, The Stock Exchange of Thailand, Tokai Tokyo Financial Holdings, United Overseas Bank</t>
  </si>
  <si>
    <t>www.addx.co</t>
  </si>
  <si>
    <t>530477-47</t>
  </si>
  <si>
    <t>Tabs</t>
  </si>
  <si>
    <t>Developer of a revenue automation platform designed to automate the process of administering contracts, billing, revenue recognition, renewals, and audits. The company's platform utilizes artificial intelligence to generate and send invoices based on data from contracts, purchase orders, and sales agreements and detect bottlenecks in the collection process, enabling finance teams to maintain healthy cash flow, streamline operations, and enhance cash flow efficiency</t>
  </si>
  <si>
    <t>AICPA and CPA.com Startup Accelerator, Alumni Ventures, Commerce Ventures, Company Ventures, Fog Ventures (San Francisco), General Catalyst, Lightspeed Venture Partners, One Way Ventures, Primary Venture Partners, Signal Rank, Thomson Reuters Ventures, Vercel AI Accelerator, Watershed Collective, WiL (World Innovation Lab), Zeal Talent Ventures</t>
  </si>
  <si>
    <t>www.tabs.com</t>
  </si>
  <si>
    <t>102481-66</t>
  </si>
  <si>
    <t>Trusting Social</t>
  </si>
  <si>
    <t>Developer of a credit scoring and financial inclusion platform designed to help lenders serve underbanked consumers. The company's platform offers trust scores of individuals by using artificial intelligence (AI) and alternate data with underwriting and fraud management insights, digital onboarding of customers with secure transactions by using facial recognition and AI models and segmentation of customers for multiple consumer loan products, enabling lenders to verify application data and evaluate credit risk and confidently lend to financially invisible consumers who are not covered by credit bureaus.</t>
  </si>
  <si>
    <t>500 Global, AVV (Ascend Vietnam Ventures), AWS Startups, BEENEXT Capital Management, Binh Tran, Genesis Alternative Ventures, Kima Ventures, Masan Group, Peak XV Partners, Plug and Play Tech Center, Sequoia Capital, Tanglin Venture Partners</t>
  </si>
  <si>
    <t>www.trustingsocial.com</t>
  </si>
  <si>
    <t>594390-07</t>
  </si>
  <si>
    <t>DualEntry</t>
  </si>
  <si>
    <t>Developer of an artificial intelligence-based accounting software designed for handling transactions for mid-market enterprises. The company's software tackles the shortcomings of outdated accounting practices with multi-entity, multi-currency support and real-time insights, by delivering response times on a high-capacity database and multiple native bank connections, enabling accountants, controllers and CFOs to automate the entire process of accounting and the management of transactions.</t>
  </si>
  <si>
    <t>Carya Venture Partners, Contrary (San Francisco), Dubin &amp; Co., GV, Khosla Ventures, Lightspeed Venture Partners, Ludlow Ventures, Outsiders Fund, Picus Capital, RTP Global, Soma Capital, Vesey Ventures</t>
  </si>
  <si>
    <t>www.dualentry.com</t>
  </si>
  <si>
    <t>221696-47</t>
  </si>
  <si>
    <t>Finbourne Technology</t>
  </si>
  <si>
    <t>Developer of an investment data platform designed to reduce the cost of investing and increase transparency. The company offers an open, scalable, and utility-based cloud platform that provides investment data storage and secures a full history of every transaction and adjustment the company makes, enabling businesses with data systems to enhance utility and information, simplify user access, and reduce operating and capital costs.</t>
  </si>
  <si>
    <t>AVP, Ayana Capital, CommerzVentures, Engine (Accelerator), Fidelity International Strategic Ventures, Frontline Ventures, Hedosophia, Highland Europe, HSBC Holdings, London Stock Exchange Group, Pivot Investment Partners</t>
  </si>
  <si>
    <t>www.finbourne.com</t>
  </si>
  <si>
    <t>460226-35</t>
  </si>
  <si>
    <t>Skipify</t>
  </si>
  <si>
    <t>Developer of a checkout portal designed for better purchasing experiences on websites, in stores, and across marketing channels. The company's platform offers an identity-powered payment system by connecting directly with issuing banks, enabling merchants to streamline the checkout process for their customers</t>
  </si>
  <si>
    <t>AMEX Ventures, Aramex Ventures, BDT &amp; MSD Partners, Bee Partners, Flourish Ventures, Infinity Ventures (San Francisco), Okta Ventures, PayPal Ventures, Point72 Ventures, Samsung NEXT Ventures, Start Path, Synchrony Ventures, Vinyl Capital, Worldpay</t>
  </si>
  <si>
    <t>www.skipify.com</t>
  </si>
  <si>
    <t>97396-39</t>
  </si>
  <si>
    <t>Splash Financial</t>
  </si>
  <si>
    <t>Operator of a digital lending platform intended to provide student and personal loans. The company's platform provides market-competitive rates, no application or origination fees and simplified monthly payments, enabling borrowers to easily shop and compare financial products from a network of credit unions and bank partners.</t>
  </si>
  <si>
    <t>Citi Ventures, Curql, Detroit Venture Partners, DST Global, Firebolt Ventures, First Tech Federal Credit Union, Grand Oaks Capital, Innovation Fund America, Interstate Fusion Ventures, Jumpstart Ventures, Next Level Ventures, Nick Koinoglou, Northwestern Mutual Future Ventures, Robert Immerman, The O.H.I.O. Fund, TruStage, TruStage Ventures, William Koehler</t>
  </si>
  <si>
    <t>www.splashfinancial.com</t>
  </si>
  <si>
    <t>483686-38</t>
  </si>
  <si>
    <t>Thatch</t>
  </si>
  <si>
    <t>FinTech, HealthTech</t>
  </si>
  <si>
    <t>Operator of a financial technology company intended to provide competitive health and wellness benefits. The company uses financial infrastructure to create a unified interface for healthcare spending and saving, enabling businesses to easily give personalized healthcare to their teams.</t>
  </si>
  <si>
    <t>ACS BrightEdge, ADP Ventures, Andreessen Horowitz, Avid Ventures, Axial (San Francisco), Caffeinated Capital, CoFound Partners, General Catalyst, GV, Index Ventures, Lux Capital, Not Boring, PeopleTech Partners, Quiet Capital, SemperVirens Venture Capital, The General Partnership, Untapped Ventures</t>
  </si>
  <si>
    <t>www.thatch.com</t>
  </si>
  <si>
    <t>436742-20</t>
  </si>
  <si>
    <t>jss.com.cn</t>
  </si>
  <si>
    <t>FinTech, Supply Chain Tech</t>
  </si>
  <si>
    <t>Developer of an online financial service platform. The company's platform helps clients with invoices, taxing, supply chain finance, and other financial services, enabling convenient cloud management of financial data.</t>
  </si>
  <si>
    <t>Ant Group</t>
  </si>
  <si>
    <t>www.jss.com.cn</t>
  </si>
  <si>
    <t>168104-89</t>
  </si>
  <si>
    <t>LogicGate</t>
  </si>
  <si>
    <t>Artificial Intelligence &amp; Machine Learning, SaaS, TMT</t>
  </si>
  <si>
    <t>Developer of a risk management platform designed to transform mission-critical risk and compliance activities. The company's platform enhances controls, increases flexibility and reduces the risk of analyzing and remediating issues immediately without the support of consultants or corporations as well as connects many people and disparate data, enabling clients to improve operations by centralizing, automating and keeping an audit record of all activity.</t>
  </si>
  <si>
    <t>Chicago Ventures, David Gilliland, FireStarter Fund, High Alpha, Jump Capital, MATH Venture Partners, Next Play Ventures, OCA Ventures, PSG, Right Side Capital Management, SVB Financial Group, Tamim Majid, Techstars</t>
  </si>
  <si>
    <t>www.logicgate.com</t>
  </si>
  <si>
    <t>266649-94</t>
  </si>
  <si>
    <t>Wiseco Technology</t>
  </si>
  <si>
    <t>Provider of financial services focusing on credit score analysis. The company utilize big data risk management and intelligent decision system to help financial institutions to gain customers, audit credit score and collect loans.</t>
  </si>
  <si>
    <t>Chengdu Santai Holding Group Company, China Growth Capital, DeepZero, Green Pine Capital Partners, Huading Capital, Huagai Capital, Sino-Ocean Capital</t>
  </si>
  <si>
    <t>www.wisecotech.com</t>
  </si>
  <si>
    <t>399455-83</t>
  </si>
  <si>
    <t>Hydbest</t>
  </si>
  <si>
    <t>Operator of a peer to peer leading platform designed to provide financial support services. The company's platform provides wealth management as well as convenient intermediary information service for both borrowers and lenders, enabling clients to efficiently manage their wealth and access to resourceful financial assets.</t>
  </si>
  <si>
    <t>Hopefluent Group</t>
  </si>
  <si>
    <t>www.hydbest.com</t>
  </si>
  <si>
    <t>433554-13</t>
  </si>
  <si>
    <t>Signal Advisors</t>
  </si>
  <si>
    <t>Mezzanine</t>
  </si>
  <si>
    <t>Operator of an annuities distribution platform intended to provide services in annuity and life insurance distribution. The company's platform helps independent financial advisors grow their businesses in various ways, through a combination of industry expertise, market-leading service, technology, financing, peer-to-peer coaching, and marketing, enabling financial advisors to become successful and scale their businesses in ways that were not previously possible.</t>
  </si>
  <si>
    <t>Annox Capital, Detroit Venture Partners, Drive Capital, General Catalyst, Ludlow Ventures, Mercury Fund, Quiet Capital, Rock Ventures (Detroit), Ronin Capital Partners, SV Angel, Tiny Capital, Urban Capital Network</t>
  </si>
  <si>
    <t>www.signaladvisors.com</t>
  </si>
  <si>
    <t>88468-21</t>
  </si>
  <si>
    <t>Perfios</t>
  </si>
  <si>
    <t>Bessemer Venture Partners, InnoVen Capital, Kedaara Capital, Stride Ventures, Teachers' Venture Growth, Visa Accelerator, Warburg Pincus</t>
  </si>
  <si>
    <t>www.perfios.ai</t>
  </si>
  <si>
    <t>496547-29</t>
  </si>
  <si>
    <t>Barte</t>
  </si>
  <si>
    <t>Artificial Intelligence &amp; Machine Learning, B2B Payments, FinTech</t>
  </si>
  <si>
    <t>Developer of a modular payment ecosystem designed for omnichannel sales and receivable management. The company's platform utilizes white-label infrastructure, automated reconciliation, payment orchestration, and revenue-based financing, enabling medium and large enterprises to centralize accounts receivable, automate financial procedures, and embed custom payment capabilities into existing business workflows through an integrated digital interface.</t>
  </si>
  <si>
    <t>6 Degrees Capital, AlleyCorp, Capria Ventures, Force Over Mass Capital, Global Founders Capital, NXTP Ventures, VentureFriends</t>
  </si>
  <si>
    <t>www.barte.com</t>
  </si>
  <si>
    <t>327112-84</t>
  </si>
  <si>
    <t>Enjin</t>
  </si>
  <si>
    <t>Developer of an NFT trading platform designed to manage, explore, distribute, and integrate blockchain. The company's platform builds a product ecosystem that helps to create virtual economies through blockchain technology, as well as offers tools and services to create blockchain products or utilize tokenized digital assets as part of their acquisition, retention, engagement, and monetization strategies, enabling businesses to increase revenue and gain a competitive edge.</t>
  </si>
  <si>
    <t>Alliance (Other Capital Markets/Institutions), Anti Fund, ArkStream Capital, Arrington Capital, Aza Ventures, BlockArk, Blockchain, Blockchain Ventures (CVC), BridgePort Group (Singapore), CMT Digital Holdings, Coinbar, CREAM (Las Vegas), Crypto.com Capital, D1 Ventures, Digital Finance Group, Digital Renaissance Foundation, Extra Watts, Fenbushi Capital, GBV Capital, Genblock Capital, Global Support Capital, Hashed, Hashkey Capital, Hypersphere Capital, Iconium Blockchain Ventures, JI Ventures, Jsquare Capital, Kenetic Capital, KOI Capital (Singapore), LD Capital, Marshland Capital, MV Global, Panda Capital (Hong Kong), Pnyx Ventures, Promontory Technologies, VironIT, Web3 Capital (Singapore)</t>
  </si>
  <si>
    <t>www.enjin.io</t>
  </si>
  <si>
    <t>443315-35</t>
  </si>
  <si>
    <t>Found.com</t>
  </si>
  <si>
    <t>Developer of a financial platform designed to offer business banking, bookkeeping and tax services. The company's platform provides built-in expense tracking, comprehensive tax features, full-featured banking with no account fees and real-time business reports, enabling self-employed people to operate their businesses without any hassles.</t>
  </si>
  <si>
    <t>Founders Fund, Glynn Capital, Incite Ventures (San Francisco), Khosla Ventures, Lightspeed Venture Partners, Mischief, Sequoia Capital</t>
  </si>
  <si>
    <t>www.found.com</t>
  </si>
  <si>
    <t>155123-65</t>
  </si>
  <si>
    <t>Jumo World</t>
  </si>
  <si>
    <t>Developer of an ultra-lean banking technology designed to deliver progressive financial choices to customers in emerging markets. The company's technology connects banks with traditionally inaccessible customers in cost-effective, low-risk, and responsible ways, and the company's money marketplace uses behavioral data from mobile usage to create financial identities for small and medium enterprises, enabling customers to create a financial identity using only behavioral data.</t>
  </si>
  <si>
    <t>Ash Park Capital, Athena Capital., Brook Asset Management, Fidelity Management &amp; Research Company, Finnish Fund for Industrial Cooperation, Gemcorp Capital, Juven, LeapFrog Investments, Mastercard Foundation, Michael Joyce, Odey Asset Management, Proparco, Raptor Group, The Goldman Sachs Group, The Jenkins Fund, VEF, Visa, Visa Ventures</t>
  </si>
  <si>
    <t>www.jumo.world</t>
  </si>
  <si>
    <t>52923-34</t>
  </si>
  <si>
    <t>Kickstarter</t>
  </si>
  <si>
    <t>Operator of a global crowdfunding platform intended to offer funds to creative projects. The company's platform publishes the ideas of different companies, filmmakers, musicians, artists, and designers to attract supporters across the world who pledge their money to make the projects successful, enabling businesses to find the resources required to convert their ideas into reality.</t>
  </si>
  <si>
    <t>2050 (VC), Andreessen Horowitz, First Fellow Partners, Flori Ventures, Gaingels, iAngels, Loyal VC, Mercuri (London), Moth Fund, Seven Seven Six, Yes VC</t>
  </si>
  <si>
    <t>www.kickstarter.com</t>
  </si>
  <si>
    <t>266660-74</t>
  </si>
  <si>
    <t>Mos</t>
  </si>
  <si>
    <t>EdTech, FinTech, Mobile</t>
  </si>
  <si>
    <t>Operator of a financial planning platform intended to assist students in saving money on fees and scholarships for college. The company's platform offers comprehensive guidance through the financial aid process and research on financial sources, enabling students to remove financial barriers and access all types of financial assistance.</t>
  </si>
  <si>
    <t>Andrea Funsten, Arrive Opportunities Management, ASDF Ventures, Base Ventures, Emerson Collective, Eric Yuan, Expa, Four Rivers Group, Garrett Camp, John Doerr, Karman Ventures, Khaled Helioui, Lachy Groom, Lux Capital, Plural (England), Plural VC, SNR, Stephen Curry, Sweet Capital, Tiger Global Management, TQ Ventures</t>
  </si>
  <si>
    <t>www.mos.com</t>
  </si>
  <si>
    <t>265171-69</t>
  </si>
  <si>
    <t>Origin( Financial Software)</t>
  </si>
  <si>
    <t>Developer of a money management platform designed to educate employees in managing their finances. The company's platform combines human financial planners with financial technology to educate and help create, execute, and track personalized financial plans, enabling workers to manage their entire financial lives in one place and receive personalized guidance along the way.</t>
  </si>
  <si>
    <t>01 Advisors, 500 Global, Abstract Ventures, A-Level Capital, Bhansali Equities, Coatue Management, Felicis, Founders Fund, General Catalyst, Kevin Moore, Lachy Groom, Merus Capital, MGV, Northstar.VC, Operator Collective, PeopleTech Partners, Precursor Ventures, Richard Costolo, SemperVirens Venture Capital</t>
  </si>
  <si>
    <t>www.useorigin.com</t>
  </si>
  <si>
    <t>182801-08</t>
  </si>
  <si>
    <t>Qingsongchou Network</t>
  </si>
  <si>
    <t>Provider of online fundraising and mutual aid services intended for social support purposes. The company offers offers digital tools for crowdfunding, charitable giving, and community-based assistance, enabling individuals and organizations to initiate campaigns, share resources, and access financial help, while also incorporating features such as transparent project tracking, mobile accessibility, and integrated social sharing functions to broaden participation and strengthen collective resilience.</t>
  </si>
  <si>
    <t>CE Innovation Capital, Daocin Capital, Detong Capital, IDG Capital, Tencent Holdings, Tongdaoo Capital</t>
  </si>
  <si>
    <t>www.qingsongchou.com</t>
  </si>
  <si>
    <t>51361-30</t>
  </si>
  <si>
    <t>SAP Taulia</t>
  </si>
  <si>
    <t>B2B Payments, FinTech, SaaS, Supply Chain Tech</t>
  </si>
  <si>
    <t>Developer of a financial supply chain platform designed to help companies strengthen supplier relationships. The company's platform helps businesses to turn every invoice into a revenue opportunity using their cash or third-party cash to fund early payments, lower the barriers for e-invoicing participation by accepting all forms of electronic invoices without having to charge suppliers and empower suppliers to be self-sufficient by giving them access to free self-service and management tools, enabling businesses to unlock financing opportunities and manage their working capital.</t>
  </si>
  <si>
    <t>Activant Capital</t>
  </si>
  <si>
    <t>www.taulia.com</t>
  </si>
  <si>
    <t>720937-81</t>
  </si>
  <si>
    <t>Turnout</t>
  </si>
  <si>
    <t>Developer of an online platform designed to simplify government procedures. The company's platform specializes in guiding tax filing, employment agreements, tax relief resolution, benefits management, credit care, passport and last name change, birth certificate replacement, consumer protection and bankruptcy, enabling clients to streamline government tasks.</t>
  </si>
  <si>
    <t>Conversion Capital, Four Aces Family Office, Four Acres Capital, HighPost Capital, Honey Stone VC, JAZ Capital Partners, LGVP, Mangusta Capital, Omri Casspi, Shine Capital, Stardust (Hoboken), Sticker Ventures, Swish Ventures, Zeev Ventures</t>
  </si>
  <si>
    <t>www.turnout.co</t>
  </si>
  <si>
    <t>442412-83</t>
  </si>
  <si>
    <t>Xepelin</t>
  </si>
  <si>
    <t>Provider of digital financial services intended to give SMEs economic freedom in their decisions. The company's services include short-term and long-term loans, capital credits and accounts payable financing through its online platform, enabling clients to easily personalize their financial services as per their needs.</t>
  </si>
  <si>
    <t>Amarena, Avenir Growth Capital, Battery Ventures, Carlos Martin, Cathay Innovation, Chile Ventures, Community Investment Management, Daniel Undurraga, Diego Fleischmann, DST Global, Endeavor Catalyst, FJ Labs, Gerry Giacoman, Gilgamesh Ventures, Gonzalo Rojas, Gunderson Dettmer, Hans Tung, Ignacio Canals, Jacqueline Reses, John Curtius, Kaszek, Kayak Ventures, Kayyak Ventures, Latitud, Manutara Ventures, MSA Capital, Nazca, Novo Capital, Oskar Hejertonsson, Oskar Hjertonsson, PayPal Ventures, Picus Capital, Ricardo Weder, Seaya Capital Gestion SGEIC, Seaya Cathay Latam, Spectra Investments, Wellington Management</t>
  </si>
  <si>
    <t>xepelin.cl</t>
  </si>
  <si>
    <t>104541-67</t>
  </si>
  <si>
    <t>Canada Drives</t>
  </si>
  <si>
    <t>Mobility Tech</t>
  </si>
  <si>
    <t>Developer of an online car purchasing platform designed to provide an easy way to buy or sell cars in Canada. The company's platform connects people with vehicle dealers, and financing options and provides them with an extensive inventory of certified used cars and also connects them with a local dealership that will show cars that they already qualify for, saving time and avoiding any stress, enabling customers to easily purchase their required vehicle through a seamless car buying method.</t>
  </si>
  <si>
    <t>Accolade Partners, Anthos Capital, Goeasy, Honor Ventures, OPENLANE (Media and Information Services (B2B))</t>
  </si>
  <si>
    <t>www.canadadrives.ca</t>
  </si>
  <si>
    <t>55839-52</t>
  </si>
  <si>
    <t>Biz2Credit</t>
  </si>
  <si>
    <t>Operator of a digital lending marketplace intended to streamline access to business financing for small and mid-sized enterprises. The company offers an end-to-end online funding experience, proprietary matching algorithms, and flexible repayment structures, enabling entrepreneurs, accountants, and financial professionals to secure working capital with transparency and ease.</t>
  </si>
  <si>
    <t>Direct Lending Investments, Nexus Venture Partners, WestBridge Capital (San Mateo)</t>
  </si>
  <si>
    <t>www.biz2credit.com</t>
  </si>
  <si>
    <t>399263-77</t>
  </si>
  <si>
    <t>Lightnet</t>
  </si>
  <si>
    <t>Developer of a financial platform designed to provide a banking services network to increase the efficiency of existing money transfer operators. The company's platform offers remittance settlement, acceptance of any form of funds, an interoperable settlement network, cross-border payments, and a liquidity infrastructure network, enabling firms to access various financial services at an affordable cost.</t>
  </si>
  <si>
    <t>Ausvic Capital, China-ASEAN Investment Cooperation Fund, Easou Tech, Everest Ventures Group, Hanwha Investment &amp; Securities Company, Hashkey Capital, Hopeshine Capital, John Pangilinan, LDA Capital, Raffles Family Office, Seven Bank, Signum Capital, UOB Venture Management</t>
  </si>
  <si>
    <t>www.lightnet.io</t>
  </si>
  <si>
    <t>166491-01</t>
  </si>
  <si>
    <t>Jiko</t>
  </si>
  <si>
    <t>Developer of a trading platform designed to deliver financial safety, speed, and simplicity. The company's platform allows investing in treasury bills and keeps track of the investment ,and also the it acts as a financial portal to send, receive, and spend money digitally, enabling users to control and benefit from their money.</t>
  </si>
  <si>
    <t>500 Global, Airbus Ventures, Anthem Venture Partners, Blockstream, Bpifrance, Coinbase Global, Core Innovation Capital, Digital Currency Group, Embark Ventures, Fulgur Ventures, John Suth, Kevin Moore, La Maison Partners, Nyca Partners, Owen Van Natta, Radicle Impact, Red River West, Social Capital, Story Ventures, Taurus Ventures, Temaris et Associés, ThirdStream Partners, Trousdale Ventures, Upfront Ventures, Wafra, Ying Fund</t>
  </si>
  <si>
    <t>www.jiko.com</t>
  </si>
  <si>
    <t>534577-24</t>
  </si>
  <si>
    <t>Campfire (Financial Software)</t>
  </si>
  <si>
    <t>Developer of a revenue management software designed to automate revenue recognition and reporting for accounting and finance teams. The company's software leverages artificial intelligence to migrate the revenue database out of spreadsheets by importing customer contracts or revenue data, automating the entire process from contract to recognized revenue to cash, and organizing customer invoice and payment workflow to accelerate the collection times, enabling accounting and finance teams to focus on impactful work instead of performing manual tasks in spreadsheets.</t>
  </si>
  <si>
    <t>Accel, Alex Estevez, Avra, Brad Floering, Capital 49, Daniel Kang, Foundation Capital, Jack Zhang, Karim Atiyeh, Marten Abrahamsen, Michael Gordon, Naeem Ishaq, QuantumLight Capital, Ribbit Capital, Scott Buxton, Sowmya Ranganathan, Steve Sidhu, Twenty Two Ventures, Y Combinator</t>
  </si>
  <si>
    <t>www.campfire.ai</t>
  </si>
  <si>
    <t>103893-94</t>
  </si>
  <si>
    <t>Coinhako</t>
  </si>
  <si>
    <t>Operator of a digital asset platform intended to improve access to blockchain technology for daily consumers. The company's platform allows individuals to buy, sell, swap, and store bitcoin and other digital currencies as well as local Asian currencies, and also provides a digital wallet, enabling users to securely trade digital assets.</t>
  </si>
  <si>
    <t>www.coinhako.com</t>
  </si>
  <si>
    <t>233903-53</t>
  </si>
  <si>
    <t>FundGuard</t>
  </si>
  <si>
    <t>Developer of an AI-powered financial platform designed for investment management and administration. The company's platform leverages cloud technology and AI to identify anomalies, auto-resolve exceptions, and suggest operational improvements, enabling asset managers and fund administrators to reimagine product offerings as digital experiences with real-time transparency.</t>
  </si>
  <si>
    <t>AI Venture Labs, Blumberg Capital, Cerca Partners, Citigroup, Euclidean Capital, Hamilton Lane, Heidi Miller, Jack Klinck, Jay Mandelbaum, Key1 Capital, LionBird, Maccabee Ventures, Mindset Ventures, Plug and Play Tech Center, Stanton Green, State Street, Team8, Trust Company, Union Tech Ventures</t>
  </si>
  <si>
    <t>www.fundguard.com</t>
  </si>
  <si>
    <t>470657-80</t>
  </si>
  <si>
    <t>Numeric (Business/Productivity Software)</t>
  </si>
  <si>
    <t>Developer of a financial platform intended to support finance and accounting teams. The company's platform provides accounting teams with a centralized view of their month-end close with recurring workflows and collaboration tools, and it also offers seamless integration with other favorite software, enabling companies to have trust in their financials and make better decisions with confidence.</t>
  </si>
  <si>
    <t>8VC, Access Industries, Alkeon Capital Management, Artisanal Ventures, Asana, BlackRock, Fifth Down Capital, Founders Fund, Friends &amp; Family Capital, Hawk Hill Ventures, IVP, Long Journey Ventures, Marc Huffman, Menlo Ventures, Palantir Technologies, Ron Gill, Socii Capital, Twilio Segment</t>
  </si>
  <si>
    <t>www.numeric.io</t>
  </si>
  <si>
    <t>435249-46</t>
  </si>
  <si>
    <t>Endowus</t>
  </si>
  <si>
    <t>Operator of a digital wealth advisory platform designed to help investors grow and manage their wealth holistically. The company offers conflict-free advice, access to institutional-grade investments, and a personalised digital experience, enabling individuals, family offices, endowments, and institutions to invest efficiently with transparent and fair fees.</t>
  </si>
  <si>
    <t>Anna Haotanto, Asia Companion Fund, Asia Venture Group, Boleh Ventures, Citi Ventures, EDBI, Fintech Nation, Illuminate Financial, JLin, K3 Ventures, Karuna Investment, Lightspeed Venture Partners, Looking Glass Ventures, LY Corporation, Mitsubishi UFJ Financial Group, MUFG Innovation Partners, Naspers, OSK Ventures International, Prosus Ventures, Samsung NEXT Ventures, Samsung Venture Investment, SBVA, Singtel Innov8, Space Panda Ventures, UBS Group, Wee Teng Wen, Wells Investment, Z Venture Capital, Zedra Global Services</t>
  </si>
  <si>
    <t>www.endowus.com</t>
  </si>
  <si>
    <t>228218-32</t>
  </si>
  <si>
    <t>Global Mobility Service</t>
  </si>
  <si>
    <t>FinTech, Internet of Things</t>
  </si>
  <si>
    <t>Provider of lending services intended to finance vehicle purchases by low-income people. The company's services offer loans and IoT-based auto loan collection services with self-developed GPS-equipped IoT devices installed in the car, enabling people in the low-income group to purchase vehicles with the loan.</t>
  </si>
  <si>
    <t>AEON Financial Service, Credit Saison, Dai Nippon Printing, Denso, G-7 Holdings, Globis Capital Partners, J-Startup, Kawasaki Heavy Industries, Miyagin Venture Capital, Nippon Care Supply Company, Ogaki Kyoritsu Bank, SBI Investment, SoftBank Group, Sojitz, Sumitomo, Sumitomo Mitsui Trust Investment, Tokuji Nakajima, Tokyo University of Science Investment Management, Toppan Holdings, USS Co., Vitec Holdings Company, Yoshitaka Taguchi</t>
  </si>
  <si>
    <t>www.global-mobility-service.com</t>
  </si>
  <si>
    <t>494915-77</t>
  </si>
  <si>
    <t>Range (Financial Software)</t>
  </si>
  <si>
    <t>Artificial Intelligence &amp; Machine Learning, FinTech, Real Estate Technology, SaaS</t>
  </si>
  <si>
    <t>Developer of an all-in-one wealth management platform designed to help high-income individuals organize, plan, and make informed financial decisions across their financial lives. The company's platform offers consolidated financial dashboards, investment oversight, tax and retirement planning tools, cash flow tracking, real estate visibility, and direct access to advisory teams, enabling high-earning professionals, executives, and entrepreneurs to manage complex finances with clarity and coordinated guidance.</t>
  </si>
  <si>
    <t>10X Group, 53 Stations, 8-Bit Capital, Adrian Aoun, Ardent Venture Partners, Brave Capital (San Francisco), Cathay Innovation, Dan Lewis, Expa, Gaingels, Gradient Ventures, Hanwha Asset Management (USA), Mana Ventures, Randy Reddig, Red Sea Ventures, Scale Venture Partners, Severin Hacker</t>
  </si>
  <si>
    <t>www.range.com</t>
  </si>
  <si>
    <t>231882-13</t>
  </si>
  <si>
    <t>Collective</t>
  </si>
  <si>
    <t>Provider of integrated financial management services intended to support self-employed business owners. The company combines business formation support, accounting and bookkeeping services, tax planning and compliance, ongoing financial reporting, and guidance on business structure and expense management, enabling freelancers, independent contractors, and other self-employed professionals to manage core financial obligations, maintain regulatory compliance, and optimize their overall tax and business economics.</t>
  </si>
  <si>
    <t>53 Stations, Aaron Levie, Adrian Aoun, Adventure Fund, Andrew Dudum, Ardent Venture Partners, BBQ Capital, Better Tomorrow Ventures, Catalyze Advisors, Crosscourt Ventures, Dan Lewis, Darian Shirazi, David Wolfson, Dylan Field, E Squared (San Francisco), Edward Hartman, Eren Bali, Expa, Gaingels, General Catalyst, Gokul Rajaram, Gradient Ventures, Hamish McKenzie, Holly Liu, Hooman Radfar, Hustle Fund, Innovius Capital Management, Intact Ventures, Jared Hecht, Kaan Meralan, Kevin Lin, Keybridge Venture Partners, Mana Ventures, MSix Capital Group, Neo (Consulting Services (B2B)), Oktay Caglar, Position Ventures, QED Investors, Recall Capital, Samuel Yam, Scott Belsky, Script Capital (United States), Shadiah Sigala, Signia Venture Partners, Sound Ventures, Steve Chen, Tectonic Capital, The General Partnership, Topher Conway, Vivek Patel</t>
  </si>
  <si>
    <t>www.collective.com</t>
  </si>
  <si>
    <t>165969-19</t>
  </si>
  <si>
    <t>Branch (Financial Software)</t>
  </si>
  <si>
    <t>Developer of a workforce financial infrastructure platform designed to manage worker payments and operational processes. The company's technology integrates with existing payroll and human capital management systems to facilitate the movement of earnings, tips, and reimbursements, enabling businesses to provide employees and independent contractors with instant access to wages and digital banking services.</t>
  </si>
  <si>
    <t>Addition, American Family Ventures, Bonfire Ventures, Brett Brohl, Composite Ventures, Crosscut Ventures, Daren Cotter, Drive Capital, General Atlantic, Great North Ventures, HR Tech Investments, March Capital, Matchstick Ventures, Nobel Partners, Slojo Investments, Techstars, Tom McGovern, TriplePoint Capital</t>
  </si>
  <si>
    <t>www.branchapp.com</t>
  </si>
  <si>
    <t>436867-39</t>
  </si>
  <si>
    <t>Moov (Financial Software)</t>
  </si>
  <si>
    <t>Operator of a financial platform intended to make sending, receiving, and storing money simple. The company offers a portable, extensible, open-source platform for embedding banking and payment functionality within any application without worrying about protocols, site reliability, security, or compliance, enabling organizations to embed transactional banking into the software to deliver better user experiences.</t>
  </si>
  <si>
    <t>Aaron Frank, Abstract Ventures, Alloy Labs, Andreessen Horowitz, B3 Capital, Bain Capital Ventures, Brad Bialas, Brandon Dewitt, Bruno Werneck, Bryan Kelly, Calanthia Mei, Canapi Ventures, Charley Ma, Commerce Ventures, Curql, Daniel Holt, Don Parker, Emily White, Gokul Rajaram, Gradient Ventures, Imagine Capital Group, Jason Henrichs, Justin Overdorff, Mark Goldberg, Mengxi Lu, Michael Ferrari, Michael Giles, Next Level Ventures, Peter Levine, RRE Ventures, Shawn Ward, Sima Gandhi, Sorenson Capital, Sorenson Ventures, Steven Hufford, The Veridian Group, Tom Carden, Tyler McIntyre, Uncorrelated Ventures, Visa, Wade Arnold, William Hockey, Zachary Bruhnke</t>
  </si>
  <si>
    <t>www.moov.io</t>
  </si>
  <si>
    <t>178894-27</t>
  </si>
  <si>
    <t>Lively (Financial Software)</t>
  </si>
  <si>
    <t>Developer of a health savings account (HSA) platform designed to help individuals and businesses optimize their healthcare spending. The company's platform offers free HSAs, flexible spending accounts (FSAs), health reimbursement arrangements (HRAs) and lifestyle spending accounts (LSAs), enabling consumers to maximize their savings and employers to streamline benefit administration.</t>
  </si>
  <si>
    <t>515 Ventures, Ally Ventures, B Capital Group, Brian Ellerman, Cantos Ventures, Costanoa Ventures, CSC UpShot Ventures, Duro Ventures, Farooq Abbasi, Fifty Years, Frederic Kerrest, FundersClub, Handshake Ventures, Isaac Oates, Jeffrey Epstein, Kevin Moore, Liquid 2 Ventures, Navitas Capital, Olive Tree Capital, Paul Buchheit, Pescadero Pacific Ventures, PJC, Preface Ventures, Streamlined Ventures Management, SV Angel, Teamworthy Group, Thirty Five Ventures, Titanium Ventures, Transmedia Capital, Trousdale Ventures, Ullas Naik, Y Combinator</t>
  </si>
  <si>
    <t>www.livelyme.com</t>
  </si>
  <si>
    <t>343155-61</t>
  </si>
  <si>
    <t>Attain</t>
  </si>
  <si>
    <t>AdTech, Marketing Tech, TMT</t>
  </si>
  <si>
    <t>Developer of a live purchase data platform designed to support measurement, activation, and analytics for marketers across North America. The company's platform is designed around consumer-permissioned data collected through financial service apps that offer savings, early wages, and rewards, enabling users while granting data access for research, insights, and targeted advertising.</t>
  </si>
  <si>
    <t>Akuna Capital, Core Innovation Capital, Irving Investors, Lightbank (Venture Capital), Mercato Partners, Motivate Venture Capital, Starting Line, SVB Financial Group, Upper90 Capital Management</t>
  </si>
  <si>
    <t>www.attainoutcomes.com</t>
  </si>
  <si>
    <t>294485-86</t>
  </si>
  <si>
    <t>UangMe</t>
  </si>
  <si>
    <t>Developer of a lending platform designed to provide easy access to credit. The company's platform provides loans online without trusted collateral, and the interest rate depends on the amount lent, the loan term, and the basis of credit score assessment, enabling customers to borrow funds effortlessly.</t>
  </si>
  <si>
    <t>Cheetah Mobile, Gobi Partners, Intidana Wijaya, Pixiu Technology</t>
  </si>
  <si>
    <t>www.uangme.id</t>
  </si>
  <si>
    <t>264678-31</t>
  </si>
  <si>
    <t>Arch</t>
  </si>
  <si>
    <t>Developer of a digital administration platform designed to manage private investment operations. The company's platform offers a dashboard that consolidates investment history, documents, performance tracking, and data from multiple sources, enabling investors and advisors to access comprehensive information and reduce manual administrative work.</t>
  </si>
  <si>
    <t>Aduro Advisors, Advisors.Fund, Animal Capital, Anton Levy, Carta, Citi Ventures, Craft Ventures, David Gilboa, Equilibrium Ventures (Financial Services), Expansion Venture Capital, Focus Financial Partners, Franklin Resources, Friends &amp; Family Capital, Gary Cohn, Good Friends, GPS Investment Partners, Henry Ward, Jeffrey Raider, Joseph Zwillinger, Keybridge Venture Partners, Marc Spilker, Mark VC, Menlo Ventures, MUFG Innovation Partners, Neil Blumenthal, Oak HC/FT, Pareto Holdings, Quiet Capital, Reshape Ventures, Sabrina Hahn, Scott Prince, Soma Capital, Sydecar, The Finger Group, Tony Xu, Upload Ventures (Sao Paulo), Vine Ventures (New York)</t>
  </si>
  <si>
    <t>www.arch.co</t>
  </si>
  <si>
    <t>60021-64</t>
  </si>
  <si>
    <t>M-DAQ</t>
  </si>
  <si>
    <t>Developer of a foreign exchange and payment platform intended to facilitate cross-border transactions. The company's platform allows users to price and trade any exchange-traded products in more than one currency by blending executable foreign exchange rates into equities and futures products, enabling traders and security exchanges to go multi-currency without significant changes to systems and back-end processes.</t>
  </si>
  <si>
    <t>Affinity Equity Partners, Amand Ventures, Ant Group, AustralianSuper, Delight Capital (Singapore), EDBI, GSR Ventures China, Kresna Securities, Murano Enterprise, Neoma Investments, NTT Docomo Business, Pisoni Assets, Samsung Venture Investment, Shinhan Asset Management, Voveo Capital, YK Capital</t>
  </si>
  <si>
    <t>www.m-daq.com</t>
  </si>
  <si>
    <t>226046-17</t>
  </si>
  <si>
    <t>Anyfin</t>
  </si>
  <si>
    <t>Developer of a loan refinancing platform designed to improve the terms and rates of existing loans. The company's platform leverages publicly available consumer data, artificial intelligence tools, and mobile technology to assist people with good credit ratings, enabling clients to reduce their interest costs on consumer loans by refinancing their original credit without extending the repayment period.</t>
  </si>
  <si>
    <t>Accel, Augmentum Fintech, Citi Ventures, EQT, EQT Ventures, FinTech Collective, Global Founders Capital, INTERA Investments, Louise Samet, Main Set, Mikael Ingelson, Northzone Ventures, Pacenotes, Quadrille Capital, Salica Investments</t>
  </si>
  <si>
    <t>www.anyfin.com</t>
  </si>
  <si>
    <t>186261-49</t>
  </si>
  <si>
    <t>Finova Capital</t>
  </si>
  <si>
    <t>Provider of loans intended to make finance available with transparency and at a reasonable cost. The company provides personalized financing options with insight into loan structure and payment plans, enabling micro-to-medium-sized enterprises that are ignored by traditional banks to meet their production requirements.</t>
  </si>
  <si>
    <t>Avataar Venture Partners, Faering Capital, Madison India Capital, Maj Invest, Norwest, Peak XV Partners, Prashant Gupta, Ravinder Singh, Sofina</t>
  </si>
  <si>
    <t>www.finova.in</t>
  </si>
  <si>
    <t>124926-04</t>
  </si>
  <si>
    <t>Ellevest</t>
  </si>
  <si>
    <t>Developer of a digital investment platform designed to help manage investments. The company's platform uses a proprietary algorithm that incorporates women's salary peaks, assets, recommendations, goal-specific portfolios, and savings for a completely customized investment plan, and also provides wealth management services, enabling female investors to prioritize financial goals and make money in the markets.</t>
  </si>
  <si>
    <t>Allianz Life Insurance Company of North America, Allianz Life Ventures, Aloft VC, Alternative Wealth Partners, Altra Venture Partners, Alumni Ventures, AME Cloud Ventures, Amplifica Capital, Astia, BMO Financial Group, Calm Ventures, CE Innovation Capital, Cleo Capital, Contour Venture Partners, CreditEase, East Dune Holdings, Elaine Wynn, Entrepreneur Ventures (Los Angeles), Envestnet, Gaingels, GingerBread Capital, Halogen Ventures, High Street Equity Partners, Incite Ventures (San Francisco), Ingeborg Investments, InviNext Growth Partners, Jenny Barba, Jonathan Hung, Kaya Ventures, Khosla Ventures, MasterCard, Melinda Gates, Morningstar, New York Ventures, NextView Ventures, PayPal Holdings, PayPal Ventures, Pivotal Ventures, Rethink Impact, Rogue Women, Rotor Capital, Salesforce Ventures, Stardust Equity, Start Path, The Perkins Fund, The Venture Collective, Threadneedle Ventures, Ulu Ventures, W Fund</t>
  </si>
  <si>
    <t>www.ellevest.com</t>
  </si>
  <si>
    <t>442353-34</t>
  </si>
  <si>
    <t>Monument Bank</t>
  </si>
  <si>
    <t>Operator of a digital banking platform intended to provide savings, individual savings accounts, and specialist lending services for mass-affluent clients. The company's platform offers core banking technology along with a separately licensable banking infrastructure, enabling regulated financial institutions access to banking systems for operating retail banking services.</t>
  </si>
  <si>
    <t>AngelBay, Atom Capital, B8 Venture Partners, BICE Ventures, Chris Murry, Dalmia International, Dubai Investments, Eric Zinterhofer, Harry Handelsman, Ian Axe, Morningside Group, Rakesh Loonkar, SAIML, Sheikha Bahwan, Tech Nation Group</t>
  </si>
  <si>
    <t>www.monument.co</t>
  </si>
  <si>
    <t>459130-42</t>
  </si>
  <si>
    <t>Balance (PIG)</t>
  </si>
  <si>
    <t>Developer of a financial infrastructure platform designed to automate financial operations for physical business-to-business trade. The company offers risk assessment, payment processing, capital management, and artificial intelligence-powered order-to-cash automation, enabling businesses engaged in physical business-to-business trade to offer payment terms, accelerate collections, and reduce credit and accounts receivable management effort.</t>
  </si>
  <si>
    <t>Affirm, Avid Ventures, Catalyze Advisors, Forerunner Ventures, Global Tech Ventures, Gramercy Ventures, HubSpot Ventures, Jeff Wisener, Jibe Ventures, Lightspeed Venture Partners, Lyra Ventures, Marcelo Cortes, Max Levchin, Mu Ventures, Ribbit Capital, Salesforce Ventures, SciFi VC, Stripe, Two Magnolias VC, UpWest, Y Combinator</t>
  </si>
  <si>
    <t>www.getbalance.com</t>
  </si>
  <si>
    <t>52872-85</t>
  </si>
  <si>
    <t>Snapsheet</t>
  </si>
  <si>
    <t>Developer of claims management software designed to transform the end-to-end claims process through digitization and intelligent automation. The company's software offers electronic intake of data, investigation, technology-assisted investigation, claims assessment, and digital payment processing for settlements, enabling companies to access cloud-native services in claim settlement processes.</t>
  </si>
  <si>
    <t>500 Global, Activant Capital, Ayana Capital, Commerce Ventures, Eight Roads, Entrust (Plano), Ernest Pomerantz, Fosun Venture Capital Investment, F-Prime Capital, IA Capital Group, Intact Ventures, Liberty Mutual Strategic Ventures, Lightbank (Venture Capital), Montage Ventures, Nationwide Ventures, OCA Ventures, Peter Liu, Ping An Voyager Partners, Pivot Investment Partners, Plug and Play Tech Center, Pritzker Group Venture Capital, R1 Capital (Columbus), SCOR Ventures, Sedgwick Claims Management Services, State Farm Ventures, Tola Capital, USAA Corporate Development</t>
  </si>
  <si>
    <t>www.snapsheetclaims.com</t>
  </si>
  <si>
    <t>85884-22</t>
  </si>
  <si>
    <t>Crunchbase</t>
  </si>
  <si>
    <t>AudioTech, Big Data, SaaS</t>
  </si>
  <si>
    <t>Provider of business information and data aggregation services intended for research and decision-making purposes. The company's platform compiles detailed profiles of organizations, investors, and individuals, offering access to funding data, industry trends, acquisitions, and leadership insights, enabling professionals, analysts, and enterprises to evaluate markets, identify opportunities, and make data-driven business assessments.</t>
  </si>
  <si>
    <t>77 Ventures, 8VC, Alignment Growth, Austin Ventures, Cowboy Ventures, Emergence Equity Management, Fatfish Group, Felicis, Formation 8, Mayfield Fund, Netscape Communications, OMERS Ventures, Salesforce Ventures, SV Angel, Verizon Communications, Yahoo</t>
  </si>
  <si>
    <t>www.crunchbase.com</t>
  </si>
  <si>
    <t>164353-60</t>
  </si>
  <si>
    <t>Nova Credit</t>
  </si>
  <si>
    <t>Developer of a global credit reporting platform designed to improve credit access for immigrants by making their financial history portable across borders. The company offers a compliant credit infrastructure with alternative data, cross-border reporting, and automated risk insights, enabling lenders, property managers, and other businesses to make informed decisions while helping immigrants access financial services, housing, and more abroad.</t>
  </si>
  <si>
    <t>1Indicator, Alexander Rodriguez, A-Rod, Avichal Garg, Avid Ventures, Better Tomorrow Ventures, Canapi Ventures, Cardinal Ventures, Catapult VC, Cohen Circle, Core Innovation Capital, David Evans, Endeavor Catalyst, Financial Health Network, Financial Health Network., FinTech Innovation Lab, First Round Capital, Four Cities Capital, Gaingels, General Catalyst, Geodesic Capital, Gideon Silverman, Harmonic Growth Partners, HSBC Ventures, Human Capital, Index Ventures, Jacob Seid, Jake Gibson, Kivu Ventures, Kleiner Perkins, Moderne Ventures, National Bank of Canada, NAventures, Nyca Partners, Pear (California), Plug and Play Tech Center, Quiet Capital, Radiate Capital (Stockholm), Socium Ventures, Sound Ventures, StartX (US), Sterling Road, Susa Ventures, Theo Osborne, XSeed Capital, XYZ Venture Capital, Y Combinator</t>
  </si>
  <si>
    <t>www.novacredit.com</t>
  </si>
  <si>
    <t>181482-40</t>
  </si>
  <si>
    <t>Routable</t>
  </si>
  <si>
    <t>Developer of an online payment platform designed to automate the process of business-to-business (B2B) payments. The company's platform is an accounts payable platform that simplifies sending business-to-business (B2B) payouts worldwide, helping teams across finance, operations, and engineering automate their payables process from vendor onboarding to settlement, enabling finance and accounting teams to reduce costs and make payments easily, companies to onboard and pay their growing global network of vendors and contractors.</t>
  </si>
  <si>
    <t>1984 Ventures, Aaron Levie, Aaron Schildkrout, Andrew Riesenfeld, Apollo Projects, BECU Fintech Incubator, BoxGroup, Braughm Ricke, Catapult VC, David Bettner, Dutch Lichtenstein, Feldsmith Capital, Flexport, Founders' Co-op, Four Cities Capital, Gokul Rajaram, Good Friends, Highfield Capital, Hydrazine Capital, Immad Akhund, Investo (San Francisco), Jack Altman, Jackson Gates, Jason Gardner, Jennifer Lee, Joe Gebbia, K5 Global, Kevin Carter, Kevin Mahaffey, Lachy Groom, Lee Fixel, Liquid 2 Ventures, Llana Stern, Marc Benioff, Max Mullen, Nathaniel Turner, Nick Soman, Night Capital, Oleg Rogynskyy, Samuel Altman, Samuel Hodges, Scott Belsky, SNR, Susa Ventures, Tad Milbourn, Twenty Two Ventures, Union Bay Partners, University of Washington, UW CoMotion, Vision Capital Ventures, Y Combinator</t>
  </si>
  <si>
    <t>www.routable.com</t>
  </si>
  <si>
    <t>466684-84</t>
  </si>
  <si>
    <t>Tapcheck</t>
  </si>
  <si>
    <t>Developer of an earned fintech access platform designed for employees to improve financial flexibility. The company's platform integrates with payroll systems, calculates net earnings, and facilitates wage transfers to bank accounts or prepaid cards, enabling employees to access earned wages before payday, reduce financial stress, and avoid high-interest debt.</t>
  </si>
  <si>
    <t>FIS Fintech Accelerator, PeakSpan Capital, The Venture Center</t>
  </si>
  <si>
    <t>www.tapcheck.com</t>
  </si>
  <si>
    <t>223435-54</t>
  </si>
  <si>
    <t>Taxdoo</t>
  </si>
  <si>
    <t>Developer of a financial accounting automation platform designed to automate value-added tax (VAT) compliance for e-commerce sellers. The company's platform automates transaction-level data ingestion, tax calculation, and filings, as well as the integration of financial and accounting information, enabling clients to collaborate with their tax advisors through the platform and reduce other compliance burdens.</t>
  </si>
  <si>
    <t>20VC, Accel, Exist Federal Ministry of Economics and Energy, High-Tech Gründerfonds, Tiger Global Management, University of Hamburg, Visionaries Club, Wirtschaftsjunioren Hamburg</t>
  </si>
  <si>
    <t>www.taxdoo.com</t>
  </si>
  <si>
    <t>52516-63</t>
  </si>
  <si>
    <t>Zest AI</t>
  </si>
  <si>
    <t>Developer of an online financial platform designed to improve credit underwriting. The company's platform makes fair and transparent credit available to everyone, gives lenders a better understanding of risk, and offers its products and services to people at lower prices, enabling clients to make proper credit decisions.</t>
  </si>
  <si>
    <t>Baidu, Citi Ventures, Curql, ESO Fund, First National Bank of Omaha, Flybridge (New York), Golden 1 Credit Union, HawaiiUSA Federal Credit Union, Insight Partners (New York), JD.com, Lighthouse Capital Partners, Matrix, Members 1st, MicroVentures, nCino, Next Level Ventures, Northgate Capital, Origence, ORNL Federal Credit Union, Plug and Play Tech Center, Saints Capital, SchoolsFirst FCU, Service 1st Federal Credit Union, Suncoast Credit Union, Truliant Federal Credit Union, VyStar Credit Union</t>
  </si>
  <si>
    <t>www.zest.ai</t>
  </si>
  <si>
    <t>133119-37</t>
  </si>
  <si>
    <t>Modulr</t>
  </si>
  <si>
    <t>Developer of a payments-as-a-service application programming interface platform designed to offer a faster, easier, and more reliable way to move money for digital businesses. The company's platform integrates into any product or system, automates payment flows, embeds payments into their platforms, and builds entirely new payment products and services themselves, enabling businesses to streamline existing services, launch new products, and scale more efficiently.</t>
  </si>
  <si>
    <t>Banking Competition Remedies, Blenheim Chalcot, Brightbridge Ventures, Connection Capital, FIS Ventures, Frog Capital, General Atlantic, Highland Europe, Hive Learning, Ironbark Capital (Northampton), PayPal Ventures</t>
  </si>
  <si>
    <t>www.modulrfinance.com</t>
  </si>
  <si>
    <t>58388-77</t>
  </si>
  <si>
    <t>PayActiv</t>
  </si>
  <si>
    <t>Developer of a financial wellness platform designed to increase employee productivity and engagement by reducing financial stress. The company's tool offers flexibility to users by using wages to pay bills and make purchases and also provides a range of planning tools backed by artificial intelligence and machine learning to save, budget, and manage their money, enabling businesses to have tools to ease the financial stress of their employees and build a quality -performing workforce.</t>
  </si>
  <si>
    <t>Acorn Pacific Ventures, Eldridge Industries, Generation Partners, Link-age Launch, Michael McLaughlin, Plug and Play Tech Center, RPS Ventures, SoftBank Capital</t>
  </si>
  <si>
    <t>www.payactiv.com</t>
  </si>
  <si>
    <t>120649-96</t>
  </si>
  <si>
    <t>Cermati</t>
  </si>
  <si>
    <t>E-Commerce, FinTech, Mobile</t>
  </si>
  <si>
    <t>Developer of a financial e-commerce platform designed to provide accessible and easy-to-use financial products for Indonesians. The company's e-commerce portal offers trusted financial information and handles the entire customer onboarding process including meeting customers in person to sign the necessary documents and hand them back to the banks on behalf of its partners, enabling customers to find, compare and control financial products and save money.</t>
  </si>
  <si>
    <t>Centauri Fund, Central Capital Ventura, Djarum, Global Digital Trade Tbk, KB Financial Group, KB Investment, MDI Ventures</t>
  </si>
  <si>
    <t>www.cermati.com</t>
  </si>
  <si>
    <t>521218-27</t>
  </si>
  <si>
    <t>Salient</t>
  </si>
  <si>
    <t>Developer of an AI-powered loan servicing platform intended to streamline loan collection, onboarding, and compliance. The company's platform offers AI agents to interact through voice, text, email, and web chat to collect payments, process due date changes and extensions, manage payoffs, and update insurance information in real time, enabling users to easily handle payments, due date changes, extensions, funding verification, insurance claims, and customer queries.</t>
  </si>
  <si>
    <t>Andreessen Horowitz, Avra, Gallery Ventures, General Catalyst, Matrix, Michael Ovitz, Y Combinator</t>
  </si>
  <si>
    <t>www.trysalient.com</t>
  </si>
  <si>
    <t>226921-96</t>
  </si>
  <si>
    <t>Treasury Prime</t>
  </si>
  <si>
    <t>Developer of a digital-banking infrastructure software designed for linking financial institutions with fintech developers. The company's platform integrates account creation, payment routing, fund movement tracking, compliance management, and developer-friendly interfaces, enabling the banking and fintech ecosystem to reduce integration complexity and broaden access to modern financial functions.</t>
  </si>
  <si>
    <t>1st &amp; Main Growth Partners, Amias Gerety, Azuro Capital, BAM Elevate, Catapult VC, Deciens Capital, Four Cities Capital, GMO Venture Partners, Invicta (Internet Retail), JAM FINTOP, Nyca Partners, QED Investors, Renn Ventures, SaaStr, Susa Ventures, The Pay It Forward Company, Tribe Capital, Verdure Capital Management, Y Combinator</t>
  </si>
  <si>
    <t>www.treasuryprime.com</t>
  </si>
  <si>
    <t>183140-92</t>
  </si>
  <si>
    <t>Sunrate</t>
  </si>
  <si>
    <t>Developer of an intelligent global payment and treasury management platform designed to enable companies to operate and scale both locally and globally. The company's platform offers international payments, virtual corporate cards, global collection, and treasury management, enabling small and medium-scale enterprises to grow their business globally through a commercial settlement gateway that smooths the path of international trade.</t>
  </si>
  <si>
    <t>Aramco Ventures, Banyan Pacific Capital (Hong Kong), Challenjers Venture, China Growth Capital, JIF Capital, K2VC, Peak XV Partners, Prosperity7 Ventures, Redpoint China Ventures, SBVA</t>
  </si>
  <si>
    <t>www.sunrate.com</t>
  </si>
  <si>
    <t>167020-57</t>
  </si>
  <si>
    <t>Plum (Financial Software)</t>
  </si>
  <si>
    <t>Developer of a smart money application designed to help people save money. The company's platform uses artificial intelligence and behavioral economics and monitors users' accounts regularly to automate savings or investments as well as provide actionable insights on expense management, enabling people to easily reduce expenses and manage their finances.</t>
  </si>
  <si>
    <t>33East, 500 Global, Alexander Jethwa, Andrea Minari, Angelica Beristain, Augustin Mine, Bell Partnership, Camilla Dollan, Charles Delingpole, Christian Faes, ComposeVC, Demetrios Zoppos, dmg ventures, e2vc, EBRD Venture Capital Investment Programme, Eldar Tuvey, Endeavor Greece, Eurobank (International Banks), European Bank for Reconstruction and Development, Finberg, Francesco Pasquinelli, Francesco Simoneschi, Global Brain, Government of UK, Graffiti., HR Capital, Ian Thomas, Igniter100, iGrow Venture Capital, Inspiring Earth, Julien Faye, Kishan Thakarshi, Light Eagle, Love Capital, Marko Sjoblom, Miles Singleton, QVentures, Ricardo Gonçalves, Roy Tuvey, Signal Ventures (Athens), T-Life Capital, Tobin Capital, Tristan Pelloux, Ventura Capital, VentureFriends, Veridian Ventures, Visa Innovation Program</t>
  </si>
  <si>
    <t>www.withplum.com</t>
  </si>
  <si>
    <t>482602-87</t>
  </si>
  <si>
    <t>Orb (Business / Productivity Software)</t>
  </si>
  <si>
    <t>Developer of a revenue platform designed to help software companies manage pricing, billing, and revenue processes. The company offers usage-based data processing, pricing, and billing tools, as well as revenue management functions, enabling AI-focused and SaaS businesses to organize their monetization activities in a structured manner.</t>
  </si>
  <si>
    <t>www.withorb.com</t>
  </si>
  <si>
    <t>431215-75</t>
  </si>
  <si>
    <t>Rain</t>
  </si>
  <si>
    <t>Developer of a financial-wellness platform designed for earned wage access. The company's platform imports earned wage data via integrations with human capital management and time and attendance systems, facilitates free transfers, deducts accessed wages via payroll, provides employer-controlled transaction guardrails, minimalist data collection, and pay stub transparency, enabling employers to reduce financial stress for hourly workers while improving retention, attendance, engagement, and overall workforce stability.</t>
  </si>
  <si>
    <t>14Peaks Capital, 305 Ventures, Aditum Investment Management, Big Brain Holdings, Claridge Venture Partners, CM Ventures, Dedicated Venture Capital, Dreamers VC, Ensemble VC, EQUIAM, Ethos VC, Gammite Ventures, Invus Opportunities, Jump Capital, Kosinski Ventures, Lightspeed Venture Partners, Ligo Partners, Mantaray Investments, Mindset Ventures, Nextalia SGR, North West Quadrant Ventures, Patamar Capital, Picus Capital, Prosus Ventures, QED Investors, Realm Capital Ventures, Redefine Ventures, SilverCircle, Spark Growth Ventures, SquareOne Capital, The Pay It Forward Company, TMT Investments, TRAC VC, Tribe Capital, VentureSouq, VU Venture Partners, West Quad Ventures, WndrCo, Yorkville Advisors</t>
  </si>
  <si>
    <t>www.rainapp.com</t>
  </si>
  <si>
    <t>482024-44</t>
  </si>
  <si>
    <t>Hedonova</t>
  </si>
  <si>
    <t>Bankruptcy: Admin/Reorg</t>
  </si>
  <si>
    <t>Provider of asset and investment management services intended for potential investors. The company offers investment in different asset classes through fund groups and startups, NFTs, emerging market real estate, and arts, enabling investors with well-diversified investment options.</t>
  </si>
  <si>
    <t>www.hedonova.io</t>
  </si>
  <si>
    <t>54280-09</t>
  </si>
  <si>
    <t>Vestmark</t>
  </si>
  <si>
    <t>Developer of wealth management software designed to simplify investment management processes. The company's software is used to propose and enroll accounts, construct and manage portfolios, and monitor all investable assets, along with the delivery of advice across accounts and channels, enabling broker-dealers, asset managers, bank trusts, and advisors to spend time growing wealth management practices and less time managing operational and compliance risk.</t>
  </si>
  <si>
    <t>Alumni Ventures, Savano Capital Partners, Summit Partners, Vestigo Ventures</t>
  </si>
  <si>
    <t>www.vestmark.com</t>
  </si>
  <si>
    <t>504022-96</t>
  </si>
  <si>
    <t>Adonis</t>
  </si>
  <si>
    <t>Artificial Intelligence &amp; Machine Learning, Big Data, FinTech, HealthTech, SaaS</t>
  </si>
  <si>
    <t>Developer of healthcare revenue intelligence and automation platform designed to streamline revenue cycle management and optimize financial success for medical providers. The company's platform leverages AI and data-driven insights to automate tasks, detect underpayments and improve claim accuracy, enabling customers to maximize revenue collection, minimize administrative burden and focus on delivering patient care.</t>
  </si>
  <si>
    <t>Allison Pickens Ventures, Asymmetric Capital Partners, Bling Capital, Coalition Operators, Correlation Ventures, Covalent Ventures (CV), Everywhere Ventures, FirsthandVC, FirstLook Partners, Fundamental Ventures, General Catalyst, Homebrew Management, JKB Ventures, Kin Ventures, Max Ventures, Point72 Ventures, Quadrille Capital, Singh Capital Partners, Soma Capital, The K Funds, Two Culture Capital</t>
  </si>
  <si>
    <t>www.adonis.io</t>
  </si>
  <si>
    <t>227687-95</t>
  </si>
  <si>
    <t>Trust &amp; Will</t>
  </si>
  <si>
    <t>Legal Tech, Mobile, Real Estate Technology, SaaS</t>
  </si>
  <si>
    <t>Developer of a digital estate planning platform designed to simplify the creation of legally valid wills and trusts. The company offers attorney-approved, state-specific tools for individuals and families to draft estate documents online, enabling financial advisors, institutions, and consumers to plan for the future, protect assets, and support multi-generational wealth transfer."</t>
  </si>
  <si>
    <t>AARP, Actium Partners, Affinius Capital, AgeTech Capital, AgeTech Collaborative from AARP, AMEX Ventures, Aramex Ventures, Cerity Partners Ventures, CONNECT (San Diego), Curql, David Kircos, Detroit Venture Partners, Douglas Himmel, Dream Maker Ventures, Erie Strategic Ventures, Fifth Third, Forecast Labs, Hack VC, Halogen Ventures, Jackson Square Ventures, Jeffrey Cruttenden, John G. Watson Foundation, Kevin Kaplan, Link Ventures, Moderne Ventures, Neal Bloom, Nelson Martins, Next Level Ventures, Noah Kerner, Northwestern Mutual Future Ventures, Pledge Ventures, Republic, Revolution (Washington DC), Right Side Capital Management, Rosanna Lapham, Rosecliff Venture Partners, Second Alpha Partners, TCA Venture Group, Techstars, The Fund at Hula, UBS Group, USAA Corporate Development, Western Technology Investment, Wolfpack Ventures</t>
  </si>
  <si>
    <t>www.trustandwill.com</t>
  </si>
  <si>
    <t>519467-77</t>
  </si>
  <si>
    <t>Capitual</t>
  </si>
  <si>
    <t>Developer of a hybrid digital banking platform designed for integrating traditional and digital currencies. The company's platform facilitates multi-currency wallets, instant currency conversion, blockchain integration, and compliance with financial regulations, enabling individuals, businesses, and financial institutions to store, manage, and transfer assets across local and global markets with interoperability between fiat and cryptocurrencies.</t>
  </si>
  <si>
    <t>Azimut Holding</t>
  </si>
  <si>
    <t>www.capitual.com</t>
  </si>
  <si>
    <t>236028-88</t>
  </si>
  <si>
    <t>Vzoom Credit</t>
  </si>
  <si>
    <t>Provider of credit checking services that uses the official tax returns of companies for credit assessment purposes. The company's services offer technology-based credit investigation, risk control and online corporate credit financing, enabling small businesses to swap tax payment credit for bank credit and apply for bank loans thus helps to solve the difficulty, expensive, and slow financing of small and micro-enterprises.</t>
  </si>
  <si>
    <t>Ant Group, Bosera Asset Management, China Highrun Capital Limited, Chinasfan Information, CITIC Jingshi Investment, Haitong Innovation Capital Management, Homa Appliances, Hualin Capital Investment, IDG Capital, Invoice pass, Jianxinguomao, Oneconnect, Sanxia Xintai, Sino-Rock Investment Management, Yongjin Group, Yunze Investment</t>
  </si>
  <si>
    <t>www.vzoom.com</t>
  </si>
  <si>
    <t>223018-03</t>
  </si>
  <si>
    <t>Equitybee</t>
  </si>
  <si>
    <t>Developer of a financial technology platform designed to provide startup employees with stock option financing and liquidity support, operating in the venture-backed private company ecosystem. The company's platform structures and manages investment funds that support stock option exercises and provide diversified access to private companies, operating through advisory and broker-dealer entities registered with the Financial Industry Regulatory Authority and the Securities and Exchange Commission, enabling employees and investors to participate in equity transactions with defined roles.</t>
  </si>
  <si>
    <t>Adam Nash, Adam Neumann, AltaIR Capital, Ayal Itzkovitz, Battery Ventures, BergTop VC, Brayne (Paris), David Helgason, Greenfield Partners, Group 11, ICON (Other Commercial Services), Igor Rabinovich, Latitude (London), Oisin Hanrahan, On Freund, Open Doors Partners, Oren Abekasis, Phoenix Court, Ron Gura, Shaul Olmert, Tamir Carmel, Zeev Ventures</t>
  </si>
  <si>
    <t>www.equitybee.com</t>
  </si>
  <si>
    <t>442347-85</t>
  </si>
  <si>
    <t>Greenwood</t>
  </si>
  <si>
    <t>Provider of mobile banking services intended to offer financial assistance to Black and Latinx business owners. The company offers savings accounts, peer-to-peer transfer, mobile deposit, community reinvestment, a global automated teller machine network, and early pay, enabling clients with advanced digital banking services in one place.</t>
  </si>
  <si>
    <t>Alvin Kamara, Bank of America, Black Operator Ventures, Capital Factory, Cercano Management, Citigroup, Citigroup Alternative Investments, Cohen Circle, Fidelity National Information Services, George Kaiser Family Foundation, JP Morgan Chase, Lightspeed Venture Partners, MasterCard, Newtype Ventures, NextEra Energy, Notley Ventures, Open Opportunity Fund, Pendulum Holdings, Popular, Quality Ventures, QuarterMoore, The PNC Financial Services Group, Truist Ventures, TTV Capital, Venture Worx (US), Visa, Wells Fargo, Wells Fargo &amp; Company Cash Balance Plan</t>
  </si>
  <si>
    <t>www.gogreenwood.com</t>
  </si>
  <si>
    <t>593029-00</t>
  </si>
  <si>
    <t>Model ML</t>
  </si>
  <si>
    <t>Developer of an artificial intelligence-powered research platform designed to improve workflows and automate processes in the financial sector. The company's software has built an advanced AI-based agentic system across data sources, applications, and information to complete work and allow seamless analysis and automated workflows across multiple data sources simultaneously, enabling financial professionals to automate tasks, get access to actionable information, and improve efficiency.</t>
  </si>
  <si>
    <t>13books Capital, 14Peaks Capital, Angel Capital Management, Financial Technology Partners, FJ Labs, Gaingels, HSBC Asset Management, InterAlpen Partners, Latitude (London), Phoenix Court, Pioneer Fund, QED Investors, Y Combinator</t>
  </si>
  <si>
    <t>www.modelml.com</t>
  </si>
  <si>
    <t>513048-43</t>
  </si>
  <si>
    <t>Niural</t>
  </si>
  <si>
    <t>Developer of HR, payroll, workforce management, and payment platform designed to manage and pay global workforces. The company's platform integrates payroll processing, employer of record services, contractor management, compliance automation, multi-currency wallets, cross-border payment capabilities including fiat and stablecoin support, automated invoicing, centralized HR information systems, and AI-driven task automation agents for workforce operations, enabling startups, mid-sized businesses, and global enterprises to streamline workforce administration and financial operations while improving efficiency, regulatory adherence, and scalability across international markets.</t>
  </si>
  <si>
    <t>Alliance, Fog Ventures (San Francisco), GS Futures, Hustle Fund, Inspired Capital (New York), M13, Marathon Management Partners, New Form Capital, NewView Capital, Untamed Ventures</t>
  </si>
  <si>
    <t>www.niural.com</t>
  </si>
  <si>
    <t>267211-90</t>
  </si>
  <si>
    <t>Progcap</t>
  </si>
  <si>
    <t>Developer of a financing platform designed to provide collateral-free working capital to micro, small and medium businesses. The company's platform offers supply chain financing, business loans, digital payments and credit assessment using alternative data, enabling retailers, distributors and manufacturers to access financing and manage their business operations.</t>
  </si>
  <si>
    <t>100Unicorns, Abhishek Dalmia, Alphabet, Axis Capital Partners, Beams Fintech Fund, Creation Investments Capital Management, Google Accelerator, Google Play, growX Ventures, Mavila Nair, Peak XV Partners, Sandeep Tandon, Sequoia Capital, Somak Ghosh, Stride Ventures, Suresh Gurumani, Tiger Global Management, Vikas Sehgal, Whiteboard Capital, Z Nation Lab</t>
  </si>
  <si>
    <t>www.progcap.com</t>
  </si>
  <si>
    <t>770246-29</t>
  </si>
  <si>
    <t>Accrual</t>
  </si>
  <si>
    <t>Developer of an AI-powered accounting and tax workflow automation platform designed for professional accounting firms and finance teams. The company's platform helps extract financial data, organize and analyze records, generate draft returns, and maintain audit-ready documentation, enabling clients to achieve better speed, accuracy, and control while freeing them from repetitive, low-value tasks so they can focus on higher-level advisory work.</t>
  </si>
  <si>
    <t>Catalyze Advisors, Edward Jones Ventures, General Catalyst, GoGlobal Ventures, Pruven Capital</t>
  </si>
  <si>
    <t>www.accrual.com</t>
  </si>
  <si>
    <t>464088-52</t>
  </si>
  <si>
    <t>One Zero</t>
  </si>
  <si>
    <t>Provider of digital banking services intended to offer households a private banking service experience. The company offers advanced services, including flexible and competitive credit solutions, alongside standard banking services such as current accounts, credit, deposits, and securities management, enabling customers to save their time and money.</t>
  </si>
  <si>
    <t>2Sky Ventures, Amnon Shashua, Falcon Peak Capital, Far East Capital (Singapore), Hachshara Insurance Company, Hebrew University of Jerusalem Endowment, Julius Baer Group, OurCrowd, Palo Alto Growth Capital, SBI Ven Capital, Tencent Holdings, West Coast Equity Partners</t>
  </si>
  <si>
    <t>www.onezerobank.com</t>
  </si>
  <si>
    <t>51274-27</t>
  </si>
  <si>
    <t>PayNearMe</t>
  </si>
  <si>
    <t>Developer of a cash payment software designed to facilitate online purchases and bill payments. The company's software helps users to pay with cash for a range of goods and services from companies in e-commerce, property management, consumer finance, and transportation, enabling companies to digitize their cash collection process and reduce traditional cash and money order acceptance.</t>
  </si>
  <si>
    <t>7 Ventures, Ares Capital Corporation BDC, Ares Management, August Capital, AVP, Bullpen Capital, Costanoa Ventures, DNS Capital, Endeavour Partners, Evolution VC Partners, Fenwick &amp; West, Floodgate, Gaingels, GMO Venture Partners, GSK Ventures, GSV Capital, H. Barton Asset Management, Kapor Capital, Khosla Ventures, Maveron, Michael Tanne, Multiplier Capital, Next Play Capital, QIC, StartX (US), SuRo Capital, TriplePoint Capital, True Ventures, Union Grove Venture Partners, Verdure Capital Management, Vinod Khosla</t>
  </si>
  <si>
    <t>home.paynearme.com</t>
  </si>
  <si>
    <t>459033-58</t>
  </si>
  <si>
    <t>Merge( Business/Productivity Software)</t>
  </si>
  <si>
    <t>Artificial Intelligence &amp; Machine Learning, FinTech, HR Tech, SaaS, TMT</t>
  </si>
  <si>
    <t>Developer of application programming interfaces and integration tools designed to transform how B2B companies realize customer-facing integrations. The company offers one application programming interface to integrate with all human resources, payroll, recruiting, accounting, and other platforms, enabling businesses to manage their integrations through a unified platform.</t>
  </si>
  <si>
    <t>20VC, Accel, Addition, Alexandru Solomon, ASDF Ventures, Benjamin Herman, Browder Capital, Cristina Cordova, Daniel Marashlian, DarkMode Ventures, Eric Glyman, Gregory Schott, Harry Stebbings, Jean-Denis Greze, Joshua Browder, Matthew Kraning, Matthew Prince, Michael Martocci, Mischief, New Enterprise Associates, Oliver Jay, Patrick McCormick, Tim Junio</t>
  </si>
  <si>
    <t>www.merge.dev</t>
  </si>
  <si>
    <t>501283-00</t>
  </si>
  <si>
    <t>Rainforest</t>
  </si>
  <si>
    <t>Developer of a payment processing platform designed to facilitate transactions. The company's platform helps embed payment integration into various systems with payment flows, embeddable components, reporting, chargebacks, and merchant onboarding, enabling businesses to offer a secure transaction experience to customers.</t>
  </si>
  <si>
    <t>Accel, Ardent Venture Partners, Atlanta Tech Village, BoxGroup, Infinity Ventures (San Francisco), Matrix, Start Path, Tech Square Ventures, The Fintech Fund</t>
  </si>
  <si>
    <t>www.rainforestpay.com</t>
  </si>
  <si>
    <t>103146-85</t>
  </si>
  <si>
    <t>Socotra</t>
  </si>
  <si>
    <t>Artificial Intelligence &amp; Machine Learning, CloudTech &amp; DevOps, FinTech, InsurTech, SaaS</t>
  </si>
  <si>
    <t>Developer of a cloud-native insurance core platform designed to bring proven speed, agility, and efficiency to carriers, insurers, and MGAs (managing general agents) in the industry. The company's platform offers technology and standardized, public, open APIs to create and update rules and rates that reflect evolving guidelines, and provides a product-agnostic data model, and out-of-the-box capabilities to manage the entire policy lifecycle, making insurance innovation faster, easier, and more affordable, enabling insurance companies to accelerate product development, reduce maintenance costs, and improve customer experiences.</t>
  </si>
  <si>
    <t>8VC, Activant Capital, Andreessen Horowitz, Brewer Lane Ventures, Deviation Capital, Firemark Ventures, Friends &amp; Family Capital, Insight Partners (New York), Matt Pauker, MS&amp;AD Ventures, Nationwide Ventures, Portage, Ulu Ventures</t>
  </si>
  <si>
    <t>www.socotra.com</t>
  </si>
  <si>
    <t>521283-79</t>
  </si>
  <si>
    <t>Warp (Business/Productivity Software)</t>
  </si>
  <si>
    <t>Developer of a payroll and compliance platform designed for startups to optimize financial operations. The company's platform automates mandatory compliance, including state tax registrations, unemployment insurance, annual reports and ongoing notices, enabling businesses to confidently hire, onboard, and pay their team no matter where they are.</t>
  </si>
  <si>
    <t>A*, Abstract Ventures, Amjad Masad, Arash Ferdowsi, Balaji Srinivasan, Battery Ventures, Claire Johnson, Drew Houston, Elad Gil, Eric Stromberg, HOF Capital, Homebrew Management, Jonathan Wasserstrum, Kevin Hartz, Kyle Vogt, Peak XV Partners, Shrug Capital, Sound Ventures, SV Angel, Tobias Lütke, Y Combinator</t>
  </si>
  <si>
    <t>www.warp.co</t>
  </si>
  <si>
    <t>436646-44</t>
  </si>
  <si>
    <t>Settle (Financial Software)</t>
  </si>
  <si>
    <t>Developer of cash flow management software designed to automate business-to-business payments and provide working capital. The company's software offers features such as payment management, payable date management and extension, paperless invoices, auto payment, automated purchase orders, and proactive replenishment alerts to simplify procurement, inventory, AP automation, and financing, enabling companies to expedite billing cycles and scale efficiently while optimizing cash flow.</t>
  </si>
  <si>
    <t>1/1 Capital, 9Yards Capital Management, Activant Capital, Avlok Kohli, Background Capital, Barrel Venture Partners, Better Tomorrow Ventures, Bradhurst Ventures, Caffeinated Capital, Citi Ventures, Darco Capital, Data Point Capital, Evolution (Venture Capital), Finn Capital Partners, Founders Fund, Gaingels, Intersection Growth Partners, Kleiner Perkins, Ligo Partners, Mana Ventures, Mark Cuban, NextGen Venture Partners, Ribbit Capital, SciFi VC, Shopify Ventures, Stripes, Summit Peak Investments, SuperAngel.Fund, Tokyo Black, Upper90 Capital Management, Village Global, Worklife Ventures</t>
  </si>
  <si>
    <t>www.settle.com</t>
  </si>
  <si>
    <t>63469-63</t>
  </si>
  <si>
    <t>IEX Exchange</t>
  </si>
  <si>
    <t>Operator of a financial exchange and trading technology platform built for improving transparency and fairness in equity markets. The company engages in operating a stock exchange and developing trading technologies, including proprietary order types, market data tools, and cloud-based financial data platforms, enabling brokers, institutional investors, and market participants to execute trades with reduced information asymmetry and improved market integrity.</t>
  </si>
  <si>
    <t>Andrew Gansler, ICONIQ Growth, La Caisse, Lead Edge Capital, TA Associates Management, Teralys Capital</t>
  </si>
  <si>
    <t>www.iex.io</t>
  </si>
  <si>
    <t>488971-72</t>
  </si>
  <si>
    <t>Joyin Tech</t>
  </si>
  <si>
    <t>Developer of asset management software designed for financial industries. The company's products include business management system, asset management and securitization systems, the company provides software development services for banks and the other financial institutions, enabling financial industries users to digitalize company management and improve operation efficiency.</t>
  </si>
  <si>
    <t>China Merchants Venture Capital, Future Value Capital, Gopher Asset Management, Jintong Anyi, Ping An Ventures, Shanghai Guoxin Investment</t>
  </si>
  <si>
    <t>www.joyintech.com</t>
  </si>
  <si>
    <t>466498-09</t>
  </si>
  <si>
    <t>Algbra</t>
  </si>
  <si>
    <t>Developer of a financial services application designed to educate, engage and empower people. The company's application leverages technology to provide services like accounts, debit cards, savings, rewards, foreign exchange, remittances, personal finance and home purchase plans, enabling minority communities to facilitate their ability to take control of their finances.</t>
  </si>
  <si>
    <t>Acreditus Partners, Active Capital (London), Beacon Venture Capital, Claire and Amir's Angel Portfolio, Falnas Capital, Grow London, KCP, New World Group, Noa Capital Partners, Saphira Group, SC Ventures, SFC Capital, Ventura Capital</t>
  </si>
  <si>
    <t>www.algbra.com</t>
  </si>
  <si>
    <t>497366-92</t>
  </si>
  <si>
    <t>Payabli</t>
  </si>
  <si>
    <t>Developer of a payment infrastructure and monetization platform designed for payment acceptance and issuance. The company's platform offers features such as payment gateways, accounts payable, checkout, vendor management, payment reconciliation, and payment tracking to manage the tactical operations of a payments company, enabling clients to embed and monetize payments.</t>
  </si>
  <si>
    <t>Bling Capital, Ershad Jamil, Fika Ventures, Fundamental Ventures, IA Seed Ventures, Louis Beryl, QED Investors, The Finger Group, TTV Capital</t>
  </si>
  <si>
    <t>www.payabli.com</t>
  </si>
  <si>
    <t>127581-94</t>
  </si>
  <si>
    <t>Nymbus</t>
  </si>
  <si>
    <t>Developer of a core banking and financial technology platform designed for modernising banking operations. The company's platform offers cloud-native core processing, APIs for real-time integration, customer engagement tools, digital account opening, payment and lending services, compliance and risk management modules, and modular deployment options, enabling banks, credit unions, and financial institutions to streamline operations, deliver digital financial products, and improve customer experience with scalable and interoperable infrastructure.</t>
  </si>
  <si>
    <t>1st &amp; Main Growth Partners, ConnectOne Bancorp, Curql, Financial Services Capital, Gesa Credit Union, Home Credit Group, Insight Partners (New York), Mendon Venture Partners, Michigan State University Federal Credit Union, Next Level Ventures, OFG Ventures, PeoplesBank, Plug and Play Tech Center, Vensure, VyStar Credit Union, Winnipeg Capital</t>
  </si>
  <si>
    <t>www.nymbus.com</t>
  </si>
  <si>
    <t>366563-62</t>
  </si>
  <si>
    <t>Karat</t>
  </si>
  <si>
    <t>Developer of digital financial cards designed to offer secure online payments. The company's cards use an algorithm that considers both an applicant's financial and social statistics, including reach, engagement, and recent earnings, to generate credit limits and customized rewards and perks accordingly, enabling digital creators and influencers to have credit liquidity suited to their needs.</t>
  </si>
  <si>
    <t>Alexandra Botez, Biz Stone, [Blank] Capital, Carter Sharer, Coatue Management, Commerce Ventures, CRV, Dreamers VC, Gallery Ventures, Global Founders Capital, Graham Stephan, Hustle Fund, Jared Leto, Joshua Richards, Justin Blau, Kevin Lin, Ludwig Ahgren, MANA Talent Group, Matthew Mazzeo, Michael Ovitz, Nebula (Media and Information Services (B2B)), Nick DiGiovanni, Notable Capital, Oval Ventures, OVO Fund, Patrick Flynn, Pentas Ventures, Saar Gur, Script Capital (United States), SignalFire, Soma Capital, Spacebar Ventures, Steve Chen, Union Square Ventures, Upper90 Capital Management, Vibe Capital, Wayne Hu, Wendover Productions, Witz Ventures, Y Combinator</t>
  </si>
  <si>
    <t>www.trykarat.com</t>
  </si>
  <si>
    <t>167176-81</t>
  </si>
  <si>
    <t>Papaya (Financial Software)</t>
  </si>
  <si>
    <t>Artificial Intelligence &amp; Machine Learning, FinTech, Mobile, TMT</t>
  </si>
  <si>
    <t>Developer of an online mobile bill payment application designed to simplify financial transactions. The company's application offers multiple payment methods, including debit and credit cards or directly from bank accounts, where personal information and payment data are encrypted and processed via compliant methods, enabling users to pay bills in a secure, hassle-free method.</t>
  </si>
  <si>
    <t>01 Advisors, 9Yards Capital Management, Acrew Capital, Activant Capital, Aspect Ventures, Bessemer Venture Partners, Clocktower Ventures, Commerce.Innovated, Eight Roads, Fika Ventures, First Round Capital, F-Prime Capital, Graph Ventures, Idealab, Mount Wilson Ventures, Mucker Capital, Sequoia Capital, Social Capital, Sound Ventures, Start Path, SVB Financial Group</t>
  </si>
  <si>
    <t>www.papayapay.com</t>
  </si>
  <si>
    <t>290407-87</t>
  </si>
  <si>
    <t>Polly (Financial Software)</t>
  </si>
  <si>
    <t>FinTech, Mortgage Tech, SaaS</t>
  </si>
  <si>
    <t>Developer of a financial platform designed to automate and optimize the capital markets value chain from rate lock through loan sale and delivery. The company offers a cloud-based network that connects buyers and sellers of mortgage loans through API integration, enabling clients to improve transparency, streamline workflows, and make better execution decisions throughout the lifecycle of a loan.</t>
  </si>
  <si>
    <t>8VC, Base10 Partners, Conversion Capital, Fenway Summer, Fifth Wall, Fin Capital, First American Financial, Khosla Ventures, Menlo Ventures, Meritech Capital Partners, Movement Mortgage, Nyca Partners, Parker89, Singularity Capital, SV Angel</t>
  </si>
  <si>
    <t>www.polly.io</t>
  </si>
  <si>
    <t>173231-92</t>
  </si>
  <si>
    <t>Fundment</t>
  </si>
  <si>
    <t>Developer of a wealth management platform designed to offer discretionary fund management and digital investment services. The company's platform provides an efficient way to manage portfolios, reducing the complexity and costs of managing them and providing a single workflow to navigate through productivity software, risk profiling, fund management, custody, and settlement, enabling customers to create portfolios that can be customized to account for their specific client's needs.</t>
  </si>
  <si>
    <t>ETFS Capital, Highland Europe, Innvotec, NFT Ventures, Oxford Innovation, Oxford Innovation Finance, Tech Nation Group</t>
  </si>
  <si>
    <t>www.fundment.com</t>
  </si>
  <si>
    <t>232178-14</t>
  </si>
  <si>
    <t>KoinWorks</t>
  </si>
  <si>
    <t>Developer of a peer-to-peer lending platform designed to connect investors and borrowers easily. The company's platform offers loans relating to business and health at low interest rates and provides financial aid for pursuing educational degrees, enabling clients to connect through an efficient and effective online loan system.</t>
  </si>
  <si>
    <t>Accion, ACV Capital, Beeblebrox, Convergence Ventures, Credit Saison, Golden Circle, Gunung Sewu, Lendable, Mandiri Capital Indonesia, MDI Ventures, Quona Capital, Saison Capital, Triodos Investment Management</t>
  </si>
  <si>
    <t>www.koinworks.com</t>
  </si>
  <si>
    <t>289686-34</t>
  </si>
  <si>
    <t>Daloopa</t>
  </si>
  <si>
    <t>Developer of a document automation and data extraction platform designed to automate workflow for complex, large-volume, and mission-critical tasks. The company's platform uses artificial intelligence to convert financial documents into an auditable database, enabling foundational data and financial institutions to gain clarity in managing investment research data and to focus on decision-making.</t>
  </si>
  <si>
    <t>Abhishek Sharma, Abraham Thomas, Brighton Park Capital, Flight Ventures, Hack VC, Hands On Angel, Jonathan Wu, Liquid 2 Ventures, Mango.vc, Morgan Stanley, Nathaniel Turner, NEXT Investors, Nexus Venture Partners, Salil Deshpande, Squarepoint Capital, Touring Capital, Twin Ventures, Uncorrelated Ventures, Vivek Garipalli, Wormhole Capital, Zachary Weinberg</t>
  </si>
  <si>
    <t>www.daloopa.com</t>
  </si>
  <si>
    <t>179640-46</t>
  </si>
  <si>
    <t>OnEMI Technology Solutions (NSE: KISSHT)</t>
  </si>
  <si>
    <t>OnEMI Technology Solutions Ltd operates a digital lending platform in India, providing financing solutions to consumers. Its offerings include personal loans and secured loans such as loan against property (LAP). It uses data analytics, alternative credit assessment methods, and technology infrastructure to support its lending operations. The majority of the company's revenue is derived from Interest on loans and Sourcing and servicing fees.</t>
  </si>
  <si>
    <t>www.kissht.com</t>
  </si>
  <si>
    <t>64376-56</t>
  </si>
  <si>
    <t>Clear (Financial Software)</t>
  </si>
  <si>
    <t>Developer of an income tax return e-filing platform designed to assist in filing taxes and finances. The company's platform offers a wide range of services including GST and E-waybill software, business incorporation and compliance services for businesses, and mutual fund investments, enabling customers and businesses to calculate and file their taxes and get benefits.</t>
  </si>
  <si>
    <t>Alua Capital, Aparna Chennapragada, Balaji Srinivasan, Composite Capital Partners, Cyan Banister, Elevation Capital (India), Founders Fund, FundersClub, Kora Management, Lance White, Maiden Lane, Max Levchin, Naval Ravikant, Neeraj Arora, Peak XV Partners, Ruchi Sanghvi, Ryan Petersen, SAIF Partners, SciFi VC, Scott Banister, Sequoia Capital, Stripe, Sumon Sadhu, Surojit Chatterjee, Tenacity Ventures, Think Investments (San Francisco), Tiger Global Management, Transpose Platform Management, Vijay Sharma, Y Combinator</t>
  </si>
  <si>
    <t>www.clear.in</t>
  </si>
  <si>
    <t>464083-39</t>
  </si>
  <si>
    <t>Nomupay</t>
  </si>
  <si>
    <t>Operator of a payment processing platform intended to simplify global payment acceptance and payout management. The company's platform offers cross-border payment processing, local payment methods, fraud monitoring and real-time transaction reporting tools, enabling businesses and online merchants to manage digital payments, expand into international markets and streamline financial operations.</t>
  </si>
  <si>
    <t>Endeit Capital, Finch Capital, ICU Venture Capital Trust, LENOS Equity, Neuberger Berman Group, Nomupay, Outpost Ventures, SB Payment Service, UNETI Ventures, Ventura Capital</t>
  </si>
  <si>
    <t>www.nomupay.com</t>
  </si>
  <si>
    <t>435775-33</t>
  </si>
  <si>
    <t>Credgenics</t>
  </si>
  <si>
    <t>Developer of a debt recovery platform designed to expedite the recovery of bad loans. The company's platform uses automation intelligence and optimal legal routes and delivers custom strategies to provide an elevated recovery rate and lower cost, enabling banks and financial institutions to increase the efficiency of loan recovery.</t>
  </si>
  <si>
    <t>Abhimanyu Munjal, Accel, Ajay Garg, Akhil Paul, Ashneer Grover, Avaana Capital, Beams Fintech Fund, Breadlake Ventures, Dilipkumar Khandelwal, DMI Finance, Force Ventures (India), Gaurav Agarwal, Gautam Kumar, Karthik Bhat, Kunal Shah, Kushal Nahata, Mitesh Damania, MMPL Trust, Nitin Gupta, QED Innovation Labs, Rajesh Razdan, Ramakanth Sharma, Sparkle Fund, Startup Haryana, Sumit Maniyar, Sunder Nookala, Tanglin Venture Partners, Titan Capital, Vivekananda Hallekere, WestBridge Capital (San Mateo)</t>
  </si>
  <si>
    <t>www.credgenics.com</t>
  </si>
  <si>
    <t>265790-80</t>
  </si>
  <si>
    <t>Gelonghui</t>
  </si>
  <si>
    <t>Operator of an online platform intended to provide overseas investment research. The company's platform provides financial media content, investment research, and market information on the overseas investment landscape, offering a one-stop platform for traders and investors.</t>
  </si>
  <si>
    <t>Z&amp;H Investment, Zhenru Investment</t>
  </si>
  <si>
    <t>gelonghui.com</t>
  </si>
  <si>
    <t>342168-13</t>
  </si>
  <si>
    <t>DebtBook</t>
  </si>
  <si>
    <t>Developer of debt management software designed to add debt data to cloud storage and calculate outstanding debt. The company's software helps to forecast future payments for various reasons, such as budget, financial planning, disclosure, audit, and rating meetings, enabling governments and their professionals to pull together accurate and customized schedules with no opportunity for human error.</t>
  </si>
  <si>
    <t>2040 Foundation, Charlotte Fund, CreativeCo Capital, Elephant Partners, Meeting Street Capital</t>
  </si>
  <si>
    <t>www.debtbook.com</t>
  </si>
  <si>
    <t>171827-74</t>
  </si>
  <si>
    <t>DiversyFund</t>
  </si>
  <si>
    <t>Operator of a real estate crowdfunding platform intended to simplify the research and investment process. The company's platform connects accredited investors to real estate investment opportunities and permits investment in commercial and residential real estate, enabling investors to diversify and meet their long-term portfolio goals.</t>
  </si>
  <si>
    <t>Abbas Sura, Brian Johnston, eNcloud Services, Vincent Setiono</t>
  </si>
  <si>
    <t>www.diversyfund.com</t>
  </si>
  <si>
    <t>163645-39</t>
  </si>
  <si>
    <t>AellaMFB</t>
  </si>
  <si>
    <t>Developer of a diversified credit payments platform intended to offer a raft of financial services to underbanked users with a focus on lending. The company's debt-as-a-service model ensures that agents can have quick and easy access to funding through its partnerships with agency banks across the continent, enabling users to access cash at competitive rates anytime.</t>
  </si>
  <si>
    <t>500 Global, Absa Group, Aella Capital Partners, African Diaspora Network, Bill Paladino, Brian Armstrong, Eric Uhrhane, Friale, Gluwa, Michael Siebel, Shawntae Spencer, Tae Oh, Unis Venture Fund, Utopian Ventures (San Francisco), Vy Capital, Y Combinator, Zeno Ventures</t>
  </si>
  <si>
    <t>www.aellaapp.com</t>
  </si>
  <si>
    <t>57459-34</t>
  </si>
  <si>
    <t>beqom</t>
  </si>
  <si>
    <t>Developer of a cloud-based compensation management software designed to address all aspects of compensation and performance. The company's software offers sales performance management services, force organization management, partner relationship management, sales analysis, and sales crediting, enabling organizations to manage compensation and performance processes that cannot afford to compromise on their compensation strategy.</t>
  </si>
  <si>
    <t>Golub Growth, ReykVC, Sumeru Equity Partners, welovefounders</t>
  </si>
  <si>
    <t>www.beqom.com</t>
  </si>
  <si>
    <t>122302-27</t>
  </si>
  <si>
    <t>Drip Capital</t>
  </si>
  <si>
    <t>Developer of an online trade financing platform designed to provide working capital finance to small and medium enterprises engaged in cross-border trade in emerging markets. The company's platform uses multiple data sources to underwrite transactions and provides businesses with timely and founder-friendly loans and lines of credit that stock up on inventory, enabling clients to receive collateral-free funds for their working capital easily.</t>
  </si>
  <si>
    <t>2B Global Capital, Accel, Bragiel Brothers, Caffeinated Capital, Catapult VC, CSC UpShot Ventures, DYDX, Endeavor8, Finistere Ventures, Flight Ventures, Four Cities Capital, GC1 Ventures, GMO Payment Gateway, GMO Venture Partners, Incubate Fund Asia, Initialized Capital, IRONGREY, London Technology Club, Peak XV Partners, Quiet Capital, Renn Ventures, Richmond View Ventures, Sequoia Capital, Sumitomo Mitsui Banking, Tau Ventures, Transpose Platform Management, Wing Venture Capital, Y Combinator</t>
  </si>
  <si>
    <t>www.dripcapital.com</t>
  </si>
  <si>
    <t>433103-23</t>
  </si>
  <si>
    <t>eClear</t>
  </si>
  <si>
    <t>Grant</t>
  </si>
  <si>
    <t>Developer of a taxation compliance platform designed to help e-commerce businesses to distribute their goods within the member states of the European Union. The company's platform provides certified tax rates, exemption regulations, and country-specific information on products for immediate application, enabling clients to perform lawful calculation, collection, and payment of Value Added Tax (VAT) owed through cross-border trade.</t>
  </si>
  <si>
    <t>Bundesministerium für Bildung und Forschung, Crown Fund, Gerhard Cromme</t>
  </si>
  <si>
    <t>www.eclear.com</t>
  </si>
  <si>
    <t>544609-45</t>
  </si>
  <si>
    <t>Mercado de Recebíveis</t>
  </si>
  <si>
    <t>Developer of a financial platform designed to assist in managing cash flow through the anticipation of receivables from credit card transactions and invoices. The company's platform offers a user-friendly mobile application that integrates with existing point-of-sale systems, provides immediate credit assessments, facilitates instant transfers, and offers a corporate credit card with credit limits backed by receivables, enabling entrepreneurs to access working capital efficiently and transparently.</t>
  </si>
  <si>
    <t>1289 Capital, Headline, Inês de Souza, Marcelo Bella, Urca Angels</t>
  </si>
  <si>
    <t>www.mercadoderecebiveis.com.br</t>
  </si>
  <si>
    <t>223747-39</t>
  </si>
  <si>
    <t>Mintoak</t>
  </si>
  <si>
    <t>Corporate</t>
  </si>
  <si>
    <t>Developer of a payments platform designed to accept and record traditional and digital forms of remuneration. The company's platform is built around providing value-added services to merchants and helping them engage with their customers, enabling acquirers to enhance their engagement with merchants by offering a digital engagement and value-added platform.</t>
  </si>
  <si>
    <t>BlackSoil Capital, British International Investment, HDFC Bank, Jana Balasubramaniam, Janarthan Balasubrramanian, Mumbai FinTech Hub, PayPal Ventures, Pravega Ventures, Start Path, Village Capital, White Whale Ventures, Z3Partners</t>
  </si>
  <si>
    <t>www.mintoak.com</t>
  </si>
  <si>
    <t>171613-36</t>
  </si>
  <si>
    <t>Narmi</t>
  </si>
  <si>
    <t>Developer of an omnichannel banking platform designed to automate and monitor financial transactions. The company's platform offers features such as online banking and account opening with fraud protection, multi-factor authentication, transaction review, intrusion detection system, and web application firewall, enabling financial institutions to create a diverse, frictionless, and engaging financial ecosystem.</t>
  </si>
  <si>
    <t>Actions Capital, Contour Venture Partners, FiDi Ventures, Firebolt Ventures, Greycroft, Kairos Ventures, New Enterprise Associates, Patriot Financial Partners, Picus Capital, University Credit Union (California)</t>
  </si>
  <si>
    <t>www.narmi.com</t>
  </si>
  <si>
    <t>501551-11</t>
  </si>
  <si>
    <t>Nuvo</t>
  </si>
  <si>
    <t>Developer of a credit management platform designed to help improve trade credit decisions. The company's platform saves credit information like resale certificates, trade references, bank details, e-signatures, and personal guarantees and helps to actively monitor credit risk, adjust credit limits, and avoid late payments and defaults to streamline customer onboarding, credit risk assessment, and fraud prevention, enabling small and medium-sized businesses to manage their credit operations efficiently.</t>
  </si>
  <si>
    <t>Ali Rowghani, Analog Ventures, BoxGroup, Eugene Marinelli, Foundation Capital, Founders Fund, Gokul Rajaram, Human Capital, Index Ventures, John Bicket, Matt MacInnis, Max Mullen, Nine Four Ventures, Pear (California), Propel ICT, Rosco Hill, Ryan Petersen, Sabrina Hahn, Sanjit Biswas, Sequoia Capital, Spark Capital, Susa Ventures, Varun Anand, Wischoff Ventures</t>
  </si>
  <si>
    <t>www.nuvo.com</t>
  </si>
  <si>
    <t>151139-44</t>
  </si>
  <si>
    <t>Order.co</t>
  </si>
  <si>
    <t>FinTech, SaaS, Supply Chain Tech</t>
  </si>
  <si>
    <t>Developer of a procurement management platform designed to simplify purchasing, payments, and spending control. The company platform offers automated purchase order generation, invoice consolidation, and real-time spend tracking, enabling businesses to streamline procurement, optimize costs, and improve financial efficiency.</t>
  </si>
  <si>
    <t>645 Ventures, Adam Liebman, A-Level Capital, Ankona Capital, Chris Zarou, Clocktower Ventures, Cloquet Capital Partners, Collaborative Fund, David Shaw, Entrepreneurs Roundtable Accelerator, Evolution VC Partners, Executive Council Ventures, FundersClub, Global Founders Capital, GMO Venture Partners, Green Visor Capital, Gutter Capital, Katie Shea, Mark Hawkins, MIT Investment Management Company, Rally Ventures, Remarkable Ventures, Renn Ventures, Right Side Capital Management, Seven Peaks Ventures, Stage 2 Capital, Trevor Sumner, Uncommon Denominator</t>
  </si>
  <si>
    <t>www.order.co</t>
  </si>
  <si>
    <t>227127-16</t>
  </si>
  <si>
    <t>Selfbook</t>
  </si>
  <si>
    <t>B2B Payments, E-Commerce, FinTech, Mobile Commerce, Restaurant Technology</t>
  </si>
  <si>
    <t>Developer of a technology-first payment platform designed to simplify, verify, and unify the direct booking experience. The company's platform accepts one-tap payments, supporting all global credit and debit card brands, digital wallets, and alternative payment methods, and removes barriers to direct bookings, including direct bookings, payment and security, enabling hotel industries to get seamless booking flow, merchandising, and one-click payments, and empowers hotels with modern e-commerce tools.</t>
  </si>
  <si>
    <t>9Yards Capital Management, Abstract Ventures, Affirm, AMEX Ventures, Barry Sternlicht, Better Tomorrow Ventures, CD Capital Advisory, Fin Capital, Freya Ventures, Heritage Global, JAWS Estates Capital, Lachy Groom, Lightspeed Venture Partners, Mike Fuerstman, Riverside Ventures, Starwood Capital Group, Sweet Capital, TenOneTen Ventures, Tiger Global Management, Valia Ventures, Veridical Ventures</t>
  </si>
  <si>
    <t>www.selfbook.com</t>
  </si>
  <si>
    <t>458485-57</t>
  </si>
  <si>
    <t>Tarabut Gateway</t>
  </si>
  <si>
    <t>Developer of an open banking platform designed to integrate financial services and offer immediate, personalized, and effortlessly integrated keys. The company's platform uses a universal application programming interface to facilitate the creation and distribution of personalized financial services, enabling businesses with enhanced collaborations between financial institutions and an increasingly agile and flourishing regional fintech sector.</t>
  </si>
  <si>
    <t>AlJazira Capital, Almoayed Technologies, CE-Ventures, D4 Ventures, Dubai International Finance Centre, Entrée Capital, Founder Collective, Global Ventures (Private Equity), Hub71, KI Capital, Mad'a Investment, Pinnacle Capital, Target Global, Tiger Global Management, Triple Point, Visa, Zamil Group</t>
  </si>
  <si>
    <t>www.tarabut.com</t>
  </si>
  <si>
    <t>458732-35</t>
  </si>
  <si>
    <t>ThreeFlow</t>
  </si>
  <si>
    <t>Artificial Intelligence &amp; Machine Learning, FinTech, InsurTech, SaaS</t>
  </si>
  <si>
    <t>Developer of employee benefits software designed to simplify the insurance RFP process. The company's cloud-based, employee benefits platform uses advanced predictive analytics and machine learning that gives extra time to focus on business by simplifying the ERP process and improves quality, transparency, and communication between brokers and employers, enabling brokers and carriers to be smarter, faster and more reliable for the employers and employees that depend on them.</t>
  </si>
  <si>
    <t>9Yards Capital Management, Accel, Emergence Equity Management, Equal Ventures Management, First Trust Capital Partners, GreenHawk Corporation, Plexo Capital</t>
  </si>
  <si>
    <t>www.threeflow.com</t>
  </si>
  <si>
    <t>171556-12</t>
  </si>
  <si>
    <t>Wahed</t>
  </si>
  <si>
    <t>Operator of an ethics-driven investment platform intended to offer Muslims access to Islamic portfolio management. The company's values-driven digital investment platform uses a fully automated system and customized financial optimization algorithms to offer services to people who do not wish to deposit their money with traditional banks, and is structured through strict Islamic principles, enabling Muslims to feel confident that their investments are ethically sound.</t>
  </si>
  <si>
    <t>Afkar Incubator, BECO Capital, Cue Ball, Dubai Cultiv8 Investments, Innate Capital Partners, John Elkhair, Kamco Invest, Khalid Al Jassim, Kube VC, Laurent Nordin, Nasr-Eddine Benaissa, Paul Pogba, Phoenix Venture Partners (Abu Dhabi), Rasameel, Realm Capital Ventures, Tamasuk AlRajhi, Ventioneers, VII Ventures, Wa'ed Ventures</t>
  </si>
  <si>
    <t>www.wahed.com</t>
  </si>
  <si>
    <t>232148-26</t>
  </si>
  <si>
    <t>OkCredit</t>
  </si>
  <si>
    <t>Developer of a financial application designed to keep track of receivables and payables. The company's application helps merchants with simple and reliable means of keeping credit and payments records for their businesses carried out on a credit basis as well as digitizes their transactions and records payments, enabling clients to reduce the burden of maintaining records and accounting on paper account books.</t>
  </si>
  <si>
    <t>5Y Capital, Google Accelerator, Lightspeed India Partners, Tiger Global Management, Venture Highway, VentureSouq, Y Combinator</t>
  </si>
  <si>
    <t>www.okcredit.in</t>
  </si>
  <si>
    <t>1153373-68</t>
  </si>
  <si>
    <t>Sapiom</t>
  </si>
  <si>
    <t>Developer of an enterprise financial automation platform designed to enable autonomous transaction management for artificial intelligence agents. The company's platform offers programmable agent wallets, identity verification, payment orchestration, spending controls, application programming interface connectivity, and developer tools, enabling developers and businesses to build AI agents that securely access digital services, automate transactions, and interact with external systems under defined policies.</t>
  </si>
  <si>
    <t>Accel, Angel Invest, Anthropic, Array Ventures, Coinbase Ventures, Dragonfly Capital (San Francisco), Formus Capital, Gradient Ventures, Menlo Ventures, Okta Ventures, Operator Collective, Plug and Play Tech Center, VanEck</t>
  </si>
  <si>
    <t>www.sapiom.ai</t>
  </si>
  <si>
    <t>159217-30</t>
  </si>
  <si>
    <t>Encompass (Business/Productivity Software)</t>
  </si>
  <si>
    <t>Developer of an analytic aggregation software designed to transform regulatory compliance and customer onboarding for firms. The company's software incorporates real-time data and documents from authoritative global public data sources and private customer information to create and maintain digital risk profiles, enabling clients to gain insight into corporate, personal, and property data to help address issues such as money laundering and know-your-customer regulations.</t>
  </si>
  <si>
    <t>Adcock Private Equity, Alan McIntyre, Beacon Equity Partners, BNP Paribas, Global Investors, Microequities Asset Management, Perennial Partners (Funds and Trusts), Perle Ventures, Raymond Scott, Scottish Enterprise, SecondQuarter Ventures, Serendipity Capital, Seven Seat Capital, Tim Frost, Wunala Capital</t>
  </si>
  <si>
    <t>www.encompasscorporation.com</t>
  </si>
  <si>
    <t>125615-80</t>
  </si>
  <si>
    <t>AltoIRA</t>
  </si>
  <si>
    <t>Developer of an alternative asset investment platform intended to connect everyday investors to alternative investment opportunities. The company's platform features a simple interface that makes it easy and affordable for investors to access their retirement savings for investment in alternative assets, and for companies to receive investments from retirement accounts, enabling enterprises and individuals to establish a self-directed IRA and invest their savings in real-world assets.</t>
  </si>
  <si>
    <t>10X Capital, Acrew Capital, Advance Venture Partners, Alan DeRossett, Aleka Capital, Alexandru Bernea, Alpha Bridge Ventures, Alpha Edison, Alumni Ventures, Amplify.LA, Atacama Ventures, Bay Wharf Capital, Brandon Krull, Calm Ventures, Carta Ventures, Chaos Ventures (New York), Chris Khachaturian, Cleo Capital, Coinbase Ventures, Company Ventures, Daniel Kennedy, Faizan Khan, Farhat Siddiqui, Foundation Capital, Franklin Resources, Gaingels, Great Oaks Venture Capital, Growth Technology Partners, Hands On Angel, Hemisphere Ventures, Jake Gibson, Jefferson River Capital, Jesse Robbins, Joshua Luty, Kearny Jackson, Laurent Benhamou, Makai VC, Moment Ventures, New York Life Ventures, Original Capital, Out of Beta, Pirque, Rajesh Roy, Ramnik Arora, Realm Capital Ventures, Red Beard Ventures, Rezz Mitchell, Richard Dulude, Sequoia Capital, Socially Financed, Stone Ridge Asset Management, The Venture Center, Third Prime, Tom Rutledge, Tribe Capital, Trousdale Ventures, Unusual Ventures, Utopian Ventures (San Francisco), Visary Capital, Whoa Ventures</t>
  </si>
  <si>
    <t>www.altoira.com</t>
  </si>
  <si>
    <t>152713-99</t>
  </si>
  <si>
    <t>Sonovate</t>
  </si>
  <si>
    <t>Developer of a fund management platform designed to streamline invoicing process for businesses. The company's platform offers an end-to-end work pay technology that takes care of back-office tasks such as creating contracts, timesheets, invoices, and permits fund collection, enabling businesses and consultancies to get security and flexibility to manage their contractor payment cycle more efficiently.</t>
  </si>
  <si>
    <t>BNP Paribas, DN Capital, Global Founders Capital, Imran Akram, M&amp;G, Michael Birch, MXB Holdings, Paul Birch, Quadrille Capital, Rocket Internet, Xochi Birch</t>
  </si>
  <si>
    <t>www.sonovate.com</t>
  </si>
  <si>
    <t>343252-81</t>
  </si>
  <si>
    <t>Think Trader</t>
  </si>
  <si>
    <t>Developer of financial software and provider of information intended to serve the financial industry. The company focuses on developing financial asset management systems, trading software, and provide quantitative strategy services, enabling clients to execute their business operation in a more convenient way.</t>
  </si>
  <si>
    <t>China Renaissance</t>
  </si>
  <si>
    <t>www.thinktrader.net</t>
  </si>
  <si>
    <t>490062-43</t>
  </si>
  <si>
    <t>Agree Technology</t>
  </si>
  <si>
    <t>Developer of software designed for financial institutions. The company develops enterprise management systems for banks, enabling users to improve work efficiency.</t>
  </si>
  <si>
    <t>Co-Stone Capital</t>
  </si>
  <si>
    <t>www.agree.com.cn</t>
  </si>
  <si>
    <t>121491-55</t>
  </si>
  <si>
    <t>Onafriq UK Holdings</t>
  </si>
  <si>
    <t>FinTech, InsurTech, Mobile</t>
  </si>
  <si>
    <t>Developer of an omnichannel payment network software designed to connect money transfer organizations, banks, and e-commerce platforms. The company's platform offers alternatives for remittance and money transfers, micro-lending, micro-insurance, micro-savings, and payments, enabling consumers to manage money remittances to and from mobile money accounts.</t>
  </si>
  <si>
    <t>3 Capital Ventures, Admaius Capital Partners, Africinvest, Allan Gray, Alter Global, Amtecx, AXA Investment Managers, Beams Fintech Fund, CommerzVentures, Delfinvest, Endeavor Catalyst, Endeavor South Africa, Equator Capital Partners, Fireball Capital, Goodwell Investments, Ingressive (Nigeria), Libertad (Tokyo), LUN Partners Group, The Department for Business, Innovation &amp; Skills - UK, Ulme, Umkhathi Wethu Ventures, uMunthu, Visa, Vitruvian Partners, WME Group</t>
  </si>
  <si>
    <t>www.onafriq.com</t>
  </si>
  <si>
    <t>181176-67</t>
  </si>
  <si>
    <t>Asia Wealth Platform</t>
  </si>
  <si>
    <t>Developer of a digital investment service platform designed for long-term wealth building. The company's platform offers globally diversified, algorithm-driven portfolios using low-cost ETFs, dynamic re-optimisation based on economic regimes, and cash-management services, enabling individual retail and accredited investors in Singapore and beyond to access automated, data-driven wealth management with transparent fees and tailored risk profiles.</t>
  </si>
  <si>
    <t>Asia Capital &amp; Advisors, Boon Koh, Chua Jonathan, Eight Roads, Endeavor Italy, Fidelity International Strategic Ventures, Francis Rozario, Hamilton Lane, Peak XV Partners, Pichet Jaensubhakij, Puay Guan Goh, Sea Dragons Fund, Square Peg Capital, Tito Costa</t>
  </si>
  <si>
    <t>www.stashaway.sg</t>
  </si>
  <si>
    <t>223472-53</t>
  </si>
  <si>
    <t>Chip</t>
  </si>
  <si>
    <t>Developer of a digital savings and investment platform designed to build wealth through automated saving and investing. The company offers AI-powered autosave, a range of savings accounts, and investment options to simplify and automate saving funds for unforeseen situations, enabling individuals to manage their finances conveniently, grow their wealth over time, and get better returns</t>
  </si>
  <si>
    <t>Allegro Capital, Channel 4 Ventures, Deeptech Ventures, Government of UK, Jedar Capital, Love Capital, Matador Ventures Capital LLC, Scalar North Capital, The Up VC</t>
  </si>
  <si>
    <t>www.getchip.uk</t>
  </si>
  <si>
    <t>178185-07</t>
  </si>
  <si>
    <t>Episode Six</t>
  </si>
  <si>
    <t>Developer of enterprise-grade payment processing platform designed for banks and companies looking to offer payments to their customers. The company's platform offers a wide range of use cases, including credit cards, commercial cards, cards-as-a-service, virtual accounts, installments, rewards, and more, providing companies with permission-based UI, to manage risk, customer servicing, and more.</t>
  </si>
  <si>
    <t>Anthos Capital, Avenir Growth Capital, HSBC Ventures, Japan Airlines Company, SBI Investment, Start Path</t>
  </si>
  <si>
    <t>www.episodesix.com</t>
  </si>
  <si>
    <t>91718-56</t>
  </si>
  <si>
    <t>RecargaPay</t>
  </si>
  <si>
    <t>Developer of an all-in-one payment platform designed to provide secure and easy access to mobile payments and financial services. The company's platform creates a mobile money ecosystem where banked and unbanked users interact with each other making it easy to cash in via credit cards, debit cards, and loans, enabling customers and merchants to complete essential transactions with convenience and safety.</t>
  </si>
  <si>
    <t>10X Group, A.GAIN, ATW Partners, DN Capital, Experian Ventures, FJ Labs, Fuel Venture Capital, IDB Invest, Lei Wang, LUN Partners Group, McWin Partners, Next Billion Ventures, Skypointer, SquareOne Capital, Steven Roussey, TheVentureCity, Ventech (Paris), Vesuvio Ventures</t>
  </si>
  <si>
    <t>www.recargapay.com.br</t>
  </si>
  <si>
    <t>169126-48</t>
  </si>
  <si>
    <t>Kyash</t>
  </si>
  <si>
    <t>Provider of mobile banking services intended to facilitate peer-to-peer transactions. The company's services can be accessed through mobile applications and websites for sending and requesting instant money from friends through virtual and prepaid cards, enabling users with a safe, quick and convenient mode of money transfer.</t>
  </si>
  <si>
    <t>AG Capital (Tokyo), Altos Ventures, Block, Broadhaven Capital Partners, Dentsu Innovation Partners, Goodwater Capital, Greenspring Associates, Greyhound Capital, ITOCHU Technology Ventures, Jafco, Japan Post Bank Asset Management, Michael Sidgmore, Mitsubishi UFJ Capital, Mitsui Sumitomo Kaijo Capital, Mizuho Financial Group, Partech, Rahul Mehta, SBI Investment, Shinsei Corporate Investment, SMBC Nikko Securities, SMBC Venture Capital, Sumitomo Mitsui Financial Group, Sumitomo Mitsui Marine Capital, Tekton Ventures, The Stepstone Group, Toppan Holdings, W inc., Yitu Capital</t>
  </si>
  <si>
    <t>www.kyash.co</t>
  </si>
  <si>
    <t>235254-52</t>
  </si>
  <si>
    <t>Yapily</t>
  </si>
  <si>
    <t>Developer of an open banking platform designed to connect and securely access financial information. The company's platform offers a way to retrieve financial data and initiate payments via a single secure application program interface that, in turn, connects to each supported bank's open application program interface, enabling banking, lending, payments, accounting, and money management businesses to improve the customer experience.</t>
  </si>
  <si>
    <t>Frank Strausse, Giovanni Dapra', H14, HV (Germany), Ithaca Investments, Lakestar, Latitude (London), Ott Kaukver, Phoenix Court, Roberto Nicastro, Sapphire Ventures, Systema, Taavet Hinrikus, Tona Investments</t>
  </si>
  <si>
    <t>www.yapily.com</t>
  </si>
  <si>
    <t>527493-88</t>
  </si>
  <si>
    <t>Hashstacs</t>
  </si>
  <si>
    <t>Developer of blockchain financial services based in Beijing, China. The company offers blockchain-based technology development for the entire process of digital bond issuance, custody, trading and clearing, thereby providing licensed financial institutions with services for the digitization of assets.</t>
  </si>
  <si>
    <t>Beijing Junheng Private Equity Fund Management, Isoftstone Holdings, Jiaxing Qianji Investment, Stellar Partners (Hong Kong), Tribe (Consulting Services)</t>
  </si>
  <si>
    <t>www.stacs.cn</t>
  </si>
  <si>
    <t>439426-90</t>
  </si>
  <si>
    <t>Arrived</t>
  </si>
  <si>
    <t>FinTech, Real Estate Technology</t>
  </si>
  <si>
    <t>Operator of an online real estate investing platform designed to let individuals buy and sell fractional ownership in properties. The company offers a digital marketplace for trading real estate shares and tools for portfolio management, enabling everyday investors to access property ownership and earn passive income and long-term appreciation.</t>
  </si>
  <si>
    <t>75 &amp; Sunny, Bezos Expeditions, Core Innovation Capital, Dara Khosrowshahi, Forerunner Ventures, Frederick Tuomi, Good Friends, Hadi Partovi, Luis Enrique Poggi, Marc Benioff, Neo (Consulting Services (B2B)), PSL Ventures, Spencer Rascoff, Tactile Ventures, Techstars, TIME Ventures</t>
  </si>
  <si>
    <t>www.arrived.com</t>
  </si>
  <si>
    <t>753044-14</t>
  </si>
  <si>
    <t>N3XT</t>
  </si>
  <si>
    <t>B2B Payments, Cryptocurrency/Blockchain, FinTech</t>
  </si>
  <si>
    <t>Operator of a full-reserve digital bank built intended for the next generation of B2B payments. The company's platform helps money move as seamlessly as information, across any platform or border, transparently and without delay, and they provide a new era of instant payments, enabling businesses to transact with confidence.</t>
  </si>
  <si>
    <t>Alumni Ventures, Future Perfect Ventures, Hack VC, Insight Partners ( Asheville), Intrepid Growth Partners, Jesselson Capital, Paradigm, Pharsalus Capital, Potenza Capital, Reciprocal Ventures, Winklevoss Capital Management, Y Combinator</t>
  </si>
  <si>
    <t>www.n3xt.io</t>
  </si>
  <si>
    <t>167179-15</t>
  </si>
  <si>
    <t>Ummeed Housing Finance</t>
  </si>
  <si>
    <t>Provider of affordable housing finance services intended to deliver customer-friendly and hassle-free housing loans. The company's services include the issuance of home loans and loans against property which are delivered using technology to improve operational efficiency and reduce turnaround time for customers, enabling low and middle-income households to access affordable housing loans in an innovative and personalized manner.</t>
  </si>
  <si>
    <t>A91 Partners, Anicut Capital, British International Investment, CX Partners, Mirae Asset Global Investments, Morgan Stanley Private Equity Asia, Norwest, Startup Haryana</t>
  </si>
  <si>
    <t>www.ummeedhfc.com</t>
  </si>
  <si>
    <t>489043-63</t>
  </si>
  <si>
    <t>Credit Genie</t>
  </si>
  <si>
    <t>Operator of a credit management platform intended to help users to take control of their finances. The company's platform offers tools to manage debt and insights into spending habits such as cash advances and linked debit cards, enabling users to tackle their unsecured debt burdens and avoid fees and penalties.</t>
  </si>
  <si>
    <t>First Round Capital, Gabriel Investments, Khosla Ventures, Protagonist Management, Sutter Hill Ventures, Tippet Venture Partners</t>
  </si>
  <si>
    <t>www.creditgenie.com</t>
  </si>
  <si>
    <t>224032-42</t>
  </si>
  <si>
    <t>Facet</t>
  </si>
  <si>
    <t>Operator of a financial planning firm intended to offer consumer fintech subscriptions. The company democratizes access to expert financial advice through a flat-fee membership model, its services include portfolio management, full financial life planning, and personalized goal planning from a dedicated certified financial planner on a subscription-based model, enabling customers to increase their economic security and prosperity at an affordable cost.</t>
  </si>
  <si>
    <t>Audacious Capital, Bossa Invest, Coelius Capital, Durable Capital Partners, Esalen Ventures, Gorkem Sevinc, Green Cow Venture Capital, Multiplier Capital, Natural Bridge Ventures, Rose Park Advisors, TeleSoft Partners, Tiburon Strategic Advisors, Warburg Pincus</t>
  </si>
  <si>
    <t>www.facet.com</t>
  </si>
  <si>
    <t>506801-98</t>
  </si>
  <si>
    <t>Maybern</t>
  </si>
  <si>
    <t>Developer of a fund management platform designed to streamline complex fund operations and business logic. The company's platform offers centralized data in a secure and accessible repository, ensuring consistent and reliable information across all aspects of fund management to streamline processes, reduce time spent on manual tasks, and accelerate reporting and modeling, enabling accountants, chief financial officers, and senior management teams to effectively manage private funds with confidence and ease and focus on strategic initiatives.</t>
  </si>
  <si>
    <t>ARCH Venture Partners, Battery Ventures, Bezos Expeditions, Camber Creek, Double Point Ventures, Friends &amp; Family Capital, Gallery Ventures, Grafton Street Partners, Human Capital, Joshua Abramowitz, K5 Global, Khosla Ventures, MetaProp, Metis Innovative, National Reconstruction Fund Corporation, Neil Mehta, NeuroTechnology Investors, Primary Venture Partners, Protocol Labs, Qatar Investment Authority, Qudit, Richard Clarke, RXR Arden Digital Ventures, T.Rx Capital</t>
  </si>
  <si>
    <t>www.maybern.com</t>
  </si>
  <si>
    <t>180106-84</t>
  </si>
  <si>
    <t>FOMO Pay</t>
  </si>
  <si>
    <t>Developer of a payment gateway designed to connect traditional payments to cryptocurrencies to simplify and expand financial options for businesses. The company's platform facilitates digital payments, fund collection, foreign exchange rates, and multi-currency virtual accounts, enabling customers to streamline cross-border transactions and adopt cryptocurrency.</t>
  </si>
  <si>
    <t>Antalpha Ventures, Archerman Capital, Hashkey Capital, Jump Crypto, Qatar FinTech Hub Wave, Republic Capital Adviser, Tribe (Consulting Services)</t>
  </si>
  <si>
    <t>www.fomopay.com</t>
  </si>
  <si>
    <t>112793-41</t>
  </si>
  <si>
    <t>Branch</t>
  </si>
  <si>
    <t>Developer of a financial platform designed to reduce the cost of delivering services in emerging markets. The company's platform assesses people's credit based on smartphone data, offers a quick approval process that allows building credit regardless of their banking history, and bypasses the hurdles imposed by traditional institutions, enabling consumers to get loans to fulfill their requirements.</t>
  </si>
  <si>
    <t>8VC, Andreessen Horowitz, Andrew Vilcsak, B Capital Group, CE Innovation Capital, CreditEase, Formation 8, Foundation Capital, Foxhaven Asset Management, International Finance Corporation, Khosla Ventures, Musha Ventures, Trinity Ventures, TriplePoint Capital, VentureSoul Partners, Victory Park Capital Advisors, Visa Ventures</t>
  </si>
  <si>
    <t>branch.co</t>
  </si>
  <si>
    <t>58852-27</t>
  </si>
  <si>
    <t>Novidea</t>
  </si>
  <si>
    <t>FinTech, InsurTech, SaaS</t>
  </si>
  <si>
    <t>Developer of an agency management platform designed to provide real-time business intelligence and seamless workflow management for brokers, agents, MGAs, bancassurance, and corporate risk management. The company's platform offers a unified view and access to all the information processed by brokers and back-office personnel, monitoring and analyzing the profitability of insured customers, and an archive of all customer and carrier interactions, enabling clients to improve their productivity and profitability.</t>
  </si>
  <si>
    <t>Battery Ventures, Cross Creek Advisors, HarbourVest Partners, Israel Growth Partners, JAL Ventures, KT Squared, Salesforce Ventures</t>
  </si>
  <si>
    <t>www.novidea.com</t>
  </si>
  <si>
    <t>268586-83</t>
  </si>
  <si>
    <t>Lili (Financial Software)</t>
  </si>
  <si>
    <t>Developer of a digital banking application designed for the financial needs of small businesses. The company's application generates automatic spending reports and smart insights with intuitive expense tracking and tax reporting, along with offering cash-back rewards on everyday spending, enabling freelancers to stay in control of their finances while saving time and money.</t>
  </si>
  <si>
    <t>AltaIR Capital, BergTop VC, Fiat Ventures, Foundation Capital, Google Accelerator, Group 11, Primary Venture Partners, Silvertech Ventures, Stardust (Hoboken), Target Global, Torch Capital, World Trade Ventures, Zeev Ventures</t>
  </si>
  <si>
    <t>www.lili.co</t>
  </si>
  <si>
    <t>178320-52</t>
  </si>
  <si>
    <t>Hearth</t>
  </si>
  <si>
    <t>FinTech, Mobile, Real Estate Technology, SaaS</t>
  </si>
  <si>
    <t>Developer of a fintech platform intended to help home improvement contractors grow and manage their businesses. The company's platform provides contractors with the financial tools they need to close business, including financing advice, invoicing, payment collections, insurance products, and many more, enabling clients to send quotes, contracts, invoices, and financing from anywhere and close the deal seamlessly.</t>
  </si>
  <si>
    <t>8VC, AAF Management, ACME Capital, Barry Sternlicht, Dubin &amp; Co., Ethos VC, Founders Fund, Human Capital, JAWS Estates Capital, Jay Levine, Lago Innovation Fund, M Ventures (Los Angeles), MaC Venture Capital, Mantis VC, Night Owl Ventures, Plug and Play Tech Center, SuRo Capital, The Chainsmokers</t>
  </si>
  <si>
    <t>www.gethearth.com</t>
  </si>
  <si>
    <t>56212-03</t>
  </si>
  <si>
    <t>Enigma (</t>
  </si>
  <si>
    <t>Developer of a comprehensive intelligence platform designed for the identity and financial health of every small and medium-sized business across the United States. The company's platform transforms disparate, tabular data into representations of real-world relationships and connects and enriches clients' internal data assets to modify their strategies and workflows, enabling businesses to remain informed and have an improved daily decision-making process.</t>
  </si>
  <si>
    <t>AMEX Ventures, BancBoston Ventures, BB&amp;T Capital Markets, Benjamin Narasin, Capital One Ventures, Comcast Ventures, Crosslink Capital, Deviation Capital, Expansion Venture Capital, FinTech Innovation Lab, GE Capital, Glynn Capital, Lisa Deutsch, MetLife, New Enterprise Associates, Nimble Ventures, NYC Seed, Parameter Ventures, Partnership Fund for New York City, Paul Sethi, Propel Venture Partners, PTC, Rohit Bodas, Ryan Melohn, Shasta Ventures Management, Startup Battlefield, Strauss Zelnick, The New York Times, Third Point, Third Point Ventures, Trajectory Capital, Truist Ventures, Walden Venture Capital, WillowTree Investments</t>
  </si>
  <si>
    <t>www.enigma.com</t>
  </si>
  <si>
    <t>442384-03</t>
  </si>
  <si>
    <t>Honest Financial Technologies</t>
  </si>
  <si>
    <t>Operator of a credit card platform intended to make economical transactions. The company's platform offers no annual fee, low interest rates on purchases, and balance transfers and rewards points for every purchase, enabling customers to build their credit history and improve their financial well-being.</t>
  </si>
  <si>
    <t>199 Ventures, AdFirst, Alpha Edison, Alumni Ventures, Bank Permata, Belfer Capital Partners, Better Capital (California), Capital Partners (New York), D Global Ventures, David Vélez, Gilgamesh Ventures, Global Founders Capital, GMO Internet Group, GMO Venture Partners, Goodwater Capital, Honest Financial Technologies, Insignia Ventures Partners, Jetha Global, KDV Capital, Launchbay Capital, M Venture Partners, Michael Sidgmore, Money in the sea by XYZ, Morgan Family Common Investment Fund, Orico Business &amp; Communications, Orient, Rakuten Capital, SMU Institute of Innovation &amp; Entrepreneurship, SV Pacific Ventures, Village Global, Voltity, XYZ Venture Capital</t>
  </si>
  <si>
    <t>www.honest.co.id</t>
  </si>
  <si>
    <t>433412-83</t>
  </si>
  <si>
    <t>Pulley (Financial Software)</t>
  </si>
  <si>
    <t>Developer of a cap table management tool designed to help companies keep a record of their investor shares, options, and all company grants. The company's tool generates signed legal agreements for equity grants issued on the platform, provides an end-to-end answer for signing and tracking, helps to execute agreements, and provides diligence requirements with signed documentation, enabling companies to run their business and manage equity issuance.</t>
  </si>
  <si>
    <t>8VC, Autopilot Fund, Avichal Garg, Caffeinated Capital, Catalyze Advisors, Combine, Curtis Spencer, David King, Elad Gil, Founders Fund, General Catalyst, Hari Raghavan, Hunter Horsley, Hustle Fund, Jack Altman, Jeannette zu Fürstenberg, Kathleen Estreich, Kivu Ventures, La Famiglia, Lawrence Ripsher, Linda Xie, Matt MacInnis, MKT1, Nir Dremer, Parker Conrad, Rafael Brown, Recall Capital, Rousseau Kazi, Sarah Niyogi, Sherwin Gandhi, Soleio Cuervo, Somrat Niyogi, Stripe, Vincenzo Iozzo, Y Combinator</t>
  </si>
  <si>
    <t>www.pulley.com</t>
  </si>
  <si>
    <t>490244-68</t>
  </si>
  <si>
    <t>First Digital Finance</t>
  </si>
  <si>
    <t>Operator of a consumer financing and credit platform intended to improve access to retail purchases and personal lending for individuals in emerging markets. The company's platform offers installment-based payment options at the point of sale, digital credit products accessible via mobile and online channels, risk assessment and underwriting using alternative data, account management tools for tracking repayments, and integrations for merchant partners, enabling retail consumers and borrowers to obtain more flexible, transparent, and convenient financing than traditional sources.</t>
  </si>
  <si>
    <t>33 Capital, Burda Principal Investments, Centauri (Chantilly), Centauri Fund, KB Financial Group, MDI Ventures, Seawood Capital, Tamaz Georgadze, The Rise Fund</t>
  </si>
  <si>
    <t>www.firstdigitalfinance.com</t>
  </si>
  <si>
    <t>463617-19</t>
  </si>
  <si>
    <t>Vareto</t>
  </si>
  <si>
    <t>Operator of an AI (artificial intelligence) native financial planning platform designed to support collaborative financial modeling and decision-making. The company offers real-time collaboration, financial modeling tools, and software integration capabilities, enabling businesses to streamline financial planning and make data-driven decisions.</t>
  </si>
  <si>
    <t>Anne Raimondi, Artisanal Ventures, Contrary (San Francisco), David Wehner, Fog Ventures (San Francisco), GV, Jason Child, Manik Gupta, Mark Hawkins, Menlo Ventures, Michael Linford, Roy Hefer, Vineet Jain</t>
  </si>
  <si>
    <t>www.vareto.com</t>
  </si>
  <si>
    <t>156130-93</t>
  </si>
  <si>
    <t>Balancehero</t>
  </si>
  <si>
    <t>Developer of a microloan alternative finance platform intended to provide online cash loans for various financial needs. The company offers digital loan services with features including a paperless application process, minimal documentation, quick disbursal, and credit from licensed financial institutions, enabling salaried and self-employed individuals to access accessible credit for managing personal expenses.</t>
  </si>
  <si>
    <t>1Q Agile Lab, AJU IB Investment, Alteria Capital, Big Move Ventures, BonAngels Venture Partners, Capstone Partners Korea, D3 Jubilee Partners, Daedeok Venture Partners, Daesung Private Equity, Double Capital, ES Investor, G.N. Tech Venture Capital, Groom Investment, Hana Ventures, Hanyang Securities, HB Investment, IBK Capital (Korea), ICICI Bank, IMM Investment, InterVest, Kolon Investment, Korea Development Bank, Mirae Asset Venture Investment, Naver, NCORE Ventures, NH Investment &amp; Securities, Nvestor (Korea), Openwater Investment, Partners Investment, Samchully Investment, SB Partners, SB Partners (South Korea), Shinhan Bank, Shinhan Capital, Smilegate Investment, Tech Incubator Program for Startup, TONY Investment, TS Investment, Wooshin Venture Investment, Z Venture Capital</t>
  </si>
  <si>
    <t>www.truebalance.io</t>
  </si>
  <si>
    <t>96418-54</t>
  </si>
  <si>
    <t>ID Finance</t>
  </si>
  <si>
    <t>Developer of credit scoring and digital financial platform designed to offer responsible and sustainable financial services. The company's platform uses its proprietary IT infrastructure and risk management capabilities to develop innovative financial tools which consist of products offering online short-term and long-term consumer loans and an online POS-loans system among others, enabling customers to avail effortless access to credit loans.</t>
  </si>
  <si>
    <t>Armyn Capital, Ash Park Capital</t>
  </si>
  <si>
    <t>www.idfinance.com</t>
  </si>
  <si>
    <t>153351-46</t>
  </si>
  <si>
    <t>Albert (Financial Software)</t>
  </si>
  <si>
    <t>Developer of a financial advisory platform designed to assist users in tracking their finances by aggregating financial data. The company's platform helps to use bank accounts, credit cards, property, loans, and investments, and also analyzes the income and expenses of the user daily and creates a budget for the user, enabling clients to get personalized recommendations, such as setting up a savings account or applying for a loan with a low interest rate.</t>
  </si>
  <si>
    <t>500 FinTech, 500 Global, Alpha Bridge Ventures, AltaIR Capital, AMEX Ventures, Ashby Monk, Bessemer Venture Partners, Blue Dot Investors, Camp One Ventures, CapitalG, CSC UpShot Ventures, David Hauser, Diagram Ventures, Financial Health Network, Financial Health Network., Frontier Ventures, General Atlantic, Invus Opportunities, Kara Rieben, Liquid 2 Ventures, Plug and Play Tech Center, Portage, QED Investors, Renn Ventures, Repeat Ventures, Rhodium, Sagard</t>
  </si>
  <si>
    <t>www.albert.com</t>
  </si>
  <si>
    <t>178484-59</t>
  </si>
  <si>
    <t>Botkeeper</t>
  </si>
  <si>
    <t>Developer of an automated accounting platform designed to solve the bookkeeping challenges experienced by small and mid-sized businesses. The company's platform integrates with a client's bank accounts, credit cards, HR system and point of sale system and makes appropriate entries and adjustments to their online accounts, enabling accounting firms to access timely and precise financials that lead to meaningful business decisions.</t>
  </si>
  <si>
    <t>500 Global, Acorn Street Capital, Babson College, David Brown, Dolik Ventures, Founders First, Gaingels, Gradient Ventures, Grand Oaks Capital, GreenHawk Corporation, Greycroft, Half Court Ventures, High Alpha, Ignition Partners, Impellent Ventures, Jeffrey Fagnan, John Connors, Julian Brodsky, Kelvin Beachum, Kyle York, Matthew Dellavedova, Matthew Johnson, Mike Volpe, OakRidge Management Group, Peak State Ventures, Point72 Ventures, Republic Capital Adviser, Robert May, Sorenson Capital, Sorenson Ventures, Stephen Messer, Trevor Kienzle, US Investment Partners, West Ridge Insurance Agency, York IE</t>
  </si>
  <si>
    <t>www.botkeeper.com</t>
  </si>
  <si>
    <t>151347-97</t>
  </si>
  <si>
    <t>BMLL Technologies</t>
  </si>
  <si>
    <t>Big Data, FinTech, SaaS, TMT</t>
  </si>
  <si>
    <t>Developer of a data and analytics platform designed to help capital markets participants understand trading activity and market behavior. The company offers access to Level 3, Level 2, and Level 1 historical trading data, enabling researchers and quantitative analysts to generate insights, improve strategies, and make informed investment decisions.</t>
  </si>
  <si>
    <t>Nordic Capital</t>
  </si>
  <si>
    <t>www.bmlltech.com</t>
  </si>
  <si>
    <t>129725-56</t>
  </si>
  <si>
    <t>Easy Pay (Financial Software)</t>
  </si>
  <si>
    <t>Developer of a payment application designed to empower the retailer community and digitalize retail outlets through technological advancement. The company's platform offers money transfers, bill payments, insurance, recharge services, and Aadhaar withdrawal, enabling retailers to maximize and operate efficiently.</t>
  </si>
  <si>
    <t>Panchshil Realty</t>
  </si>
  <si>
    <t>www.easypay.in</t>
  </si>
  <si>
    <t>142852-96</t>
  </si>
  <si>
    <t>GoSite</t>
  </si>
  <si>
    <t>FinTech, Marketing Tech, Mobile, SaaS</t>
  </si>
  <si>
    <t>Developer of an all-in-one digital platform designed to help small businesses grow and run their business. The company's platform offers marketing, management, and financial management tools to power a complete and end-to-end technology stack, enabling businesses to attract and connect with their customers and manage their operations efficiently.</t>
  </si>
  <si>
    <t>Ankona Capital, CONNECT (San Diego), Connetic Ventures, Cove Fund, Lagomaj Capital, Left Lane Capital, Lighter Capital, Longley Capital, Mark IV Capital, NuFund Venture Group, Reverb Capital, SaaS Ventures, Serra Ventures, Stage 2 Capital, TCA Venture Group, The Finger Group, Validus Global Investing</t>
  </si>
  <si>
    <t>www.gosite.com</t>
  </si>
  <si>
    <t>484812-19</t>
  </si>
  <si>
    <t>Kumo</t>
  </si>
  <si>
    <t>Developer of a SaaS-based predictive AI platform designed to help AI teams and businesses make their most important relational data their most useful data by enabling faster, simpler and smarter predictions. The company offers zero-shot relational foundation models that leverage graph neural networks and graph transformers to bypass traditional feature engineering and build predictive machine learning models directly inside existing data warehouses from raw enterprise data, enabling customers to rapidly predict complex user behaviors, customer churn, fraud and lifetime value in seconds or hours rather than months while driving up core KPI performance and lowering development costs.</t>
  </si>
  <si>
    <t>www.kumo.ai</t>
  </si>
  <si>
    <t>434949-76</t>
  </si>
  <si>
    <t>Majority</t>
  </si>
  <si>
    <t>Developer of a consumer fintech platform designed to provide digital banking services for global citizens. The company offers access to banking services, debit and credit cards, money transfers and international remittances, enabling global citizens to manage cross-border finances and everyday transactions through a single digital interface.</t>
  </si>
  <si>
    <t>Avid Ventures, Heartcore Capital, Hjalmar Winbladh, Jacob De Geer, Magnus Nilsson, Valar Ventures, Victor Jacobsson</t>
  </si>
  <si>
    <t>www.majority.com</t>
  </si>
  <si>
    <t>222737-41</t>
  </si>
  <si>
    <t>Possible Finance</t>
  </si>
  <si>
    <t>Developer of a flexible short-term financing application designed to provide cash quickly through small-dollar installment loans. The company offers loans with no hidden fees, flexible repayment schedules, and reporting to major credit bureaus to help build credit history, enabling individuals who may lack access to traditional credit options to secure financing with minimal approval requirements.</t>
  </si>
  <si>
    <t>Actions Capital, Altra Venture Partners, Andy Liu, Brian Schultz, Canvas Prime, Columbia Pacific Advisors, David Lee, Euclidean Capital, FJ Labs, Globivest, Hustle Fund, Jared Fliesler, Jori Pearsall, Ramp Equity, Seattle Bank, Steve DeWald, Tom Williams, TriplePoint Capital, Union Bay Partners, Union Square Ventures, Unlock Venture Partners</t>
  </si>
  <si>
    <t>www.possiblefinance.com</t>
  </si>
  <si>
    <t>496446-40</t>
  </si>
  <si>
    <t>Prism (Specialized Finance)</t>
  </si>
  <si>
    <t>Developer of a financial platform designed to provide loans to startups. The company's platform connects shareholders of private companies with liquidity from lenders as it lets them access liquidity via borrowing instead of selling their shares, providing shareholders with an optimal liquidity service.</t>
  </si>
  <si>
    <t>Alexandr Wang, Ethos VC, Harry Hurst, Henrique Dubugras, Human Capital, Pantera Capital, Ryan Petersen, Soma Capital, UBS O'Connor</t>
  </si>
  <si>
    <t>prism.co</t>
  </si>
  <si>
    <t>56339-56</t>
  </si>
  <si>
    <t>Rev Worldwide</t>
  </si>
  <si>
    <t>Developer of transaction processing platform intended to offer disruptive payment products and services for significant benefit and convenience. The company's platform is focused on products in travel, currency exchange, and mobile banking, enabling users to get easy payment experiences around the world.</t>
  </si>
  <si>
    <t>1200 MGMT, Aspira Capital Management, Berch Capital, Conexo Ventures, Floodgate, IA Capital Group, LEAP Global Partners, McCombs Partners, MPOWER Ventures, NBD Ventures, Omidyar Network</t>
  </si>
  <si>
    <t>www.revworldwide.com</t>
  </si>
  <si>
    <t>227113-03</t>
  </si>
  <si>
    <t>Spring Labs</t>
  </si>
  <si>
    <t>Cryptocurrency/Blockchain, FinTech, TMT</t>
  </si>
  <si>
    <t>Developer of an artificial intelligence-based compliance and customer experience platform designed to automate regulatory workflows for financial institutions. The company's platform autonomously detects and categorizes complaints across communication channels, scores all customer conversations against custom scorecards, flags coaching moments for supervisors, surfaces emerging experience trends in real time, and manages customer disputes from intake through resolution, enabling financial institutions such as banks, fintechs, sponsor banks, and debt collection agencies to achieve regulatory compliance, reduce manual oversight, and improve operational efficiency without increasing headcount.</t>
  </si>
  <si>
    <t>500 Global, Ascent Capital Advisors, August Capital, BankTech Ventures, CardWorks Financial Group, Galaxy Digital (New York), General Motors Financial Company, GM Ventures, GreatPoint Ventures, Haymaker Ventures, Impatient Ventures, Jack Dreifuss, Jump Capital, LeadBlock Partners, Mercer Ventures (New York), Multicoin Capital, Pritzker Group Venture Capital, RRE Ventures, TransUnion, Victory Park Capital Advisors, Wave Digital Assets, Wavemaker Partners</t>
  </si>
  <si>
    <t>www.springlabs.com</t>
  </si>
  <si>
    <t>431234-20</t>
  </si>
  <si>
    <t>Stark Bank</t>
  </si>
  <si>
    <t>Developer of an open banking platform designed to help organizations execute transactions, charges, and payments. The company's platform offers developer-friendly APIs and hassle-free integration for businesses to manage their transactions and bank transfers by eliminating avoidable additional fees, enabling clients to accept, process, and disburse payments conveniently and stay focused on their business.</t>
  </si>
  <si>
    <t>Arash Ferdowsi, Bezos Expeditions, Dylan Field, Foundation Capital, Investo (San Francisco), Iporanga Ventures, Joe Gebbia, K5 Global, Kadous(), Lachy Groom, Latitud, Mischief, Norte Ventures, Proximity Angels, Rahul Mehta, Ribbit Capital, Roger Carvallo, Ryan Petersen, Sea Capital, Victor Lazarte, Y Combinator</t>
  </si>
  <si>
    <t>www.starkbank.com</t>
  </si>
  <si>
    <t>314369-11</t>
  </si>
  <si>
    <t>Tiimely</t>
  </si>
  <si>
    <t>Operator of an online loan lending platform intended to provide home loans to people buying homes to live in or as an investment property. The company combines a business-to-business offering with a business-to-customer proving ground, using its artificial intelligence and machine learning-driven proprietary technology to reimagine the customer experience and credit underwriting process, enabling people to buy homes with cheap interest rates.</t>
  </si>
  <si>
    <t>Bendigo and Adelaide Bank, Firemark Ventures, Helia Group, La Trobe Financial, Regal Partners</t>
  </si>
  <si>
    <t>www.tiimelyhome.com.au</t>
  </si>
  <si>
    <t>277242-22</t>
  </si>
  <si>
    <t>Syfe</t>
  </si>
  <si>
    <t>Developer of an investment platform designed to offer portfolio management, cash management, brokerage services, and dedicated wealth advisory. The company's platform uses an in-house proprietary algorithm for each customer, which monitors and adjusts each portfolio to generate returns and manage risk, enabling users to have customized, globally diversified portfolios that are in sync with their risk profiles.</t>
  </si>
  <si>
    <t>885 Capital, AMP Ventures, Apeiron Capital, Apeiron Investment Group, David Rogers, Florian Hagenbuch, ICOA UG, Jan Beckers, JB Ventures, Mate Pencz, MPGI Holdings, Paul Redbourn, Philipp Freise, Presight Capital, Rahul Mehta, Tom Stafford, Tona Investments, Unbound Advisors (Investor), Valar Ventures, Yolo Investments</t>
  </si>
  <si>
    <t>www.syfe.com</t>
  </si>
  <si>
    <t>267954-85</t>
  </si>
  <si>
    <t>Travel Wallet</t>
  </si>
  <si>
    <t>Developer of a mobile-based foreign currency platform designed to facilitate international payments and exchange. The company's platform utilizes a multi-currency digital wallet, real-time exchange rate calculation, contactless payment integration, peer-to-peer remittance, automated settlement logic, and financial cloud software-as-a-service, enabling international travelers to exchange currencies and conduct cross-border transactions without fees.</t>
  </si>
  <si>
    <t>Atinum Investment, Axis Investment, Bass Investment, BNK Venture Capital, CJ Investment, Dunamu &amp; Partners, E&amp;Venture Partners, E62 Ventures, Golden Oak Investment, GS Ventures (Korea), Hanwha Investment &amp; Securities Company, IBK Insurance, Intops Investment, Kakao Ventures, Kiwoom Investment, Korea Development Bank, Lightspeed Venture Partners, Samsung NEXT Ventures, Seedstars, Seoul National University Technology Holdings, Shinhan Bank, Shinhan Futures Lab, Shinhan Venture Investment, SK Securities, Smilegate Investment, SU&amp;Financial Investment, SuperRich, Vietcombank</t>
  </si>
  <si>
    <t>www.travel-wallet.com</t>
  </si>
  <si>
    <t>267964-39</t>
  </si>
  <si>
    <t>BankSalad</t>
  </si>
  <si>
    <t>Developer of a money management application designed to revolutionize the banking industry. The company's application provides personalized recommendations for finance and accurate comparisons between banks and cards, enabling customers to choose and invest their money wisely and make informed financial decisions.</t>
  </si>
  <si>
    <t>Atinum Investment, Bass Investment, Company K Partners, Dunamu &amp; Partners, Google Accelerator, Gorilla Private Equity, Hexagon Ventures, IMM Investment, InterVest, KB Innovation HUB, KB Investment, Kia, Kiwoom Investment, KT, Murex Partners, Orange Planet Foundation, SKS Private Equity Company, Stonebridge Ventures (Seoul), Trust Venture Investment, We Ventures (Korea)</t>
  </si>
  <si>
    <t>www.banksalad.com</t>
  </si>
  <si>
    <t>231209-92</t>
  </si>
  <si>
    <t>Indy</t>
  </si>
  <si>
    <t>Developer of online accounting software designed to simplify financial management for freelancers and self-employed professionals. The company's software automates transaction synchronization, invoicing, expense tracking, and tax declaration preparation, enabling freelancers and small business owners to manage their accounting accurately with reduced administrative effort.</t>
  </si>
  <si>
    <t>Alexandre de Boutray, Alven Capital Partners, BlackFin Capital Partners, ByTheTower, Compagnie d'Anjou, Guillaume Lestrade, iXO Private Equity, Kerala Ventures, La Maison Partners, Romain Cottard, Singular., Super Capital, Yannis Yahiaoui</t>
  </si>
  <si>
    <t>www.indy.fr</t>
  </si>
  <si>
    <t>57631-78</t>
  </si>
  <si>
    <t>Nav</t>
  </si>
  <si>
    <t>Developer of a credit monitoring and financing platform designed to manage credit and get streamlined access to financing. The company's platform offers free access to easy-to-read personal and business credit reports and financial monitoring tools to build business credit, and a marketplace that matches customers to lending options based on their approval odds, enabling clients to manage their operational funding requirements hassle-free.</t>
  </si>
  <si>
    <t>Aries Capital Partners, Black River Ventures, CE Innovation Capital, CreditEase, Crosslink Capital, CSC UpShot Ventures, Expanding Capital, Experian Ventures, Flight Ventures, Frazier VC, Frontline One Capital, Goldman Sachs Growth Equity, GrayArch Partners, Hack VC, Incite Ventures (San Francisco), Kickstart (US), Kleiner Perkins, National Bank Holdings, Peak Ventures, Polyvalent Capital, Springboard Enterprises, SVB Financial Group, Tencent Holdings, The Goldman Sachs Group, ZenStone Venture Capital</t>
  </si>
  <si>
    <t>www.nav.com</t>
  </si>
  <si>
    <t>225723-07</t>
  </si>
  <si>
    <t>CertifID</t>
  </si>
  <si>
    <t>Artificial Intelligence &amp; Machine Learning, Cybersecurity, SaaS</t>
  </si>
  <si>
    <t>Operator of a wire fraud protection company intended to provide transfer protection for all participants in real estate transactions. The company's platform uses proprietary digital device analysis and knowledge-based authentication sequencing to verify identities and documents in financial transactions, enabling clients to easily protect their transactions from fraud by securely transferring bank account information.</t>
  </si>
  <si>
    <t>Arthur Ventures, Capital Factory, Centana Management, Grand Angels, Invest Detroit Ventures, Jeffrey Carter, Wakestream Ventures</t>
  </si>
  <si>
    <t>www.certifid.com</t>
  </si>
  <si>
    <t>167134-96</t>
  </si>
  <si>
    <t>smallcase</t>
  </si>
  <si>
    <t>Operator of stock and portfolios curated by investment experts intended to make investing easy and accessible to everyone. The company offers professionally built portfolios using quantitative models, zero management fees, no lock-in, and direct dividend payouts, enabling brokerages and advisory firms to help their clients invest efficiently in stock markets with low-cost diversification.</t>
  </si>
  <si>
    <t>Amazon Smbhav Venture Fund, Arkam Ventures, BEENEXT Capital Management, Blume Venture Advisors, DSP Adiko, DSP Asset Management, Elev8 Venture Partners, Faering Capital, HDFC Bank, Hemendra Kothari, Housing Development Finance Corporation, Kunal Shah, Milestone Trusteeship Services, Nakul Zaveri, Nithin Kamath, Niveshaay Investment Advisors, P4 Capital, Peak XV Partners, Phanindra Sama, Premji Invest, QED Innovation Labs, Rainmatter Capital, Relativity Investment Advisors, Sequoia Capital, State Street Investment Management, Tanmay Bhatt, Unitary Foundation, Universal Trustees Private, Utpal Sheth</t>
  </si>
  <si>
    <t>www.smallcase.com</t>
  </si>
  <si>
    <t>96585-04</t>
  </si>
  <si>
    <t>Prodigy Finance</t>
  </si>
  <si>
    <t>Operator of a community funding platform designed to provide loans to students of premium business schools. The company's platform connects alumni and institutional investors with student borrowers to finance student loans at the top business schools, enabling students to overcome financial constraints and gain access to higher education.</t>
  </si>
  <si>
    <t>Adfisco, AlphaCode (South Africa), Balderton Capital, Index Ventures, KEN (Private Equity &amp; Venture Capital), Leap Ventures, Peter Wilson, Rancilio Cube, TriplePoint Capital</t>
  </si>
  <si>
    <t>www.prodigyfinance.com</t>
  </si>
  <si>
    <t>300249-64</t>
  </si>
  <si>
    <t>DotPe</t>
  </si>
  <si>
    <t>E-Commerce, FinTech, Marketing Tech, SaaS</t>
  </si>
  <si>
    <t>Developer of a business management platform intended to offer improved customer engagement and an online payment experience. The company focuses on assisting online businesses with features like customer management, catalog discovery management, order management, website management, shipping and logistics and marketing, enabling offline businesses to grow their company by selling directly and efficiently.</t>
  </si>
  <si>
    <t>Alphabet, Amrish Rau, Fosun International, InfoEdge Ventures, Kunal Bahl, Mitsubishi, MUFG Bank, PayU, Prosus, Rekha Jain, Rohit Bansal, Sachin Singhal, Startup Haryana, Temasek Holdings, Titan Capital, Vikrant Batra</t>
  </si>
  <si>
    <t>www.dotpe.in</t>
  </si>
  <si>
    <t>231578-47</t>
  </si>
  <si>
    <t>Upvest (Financial Software)</t>
  </si>
  <si>
    <t>Developer of an Investment API designed to empower financial institutions to offer investment products in their app with a modular, scalable and accessible alternative. The company helps to create its portfolios and offer them to users, configure savings plans and use roundups to let users invest while they spend through micro-investing, enabling businesses to build secure investment experiences for their end-users across international borders.</t>
  </si>
  <si>
    <t>10X Group, ABN AMRO Ventures, Alpha Protocol Ventures, Bessemer Venture Partners, BlackRock, Earlybird Venture Capital, Felix Haas, Hedosophia, HV (Germany), Markus Lang, Maximilian Tayenthal, Motive Partners, Notion Capital, Philip Jungen, Pioneers Ventures, Purple Orange Ventures, Reiner Mauch, Sapphire Ventures, Tencent Holdings, The House of Finance and Tech Berlin</t>
  </si>
  <si>
    <t>www.upvest.co</t>
  </si>
  <si>
    <t>531088-39</t>
  </si>
  <si>
    <t>Catena Labs</t>
  </si>
  <si>
    <t>Developer of a decentralized identity management platform designed for user-controlled digital interactions. The company's platform integrates composable protocols for identity verification, asset ownership, and payment processing in decentralized applications while maintaining privacy and reducing reliance on centralized institutions, enabling clients to securely manage their online presence and conduct transactions without intermediaries.</t>
  </si>
  <si>
    <t>Acrew Capital, ACS BrightEdge, Andreessen Horowitz, Balaji Srinivasan, Bradley Horowitz, Breyer Capital, Circle Ventures (Boston), CMS Holdings (New York), Coinbase Ventures, CoinFund, Cooley, Fin Capital, General Catalyst, Hamel Husain, IDG Capital, Kevin Lin, Oak HC/FT, Peter Mattoon, Pillar VC, QED Investors, Sam Palmisano, Stanford Engineering School, Tom Brady</t>
  </si>
  <si>
    <t>catena.com</t>
  </si>
  <si>
    <t>87824-35</t>
  </si>
  <si>
    <t>SMArtX Advisory Solutions</t>
  </si>
  <si>
    <t>Operator of an asset management platform intended to provide access to traditional, alternative, and index strategies through a unified managed account structure. The company's platform provides real-time portfolio valuation, real-time sleeve level performance reporting, and intraday allocation tools as well as permits users to customize and deploy individual portfolios simultaneously across multiple client accounts, while the rebalance and drift management features keep the portfolios within the pre-set allocations, enabling clients to get access to complete wealth management alternatives.</t>
  </si>
  <si>
    <t>Alex Maffeo, Asset Alliance Advisors, Bill Marcus, FINTOP (US), GEMS Advisors, IA Capital Group, Juan Arenas, ManchesterStory, Morningstar</t>
  </si>
  <si>
    <t>www.smartxadvisory.com</t>
  </si>
  <si>
    <t>277430-41</t>
  </si>
  <si>
    <t>Alma (Financial Software)</t>
  </si>
  <si>
    <t>Developer of a digital payment platform designed to simplify the installment payment process. The company's platform helps users to pay as per their terms so that they can afford products by facilitating the payment through easy-to-pay installments, enabling businesses to increase conversion rates by offering secure e-commerce payment services.</t>
  </si>
  <si>
    <t>Bpifrance, C Entrepreneurs, Cathay Capital, Cathay Innovation, Delirus Capital, Deltalpha Capital, Entrepreneur Invest, Eurazeo, Financière Saint James, Founders Future, Geoffroy Roux de Bézieux, GR Capital, Guillaume Clavel, Hedosophia, Hedosophia European Growth, ISAI, Kima Ventures, La French Tech, Motier Ventures, Picus Capital, Pierre Kosciusko Morizet, Roosh Ventures, Seaya Capital Gestion SGEIC, Tencent Holdings, Wind Capital, YADAY, Yolo Investments</t>
  </si>
  <si>
    <t>www.almapay.com</t>
  </si>
  <si>
    <t>467163-37</t>
  </si>
  <si>
    <t>Lightyear (Financial Software)</t>
  </si>
  <si>
    <t>Developer of an investment platform designed to invest money globally without unnecessary barriers or fees. The company's application offers a broad set of securities, charges low trading fees, and offers a multi-currency account with interest on uninvested cash, enabling clients to grow their wealth and make investing accessible and cheaper.</t>
  </si>
  <si>
    <t>Eileen Burbidge, Hardi Meybaum, Harsh Sinha, Jaan Tallinn, Joe Cross, Kaarel Kotkas, Lars Trunin, Lightspeed Venture Partners, Markus Villig, Metaplanet Holdings, Mosaic Ventures, NordicNinja VC, Ott Kaukver, Richard Branson, Skaala, Specialist VC, Sten Tamkivi, STRT Holding, Superangel, Taavet Hinrikus, Taavi Tamkivi, Virgin (London), Wander Rutgers</t>
  </si>
  <si>
    <t>www.lightyear.com</t>
  </si>
  <si>
    <t>435527-20</t>
  </si>
  <si>
    <t>OlaMoney</t>
  </si>
  <si>
    <t>Developer of digital payment technology designed to simplify and optimize online payments. The company's platform allows clients to pay for cab fares, mobile bills, recharges, electricity, water, and gas bills, and online shopping, enabling customers to conduct transactions in a speedy, secure, and hassle-free manner without worrying about wallet recharge.</t>
  </si>
  <si>
    <t>Alpha Wave Global, Gemini Investments (Holdings), Sarin Family, Z47</t>
  </si>
  <si>
    <t>www.olamoney.com</t>
  </si>
  <si>
    <t>343067-50</t>
  </si>
  <si>
    <t>Northmill Bank</t>
  </si>
  <si>
    <t>Developer of a financial application designed to help people make improved financial choices. The company's application offers savings, credits, payments, and insurance services and provides various financial products, enabling customers to have all kinds of financial assistance.</t>
  </si>
  <si>
    <t>Coeli Private Equity, M2 Asset Management</t>
  </si>
  <si>
    <t>www.northmill.com</t>
  </si>
  <si>
    <t>279552-43</t>
  </si>
  <si>
    <t>Beacon (Logistics)</t>
  </si>
  <si>
    <t>Developer of a supply chain visibility platform designed to empower businesses by connecting their supply chain data. The company's tool offers a full range of services, including global ocean, air, and truck freight, together with supply chain finance and shipping products, which can be accessed and managed on a single platform, enabling businesses to get trade transparency, reliability, and the tools they need to make better decisions and to access the capital required for growth.</t>
  </si>
  <si>
    <t>2xN, 8VC, Caravelle Investment, Eric Schmidt, Expa, Explorer Investments, FJ Labs, Garrett Camp, Gil Ofer, Jeffrey Bezos, Lars Fjeldsoe-Nielsen, Long Journey Ventures, Manta Ray Ventures, Marc Benioff, MS&amp;AD Ventures, Neo (Consulting Services (B2B)), Northstar.VC, Red Sea Ventures, Shervin Pishevar, Travis Kalanick, Upper90 Capital Management, Xplorer Capital</t>
  </si>
  <si>
    <t>www.beacon.com</t>
  </si>
  <si>
    <t>158367-16</t>
  </si>
  <si>
    <t>Money Design</t>
  </si>
  <si>
    <t>Operator of an investment management platform intended to democratize the financial system. The company's platform provides advisory service, which is a fully automated online-based asset management services that help in monthly savings and in making informed financial decisions, enabling investors to save and invest in funds globally.</t>
  </si>
  <si>
    <t>Benefit One, Bugin Capital Co., Ltd., Chibagin Capital, Daiichi Life Group, Dentsu Innovation Partners, East Ventures, Energy &amp; Environment Investment, FFG Venture Business Partners, Fukuoka Technology Partners Co., Ltd., Globis Capital Partners, GMO Venture Partners, GO, ITOCHU Technology Ventures, JR East Start Up, J-Startup, Kyoto Financial Group, Marui Group, Miyako Capital, Money Forward, Nihon Kastu, NTT DoCoMo, OKB (Tokyo), Pegasus Tech Ventures, Recruit Holdings, Resona Bank, SBI Investment, SBI Shinsei Bank, Shizuoka Capital, Simplex (Tokyo), Sompo Japan Insurance, Sumitomo Mitsui Banking, The Hyakugo Bank, The Toho Bank, The Tokyo Tanshi, The University of Tokyo Edge Capital, ThirdStream Partners, Tokai Tokyo Financial Holdings, Toppan Holdings, Value Create Ventures, Yamaguchi Financial Group, YMFG Capital, Z Venture Capital</t>
  </si>
  <si>
    <t>www.money-design.com</t>
  </si>
  <si>
    <t>436910-41</t>
  </si>
  <si>
    <t>Galgo (Consumer Finance)</t>
  </si>
  <si>
    <t>Operator of a financial service platform intended to provide financial support to migrants. The company's platform offers financial, credit and insurance products that address the main needs of foreigners by providing flexible and reliable financing for vehicles, mainly motorcycles, enabling unbanked immigrants to revalidate their title, buy a car, or pay the guarantee of the lease.</t>
  </si>
  <si>
    <t>Amador Holdings, Amarena, Attom Capital, Buena Vista Capital, Dalus Capital, Eduardo Magiora, Endeavor Catalyst, Endeavor Chile, Fen Ventures, FYNSA, Grupo Auteco, güil Mobility Ventures, Huey Ru Lin, Impact Ventures PSM, Kayyak Ventures, Nazca, Nimes Capital, Olivo Capital, Salkantay Ventures, Sergio Furio, Tomorrow Capital (London), Uber, Wind Ventures</t>
  </si>
  <si>
    <t>www.galgo.com</t>
  </si>
  <si>
    <t>58273-84</t>
  </si>
  <si>
    <t>ThetaRay</t>
  </si>
  <si>
    <t>Developer of a transaction monitoring platform designed to identify early signs of money laundering. The company's platform uses algorithms for advanced operational efficiency and protects the financial service sectors and critical infrastructure against unknown threats, enabling clients to easily detect anomalies in real-time, manage risk, uncover fraud, expose bad loans, uncover operational issues, and reveal valuable new growth opportunities.</t>
  </si>
  <si>
    <t>Abhishek Singh, ABN AMRO Ventures, Alibaba Group, Amos Ben-Meir, Avi Lindenbaum, Bank Hapoalim, Benhamou Global Ventures, Bossa Invest, Climate First, GE Aerospace, High House Investment, J Venture Partners, Jerusalem Venture Partners, Kodem Growth Partners, La Maison Partners, LIP Ventures, Motive Partners, Mouro Capital, Noah Pickholtz, OurCrowd, Philip Friedman, Portage, Portage Capital, QB1 Ventures, R136 Ventures, Ramot at Tel Aviv University, Sagard, Saints Capital, Saints Fund, SBT Capital Co, Scott Kurnit, SVB Financial Group, Tax &amp; Legal Tech Springboard</t>
  </si>
  <si>
    <t>www.thetaray.com</t>
  </si>
  <si>
    <t>265552-84</t>
  </si>
  <si>
    <t>73 Strings</t>
  </si>
  <si>
    <t>Developer of a valuation platform designed to automate portfolio valuation and performance management for alternative investments. The company's platform offers artificial intelligence-powered data extraction, portfolio monitoring, deterministic valuation workflows, and auditable governance capabilities, enabling private equity, private credit, venture capital, growth equity, and infrastructure investment firms to streamline valuation processes and improve transparency and operational efficiency.</t>
  </si>
  <si>
    <t>Blackstone, Blackstone Innovations Investments, Broadhaven Capital Partners, Fidelity International Strategic Ventures, Golub Capital, Hamilton Lane, Le Village by CA, Spice Capital Partners, The Goldman Sachs Group</t>
  </si>
  <si>
    <t>www.73strings.com</t>
  </si>
  <si>
    <t>227926-18</t>
  </si>
  <si>
    <t>IntelligentCross</t>
  </si>
  <si>
    <t>Developer of an online financial trading platform designed to offer stock trading services with the help of machine learning. The company's platform uses a dark pool that helps in buying and selling orders securely, as well as modulates the speed of its trading based on real-time measurement of its performance, enabling institutional brokers and asset managers to keep the transaction protected from traders hunting down bids and offers.</t>
  </si>
  <si>
    <t>Clocktower Ventures, CTC Venture Capital, Fenway Summer, GrayArch Partners, Greycroft, Innovating Capital, Mango Capital, Pendleton King, XTX Ventures</t>
  </si>
  <si>
    <t>www.imperativex.com</t>
  </si>
  <si>
    <t>59941-72</t>
  </si>
  <si>
    <t>Handle</t>
  </si>
  <si>
    <t>Construction Technology, FinTech, SaaS</t>
  </si>
  <si>
    <t>Developer of construction-specific financial management software intended to automate payment compliance and credit operations. The company's platform integrates lien tracking, waiver processing, deadline monitoring, credit data management, and payment collection into a single system, enabling construction suppliers and subcontractors to reduce compliance risk and accelerate collections.</t>
  </si>
  <si>
    <t>AMEX Ventures, Broadway Angels, Chip Heath, Elefund, Energize Capital (Chicago), Eric Ries, Eric Wu, Ethan Beard, Global Founders Capital, Guido Kovalskys, Ironspring Ventures, Kaushal Mehta, Liquid 2 Ventures, Marbruck Investments, Menlo Ventures, Paul Buchheit, Ralph Gootee, Roosh Ventures, RXR Arden Digital Ventures, Soma Capital, Suffolk Technologies, The Perkins Fund, Tracy Young, Utopian Ventures (San Francisco), Valley Oak Investments, WEX, WEX Venture Capital, William Hockey, Y Combinator, Zachary Perret, Zigg Capital</t>
  </si>
  <si>
    <t>www.handle.com</t>
  </si>
  <si>
    <t>590762-26</t>
  </si>
  <si>
    <t>Guosheng Inclusive Finance</t>
  </si>
  <si>
    <t>Provider of online Internet small loans for individual and corporate customers. The company is committed to developing inclusive finance through Internet product innovation and service upgrades, providing consumer loan products for individuals and operating loans for small and micro enterprises .</t>
  </si>
  <si>
    <t>Shandong Finance Group, Shandong New Growth Drivers Fund Management</t>
  </si>
  <si>
    <t>www.guoshengxd.com</t>
  </si>
  <si>
    <t>101271-34</t>
  </si>
  <si>
    <t>Exporo</t>
  </si>
  <si>
    <t>Developer of a real estate crowdfunding platform designed to participate in real estate projects through crowd investing. The company's platform provides investments in real estate projects that were previously only accessible to institutional or professional investors, enabling retail investors and individuals to build their digital portfolios with minimal investment, interest rates, and transparency.</t>
  </si>
  <si>
    <t>BPO Capital (Hamburg), Bronk Venture Capital, Dieter von Holtzbrinck Ventures, Heartcore Capital, HV (Germany), Infinitas Capital, Korify Capital, Monkfish Equity, Mount Nebo Capital, Parsec Ventures, Partech</t>
  </si>
  <si>
    <t>www.exporo.de</t>
  </si>
  <si>
    <t>100120-06</t>
  </si>
  <si>
    <t>SeQura</t>
  </si>
  <si>
    <t>Operator of a flexible online payment platform intended for e-commerce and retail purchases. The company's platform enables consumers to finance their purchases by offering options such as installment payments, deferred payments, and customizable payment plans without hidden fees or complex paperwork, allowing users to shop at thousands of partner stores, manage payments through a dedicated app, and benefit from features like payment reminders, account management, and secure data handling, thereby empowering the retail market with greater purchasing flexibility and convenience.</t>
  </si>
  <si>
    <t>Chenavari Investment Managers, Citigroup, Grupo Intercom, M&amp;G, Optimizer Invest, Svea Ekonomi</t>
  </si>
  <si>
    <t>www.sequra.com</t>
  </si>
  <si>
    <t>438757-66</t>
  </si>
  <si>
    <t>Weavr</t>
  </si>
  <si>
    <t>Developer of a digital financial platform designed to let any company add banking and financial services to their services via APIs. The company's platform provides finance services for consumers and businesses, featuring accounts with or without IBANs, virtual and plastic cards, wearables, and other financial elements that can be created, integrated, and run via its comprehensive tools, enabling digital businesses to integrate financial services within their applications, without the onerous responsibility for data security and regulatory compliance.</t>
  </si>
  <si>
    <t>Adfisco, Alan Morgan, Anthemis, Craig Dewar, Force Over Mass Capital, Grow London, Headline, Ixaris, Latitude (London), Phoenix Court, QED Investors, Seedcamp, Tiger Global Management, United First Partners</t>
  </si>
  <si>
    <t>www.weavr.io</t>
  </si>
  <si>
    <t>65255-95</t>
  </si>
  <si>
    <t>Canopy (Business/Productivity Software)</t>
  </si>
  <si>
    <t>Artificial Intelligence &amp; Machine Learning, FinTech, Mobile, SaaS, TMT</t>
  </si>
  <si>
    <t>Developer of a practice management software suite designed to streamline processes for accounting firms. The company offers client management, document management, workflow and billing management services, enabling firms to keep their teams organized, increase return on investment and create a connected client experience.</t>
  </si>
  <si>
    <t>Ankona Capital, BYU Cougar Capital, Deep Fork Capital, EPIC Ventures, NewView Capital, Pelion Venture Partners, Ten Coves Capital, Tenaya Capital, University Growth Fund, Viking Global Investors, Wells Fargo Strategic Capital</t>
  </si>
  <si>
    <t>www.getcanopy.com</t>
  </si>
  <si>
    <t>56364-85</t>
  </si>
  <si>
    <t>Unison (Consumer Finance)</t>
  </si>
  <si>
    <t>FinTech, Mortgage Tech, Real Estate Technology, TMT</t>
  </si>
  <si>
    <t>Developer of a residential equity platform designed to combine a fintech origination capability with an investment management business. The company's platform offers long-term investments in individual residential properties through their innovative programs in exchange for the opportunity to share gain or loss in the home's value when they decide to sell, enabling applicants to buy homes without interest or monthly payments.</t>
  </si>
  <si>
    <t>Citi Ventures, Commerce Ventures, Five Stones Investment Group, F-Prime Capital, RBCx, Ron Suber, Royal Bank of Canada, Takhleeq Business Incubator, ThirdStream Partners</t>
  </si>
  <si>
    <t>www.unison.com</t>
  </si>
  <si>
    <t>234445-06</t>
  </si>
  <si>
    <t>Hawk (Financial Software)</t>
  </si>
  <si>
    <t>Developer of financial crime detection software designed for monitoring and analyzing financial transactions for compliance purposes. The company's platform uses machine learning models, risk scoring, real-time transaction screening, alert generation, case management workflows, data integration with banking systems, and configurable rules to identify suspicious activity patterns and anomalies, enabling financial institutions and fintech organizations to manage regulatory requirements, detect potential money laundering, and improve investigation processes through structured and automated analysis.</t>
  </si>
  <si>
    <t>BlackFin Capital Partners, Christian Deger, Coalition, Coalition Capital (Amsterdam), DN Capital, German Accelerator, Macquarie Capital, Macquarie Group, Marcus Mosen, Markus Rinderer, Michael Altrichter, One Peak Partners, Patrick Schmidt, Picus Capital, Pioneers Ventures, Rabo Corporate Venturing, Rabo Investments, Sands Capital, The House of Finance and Tech Berlin</t>
  </si>
  <si>
    <t>www.hawk.ai</t>
  </si>
  <si>
    <t>433958-50</t>
  </si>
  <si>
    <t>BukuWarung</t>
  </si>
  <si>
    <t>Developer of digital infrastructure platform designed to record daily financial transactions such as sales, income, and customer accounts payable. The company's platform helps users keep sales records, send bills via messaging applications, help in bookkeeping, receive digital payments, and create daily business reports, enabling small businesses to efficiently keep track of their financial transactions.</t>
  </si>
  <si>
    <t>20VC, Accion, ACV Capital, Aldi Haryopratomo, Allison Allen, Alterra Power, DST Global, East Ventures, Flipkart, GMO Venture Partners, Gojek, Golden Gate Ventures, Goodwater Capital, Grab Holdings, Harry Stebbings, HOF Capital, Ion Pacific, JAM Fund, JJ Chai, Joshua Buckley, Justin Mateen, Leo Capital, Manik Gupta, Michael Sampoerna's Office, Nancy Xiao, PayPal Holdings, Quona Capital, Rahul Vohra, Rapyd Financial Network, Ravish Naresh, Realm Capital Ventures, Rocketship.vc, Scott Belsky, Soma Capital, Sriram Krishnan, Tanglin Venture Partners, Titan Capital, Trihill Capital, Valar Ventures, VentureSouq, Victor Jacobsson, William Hockey, Xendit, Y Combinator, ZenRooms</t>
  </si>
  <si>
    <t>www.bukuwarung.com</t>
  </si>
  <si>
    <t>507061-99</t>
  </si>
  <si>
    <t>Comulate</t>
  </si>
  <si>
    <t>Developer of a broker revenue platform designed to unlock efficient movement and management of money across the insurance industry. The company's platform aims to reduce costs by automating direct bill workflows and increase revenue by automatically identifying missing commissions and building revenue software that captures more revenue, providing brokers with revenue automation and intelligence.</t>
  </si>
  <si>
    <t>BOND Capital (San Francisco), BrokerTech Ventures, Covalent Ventures (CV), Crystal Venture Partners, Flybridge (New York), Jonathan Crystal, Kearny Jackson, Natalie Sandman, Neo (Consulting Services (B2B)), Qasar Younis, Recall Capital, Spark Capital, Workday Ventures, Zachary Perret</t>
  </si>
  <si>
    <t>www.comulate.com</t>
  </si>
  <si>
    <t>179547-13</t>
  </si>
  <si>
    <t>Vic.ai</t>
  </si>
  <si>
    <t>Developer of an autonomous finance platform designed to automate accounting and leverage data to provide valuable insights and advisory information. The company's platform is based on expense, tax, or reporting software systems that help in invoice processing, approval workflows, and electronic payment processing, enabling finance professionals to speed up processing, increase accuracy, and help the team with analytical and strategic insights.</t>
  </si>
  <si>
    <t>53 Degrees Capital, Blockchain Fond, Connectivity Ventures Fund, Costanoa Ventures, Cowboy Ventures, Farvatn Venture, Humla Ventures, ICONIQ Growth, John Shaw, Notable Capital, Tjuvholmen Ventures</t>
  </si>
  <si>
    <t>www.vic.ai</t>
  </si>
  <si>
    <t>266205-79</t>
  </si>
  <si>
    <t>Vivriti Capital</t>
  </si>
  <si>
    <t>Developer of an online debt platform designed to offer efficient and customized financial services for individuals, enterprises and institutions. The company's platform offers services that include lending, investment banking, structured finance and asset management, enabling individuals and institutions to get access to financial services.</t>
  </si>
  <si>
    <t>Creation Investments Capital Management, First Trust Capital Partners, Lightrock, Pavestone Ventures, TVS Capital</t>
  </si>
  <si>
    <t>www.vivriticapital.com</t>
  </si>
  <si>
    <t>85653-55</t>
  </si>
  <si>
    <t>Crowd Street</t>
  </si>
  <si>
    <t>Developer of a real estate investing platform designed to provide individual investors with direct access to a range of investment opportunities, offering the ability to invest conveniently. The company's platform allows direct access to a range of institutional-quality investment opportunities and all the online tools needed to manage those investments, enabling investors and commercial real estate firms to review, compare, and personally choose the deals that meet their investment criteria.</t>
  </si>
  <si>
    <t>Brian Vierra, Carol Kruse, Cypress Equity Investments, Derek Blum, Dharmesh Shah, Foulger-Pratt, FoundersPad, Gary Rubens, Green Visor Capital, Grotech Ventures, Heritage Commercial Real Estate &amp; Technology Investments, Inspire Global Ventures, Matt Abrams, Noam Bardin, Nuveen Real Estate, Portland Seed Fund, Rally Ventures, Seven Peaks Ventures, Stephen Barham, The Dinerstein Companies, TIAA-CREF Asset Management, Venture Capital Fund of America</t>
  </si>
  <si>
    <t>www.crowdstreet.com</t>
  </si>
  <si>
    <t>107357-50</t>
  </si>
  <si>
    <t>R3</t>
  </si>
  <si>
    <t>Developer of an enterprise blockchain software intended to offer distributed ledger technology for the financial services industry. The company's protocol hosts applications for banks, clearinghouses, exchanges, market infrastructure providers, asset managers, and central banks, among others, enabling financial and legal experts to manage and execute institutions' financial agreements in synchrony with their peers.</t>
  </si>
  <si>
    <t>2bCapital, Alberto Chalon, B3 (Brazil), Bangkok Bank, Bank Bradesco, Bank of New York Mellon, Barclays, BBVA USA Bancshares, BMO Financial Group, BNP Paribas, BofA Securities, Canadian Imperial Bank of Commerce, CLS Group (Other Financial Services), Commerzbank, Commonwealth Bank of Australia, Credit Suisse, CTBC Financial Holdings, Daiwa Securities Group, Danske Bank, Deutsche Bank, Deutsche Bank Ventures, Fundação Itau Unibanco, HSBC Ventures, ING Ventures, Inovabra Ventures, Intel Capital, Intesa Sanpaolo, Itaú Unibanco Holding, MCP Capital, Mitsubishi UFJ Financial Group, National Australia Bank, Natixis Private Equity, NatWest Group, NEVA SGR, Nomura Holdings, Nordea Bank, Northern Trust, OP Pohjola, OUE, Plug and Play Tech Center, RBCx, Royal Bank of Canada, SBI Holdings, SBI Investment, Scotiabank, SEB Private Equity, Skandinaviska Enskilda Banken, Societe Generale Ventures, Sumitomo Mitsui Banking, Sumitomo Mitsui Financial Group, TD Bank, Temasek Holdings, The Royal Bank of Scotland (Reserve-Based Loan Portfolio), TISI ( IT Consulting and Outsourcing), U.S. Bancorp, UBS Group, UVU Africa, Wells Fargo, Westpac Banking</t>
  </si>
  <si>
    <t>www.r3.com</t>
  </si>
  <si>
    <t>268498-90</t>
  </si>
  <si>
    <t>TomoCredit</t>
  </si>
  <si>
    <t>Developer of an AI-powered financial wellness platform designed to help individuals and small businesses build credit and improve financial access. The company offers personalized credit-building tools, cash flow insights, and risk assessment capabilities, enabling thin-file consumers and small business owners to qualify for loans and strengthen their financial profiles.</t>
  </si>
  <si>
    <t>AHN Ventures, Albert Ko, Arlan Hamilton, BAM Ventures, Barclays, Beni Venture Capital, Berkeley SkyDeck, BRONZE (California), Gold House Ventures, Goldhouse Capital, Hard Yaka, Hyphen Capital, James Kim, Kapor Capital, KB Investment, Knollwood Investment Advisory, Lewis &amp; Clark Ventures, MasterCard, Michael Vaughan, Morgan Stanley, Passport Capital, Quesnay, Strong Ventures, Techstars, Ulu Ventures, Unbank.Ventures, Virgo Venture Capital, Winguard Partners</t>
  </si>
  <si>
    <t>www.tomocredit.com</t>
  </si>
  <si>
    <t>442698-76</t>
  </si>
  <si>
    <t>Synctera</t>
  </si>
  <si>
    <t>Developer of an online fintech platform designed to connect traditional banking operations with financial technology innovations. The company's platform examines the bank's needs and sets them up with a FinTech firm that is suited to meet the needs required while managing the relationship from the back-end platform and deals with regulatory compliance issues, enabling regional and community banks to go digital and manage their banking partnerships.</t>
  </si>
  <si>
    <t>1st &amp; Main Growth Partners, Aaron Schildkrout, Alexa von Tobel, Cap Table Coalition, Colin Luce, Diagram Ventures, Evolution (Venture Capital), Fin Capital, Fintech Next, Gaingels, Henry Ward, Lightspeed Venture Partners, Mana Ventures, MasterCard, Max Levchin, Midland States Bancorp, NAventures, Nevcaut Ventures, Neythri Futures Fund, Nuno Sebastiao, Omri Dahan, Pareto Holdings, Plexo Capital, Portage, SciFi VC, Scribble Ventures, Stephen Hays, SV Pacific Ventures, Timothy Sheehan, Tom Williams, Trajectory Capital, True Equity, Zachary Perret</t>
  </si>
  <si>
    <t>www.synctera.com</t>
  </si>
  <si>
    <t>176822-38</t>
  </si>
  <si>
    <t>Autobooks</t>
  </si>
  <si>
    <t>E-Commerce, FinTech, SaaS</t>
  </si>
  <si>
    <t>Debt - Acquisition</t>
  </si>
  <si>
    <t>Operator of a small business banking platform intended to make payments online, manage cash flow, and automate accounting. The company's platform allows financial institutions to provide essential back-office services, enabling small businesses to understand their existing digital banking channels.</t>
  </si>
  <si>
    <t>Baird Capital, Commerce Ventures, CU Solutions Group, Detroit Venture Partners, Draper Triangle Ventures, Highway Ventures, Invest Detroit Ventures, Invest Michigan, Macquarie Group, MissionOG, Plug and Play Tech Center, Renaissance Venture Capital, Rock Ventures (Detroit), TD Bank (USA)</t>
  </si>
  <si>
    <t>www.autobooks.co</t>
  </si>
  <si>
    <t>90946-63</t>
  </si>
  <si>
    <t>Patriot Software</t>
  </si>
  <si>
    <t>Developer of a software-as-a-service accounting and payroll platform designed to serve businesses and their accountants. The company's software offers accounting and payroll software, along with add-ons for time and attendance and human resources, enabling customers to switch between cash-basis and accrual accounting with its patented dual ledger accounting system.</t>
  </si>
  <si>
    <t>Encourage, RZC Investments</t>
  </si>
  <si>
    <t>www.patriotsoftware.com</t>
  </si>
  <si>
    <t>303544-72</t>
  </si>
  <si>
    <t>Easebuzz</t>
  </si>
  <si>
    <t>Developer of a payment platform designed to accept, process, and disburse payments. The company's platform helps manage end-to-end financial operations around digital payment collections, payment disbursals, connected banking, split payments, automated reconciliation, vendor payments, sub-merchant management, and refund management, enabling businesses to digitize payments.</t>
  </si>
  <si>
    <t>8i Ventures, Amrish Rau, Bessemer Venture Partners, JioGenNext, Jitendra Gupta, Kochi Holdings, Symbiosis Center for Entrepreneurship and Innovation, The Finger Group, Varanium Capital Advisors, Washing Pond Ventures</t>
  </si>
  <si>
    <t>www.easebuzz.in</t>
  </si>
  <si>
    <t>496588-78</t>
  </si>
  <si>
    <t>EDGE Markets</t>
  </si>
  <si>
    <t>Developer of a financial platform designed for sports bettors and gaming participants. The company provides an FDIC-insured checking account and debit card that allows to manage betting funds separately from personal finances, make deposits and withdrawals, earn cashback rewards on eligible gaming transactions, and set spending controls, enabling users to access gaming-related funds and manage bankrolls through a dedicated financial account.</t>
  </si>
  <si>
    <t>Bullpen Capital, CoinFund, Impulsum Ventures, Impulsum Ventures (Medellin), Indicator Ventures, Mantis VC, StepStone Group, SuRo Capital</t>
  </si>
  <si>
    <t>www.edgeboost.io</t>
  </si>
  <si>
    <t>51539-05</t>
  </si>
  <si>
    <t>Aria Systems</t>
  </si>
  <si>
    <t>Developer of an artificial intelligence-based billing automation platform intended to designed to handle usage and subscription business models. The company's platform offers marketing intelligence tools, customer lifecycle management services, and manages all order-to-cash processes, offering a wide range of monetization models, supports adaptive products, account hierarchies, rating, and credit management, enabling as-a-service businesses to lower the cost to serve.</t>
  </si>
  <si>
    <t>Aspenwood Ventures, Dell Technologies Capital, Goldman Sachs Asset Management, Rembrandt Venture Partners</t>
  </si>
  <si>
    <t>www.ariasystems.com</t>
  </si>
  <si>
    <t>268522-57</t>
  </si>
  <si>
    <t>Method Financial</t>
  </si>
  <si>
    <t>Developer of a loan management application designed to simplify, accelerate, and make debt repayment more secure. The company's loan management application manages, plans, and empowers real-time data and payment access for consumer liabilities, it also allows lenders, fintech, and financial institutions to build personalized lending and financial management experiences supported by comprehensive real-time credit data, evergreen connections, and integrated payment rails, enabling users to securely connect all of a user's liabilities and retrieve comprehensive data.</t>
  </si>
  <si>
    <t>Abstract Ventures, Alan Rutledge, Alumni Ventures, Andreessen Horowitz, Ardent Venture Partners, Avra, Bessemer Venture Partners, Cameron Ventures, Emergence Equity Management, Hack VC, Hacklegacy, Leonis Capital, LiveOak Ventures, Runa Capital, Samsung NEXT Ventures, Socially Financed, SV Angel, Truist Ventures, Upstart Ventures, Y Combinator, Yahya Mokhtarzada</t>
  </si>
  <si>
    <t>www.methodfi.com</t>
  </si>
  <si>
    <t>332294-50</t>
  </si>
  <si>
    <t>Kafene</t>
  </si>
  <si>
    <t>Developer of a payment partner and underwriting technology platform designed to offer flexible purchase options for consumers across the full credit spectrum. The company's platform utilizes data inputs in tandem with artificial intelligence and machine learning technologies to underwrite, approve, and enable payments in a near-instantaneous manner through a payment partnership, enabling clients to get access to the digital web and app-based payment processing, servicing, and underwriting services.</t>
  </si>
  <si>
    <t>10X Capital, Andrew Wilkinson, Astir Ventures, Benim Capital, Bossa Invest, Company Ventures, FJ Labs, Flucas Ventures, Founders First, Gaingels, Global Founders Capital, Herman Capital Management, Hermann Capital, Makai VC, Mancora Ventures, Mango.vc, Realm Capital Ventures, Republic Capital Adviser, Stradford Venture Partners, Third Prime, T-Life Capital, Trajectory Ventures, Trinity Capital (Phoenix), Uncorrelated Ventures, Upper90 Capital Management, Valar Ventures, Xffirmers</t>
  </si>
  <si>
    <t>www.kafene.com</t>
  </si>
  <si>
    <t>230718-52</t>
  </si>
  <si>
    <t>Hummingbird</t>
  </si>
  <si>
    <t>Artificial Intelligence &amp; Machine Learning, FinTech, Industrials, Legal Tech, SaaS</t>
  </si>
  <si>
    <t>Developer of a compliance platform designed to streamline anti-money laundering and counter-terrorist financing investigations. The company's platform offers case management tools, automated reporting, data integration, and collaboration features, enabling compliance professionals, law enforcement agents, and financial institutions to reduce manual workload, accelerate investigations, and strengthen oversight against financial crime.</t>
  </si>
  <si>
    <t>Battery Ventures, Designer Fund, Fin Capital, Flourish Ventures, Homebrew Management, Jon Zieger, Lachy Groom, TTV Capital, William Hockey</t>
  </si>
  <si>
    <t>www.hummingbird.co</t>
  </si>
  <si>
    <t>459072-73</t>
  </si>
  <si>
    <t>Perenna</t>
  </si>
  <si>
    <t>Provider of flexible mortgages intended to generate fair and flexible financing options for individuals. The company's platform provides fixed-rate mortgages providing full payment certainty and functions differently from traditional mortgage lenders, enabling borrowers to afford a home without worrying about refinancing or a rise in interest rates.</t>
  </si>
  <si>
    <t>Anthony Mallin, Casper Arboll, IAG Capital Partners, Kevin Flaherty, Ranger Investment Management, Silverstripe Investment Management, The Carbon Trust</t>
  </si>
  <si>
    <t>www.perenna.com</t>
  </si>
  <si>
    <t>314961-85</t>
  </si>
  <si>
    <t>Cardless</t>
  </si>
  <si>
    <t>Developer of a credit card services platform intended to connect customers and brands on one platform. The company's platform offers an application that assists users in tracking purchases, making payments, and selecting rewards while permitting brands to reward loyal customers and fans with reward points in the form of experiences, merchandise, and exclusive offers, enabling clients to manage their financial accounts.</t>
  </si>
  <si>
    <t>Accomplice VC, Activant Capital, American Express, AMEX Ventures, Andrew Dunn, Andrew Vigneault, Assurant, Assurant Ventures, Boston Celtics, Brian Kelly, Clocktower Ventures, Commerce Ventures, Daniel Kennedy, Derive Ventures, Drive by DraftKings, Flexcap Ventures, Gateway X (Saint Louis), Great Oaks Venture Capital, Greycroft, HNVR Technology Investment Management, Industry Ventures, Jack Groetzinger, Khaled Helioui, Mischief, Nathaniel Turner, Operator Stack, Pear (California), Phoenix Suns, Ryan Graves, Saltwater Capital, Simon Ventures, Spark Capital, Team Ignite Ventures, Tribe Capital, TriplePoint Capital</t>
  </si>
  <si>
    <t>www.cardless.com</t>
  </si>
  <si>
    <t>113905-09</t>
  </si>
  <si>
    <t>ProducePay</t>
  </si>
  <si>
    <t>Artificial Intelligence &amp; Machine Learning, FinTech, Supply Chain Tech</t>
  </si>
  <si>
    <t>Developer of an agribusiness financing and trading platform intended to help fresh produce companies access capital and manage seasonal cash flow needs. The company provides specialized pre-season working capital and quick-pay financing that converts produce shipments into immediate cash, equipping forward-thinking agribusinesses and participants in the fresh produce industry with tools to invest, expand, and plan, enabling growers, distributors, and other produce market participants to operate more efficiently and support business growth.</t>
  </si>
  <si>
    <t>500 Global, Anterra Capital, Astanor, Avenue Capital Group, Avenue Sustainable Solution, Build Collective, CF Private Equity, Commonfund, DYDX, Endeavor8, Finistere Ventures, FJ Labs, G2 Venture Partners, GHC Partners, GPS Investment Partners, Highgate Capital Partners, IDB Invest, IGNIA, International Finance Corporation, Makai VC, Mayhaw Capital, Moonshots Capital, Neuberger Berman Group, Outpost Ventures, Rabo Corporate Venturing, Radius Capital Partners, Red Bear Angels, Social Leverage, Stratos Technologies, Syngenta Group Ventures, Treville Capital Group, Tribeca Early Stage Partners, Vidavo Ventures, Wonder Ventures</t>
  </si>
  <si>
    <t>www.producepay.com</t>
  </si>
  <si>
    <t>100779-40</t>
  </si>
  <si>
    <t>Veem</t>
  </si>
  <si>
    <t>Operator of a global payment network intended to transform the financial payment system. The company's network sends and receives payments in local currency in a frictionless manner by using the blockchain as a new settlement rail, improving the costly and outdated payment industry by building a new user-focused financial ecosystem that services businesses globally, enabling users to securely pay and get paid from their business partners all over the world.</t>
  </si>
  <si>
    <t>AB Ventures, Alumni Ventures, Bay hill Capital Management, DASH Ventures, Domtar., Global Forward Capital Management, Golden Vision Capital, Goldman Sachs Growth Equity, GrayArch Partners, GV, Hercules Capital (San Mateo), Kleiner Perkins, MUFG Innovation Partners, Myer Family Investments, National Australia Bank, Nyca Partners, Pantera Capital, Pegasus Tech Ventures, Pivot Investment Partners, Repay Holdings, SBI Investment, Sixty Degree Capital, SVB Financial Group, Truist Ventures</t>
  </si>
  <si>
    <t>www.veem.com</t>
  </si>
  <si>
    <t>471925-36</t>
  </si>
  <si>
    <t>Shares</t>
  </si>
  <si>
    <t>Developer of an investment application designed to make investing in shares a social activity. The company's platform is a consumer mobile application and social-first platform for retail investors, designed with user experience and community in mind, giving no-minimum, no-fee access to various stocks where new investors can network and learn from friends and experts as a community, enabling investors to discuss investments and make investments hassle-free.</t>
  </si>
  <si>
    <t>André Mohamed, Chris Adelsbach, Expansion Capital, Global Founders Capital, Grow London, La French Tech, Peter Thiel, Red Sea Ventures, Rocket Internet Capital Partners, Ryan McKillen, Serena Williams, Singular., Valar Ventures, Venus Williams, YADAY</t>
  </si>
  <si>
    <t>www.shares.io</t>
  </si>
  <si>
    <t>113406-58</t>
  </si>
  <si>
    <t>RoadSync</t>
  </si>
  <si>
    <t>Developer of a digital financial platform designed to automate routine business expenses. The company's platform streamlines the logistics expense management for warehouses, freight handlers, and repair/tow merchants by allowing secure payment acceptance, enabling the logistics industry to deliver faster payments, better oversight, and more convenience for payers and their vendors.</t>
  </si>
  <si>
    <t>Advanced Technology Development Center, Bain Capital Ventures, Base10 Partners, BLH Venture Partners, Circadian Ventures, Clocktower Ventures, Companyon Ventures, Endeavor Catalyst, EQUIAM, Excelestar Ventures, Flashpoint, Flybridge (New York), Gaingels, Global Founders Capital, Gray Ventures, Hyde Park Venture Partners, Invariantes Fund, Matt Chanoff, Michael Cohn, Mike Dowdle, Partech, Steve Chamberlain, Teamworthy Group, Tekton Ventures, Tiger Global Management, Tyler Scriven, Victor Chiang, XFactor Ventures</t>
  </si>
  <si>
    <t>www.roadsync.com</t>
  </si>
  <si>
    <t>442698-04</t>
  </si>
  <si>
    <t>IVIX</t>
  </si>
  <si>
    <t>Operator of a shadow economy-combating platform intended to assist tax authorities in dealing with black market difficulties. The company's platform gathers and enriches publicly available business activity data to accurately identify businesses, their revenue and the taxpayer entity, enabling tax authorities to get complete and continuous visibility into the shadow economy.</t>
  </si>
  <si>
    <t>Cardumen Capital, Cerca Partners, Citi Ventures, Deloitte Launchpad, Disruptive AI, Insight Partners (New York), Kli Capital, Microsoft for Startups, O.G. Venture Partners, Team8, Thomas Glocer, ToDay Ventures, Vikram Pandit</t>
  </si>
  <si>
    <t>www.ivix.ai</t>
  </si>
  <si>
    <t>494812-54</t>
  </si>
  <si>
    <t>ModernFi</t>
  </si>
  <si>
    <t>Operator of a deposit management platform intended for banks and credit unions. The company's platform enables financial institutions to source deposits, sweep funds, and enhance depositor security while operating on a modern technology stack with a foundation of compliance, enabling institutions of all sizes to grow, retain, and manage their deposit base effectively.</t>
  </si>
  <si>
    <t>Andreessen Horowitz, Canapi Ventures, Curql, Entrepreneurs Roundtable Accelerator, First Horizon (Memphis), First Tennessee Bank, Huntington Bancshares, Intercontinental Exchange, MDC Partners, Next Level Ventures, Regions Financial, Remarkable Ventures, Royal Credit Union</t>
  </si>
  <si>
    <t>www.modernfi.com</t>
  </si>
  <si>
    <t>496683-55</t>
  </si>
  <si>
    <t>Vertice</t>
  </si>
  <si>
    <t>Developer of a spend optimization platform designed to help save on annual software expenditure. The company's platform allows companies of every size and industry to get more visibility and control of their software and cloud spending and leverages automation to deliver guaranteed cost savings, enabling companies to view, control, and save on both software as a service and cloud costs with an integrated unified offering.</t>
  </si>
  <si>
    <t>83North, Bastian Nominacher, Bessemer Venture Partners, CF Private Equity, Grow London, Juan Lobato, Lakestar, Omri Dahan, Perpetual Investors, Ronni Zehavi, Tech Nation Group, Thomas Ryan, Yuval Tal</t>
  </si>
  <si>
    <t>www.vertice.one</t>
  </si>
  <si>
    <t>431726-23</t>
  </si>
  <si>
    <t>Finverity</t>
  </si>
  <si>
    <t>Operator of a cross-border supply chain finance platform intended to close the funding gap in global trade finance. The company's platform connects companies needing working capital optimization and institutional investors seeking access to the alternative asset class through technology, enabling companies worldwide to access capital and efficiently allocate resources.</t>
  </si>
  <si>
    <t>Acrobator Ventures, B&amp;Y Venture Partners, Bas Godska, Blockchain Founders Fund, Full Circle Africa, Launch Africa Ventures, Loyal VC, NPK Capital, Outward Venture Capital, S16VC</t>
  </si>
  <si>
    <t>www.finverity.com</t>
  </si>
  <si>
    <t>60953-05</t>
  </si>
  <si>
    <t>TOKIUM</t>
  </si>
  <si>
    <t>Provider of a cloud-based financial workflow automation system designed for comprehensive expenditure and document processing. The company's platform offers a suite of functionalities, including automated data extraction from receipts and invoices, full paperless processing, compliance-ready electronic document storage, and centralized management of expenses and contracts, enabling businesses to reallocate personnel away from routine administrative duties and towards strategic operational functions.</t>
  </si>
  <si>
    <t>Axiom Asia Private Capital, Incubate Fund, Jafco, JIC Venture Growth Investments, KDDI Ventures Program, Nissay Capital, Relo Group, SMBC Venture Capital, TGVest Capital</t>
  </si>
  <si>
    <t>www.keihi.com</t>
  </si>
  <si>
    <t>493953-85</t>
  </si>
  <si>
    <t>Sparta</t>
  </si>
  <si>
    <t>Developer of a live trading insights platform designed to offer relevant and actionable data to oil traders. The company's platform utilizes machine learning and artificial intelligence to collect, process, and analyze actionable oil market price data, enabling oil traders to make informed trading decisions.</t>
  </si>
  <si>
    <t>FirstMark Capital, One Peak Partners, Singular.</t>
  </si>
  <si>
    <t>www.spartacommodities.com</t>
  </si>
  <si>
    <t>61293-25</t>
  </si>
  <si>
    <t>Billogram</t>
  </si>
  <si>
    <t>Developer of a digital invoicing and payment platform designed to streamline customer management, while improving the customer experience for companies. The company's platform helps to replace traditional invoices and also at the same time adds value to a new channel for personal communication, enabling clients to automate processes that reduce costs, increase revenue, and reduce churn.</t>
  </si>
  <si>
    <t>Accum Kapital, CNI (Stockholm), CoVest 2, Edastra Venture Capital, Inbox Capital, InsurTech Hub Munich, Joakim Dal, Kickstart Innovation, M2 Asset Management, Muller &amp; Monroe Asset Management, Partech, Peter Sjunnesson, Rutger Arnhult, Swisscom Ventures, Thord Wilkne, Wilgot (Stockholm)</t>
  </si>
  <si>
    <t>www.billogram.com</t>
  </si>
  <si>
    <t>164070-28</t>
  </si>
  <si>
    <t>Rupeek</t>
  </si>
  <si>
    <t>Developer of an asset-backed online lending platform designed to offer gold loans. The company's platform provides simplified and affordable gold loans with minimal paperwork and fast processing, where consumers can apply for loans by providing details, including identity and address proof, to get documents verified so that the money can be credited to the applicant's bank account, enabling consumers to process and disburse the loan within an hour.</t>
  </si>
  <si>
    <t>100Unicorns, 360 ONE, Accel, Bertelsmann India Investments, Better Capital (California), Binny Bansal, BlackSoil Capital, DST Global, Elevation Capital (India), Envision Asset Management, Gemini Investments (Holdings), JCurve, KB Financial Group, KB Investment, LC Ventures, Lee Fixel, Lightbox Ventures, Notable Capital, Peak XV Partners, ProfitBoard Ventures, Qi Ventures, SCI investments, Sequoia Capital, Sprint VC, Stride Ventures, Tanglin Venture Partners, Tracxn Labs, VEF, Venture Catalysts, ZNL Growth</t>
  </si>
  <si>
    <t>rupeek.com</t>
  </si>
  <si>
    <t>267757-75</t>
  </si>
  <si>
    <t>Velo Payments</t>
  </si>
  <si>
    <t>Developer of an online payment software designed to offer transparency, security, and control for mobile payments. The company's software can be integrated into legacy infrastructure where it reimagines how enterprise resource planning (ERP), bank, and new payment types can leverage reliable and rich data, enabling businesses to get a financial platform and optimize their payments.</t>
  </si>
  <si>
    <t>Empros Capital, NextStage Group, Redwire (Tallahassee), SVC Angel Fund, Western Technology Investment</t>
  </si>
  <si>
    <t>www.velopayments.com</t>
  </si>
  <si>
    <t>228583-90</t>
  </si>
  <si>
    <t>Athena (Consumer Finance)</t>
  </si>
  <si>
    <t>Operator of a digital home lending platform intended to enhance the home loan process by giving borrowers a faster, fairer, and more transparent experience. The company's platform offers digital application tools, automated rate matching, flexible loan features, and access to Australian-based loan experts, enabling homeowners, property buyers, refinancers, and investors to access transparent mortgage products with faster application processes, reduced fees, and greater control over their home loans.</t>
  </si>
  <si>
    <t>Airtree Ventures, AustralianSuper, Hostplus Superannuation Fund, Macquarie Bank, National Australian Bank Ventures, REA Group, Reinventure Group, Resimac Group, Rice Warner, Salesforce Ventures, Salta (Melbourne), Saniel Ventures, SecondQuarter Ventures, Square Peg Capital</t>
  </si>
  <si>
    <t>www.athena.com.au</t>
  </si>
  <si>
    <t>484614-10</t>
  </si>
  <si>
    <t>Savvy (New York)</t>
  </si>
  <si>
    <t>Developer of a wealth management platform designed to support personalized financial planning through advisor collaboration. The company's platform offers a wide range of financial planning services, including retirement planning, estate planning, tax strategy, alternative investments, direct indexing, and net worth tracking, enabling clients to manage finances with clarity and organization.</t>
  </si>
  <si>
    <t>A*, Allianz Life Ventures, Alumni Ventures, BoxGroup, Brewer Lane Ventures, Canvas Prime, Euclidean Capital, Global Founders Capital, Index Ventures, Industry Ventures, Jordan Park Group, Mark Casady, Operator Partners, Position Ventures, The House Fund, Thrive Capital, Vamsi Yadlapati, Vestigo Ventures</t>
  </si>
  <si>
    <t>www.savvywealth.com</t>
  </si>
  <si>
    <t>454502-53</t>
  </si>
  <si>
    <t>PactFi</t>
  </si>
  <si>
    <t>Developer of a fintech platform designed to transform the infrastructure on which the private asset market operates. The company offers a tool that eliminates redundancies and roadblocks and gets a detailed look through data at the click of a button to ensure the entire team works together with visibility, and advanced bank-level encryption, enabling private credit market players to scale operations, digitize data, and make business more liquid and secure.</t>
  </si>
  <si>
    <t>7RIDGE, Actyus, Caffeinated Capital, Dev Color, Fin Capital, Neotribe Ventures, Operator Partners, Vestigo Ventures, Watertower Ventures</t>
  </si>
  <si>
    <t>www.pactfi.com</t>
  </si>
  <si>
    <t>51165-19</t>
  </si>
  <si>
    <t>Stocktwits</t>
  </si>
  <si>
    <t>Developer of a social investing and trading information platform designed for researching and monitoring financial markets. The company's platform offers real-time quotes, and activity feeds across stocks, exchange-traded funds, and cryptocurrencies, social discussion streams, watchlist creation, portfolio tracking, sentiment indicators, curated lists of active and widely followed instruments, live shows, news and earnings-related content, enabling retail investors and active traders to follow market trends, gauge crowd sentiment and discover potential trading ideas.</t>
  </si>
  <si>
    <t>Alameda Research Ventures, BoxOne Ventures, ff Venture Capital, Foundry Group, IA Capital Partners, IA Ventures, Integrity Capital Group, MATH Venture Partners, PEAK6 Strategic Capital, Renn Ventures, Social Leverage, Tadas Viskanta, Times Bridge, True Ventures</t>
  </si>
  <si>
    <t>www.stocktwits.com</t>
  </si>
  <si>
    <t>439818-94</t>
  </si>
  <si>
    <t>Endrix</t>
  </si>
  <si>
    <t>Legal Tech</t>
  </si>
  <si>
    <t>Provider of financial services intended to help in managing the challenges of growth, management, responsibility, and performance of the organization. The company provides core expertise in financial, accounting, social, and legal management, enabling managers to create an environment favorable to the development and success of their projects, with a common ambition to secure, support, and inform decision-making.</t>
  </si>
  <si>
    <t>BNP Paribas Développement, Bpifrance, IK Partners</t>
  </si>
  <si>
    <t>www.endrix.com</t>
  </si>
  <si>
    <t>113685-31</t>
  </si>
  <si>
    <t>Workiz</t>
  </si>
  <si>
    <t>Developer of field service management software designed to offer management services to business owners. The company's software offers services like job scheduling, invoicing, reporting, and client management, enabling business owners to grow any field service business from landscaping to locksmiths and carpet cleaners with great features like scheduling, two-way notifications, cloud invoicing, and statistics.</t>
  </si>
  <si>
    <t>Aleph (Israel), G Squared, Google Accelerator, La Maison Partners, Lead Edge Capital, Magenta Venture Partners, Maor Investments, New Era Capital Partners, TMT Investments</t>
  </si>
  <si>
    <t>www.workiz.com</t>
  </si>
  <si>
    <t>436386-43</t>
  </si>
  <si>
    <t>Ele-Cloud</t>
  </si>
  <si>
    <t>Big Data, FinTech, InsurTech</t>
  </si>
  <si>
    <t>Developer and provider of digital tax services in China intended to transform invoice processes and digitalize the sector. The company's services includes a variety of intelligent business service products such as corporate invoices, taxation, expense reimbursement, digital finance, and big data value-added that provides businesses with a full set of tax solutions, enabling enterprises to satisfy its output invoice management, input invoice management, tax declaration management, electronic accounting files, tax risk management, tax preferential planning management and tax-related management as well as analyze other tax digital development needs.</t>
  </si>
  <si>
    <t>Aisino, Golden Education, Golden Technology, Guiyang Venture Capital, Hefei Hi-Tech VC, JD Digits, Jolimark Holdings, Nanhu Financial, Sanxia Xintai, Tsing-Yuan Capital, Wangluo Tianxia</t>
  </si>
  <si>
    <t>www.dxyun.com</t>
  </si>
  <si>
    <t>498091-33</t>
  </si>
  <si>
    <t>DPDzero</t>
  </si>
  <si>
    <t>Developer of a fintech platform designed to automate collections for all lenders. The company's platform helps to automate collections, analyze performance, and manage collection portfolios while offering features such as third-party payment integration, artificial intelligence-powered collection allocation, voice assistance, payment rewards and application programming interfaces, enabling fintech firms and NBFCs to automate end-to-end lending operations and focus on growth and not repayments and collections.</t>
  </si>
  <si>
    <t>Abhishek Kothari, Alphatron Capital, Astir Ventures, Better Capital (California), Blume Venture Advisors, GMO Venture Partners, India Quotient, Kunal Shah, Nikhil Kumar, Nishchay Ag, Ramanathan RV, Sinarmas Cepsa, SMBC Asia Rising Fund, Sunil Gulati, The Untitled Ventures, Untitled Ventures, Vijay Rajagopal</t>
  </si>
  <si>
    <t>www.dpdzero.com</t>
  </si>
  <si>
    <t>165913-03</t>
  </si>
  <si>
    <t>TerraPay Holdings</t>
  </si>
  <si>
    <t>Developer of cross-border mobile payment software designed to offer processing, clearing, and settlement services for mobile wallets. The company's software includes regulatory cover, technical integration, foreign exchange, and mobile-focused remittance services, enabling customers to send money quickly, safely, and affordably.</t>
  </si>
  <si>
    <t>International Finance Corporation, Partech, Prime Ventures, Symbiotics (Other Financial Services), U.S. International Development Finance Corporation, Visa</t>
  </si>
  <si>
    <t>www.terrapay.com</t>
  </si>
  <si>
    <t>327434-59</t>
  </si>
  <si>
    <t>Shuhe Tech</t>
  </si>
  <si>
    <t>Artificial Intelligence &amp; Machine Learning, Big Data, FinTech, Mobile, TMT</t>
  </si>
  <si>
    <t>Developer of a financial technology designed to help digital transformation for financial institutions. The company's platform uses financial technology to customize exclusive asset allocation solutions and wealth management services for customers, such as intelligent investment and credit card reimbursement services, enabling clients to efficiently manage their assets and wealth in an intelligent manner.</t>
  </si>
  <si>
    <t>Beijing Weimeng Innovation and Technology Venture Capital Management, China Cinda HK Holdings, Focus Media Information Technology, ZWC Partners</t>
  </si>
  <si>
    <t>www.shuhegroup.com</t>
  </si>
  <si>
    <t>436433-68</t>
  </si>
  <si>
    <t>Swan (Financial Software)</t>
  </si>
  <si>
    <t>Developer of an embedded finance platform designed to offer integration of banking services. The company's platform offers a complete toolkit to offer banking services like issuing wallets, cards, and international bank account numbers with a simple API using a few lines of code, enabling businesses to provide banking services and other organizations to build custom tools for their finance teams.</t>
  </si>
  <si>
    <t>Accel, Alderville Holding, Bpifrance, Bpifrance Digital Venture, Creandum, Eight Roads, Financière Saint James, Founders Future, Hexa, Kima Ventures, La French Tech, Lakestar, Techmind, The House of Finance and Tech Berlin</t>
  </si>
  <si>
    <t>www.swan.io</t>
  </si>
  <si>
    <t>338654-89</t>
  </si>
  <si>
    <t>Atomic (Salt Lake City)</t>
  </si>
  <si>
    <t>Developer of a digital financial platform designed to manage online payroll connectivity transactions. The company's platform allows users to connect their payroll account using their credentials, eliminating fraud and manual processes through multi-step verification, enabling employees and businesses to conduct secure banking transactions efficiently.</t>
  </si>
  <si>
    <t>ATX Venture Partners, Capital One Ventures, Citi Ventures, Core Innovation Capital, First National Bank (National Banks), FIS Fintech Accelerator, Greylock, Mercato Partners, Portage, Sagard, SoftBank Group, Start Path, The Venture Center</t>
  </si>
  <si>
    <t>www.atomic.financial</t>
  </si>
  <si>
    <t>54870-76</t>
  </si>
  <si>
    <t>Here (Enterprise Browser)</t>
  </si>
  <si>
    <t>SaaS</t>
  </si>
  <si>
    <t>Developer of an operating system designed to support the next generation of applications in the financial industry. The company offers a platform that runs web applications outside the browser, meets strict security and compliance standards, and eliminates the need for complex packaging and deployment, enabling financial institutions to deliver rapid, secure, and cost-effective application delivery.</t>
  </si>
  <si>
    <t>Alan Hofmeyr, Bain Capital Ventures, Bank of America, Barclays, Cambrian Associates, CME Ventures, CTC Venture Capital, David Brown, DRW Venture Capital, FinTech Innovation Lab, Grape Arbor VC, HSBC Ventures, ING Ventures, In-Q-Tel, J.P. Morgan, John McEvoy, JP Morgan Chase, NEX Opportunities, Nyagaka Ongeri, Nyca Partners, Pivot Investment Partners, SC Ventures, Standard Chartered, Thomas Glocer, Tribeca Early Stage Partners, TriplePoint Capital, VentureCrush, Wells Fargo Strategic Capital, Zohar Hod</t>
  </si>
  <si>
    <t>www.here.io</t>
  </si>
  <si>
    <t>439477-57</t>
  </si>
  <si>
    <t>Forage</t>
  </si>
  <si>
    <t>Developer of a financial platform designed to improve the efficiency of government subsidies. The company's platform offers electronic benefit transfer payment processing, application programming interface integration, payment authentication, merchant onboarding, fraud protection, transaction analytics, and compliance management tools, enabling digital commerce businesses to accept government benefit payments, expand customer access, and simplify payment operations.</t>
  </si>
  <si>
    <t>Activant Capital, Apoorva Mehta, Envision Accelerator, Equal Opportunity Ventures, F7 Ventures, FIS Fintech Accelerator, FJ Labs, Hustle Fund, Intuit Ventures, Long Journey Ventures, Miles Lasater, Mouro Capital, Mucker Capital, Necessary Ventures, Nextladder Ventures, Nyca Partners, PayPal Ventures, Pivotal Ventures, PROOF, Purpose Built Ventures, Solo Holdings, Sprint VC, The Venture Center, Vaidya Capital Partners, Y Combinator</t>
  </si>
  <si>
    <t>www.joinforage.com</t>
  </si>
  <si>
    <t>231234-49</t>
  </si>
  <si>
    <t>Archax</t>
  </si>
  <si>
    <t>Operator of a digital securities exchange platform designed to facilitate the trading of cryptocurrencies or digital assets. The company's platform offers a credible bridge between the new blockchain-centric tech community and the traditional investment space and empowers institutions with trading in safe digital assets with other known participants in a jurisdiction that they desire, enabling institutions to trade in cryptocurrencies and all other digital assets.</t>
  </si>
  <si>
    <t>7percent Ventures, Aberdeen Investments (Scotland), Alphabit, Amnis Ventures, ARCH Venture Partners, Argonautic Ventures, Ausvic Capital, BitRock Capital (SG), Blue Bay Ventures, Bridgetower, CE Innovation Capital, Cell Rising Capital, CoinFund, COSIMO Digital, EDGE196, Engine (Accelerator), Fenbushi Capital, Fifth Era Blockchain Coinvestors Fund Manager, Hedera, Keiretsu Capital, Lingfeng Capital, QBN Capital, Sentinel Group Holdings (Chesterfield), SGH Capital, SPiCE VC, Stellar (Financial Software), Tezos, Wave Sync, XVC Tech</t>
  </si>
  <si>
    <t>www.archax.com</t>
  </si>
  <si>
    <t>184121-20</t>
  </si>
  <si>
    <t>Julo (Consumer Finance)</t>
  </si>
  <si>
    <t>Operator of a digital lending platform intended to provide unsecured personal loans to underbanked customers through a smartphone application. The company helps loan applicants complete the process by submitting pictures of personal documents and then receiving their loan within a day upon successful verification, enabling users to manage loans, due dates, and cashback bonuses with alerts and reminders.</t>
  </si>
  <si>
    <t>Accion, ACV Capital, Convergence Ventures, Credit Saison, East Ventures, Gobi Partners, Heyokha Brothers, MDI Ventures, Provident Capital Partners, Quona Capital, Saratoga Investama Sedaya, Skystar Capital, Sonic Metro Investments</t>
  </si>
  <si>
    <t>www.julo.co.id</t>
  </si>
  <si>
    <t>185283-37</t>
  </si>
  <si>
    <t>Axoni</t>
  </si>
  <si>
    <t>Developer of a distributed ledger software designed to integrate traditional financial technologies with blockchain currencies and transactions. The company's software offers market information, deep research of trends and a communication network and analysis platform, enabling investment funders, exchange operators and professional traders to re-platform their systems underpinning legal records, lifecycle events and cash flow calculations.</t>
  </si>
  <si>
    <t>Andreessen Horowitz, Bluff Point Associates, Citigroup, CME Ventures, Coatue Management, Communitas Capital Partners, DCVC, Deutsche Bank, Deutsche Bank Ventures, Digital Currency Group, Eight Roads, EJF Ventures, FinTech Collective, F-Prime Capital, Franklin Resources, Franklin Venture Partners, Goldman Sachs Growth Equity, Hard Yaka, HSBC Ventures, ICAP (voice and electronic interdealer broker), Intel Capital, J.P. Morgan, Joyce Shen, JP Morgan Chase, JPEL Private Equity, Laurion Capital Management, London Stock Exchange Group, Matt Sowton, NEX Opportunities, Nyca Partners, The Goldman Sachs Group, Thomas Glocer, Thomson Reuters, Trendec, UBS Group, Wells Fargo Strategic Capital, Y Combinator</t>
  </si>
  <si>
    <t>www.axoni.com</t>
  </si>
  <si>
    <t>343433-62</t>
  </si>
  <si>
    <t>PayZen</t>
  </si>
  <si>
    <t>Digital Health, FinTech, Mobile</t>
  </si>
  <si>
    <t>Developer of a healthcare payment platform designed to make medical bills affordable and accelerate cash flow at medical providers. The company's platform leverages artificial intelligence-powered risk tools to offer a plan each patient can afford, enabling clients to reduce the significant expense they spend to collect on collecting outstanding invoices.</t>
  </si>
  <si>
    <t>7wire Ventures, Bloodhound Partners, Colchis Capital Management, Link Ventures, Lorimer Ventures, New Enterprise Associates, Next Play Ventures, Phin Upham, Picus Capital, SignalFire, Viola Ventures</t>
  </si>
  <si>
    <t>www.payzen.com</t>
  </si>
  <si>
    <t>442860-58</t>
  </si>
  <si>
    <t>Rialtic</t>
  </si>
  <si>
    <t>FinTech, HealthTech, SaaS</t>
  </si>
  <si>
    <t>Developer of a modern healthcare payment accuracy platform designed to make healthcare more efficient. The company's platform facilitates a reference source repository, curated content, and payment accuracy technology, enabling payers to improve payment accuracy, contain healthcare costs, and regain control of their claims accuracy process.</t>
  </si>
  <si>
    <t>Cox Enterprises, F-Prime Capital, Health Velocity Capital, Noro-Moseley Partners, Oak HC/FT, Socium Ventures, UPMC Enterprises</t>
  </si>
  <si>
    <t>www.rialtic.io</t>
  </si>
  <si>
    <t>481336-39</t>
  </si>
  <si>
    <t>Slope</t>
  </si>
  <si>
    <t>Artificial Intelligence &amp; Machine Learning, B2B Payments, Big Data, FinTech</t>
  </si>
  <si>
    <t>Developer of a financial platform designed to offer diverse payment options for businesses. The company's platform accepts credit cards, generates invoice links, and handles the lending, underwriting, debt collection, and payout once the product or service has been shipped and allows technical teams to integrate into their framework, enabling businesses to improve their cash flow and financial security, reduce administrative burdens, and provide a better overall customer experience.</t>
  </si>
  <si>
    <t>Across Capital Partners, Adyen, Affirm, Alex Bouaziz, Arash Ferdowsi, Astir Ventures, Avra, Basis Set Ventures, Brex, Browder Capital, Caffeinated Capital, CapitalX, Checkout.com, Circle Ventures (Boston), Deel, Depth Ventures, DoorDash, Dropbox, Eric Wu, Faire, FJ Labs, Fjor (US), Global Founders Capital, Hacklegacy, J.P. Morgan, Jack Altman, Kenneth Stone, Mathilde Collin, Mercury Technologies, Michael Tannenbaum, Mischief, Monashees, MPG Fund, Notable Capital, OpenAI, Opendoor Technologies, Pilot, Plaid, Rainfall Ventures, Rappi, Rogue Capital, Rujul Zaparde, Saga Ventures, Samuel Altman, Slope (Los Angeles), Soma Capital, Spectra Investments, Stanley Tang, Tiger Global Management, Trinity Capital (Phoenix), Union Square Ventures, Unity Software, William Hockey, Y Combinator</t>
  </si>
  <si>
    <t>www.slopepay.com</t>
  </si>
  <si>
    <t>171813-52</t>
  </si>
  <si>
    <t>InDebted</t>
  </si>
  <si>
    <t>Developer of a consumer debt recovery platform intended to provide better results and more engaged, financially fit, and loyal customers. The company's platform leverages machine learning to understand consumer preferences for servicing overdue accounts and provides application programming interfaces to link to customer account systems, enabling small and medium businesses to get flexible payment options.</t>
  </si>
  <si>
    <t>Airtree Ventures, Australian Retirement Trust, Carthona Capital, Craig Carroll, Crane Venture Partners, Gregory Waldorf, Jason Lenga, Kara Frederick, Lachlan Heussler, MassMutual Ventures, Michael Zimmerman, Microsoft for Startups, OneVentures, PCP, Perennial Partners, Reinventure Group, SecondQuarter Ventures, Tech Labs Capital, Xilium Capital</t>
  </si>
  <si>
    <t>www.indebted.co</t>
  </si>
  <si>
    <t>534759-13</t>
  </si>
  <si>
    <t>Black Ore</t>
  </si>
  <si>
    <t>Developer of a tax preparation platform intended to automate complex tax returns quickly and accurately. The company's platform utilizes artificial intelligence to offer end-to-end tax preparation automation for certified public accountants (CPAs) and tax firms, enabling customers to focus on advising their clients and growing their practice.</t>
  </si>
  <si>
    <t>AICPA and CPA.com Startup Accelerator, Andreessen Horowitz, Audacious Ventures, Founders Fund, General Catalyst, Gokul Rajaram, Hawktail, Jason Gardner, Khosla Ventures, LionBird, Mark Britto, Max Levchin, Oak HC/FT, SciFi VC, SV Angel, Thomas Glocer, Trust Ventures, Vikram Pandit, Zeal Talent Ventures</t>
  </si>
  <si>
    <t>www.blackore.ai</t>
  </si>
  <si>
    <t>166767-94</t>
  </si>
  <si>
    <t>Bosonic (Financial Software)</t>
  </si>
  <si>
    <t>Developer of a blockchain-based forex trading platform designed to eliminate counterparty credit and settlement risk in digital asset markets. The company's platform assists market participants in trading with cryptographic digitization of collateral, cross-custodian trading, and payment transactions, and cross-margining, trade netting, clearing, and settlement automation, enabling institutional investors and credit rating agencies to create blockchain ledgers, tokenize and manage client collateral and net settlement movements, and facilitating infrastructure that's reshaping the future of digital asset markets.</t>
  </si>
  <si>
    <t>www.bosonic.digital</t>
  </si>
  <si>
    <t>375610-78</t>
  </si>
  <si>
    <t>Cube (New York)</t>
  </si>
  <si>
    <t>Developer of a finance platform designed to offer financial planning and consultancy. The company's platform offers cloud reporting from the client's spreadsheet along with pivot technology, source data integration, data security and audit trail, enabling businesses to save time, reduce errors and improve intelligence by merging their existing spreadsheets and source systems into a central data and analytics hub.</t>
  </si>
  <si>
    <t>Adrian Kunzle, Alumni Ventures, Basecamp Fund, Battery Ventures, Bonfire Ventures, Brett Queener, Clocktower Ventures, Everywhere Ventures, GTMfund, Kevin Moore, Mayfield Fund, Operator Collective, PLG Ventures, Techstars</t>
  </si>
  <si>
    <t>www.cubesoftware.com</t>
  </si>
  <si>
    <t>153141-40</t>
  </si>
  <si>
    <t>KaiStart</t>
  </si>
  <si>
    <t>E-Commerce, FinTech, SaaS, TMT</t>
  </si>
  <si>
    <t>Provider of a lifestyle projects crowdfunding platform created to offer crowdfunding services including films, books, and small business ideas.
The company's social media platform allows to create short-term fundraising campaigns for specific projects.</t>
  </si>
  <si>
    <t>Certain Capital, Daocin Capital, Jiusui Capital, Kunlun Technology, Meridian Capital China, MPC (Beijing), Qingcong Capital, Tipping Point Capital, Tunlan Investment, Vision Plus Capital, Yingdong Capital, Yunfeng Capital, Zhejiang Wenchuang Group</t>
  </si>
  <si>
    <t>www.kaishiba.com</t>
  </si>
  <si>
    <t>537136-84</t>
  </si>
  <si>
    <t>OnerWay</t>
  </si>
  <si>
    <t>Developer of a global payment platform designed for cross-border e-commerce and digital transactions. The company offers a modern infrastructure that is directly connected to bank card networks and local payment methods worldwide, enabling merchants with compliant, safe, and convenient cross-border payments.</t>
  </si>
  <si>
    <t>Eminence Ventures, Enlight Growth Partners, GF Xinde Investment Management, Lanchi Ventures, Yunqi Partners, Zhejiang Oriental Financial Holding Group</t>
  </si>
  <si>
    <t>www.onerway.com</t>
  </si>
  <si>
    <t>535247-92</t>
  </si>
  <si>
    <t>Sahi</t>
  </si>
  <si>
    <t>Developer of an online trading platform designed to provide stable and efficient trade execution for active traders. The company's platform features advanced charting tools, customizable interfaces, and real-time market data, enabling professional and retail traders to maintain control and improve trading performance in dynamic financial markets.</t>
  </si>
  <si>
    <t>Accel, Elevation Capital (India)</t>
  </si>
  <si>
    <t>www.aaritya.com</t>
  </si>
  <si>
    <t>442827-19</t>
  </si>
  <si>
    <t>Silverflow</t>
  </si>
  <si>
    <t>Developer of a cloud-based payments platform designed to provide direct card-network access to payment service providers. The company provides card-acquiring processing as a service coupled with smart data and real-time insight into transaction fees through basic application programming interfaces and streamlined data flow, enabling payment providers, merchants, and acquirers to attain agility, transparency, and security in global payment operations.</t>
  </si>
  <si>
    <t>Coatue Management, Crane Venture Partners, DeBa Ventures, Global PayTech Ventures, Gokul Rajaram, Inkef, Jason Gardner, Kailuana, Marcus Mosen, Picus Capital, Rabo Investments</t>
  </si>
  <si>
    <t>www.silverflow.com</t>
  </si>
  <si>
    <t>65236-42</t>
  </si>
  <si>
    <t>TipRanks</t>
  </si>
  <si>
    <t>Developer of a financial accountability-based platform intended to provide analyses and ratings for the world's major stock markets. The company's platform provides a financial accountability engine that ranks financial advice published online to assess the accuracy and credibility of analysts, enabling private investors and day traders to see the measured performance of anyone who provides financial advice.</t>
  </si>
  <si>
    <t>www.tipranks.com</t>
  </si>
  <si>
    <t>336604-06</t>
  </si>
  <si>
    <t>Pollinate</t>
  </si>
  <si>
    <t>Developer of a cloud-based banking platform designed to improve payments and data technology. The company's platform improves merchant and consumer digital experiences including onboarding, portals, digital tools and data integrations, and loyalty programs, enabling merchants to effectively manage their businesses with digital tools and data integrations, and grow their businesses by connecting with their consumers.</t>
  </si>
  <si>
    <t>Canadian Imperial Bank of Commerce, CIBC Capital Partners, EFM Asset Management, Fiserv, Insight Partners (New York), MasterCard, Motive Partners, National Australia Bank, National Westminster Bank, NatWest Group, Trivago, X (Social/Platform Software)</t>
  </si>
  <si>
    <t>www.pollinate.global</t>
  </si>
  <si>
    <t>495598-42</t>
  </si>
  <si>
    <t>NORBr</t>
  </si>
  <si>
    <t>Developer of a payment routing platform designed to manage transactions between multiple parties and across different geographies. The company's platform allows one to easily connect with any payment provider globally and optimizes processing by directing it through the most suitable provider, enabling businesses to elevate their infrastructure, streamline integration, and improve fund transfers.</t>
  </si>
  <si>
    <t>ALSTIN Capital, Jibe Ventures, Portfolion</t>
  </si>
  <si>
    <t>www.norbr.com</t>
  </si>
  <si>
    <t>491298-67</t>
  </si>
  <si>
    <t>Trace Finance</t>
  </si>
  <si>
    <t>Developer of a financial technology platform designed to streamline local and international payments for businesses. The company's platform offers APIs for payments and foreign exchange, multi-currency accounts, and paralegal support for regulatory compliance, enabling fintech's, e-commerce companies, and global enterprises to manage cross-border transactions securely, efficiently, and without operational barriers.</t>
  </si>
  <si>
    <t>3cubed Ventures, Anatoly Yakovenko, Bam Azizi, BlockFi, Chainlink Labs, Circle Ventures, Clocktower Ventures, Coinbase Ventures, CoinFund, FJ Labs, Haun Ventures Management, HOF Capital, Jump Crypto, Kadan Capital, Magic Fund, Mantis VC, Marcelo Sampaio, Mercado Bitcoin, Miguel Fernández-Lapique, Nordstar Partners, Oliver Jung, Paxos, Polymorphic Capital, Ricardo Marino, Sean Neville, SNZ Holding, Stellar (Financial Software), The Chainsmokers, Valor Capital Partners</t>
  </si>
  <si>
    <t>www.tracefinance.com</t>
  </si>
  <si>
    <t>484738-75</t>
  </si>
  <si>
    <t>April (Accounting, Audit and Tax Services (B2B))</t>
  </si>
  <si>
    <t>Developer of a tax filing platform designed to assist taxpayers in filing their income and deductions. The company's platform specializes in optimizing refunds, automating tax engines and providing tax services tailored to personal situations, enabling taxpayers with a user-friendly method to file their taxes.</t>
  </si>
  <si>
    <t>Atento Capital, Eli Broverman, Euclidean Capital, iAngels, Industry Ventures, Jeffrey Cruttenden, Lowell Putnam, Nyca Partners, QED Investors, Ronen Assia, Shai Wininger, Shay Wininger, Team8, Transpose Platform Management, Treasury (New York)</t>
  </si>
  <si>
    <t>www.getapril.com</t>
  </si>
  <si>
    <t>518515-30</t>
  </si>
  <si>
    <t>Architect</t>
  </si>
  <si>
    <t>Developer of a financial trading platform designed to offer trading of global futures, options and digital assets. The company's platform offers an institutional-grade infrastructure for trading across various digital asset classes, enabling traders to gain exposure to international markets.</t>
  </si>
  <si>
    <t>A.Capital Ventures, Anthony Scaramucci, ARK Investment Management, ARK Ventures (US), Auros Ventures, Circle Ventures, CMT Digital Holdings, Coinbase Ventures, Cyber.Fund, Galaxy Ventures, Geneva Trading, Miami International Holdings, Motivate Venture Capital, P2P, ParaFi Capital, Salt Funds Management, Shari Glazer, Solari Capital, Strobe Ventures, SV Angel, Third Kind Venture Capital, Tioga Capital, Trumid, Twelve Below, VanEck</t>
  </si>
  <si>
    <t>www.architect.co</t>
  </si>
  <si>
    <t>265155-85</t>
  </si>
  <si>
    <t>Argyle</t>
  </si>
  <si>
    <t>FinTech, Mortgage Tech</t>
  </si>
  <si>
    <t>Developer of a payroll connectivity platform designed to provide direct-source, consumer-permissioned income and employment verifications. The company offers secure and reliable access to real-time datasets from consumers' payroll accounts, enabling service providers in industries such as mortgage, personal lending, tenant screening, and the gig economy to automate verification workflows, reduce fraud and compliance risks, and lower costs.</t>
  </si>
  <si>
    <t>Bain Capital Ventures, Bedrock (Financial Services), Checkr, Correlation Ventures, Esalen Ventures, F-Prime Capital, Gaingels, Jeremy Phillips, Mana Ventures, MasterCard, Operator Partners, Out of Beta, Rockefeller Capital Management, SignalFire, Socially Financed, Socii Capital, Stonewater Ventures, Zachary Weinberg</t>
  </si>
  <si>
    <t>www.argyle.com</t>
  </si>
  <si>
    <t>465778-18</t>
  </si>
  <si>
    <t>Stavtar</t>
  </si>
  <si>
    <t>Developer of finance and business management software designed to provide task management for international financial firms and small start-ups. The company's software offers insights into vendors, contracts, services, expense-approval workflows, and allocations across funds, strategies, departments, and employees, and helps manage, monitor, and document scheduled and ad hoc business workflows, enabling financial companies to complete back-office operations efficiently.</t>
  </si>
  <si>
    <t>Elephant Partners, Grow London</t>
  </si>
  <si>
    <t>www.stavtar.com</t>
  </si>
  <si>
    <t>54365-77</t>
  </si>
  <si>
    <t>BankBazaar</t>
  </si>
  <si>
    <t>Operator of an online banking marketplace designed to offer customized rate quotes on loans and insurance products. The company's platform helps to track free credit score tracking and in-depth personal finance content and comparison tools to compare and choose financial products such as loans, insurance, credit cards, and fixed deposits, enabling customers to find suitable financial products as per filtered preferences.</t>
  </si>
  <si>
    <t>Amazon.com, Eight Roads, Experian Ventures, GUS Holdings (Netherlands), Hindustan Media Ventures, Mousse Partners, Muthoot Fincorp, Peak XV Partners, VentureSoul Partners, Walden International, WestBridge Capital (San Mateo)</t>
  </si>
  <si>
    <t>www.bankbazaar.com</t>
  </si>
  <si>
    <t>234684-28</t>
  </si>
  <si>
    <t>Moneyhub</t>
  </si>
  <si>
    <t>Developer of an applied AI and data intelligence platform designed to help financial institutions deliver personalised financial journeys and improve customer outcomes. The company offers enriched transaction data, AI-driven categorisation, decisioning, analytics, and payment initiation services, enabling banks, pension providers, wealth managers, and insurers to understand and act on customer needs, improve financial wellbeing, reduce operational costs, and strengthen customer relationships.</t>
  </si>
  <si>
    <t>Legal &amp; General Group UK Pension and Assurance Fund, Lloyds Banking Group, NBS Ventures, SPWOne, Standard Life, Various Angels</t>
  </si>
  <si>
    <t>www.moneyhub.com</t>
  </si>
  <si>
    <t>340904-71</t>
  </si>
  <si>
    <t>Peach (Oakland)</t>
  </si>
  <si>
    <t>Developer of a cloud-native loan management and servicing software designed to launch, manage, and scale lending products. The company's platform is highly configurable, allowing lenders to customize workflows, borrower experiences, payment processing, compliance monitoring, collections, reporting, and customer servicing operations without building systems, enabling financial institutions to automate workflows, reduce manual operations, and customize lending experiences through configurable APIs and modular tools.</t>
  </si>
  <si>
    <t>www.peachfinance.com</t>
  </si>
  <si>
    <t>183397-87</t>
  </si>
  <si>
    <t>Vayana</t>
  </si>
  <si>
    <t>Operator of an online lending platform designed to offer working capital finance for small and medium enterprises. The company's platform connects corporates and their supply chain to financial institutions for easy, convenient, and low-cost access to trade financing, enabling small and medium businesses to avail short-term business loans to grow their business operations.</t>
  </si>
  <si>
    <t>British International Investment, CDC Group Investment, Chiratae Ventures, Deep Pool Financial Solutions, Emerald Media, GIFT International Fintech Innovation Hub, Housing Development Finance Corporation, Incubate Fund Asia, International Finance Corporation, Jungle Ventures, March Capital, Marshall Wace, PayU, Quantum-State Investment Fund, Reliance Industrial Investments and Holdings, SMBC Asia Rising Fund</t>
  </si>
  <si>
    <t>www.vayana.com</t>
  </si>
  <si>
    <t>178656-49</t>
  </si>
  <si>
    <t>Trovata</t>
  </si>
  <si>
    <t>Developer of a data-driven fintech platform designed to automate cash management. The company's platform uses open banking and enterprise resource planning integrations to automate data aggregation, normalization, and analysis, enabling companies to know how much cash they have, forecast, and manage cash flow with precision.</t>
  </si>
  <si>
    <t>Ayana Capital, Capital One Ventures, Fin Capital, FINTOP (US), JAM FINTOP, JP Morgan Chase, MasterCard, National Australian Bank Ventures, Pivot Investment Partners, State Street, TCA Venture Group, The PNC Financial Services Group, Wells Fargo Strategic Capital</t>
  </si>
  <si>
    <t>www.trovata.io</t>
  </si>
  <si>
    <t>168327-10</t>
  </si>
  <si>
    <t>Sharegain</t>
  </si>
  <si>
    <t>Developer of a business-to-business (B2B) global securities lending fintech platform designed to democratize securities lending and enhance revenue opportunities. The company's platform combines full control and transparency with minimal overheads or up-front costs, enabling online brokers, private banks, wealth managers, asset managers, and custodians to lend their stocks, bonds, and ETFs, and generate additional revenue for their own business and their clients.</t>
  </si>
  <si>
    <t>Blumberg Capital, Chris Adelsbach, Citigroup, EJF Ventures, Maverick Ventures Israel, Onboard Partners, Optiver, Rhodium, SixThirty Ventures, Steele Ventures, Target Global, WestCap (New York)</t>
  </si>
  <si>
    <t>www.sharegain.com</t>
  </si>
  <si>
    <t>483179-32</t>
  </si>
  <si>
    <t>Qingtian Quanshuitong</t>
  </si>
  <si>
    <t>B2B Payments, Big Data, FinTech, SaaS</t>
  </si>
  <si>
    <t>Developer of business accounting and corporate tax software for importers and exporters in China. The company focuses on simplifying the export tax rebate process and proving supply chain collaborative tax solutions and combines modern export tax rebate management concepts with information technology to analyze and apply export tax rebates, tax control invoices, tax declarations, etc., providing "export tax rebate + big data + Internet" integrated and digitalized solutions to enterprises.</t>
  </si>
  <si>
    <t>CICC Capital, Focus Technology Company, Jiangsu Xingnahe Investment Management Company, Shenzhen Guozhong Venture Capital Management, Shenzhen Investment Holdings</t>
  </si>
  <si>
    <t>www.chinackts.com</t>
  </si>
  <si>
    <t>56977-48</t>
  </si>
  <si>
    <t>TransferGo</t>
  </si>
  <si>
    <t>Developer of an online money transfer platform designed to assist in international transactions. The company's platform offers economical rates compared to banks and cash bureaus, with the same business day delivery feature on a guaranteed destination and amount, enabling users to streamline their financial operations.</t>
  </si>
  <si>
    <t>Anya Capital, Black River Ventures, Bootstrap Europe, Clive Kahn, Cmd + N, Deeptech Ventures, Dominik Dolenec, Donatas Keras, Emona Capital, Fifth Era Blockchain Coinvestors Fund Manager, Flashpoint Venture Capital Group, Hard Yaka, Mark Ransford, Marko Sjoblom, Nordic Secondary Fund, Olga Alekseeva, Pario Ventures, Practica Capital, Revo Capital, Richard Tudor, Seventure, Siena Secondary Fund, Smart Partnership Capital, SmartHub Boutique, Southern Power, SVB Financial Group, Taiwania Capital Management, VEF, Voria Fattahi, V-Tree Equities</t>
  </si>
  <si>
    <t>www.transfergo.com</t>
  </si>
  <si>
    <t>230751-28</t>
  </si>
  <si>
    <t>Justt (Financial Services)</t>
  </si>
  <si>
    <t>Developer of a chargeback mitigation platform designed to use automatic artificial intelligence technology in fighting illegitimate chargebacks on behalf of merchants. The company's platform is fully automated and has an intuitive user dashboard so that users can easily follow the statuses of all their chargebacks, enabling businesses to avail a plan in order to get back their lost chargeback funds.</t>
  </si>
  <si>
    <t>Citi Ventures, David Marcus, F2 Venture Capital, Gokul Rajaram, Jacqueline Reses, Mercer Ventures (New York), Oak HC/FT, Operator Stack, R-Squared Ventures, Selah Ventures, Tantauco Ventures, Team Ignite Ventures, Zeev Ventures</t>
  </si>
  <si>
    <t>www.justt.ai</t>
  </si>
  <si>
    <t>494016-58</t>
  </si>
  <si>
    <t>Crossmint</t>
  </si>
  <si>
    <t>Developer of a financial infrastructure platform designed to simplify stablecoin integration for businesses. The company offers digital wallets, payment on-ramp and off-ramp capabilities, stablecoin orchestration, unified application programming interface integration, and compliance management, enabling financial institutions, fintech companies, enterprises, and government organizations to adopt stablecoin-based financial operations with reduced technical complexity.</t>
  </si>
  <si>
    <t>6th Man Ventures, Abstract Ventures, Alchemy Ventures (California), Andrew Vigneault, Blizzard Avalanche Fund, Circle Internet Group, Commerce Ventures, Endeavor Catalyst, Exuberance Capital, Faction Ventures, First Round Capital, Flexcap Ventures, Franklin Resources, GMO Venture Partners, GSRV, Hacker Fellowship Zero, Hash3, Original Capital, Pathlight Ventures, Pear (California), Ribbit Capital, Sentinel Global, Shrug Capital, SportBoost, Start Path, Wayra</t>
  </si>
  <si>
    <t>www.crossmint.com</t>
  </si>
  <si>
    <t>166736-53</t>
  </si>
  <si>
    <t>Collectly</t>
  </si>
  <si>
    <t>Artificial Intelligence &amp; Machine Learning, HealthTech</t>
  </si>
  <si>
    <t>Developer of data-driven billing software designed to streamline patient billing and collections. The company's software uses artificial intelligence to make it easy for debtors to pay what they owe by paying online and setting up payment plans, enabling billing teams of medical groups, hospitals, and health systems to increase patient collections, reduce patient accounts receivable, and elevate patient billing experience.</t>
  </si>
  <si>
    <t>10H Capital, Alexey Alexanov, Athenahealth, Burst Capital, Cabra VC, Davidovs Venture Collective, Igor Shoifot, Invariantes Fund, S16VC, Sapphire Ventures, Starta Ventures, TMT Investments, Wayfinder Ventures, Western Technology Investment, WTI, Y Combinator</t>
  </si>
  <si>
    <t>www.collectly.co</t>
  </si>
  <si>
    <t>439128-73</t>
  </si>
  <si>
    <t>StockGro</t>
  </si>
  <si>
    <t>Artificial Intelligence &amp; Machine Learning, EdTech, FinTech, Mobile</t>
  </si>
  <si>
    <t>Developer of a social investment platform designed to help individuals learn stock market investing. The company offers virtual trading, strategy evaluation, copying features, and simulated rewards, enabling investors to practice trading and build skills without using real money.</t>
  </si>
  <si>
    <t>Abhishek Nag, Adeyemi Ajao, Ankush Gera, Ashish Gupta, Athena Capital (New York), Atrium Advisory, BAT VC, Bellerive Finance, BITKRAFT Ventures Management, Blue Wolf Capital Partners, Breadlake Ventures, CapitalSG, Creed Capital, Dholakia Ventures, Falnas Capital, Force Ventures (India), General Catalyst, Hindustan Media Ventures, Itai Tsiddon, Karthik Bhat, Knuru Capital, Kunal Shah, LGVP, LogX Ventures, LVX, Mark IV Capital, NB Ventures, Nitish Mittersain, Nurture Ventures, Param Capital, Patrick Grossman, Purple Seed Capital, Qi Ventures, Rahul Garg, Ramakant Sharma, Razor Capital (Dubai), Rise Capital, Root Ventures, Roots Ventures, SBI Investment, Shiva Nandi Ventures, SquareOne Capital, Tej Kapoor, U1 Technologies, Varun Laul, Velo Partners, VentureSouq, Vivekananda Hallekere, Witthers Khattarwong</t>
  </si>
  <si>
    <t>www.stockgro.club</t>
  </si>
  <si>
    <t>52623-91</t>
  </si>
  <si>
    <t>OneAssist</t>
  </si>
  <si>
    <t>Mobile, TMT</t>
  </si>
  <si>
    <t>Developer of consumer assistance platform designed to offer protection and repair for essential personal items. The company offers features such as protection for credit cards, smartphones, and payment cards in case of loss or theft and also provides theft and damage insurance protection, including doorstep pickup and delivery for device repairs, cashless transactions for eligible claims, and annual membership plans, hotel bill settlements, and assistance for lost passports, enabling individuals to manage their device-related concerns efficiently while minimizing repair costs and enhancing convenience.</t>
  </si>
  <si>
    <t>Arun Sarin, Assurant Ventures, Lightspeed India Partners, Moonstone Investments, Peak XV Partners, RSCO (New York), Sequoia Capital, Stride Ventures, Trifecta Capital</t>
  </si>
  <si>
    <t>www.oneassist.in</t>
  </si>
  <si>
    <t>482416-48</t>
  </si>
  <si>
    <t>Mondu</t>
  </si>
  <si>
    <t>Developer of a buy now and pay later platform designed to offer online checkouts. The company's platform offers multiple payment options, including multichannel, online, and embedded along with invoice factoring, application programming interface, plug-ins, and checkout widgets, enabling business-to-business merchants and marketplaces to improve working capital and increase conversion rates and sales.</t>
  </si>
  <si>
    <t>Badra Capital, Cherry Ventures, Discovery Ventures (Berlin), FinTech Collective, Klarna Group, SumUp, Valar Ventures, Zalando</t>
  </si>
  <si>
    <t>www.mondu.ai</t>
  </si>
  <si>
    <t>182899-45</t>
  </si>
  <si>
    <t>Validus Investment Holdings</t>
  </si>
  <si>
    <t>Developer of business finance platform designed to offer secured short-term and medium-term credit financing for small and medium enterprises based in Singapore. The company's online marketplace offers a peer-to-peer lending model that helps small and medium enterprises secure financing from accredited investors, using proprietary algorithmic assessment, and increases customers' productivity and cost savings, enabling businesses to easily get financial support also minimize the cost of financial intermediation.</t>
  </si>
  <si>
    <t>01F Group, ACV Capital, AddVentures by SCG, Aizawa Asset Management, Alpin Mehta, Ariake Japan, Arun Khanna, CapitalSG, Cathay Financial Holdings, Cathay Venture, Dawn Ee, Dinesh Khanna, Do Ventures, EAST ADVISORY, EDBI, Fasanara Capital, FMO Entrepreneurial Development Bank, Global Brain, James Pritchard, K3 Ventures, Khazanah Nasional, Lotte F&amp;L Singapore, Michael Drake, MTI Partners, NH Absolute Return Partners, Nish Shetty, NongHyup Financial Group, Openspace Capital, Rahul Gupta, Reazon Capital, Reazon Holdings, Sanjay Kapoor, SK Startup Fellowship, Space Ventures, The Norinchukin Bank, Umang Moondra, Vertex Growth, Vertex Ventures Southeast Asia &amp; India, VinaCapital Ventures</t>
  </si>
  <si>
    <t>www.validusgrp.com</t>
  </si>
  <si>
    <t>277732-09</t>
  </si>
  <si>
    <t>Wisetack</t>
  </si>
  <si>
    <t>Operator of an online payment platform intended to help in real-time consumer lending at the point of sale. The company's platform specializes in first checking the eligibility and based on that offers installment payments for the purchases through a simple integration, enabling businesses to grow sales and ensure a simple payment experience.</t>
  </si>
  <si>
    <t>AIP Asset Management (Korea), Alloy Labs, Bain Capital Ventures, Conversion Capital, Eagle Point Trinity Senior Secured Lending Company, FJ Labs, Greylock, Insight Partners (New York), Mana Ventures, NAventures, Oak HC/FT, Quadrille Capital, Trinity Capital (Phoenix), TriplePoint Capital, Ulu Ventures, Wikus Ventures</t>
  </si>
  <si>
    <t>www.wisetack.com</t>
  </si>
  <si>
    <t>343303-84</t>
  </si>
  <si>
    <t>iYell</t>
  </si>
  <si>
    <t>FinTech, Mortgage Tech, Real Estate Technology, SaaS</t>
  </si>
  <si>
    <t>Developer of a mortgage platform designed to facilitate mortgage analysis. The company's platform provides information about the mortgage market and various close rates available in the market and works with financial institutions to manage their mortgage, enabling businesses and individuals to make informed decisions easily and effectively.</t>
  </si>
  <si>
    <t>AirTrip, Chibagin Capital, Credit Saison, CRG Investment, Daiichi Life Group, Daito Trust Construction, Dentsu Group, DG Ventures, Digital Base Capital, Elements Capital (Tokyo), FFG Venture Business Partners, Fidelity International, Global Catalyst Partners Japan, Higin Capital, IDS (IT Consulting and Outsourcing), Innovation Engine, Iwagin Jigyo Souzou Capital, Japan Investment Adviser, Juroku Lease, MCP Capital, Merry Gate Holdings, Mitsubishi Estate, Mitsubishi UFJ Capital, Miyagin Venture Capital, Mortgage Service Japan, Nanto Capital Partners, Nationwide Guarantee Innovation Fund, Nikken Partners, Nippon Steel Kowa Real Estate, NN Corporate Capital, Nomura Real Estate Holdings, NTT Data Group, SBI Investment, Senshu Ikeda Capital, Shizuoka Capital, SoftBank Group, Sompo Holdings, Spiral Capital (Tokyo), SRE Holdings, Sumitomo Mitsui Trust Bank, TCRG Holdings, Venture Labo Investment, Watanabe Pipe, West Holdings, Will (Japan), Yamanashi Chugin Management Consulting, Yokohama Capital, Zenkoku Hosho</t>
  </si>
  <si>
    <t>www.iyell.co.jp</t>
  </si>
  <si>
    <t>720002-98</t>
  </si>
  <si>
    <t>Jota</t>
  </si>
  <si>
    <t>Developer of an artificial intelligence platform designed to automate finance and operations for entrepreneurs to boost profits and save time. The company's platform allows users to perform transactions via text, audio, or QR codes on WhatsApp, enabling microbusinesses to streamline payments, enhance productivity, and manage their finances more efficiently, particularly in underserved markets.</t>
  </si>
  <si>
    <t>Alter Global, big_bets, Bogari Capital, Dennis Wang, Fersen Lambranho, Google Accelerator, Greyhound Capital, Haun Ventures Management, HOF Capital, Mateus Lambranho, Mauro D'Ancona, Maya Capital (Brazil), Norte Ventures, Pedro Fiuza</t>
  </si>
  <si>
    <t>www.jota.ai</t>
  </si>
  <si>
    <t>493271-83</t>
  </si>
  <si>
    <t>Pagaleve</t>
  </si>
  <si>
    <t>Developer of an installment payment software designed to buy now and pay later. The company's software offers payment in installments without interest and without the need to use a credit card, enabling merchants with a new payment method to increase their sales in a simple, uncomplicated, and agile way, and allowing people the opportunity to buy what they want, without committing to high credit card interest rates.</t>
  </si>
  <si>
    <t>Banco do Brasil, BoostLAB, Credit Saison, Endeavor Catalyst, Endeavor Promessas, Entrée Capital, Founder Collective, MSW Capital, OIF Ventures, Saison Capital, Salesforce Ventures, Sun Hung Kai &amp; Company, Verde Capital</t>
  </si>
  <si>
    <t>www.pagaleve.com.br</t>
  </si>
  <si>
    <t>225793-72</t>
  </si>
  <si>
    <t>Mynt</t>
  </si>
  <si>
    <t>Developer of a digital financing platform designed to provide smart corporate cards for expense management. The company's platform offers a credit-based spend management resolution with accounting automation, enabling businesses to match receipts with transactions and set an individual purchase limit to control their finances.</t>
  </si>
  <si>
    <t>CNI (Stockholm), FROS Ventures, Incore Invest, Luminar Ventures, Svea Ekonomi, Visa, Vor Capital</t>
  </si>
  <si>
    <t>www.mynt.com</t>
  </si>
  <si>
    <t>155977-03</t>
  </si>
  <si>
    <t>Folio (Financial Software)</t>
  </si>
  <si>
    <t>Developer of an AI-based stock management platform designed to simplify the asset management process. The company's platform diversifies investment starting by choosing a theme and allows active and passive stock traders to manage their personal trading securities, enabling investors to invest in multiple companies and control stock price fluctuation risk.</t>
  </si>
  <si>
    <t>Wing Capital Partners</t>
  </si>
  <si>
    <t>www.folio-sec.com</t>
  </si>
  <si>
    <t>237625-21</t>
  </si>
  <si>
    <t>ZOOD</t>
  </si>
  <si>
    <t>E-Commerce, FinTech, Mobile Commerce</t>
  </si>
  <si>
    <t>Operator of a digital lending platform intended to offer borrowing, shopping, and logistics services. The company's platform offers beauty, fashion, and consumer electronics, household goods, toys, sports equipment, and groceries, and offers buy now, pay later payment (BNPL) alternatives with interest-free installments, enabling consumers to purchase branded products with home delivery options and pay later at their convenience.</t>
  </si>
  <si>
    <t>Deltalpha Capital, March Holding, Nordwind Growth, Planet N Group, Sturgeon Capital, Zain Group, Zain Ventures</t>
  </si>
  <si>
    <t>www.zood.biz</t>
  </si>
  <si>
    <t>131610-61</t>
  </si>
  <si>
    <t>Snap! Mobile</t>
  </si>
  <si>
    <t>Operator of a fundraising platform intended to empower schools, groups, and organizations to fundraise for causes. The company's platform specializes in onboarding, progress tracking, financial reporting, web page designing, and donor engagement services, enabling schools, sports groups, and other athletic organizations to secure the management of funds.</t>
  </si>
  <si>
    <t>Elysian Park Ventures, Runway Growth Capital</t>
  </si>
  <si>
    <t>www.snapraise.com</t>
  </si>
  <si>
    <t>98734-60</t>
  </si>
  <si>
    <t>Boost Payment Solutions</t>
  </si>
  <si>
    <t>Developer of a business-to-business payment platform intended to optimize the use and acceptance of commercial cards. The company's platform offer technology bridge to meet the needs of buyers and suppliers around the world, eliminating friction and delivering process efficiency, payment security, data insights, and revenue optimization, it transforms commercial cards into a cost-effective, scalable, and secure alternative to traditional checks, wires, and ACH, enabling clients to have seamless and secure credit card transactions.</t>
  </si>
  <si>
    <t>Ingwe Capital, Invictus Growth Partners, Mosaik Partners, North Atlantic Capital</t>
  </si>
  <si>
    <t>www.boostb2b.com</t>
  </si>
  <si>
    <t>59246-11</t>
  </si>
  <si>
    <t>Crowdcube Capital</t>
  </si>
  <si>
    <t>Operator of an equity crowd-funding platform intended to help companies raise equity capital and create an opportunity for individuals to invest alongside professionals and venture capital firms. The company's platform includes key metrics and real-time data for companies to track their campaigns while offering individual investors features to create and track portfolio investments, providing companies with growth and funding potential as well as individuals with an accessible, affordable, and rewarding way to invest.</t>
  </si>
  <si>
    <t>AC Ventures (EU), Alessandro Mereu, Allegro Capital, Ami Bloomer, Anantharaman Pattabiraman, Babu Dahal, Balderton Capital, Beyond (Greenwich), Bluebird Partners, Channel 4 Ventures, Circle Internet Group, Deutsche Numis, Draper Associates, Euphemia (Melbourne), FJ Labs, Gruppo Bertoldi Holding, GuanQun Investment, James Smith, Jan Rees, Kintsugi Ventures, Launchbay Capital, London Co-Investment Fund, Molten Ventures, Oriol Vergara, SGH Capital, Thomas Stone, Timothy Draper, Udaya Hebbar, Unfold.vc, Wayne Morris</t>
  </si>
  <si>
    <t>www.crowdcube.com</t>
  </si>
  <si>
    <t>265635-01</t>
  </si>
  <si>
    <t>Saphyre</t>
  </si>
  <si>
    <t>Developer of a pre- and post-trade onboarding platform designed for direct collaboration between asset managers, brokers, custodians, and third-party administrators. The company's platform offers performance status tracking, artificial document management, corporate and institutional onboarding, legal agreement management, and custody workflow management, enabling service providers to speed processes to help them achieve revenue faster.</t>
  </si>
  <si>
    <t>BNP Paribas, Engine (Accelerator), FTV Capital, Fuse Incubator, J.P. Morgan</t>
  </si>
  <si>
    <t>www.saphyre.com</t>
  </si>
  <si>
    <t>187666-66</t>
  </si>
  <si>
    <t>Honeycomb Credit</t>
  </si>
  <si>
    <t>Provider of peer-to-peer lending services intended to facilitate funding for small businesses. The company's platform fills the void between crowdfunding platforms and allows clients to borrow from a group of individuals, enabling businesses to obtain capital without giving a share of their company and improving growth rates.</t>
  </si>
  <si>
    <t>Actions Capital, AlphaLab, BECU Fintech Incubator, Benjamin Novak, CIC Angels, Citta Capital, Comcast NBCUniversal LIFT Labs, Dartmouth Entrepreneurial Network, Draper Richards Kaplan Foundation, Halcyon Venture Partners, Hub Angels Investment Group, Impact Assets, Innovation Works, Inv FinTech, Mudita Venture Partners, Network Ventures, PGH Lab, Plains Angels, SideCar Angels, SteelBridge Labs, SustainVC, Symphonic Capital, The American Family Insurance Institute for Corporate and Social Impact, The Emprise Group, Trog Hawley Capital, VentureFuel</t>
  </si>
  <si>
    <t>www.honeycombcredit.com</t>
  </si>
  <si>
    <t>228392-65</t>
  </si>
  <si>
    <t>Brightside</t>
  </si>
  <si>
    <t>Developer of an employer-based financial care platform designed to drive return on investment (ROI) by improving the financial health of working families. The company's platform personalizes service to the particular needs of each person and makes it easy for them to take the right next steps, utilizing behavioral science and automating behavior, enabling workers to get easy access to financial product options curated personally resulting in improved productivity, retention and diversity while lowering healthcare costs.</t>
  </si>
  <si>
    <t>2468 Ventures, Alumni Ventures, Andreessen Horowitz, Chestnut Street Ventures, Clocktower Ventures, Comcast Ventures, Escalate Capital Partners, Financial Health Network., Obvious Ventures, Plug and Play Tech Center, SemperVirens Venture Capital, Trinity Ventures, Western Technology Investment</t>
  </si>
  <si>
    <t>www.gobrightside.com</t>
  </si>
  <si>
    <t>433298-80</t>
  </si>
  <si>
    <t>Momnt</t>
  </si>
  <si>
    <t>Developer of an embedded financial services platform designed to streamline digital point-of-need lending and payments. The company applies alternative data points within the context of financial data regulations to create a platform that can deliver loans appropriately tailored to each borrower, enabling consumers to avail a transparent borrowing experience and providing merchants with an opportunity to grow their business, as well as helping preserve the role of financial institutions to fulfill these loans.</t>
  </si>
  <si>
    <t>Advanced Technology Development Center, Angel Oak Capital Advisors, FinTech Ventures Fund, Independent Community Bankers of America, Rockefeller Capital Management, Saluda Grade, The Raba Partnership, The Venture Center, TruStage Ventures, Yamaha Motor Ventures</t>
  </si>
  <si>
    <t>www.momnt.com</t>
  </si>
  <si>
    <t>742410-82</t>
  </si>
  <si>
    <t>Palm Global Technologies</t>
  </si>
  <si>
    <t>Provider of financial services intended to support sustainable growth and food security at scale. The company's platforms and super-apps utilize artificial intelligence, blockchain, and decentralized finance technologies to facilitate access to credit, insurance, and agricultural technologies, enabling farmers and agricultural communities to access financial services through decentralized technology, AI, and secure digital identity systems.</t>
  </si>
  <si>
    <t>Aqua 1 Foundation</t>
  </si>
  <si>
    <t>www.palmglobal.ai</t>
  </si>
  <si>
    <t>442386-91</t>
  </si>
  <si>
    <t>Tilled</t>
  </si>
  <si>
    <t>Developer of an embedded payments platform designed to help software companies integrate and manage payment processing. The company offers payment orchestration, merchant onboarding, payment facilitation (PayFac-as-a-Service), API integration, transaction processing, compliance management, and revenue-sharing tools, enabling software providers to embed payment capabilities into their applications without building their own payment infrastructure</t>
  </si>
  <si>
    <t>10X Capital, 1st &amp; Main Growth Partners, Abhinav Tiwari, Abstract Ventures, Alumni Ventures, Basecamp Fund, Bootstrap Venture Partners, Canvas Prime, Clocktower Ventures, CoFound Partners, Exitfund, FJ Labs, Fourth Realm, G Squared, Gaingels, Global Founders Capital, Henry Ward, Ligo Partners, Peterson Partners, SaaS Ventures, Service Provider Capital, TRAC VC, UPC Capital Ventures</t>
  </si>
  <si>
    <t>www.tilled.com</t>
  </si>
  <si>
    <t>439254-37</t>
  </si>
  <si>
    <t>Vanilla</t>
  </si>
  <si>
    <t>Artificial Intelligence &amp; Machine Learning, FinTech, Real Estate Technology</t>
  </si>
  <si>
    <t>Developer of an artificial intelligence-driven wealth and estate intelligence software platform designed for legal and financial advisory purposes. The company's platform features specialized onboarding questionnaires, automated risk alerts, interactive diagrams illustrating asset transfers across generations, scenario modeling to compare wealth management approaches side-by-side, data synchronization, and automated text extraction from existing documents supported by a human review layer of practicing attorneys, enabling registered investment advisors, multi-family offices, and wealth management firms to identify advanced financial planning opportunities.</t>
  </si>
  <si>
    <t>Allianz Life Insurance Company of North America, Allianz Life Ventures, Alumni Ventures, Curtis Polk, Edward Jones Ventures, Insight Partners (New York), Jason Wenk, Michael Jordan, Momentis (Omaha), Nationwide Ventures, Nesvold Capital Partners, The Vanguard Group, Venrock, William McNabb</t>
  </si>
  <si>
    <t>www.justvanilla.com</t>
  </si>
  <si>
    <t>57286-63</t>
  </si>
  <si>
    <t>Fintonic</t>
  </si>
  <si>
    <t>Developer of a mobile financial management platform intended to make personal finances available to the public. The company's platform is verified and validated by experts in digital security and privacy and offers an advanced access point for users to enter all of their accounts, as well as financial information to guide them through the analysis of millions of financial data points with relevant financial products, enabling customers to anonymously and securely make financial and banking transactions with the application.</t>
  </si>
  <si>
    <t>Acurio Ventures Partners, Atresmedia, Blackbox (Palo Alto), CAV Investment Group, Dux Capital, Ideon Media, ING Ventures, Premier Specialty Network, SquareOne Capital, Tadium Invest</t>
  </si>
  <si>
    <t>www.fintonic.com</t>
  </si>
  <si>
    <t>432913-78</t>
  </si>
  <si>
    <t>Volt ( Financial Software)</t>
  </si>
  <si>
    <t>Developer of a global real-time payments platform designed for efficient financial transactions. The company's platform offers features such as seamless integration with existing systems, real-time transaction processing, and robust security measures, enabling businesses to streamline their payment operations, reduce transaction costs, and enhance overall financial management.</t>
  </si>
  <si>
    <t>5i Ventures, Augmentum Fintech, CommerzVentures, EQT Ventures, Expansion Capital, Fuel Ventures, Gabriel Ballore, IVP, Mark Ransford, Perry Blacher, Robert Kraal, T0 Ventures, Tech Nation Group</t>
  </si>
  <si>
    <t>www.volt.io</t>
  </si>
  <si>
    <t>465227-29</t>
  </si>
  <si>
    <t>Ambrook</t>
  </si>
  <si>
    <t>Developer of a financial management platform designed to help family-run American businesses become more profitable and resilient. The company offers tools to manage finances, secure funding, and improve margins, enabling family-owned businesses to stay independent and adapt to climate change, market shifts, and generational transitions.</t>
  </si>
  <si>
    <t>BoxGroup, Cameron Ventures, Designer Fund, Field Ventures, Homebrew Management, Lachy Groom, Mischief, Not Boring, Startup Shell, Thomson Reuters Ventures, Thrive Capital</t>
  </si>
  <si>
    <t>www.ambrook.com</t>
  </si>
  <si>
    <t>483346-99</t>
  </si>
  <si>
    <t>Fruitful</t>
  </si>
  <si>
    <t>Developer of financial wellness designed to simplify the banking experience. The company's platform offers banking tools along with the ability to integrate all of the used third-party apps, bank accounts, and monetary services into a single dashboard on a subscription-based model, enabling users to get the advantages of personalized banking services with an investment understanding and a secure financial future.</t>
  </si>
  <si>
    <t>8VC, Andrew Rubin, Beta.MN, Bienville Capital, Company Ventures, Diogo Monica, Elad Gil, Emigrant Bancorp, Founders Fund, Kalyan Vepuri, LeFrak, Lux Capital, Third Prime, Winklevoss Capital Management</t>
  </si>
  <si>
    <t>www.fruitful.com</t>
  </si>
  <si>
    <t>503806-87</t>
  </si>
  <si>
    <t>Kognitos</t>
  </si>
  <si>
    <t>Artificial Intelligence &amp; Machine Learning, Big Data, FinTech, HR Tech, SaaS</t>
  </si>
  <si>
    <t>Developer of a business automation platform designed to transform business processes through natural language processing. The company's platform utilizes artificial intelligence and human language interpretation to automate even complex end-to-end processes simply by taking commands in the English language, enabling businesses to scale and adapt automation across departments such as finance, human resources, and operations with minimal information technology involvement.</t>
  </si>
  <si>
    <t>Alumni Ventures, Aramco Ventures, Clear Ventures, Dentsu Ventures, Engineering Capital, Khosla Ventures, Prime Partners, Prosperity7 Ventures, Wipro Ventures</t>
  </si>
  <si>
    <t>www.kognitos.com</t>
  </si>
  <si>
    <t>62050-15</t>
  </si>
  <si>
    <t>Innoviti</t>
  </si>
  <si>
    <t>Developer of a digital commerce platform designed to facilitate secure payment processing operations. The company's platform offers differentiated products for diverse merchant needs like payment automation, consumer credit distribution and lending, enabling merchants to receive payments across channels, including online and on mobile, in-store and at the time of the delivery of the product.</t>
  </si>
  <si>
    <t>Alumni Ventures, Arihant Patni, Ashutosh Joshi, Bessemer Venture Partners, Bharat Jaisinghni, CapitalSG, Catamaran Ventures, Deepak Vinchhi, DEVI Group, FMO Entrepreneurial Development Bank, New Frontier Ventures, New India Investment, Panthera Growth Partners, Patni Financial Advisors, Patni Wealth Advisors, Pivot Ventures, Random Walk Solutions, Sanjoy Bhattacharya, SBI Ven Capital, Titan Company, Trifecta Capital</t>
  </si>
  <si>
    <t>www.innoviti.com</t>
  </si>
  <si>
    <t>463374-55</t>
  </si>
  <si>
    <t>kompasbank</t>
  </si>
  <si>
    <t>Provider of financial banking services providing both loans, payments, and other banking services for SMEs (Small and medium-sized enterprises) in the EU (European Union) region. The company's platform is created with a digital infrastructure that provides unprecedented agility and speed and has set up a new digital infrastructure to accelerate this growth on the company's terms, enabling clients to grow with financial products shaped for companies on their terms.</t>
  </si>
  <si>
    <t>Kjøller, Tokara Ventures</t>
  </si>
  <si>
    <t>www.kompasbank.dk</t>
  </si>
  <si>
    <t>439869-61</t>
  </si>
  <si>
    <t>Natech</t>
  </si>
  <si>
    <t>Developer of a digital banking platform designed to streamline bank operations and enhance customer experiences. The company's platform offers core banking services, application programming interface (API) integrations, modular architecture, and real-time ledger capabilities to deliver personalized financial products with swift time-to-market through cloud-native modular technology, enabling financial institutions to accelerate digital transformation and reduce operational costs.</t>
  </si>
  <si>
    <t>5G Ventures (Athens), Endeavor Greece, Haris Antoniou, Spyros Margaris</t>
  </si>
  <si>
    <t>www.natechbanking.com</t>
  </si>
  <si>
    <t>221945-05</t>
  </si>
  <si>
    <t>Kroo</t>
  </si>
  <si>
    <t>Developer of a mobile digital banking platform designed to provide customers with a free, convenient and sustainable banking experience. The company's platform offers services such as deposit accounts, cash withdrawals, near field communication-enabled debit cards, splitting the money, expense tracker and real-time notifications of transactions, enabling customers to avail of a free current account on spending abroad and competitive interest rates on savings, along with services such as carbon offsetting and tree planting.</t>
  </si>
  <si>
    <t>Ascend Venture Capital, Karlani Capital, Nooruddin Karsan, Real Tech Capital</t>
  </si>
  <si>
    <t>www.kroo.com</t>
  </si>
  <si>
    <t>484472-98</t>
  </si>
  <si>
    <t>Spade Data</t>
  </si>
  <si>
    <t>Developer of card transaction infrastructure designed to create applications, mission-critical systems, and access rich data without investing in data cleaning. The company's application programming interface provides granular merchant, category, and location details for card transactions in real time, a data network to link to a real merchant identity, and provides granular merchant, category, and geolocation information, enabling card issuers, anti-fraud providers, and fintech clients to use this data to increase authorization rates, prevent fraud, and build more innovative features.</t>
  </si>
  <si>
    <t>Andreessen Horowitz, Dash Fund, Everywhere Ventures, Evolution (Venture Capital), Experian Ventures, Fenway Summer, Fidelity National Information Services, FIS Fintech Accelerator, Flex Capital, Flourish Ventures, Gradient Ventures, National Bank of Canada, NAventures, Oak HC/FT, Y Combinator</t>
  </si>
  <si>
    <t>www.spade.com</t>
  </si>
  <si>
    <t>171376-21</t>
  </si>
  <si>
    <t>Artificial Labs</t>
  </si>
  <si>
    <t>Artificial Intelligence &amp; Machine Learning, InsurTech, SaaS</t>
  </si>
  <si>
    <t>Developer of a digital platform designed to help insurers digitize processes and leverage machine learning. The company's platform allows insurance clients to capture data only once, digitizing the entire insurance life cycle, and it also simplifies the pricing, distribution, and selection of risk processes, enabling insurance companies and their customers to have an experience while realizing efficiency gains.</t>
  </si>
  <si>
    <t>6 Degrees Capital, Augmentum Fintech, Capita, CommerzVentures, FOM Technologies, Force Over Mass Capital, Igor Tikhturov, Jonathan Nohr, L Marks, Lloyd's Lab, Move Capital, MS&amp;AD Ventures, Mundi Ventures, Plug and Play Tech Center, Vobis (Hull)</t>
  </si>
  <si>
    <t>www.artificial.io</t>
  </si>
  <si>
    <t>327336-58</t>
  </si>
  <si>
    <t>HyperLayer</t>
  </si>
  <si>
    <t>Developer of a money management application designed to help people plan and navigate their journey from depositing money to spending it. The company's application enables customers to save money for a specific purpose, point to particular brands, to optimize their spending process, and also gives them access to card-linked merchant rewards, helping individuals, families, and groups improve their financial well-being by growing their capital and making their money go further.</t>
  </si>
  <si>
    <t>BlueCrest Capital Management, CDAM, Flintlock Capital, Grow London, Healthcare of Ontario Pension Plan, Iona Star, Mouro Capital, Start Path, Susquehanna Growth Equity, UK FF Nominees</t>
  </si>
  <si>
    <t>www.hyperlayer.com</t>
  </si>
  <si>
    <t>433238-86</t>
  </si>
  <si>
    <t>Household Capital</t>
  </si>
  <si>
    <t>Provider of retirement funding services intended to meet the needs of the aging population. The company's services include providing retirees access to a portion of their home's value to meet their long-term retirement needs, enabling customers to fund a comfortable retirement and maintain the lifestyle they worked hard to enjoy.</t>
  </si>
  <si>
    <t>Grant Samuel Group, Helia Group, IFM Investors, Legal &amp; General Capital, Pacific Equity Partners</t>
  </si>
  <si>
    <t>www.householdcapital.com.au</t>
  </si>
  <si>
    <t>469286-02</t>
  </si>
  <si>
    <t>Coast (Financial Software)</t>
  </si>
  <si>
    <t>Developer of a card payment platform designed to facilitate fleet and fuel payments easily for truck drivers. The company's platform offers payment integration tools to equip fleets to make fleet management simpler as compared to traditional financial services and a complete tracking system of card information, enabling clients to save time and money and manage their entire fleet at a glance.</t>
  </si>
  <si>
    <t>Accel, Avid Ventures, Bessemer Venture Partners, Better Tomorrow Ventures, BoxGroup, Colle Capital Partners, Flexport, Foundation Capital, Greycroft, ICONIQ Growth, Insight Partners (New York), Itai Damti, Jason Gardner, Joshua Abramowitz, Laura Spiekerman, Max Levchin, RXR Arden Digital Ventures, Ryan Petersen, SciFi VC, Synchrony Ventures, The Fintech Fund, Thomas Nicholas, Thomvest Ventures, Tobenna Arodiogbu, TriplePoint Capital, Vesey Ventures, William Hockey, Wischoff Ventures</t>
  </si>
  <si>
    <t>www.coastpay.com</t>
  </si>
  <si>
    <t>65967-31</t>
  </si>
  <si>
    <t>AZA Finance</t>
  </si>
  <si>
    <t>Developer of a cross-border payment platform designed to offer foreign exchange, payments, settlement, and treasury services. The company's platform leverages proprietary technology to significantly lower the cost and increase the speed of payments to and from frontier markets, enabling businesses to offer efficient and affordable ways to perform transactions.</t>
  </si>
  <si>
    <t>Alexander Shelkovnikov, Baocui Lang, Barry Silbert, Bitcoin Capital, BitFury Capital, Blockchain Capital, BnkToTheFuture, Colle Capital Partners, Daniel Robichaud, Digital Currency Group, Draper Associates, Duncan Goldie-Scot, Fine Day Ventures, Firestartr, Greycroft, Jalak Jobanputra, Jan Rees, Jeffery Brown, Joseph Mucheru, Lawrence Black, Make-IT in Africa, Milken-Motsepe Prize, Pantera Capital, Paul Veradittakit, Plug and Play Tech Center, Saad AlSogair, SBI Investment, Sompo Holdings, Stephens Investment Management, Trey Shelton, Vanessa Mann, Zephyr Management</t>
  </si>
  <si>
    <t>www.azafinance.com</t>
  </si>
  <si>
    <t>432478-36</t>
  </si>
  <si>
    <t>Leyaoyao</t>
  </si>
  <si>
    <t>Developer of mobile payment software based in Guangzhou, China. The company offers businesses with remote shops and vending machines securely accept and analyse mobile payments as well as provide remote machine override services, thereby enabling users to more efficiently manage transactions.</t>
  </si>
  <si>
    <t>37 Interactive Entertainment, Bright Venture Capital (China), Chengwei Capital, CITIC Securities, Detong Capital, GF Xinde Investment Management, GP Capital (Shanghai), Guangdong Yuecai Venture Capital, Guangzhou Fund, Jiayun Technology, Mia.com, Qianhai Wutong Mergers and Acquisitions Funds, Tencent Investment, Tzitzit Asset, Yuecai Zhongyin Private Equity Investment Fund Management (Guangdong)</t>
  </si>
  <si>
    <t>www.leyaoyao.com</t>
  </si>
  <si>
    <t>846571-87</t>
  </si>
  <si>
    <t>Nevis</t>
  </si>
  <si>
    <t>Developer of an AI wealth management platform designed to automate routine tasks, instantly access client data, and generate reports. The company's platform builds AI tools that help financial advisors automate their administrative workflows, from helping advisors prepare for client meetings to opening custodian accounts and streamlining the workflows that consume the majority of an advisor's time, enabling financial advisors to grow and spend more time with clients.</t>
  </si>
  <si>
    <t>Coinbase Global, ICONIQ Growth, Revolut, Ribbit Capital, Robinhood, Sequoia Capital</t>
  </si>
  <si>
    <t>www.neviswealth.com</t>
  </si>
  <si>
    <t>762695-56</t>
  </si>
  <si>
    <t>Accordance (Financial Services)</t>
  </si>
  <si>
    <t>Developer of artificial intelligence platforms designed to support tax, audit, and accounting professionals in complex financial workflows. The company offers advanced machine learning tools built in collaboration with academic researchers and industry practitioners, featuring intelligent document analysis, automated compliance checks, and real-time collaboration capabilities, enabling enterprise finance teams and CPA firms to improve accuracy, reduce manual effort, and deliver high-quality financial outcomes at scale.</t>
  </si>
  <si>
    <t>Alumni Ventures, Anthropic, Bain Capital Ventures, Carya Venture Partners, Dcode Capital, Gen 1 Capital, General Catalyst, Khosla Ventures, Menlo Ventures, New Enterprise Associates, Octave (San Francisco), Position Ventures, Sequoia Capital, The MBA Fund</t>
  </si>
  <si>
    <t>www.accordance.com</t>
  </si>
  <si>
    <t>496033-03</t>
  </si>
  <si>
    <t>Concerto</t>
  </si>
  <si>
    <t>Provider of fintech services intended for brand loyalty with every transaction. The company's platform specializes in card issuance, rewards functionality, and customer service, combining leading-edge technologies and advanced analytics with industrial-strength card servicing, enabling businesses to give their customers credit card products.</t>
  </si>
  <si>
    <t>www.concertocard.com</t>
  </si>
  <si>
    <t>267013-00</t>
  </si>
  <si>
    <t>Sindhuja</t>
  </si>
  <si>
    <t>Provider of financial services intended to assist entrepreneurs across rural, semi-urban, and urban locations. The company's services include microfinance and micro-enterprise loans, and also plans to offer insurance, pension, and other services through third-party arrangements to its customers, enabling entrepreneurs and businesses with liquidity assistance to operate their businesses efficiently.</t>
  </si>
  <si>
    <t>Abler Nordic, Carpediem Capital, GAWA Capital, Oikocredit</t>
  </si>
  <si>
    <t>www.sindhujamicrocredit.com</t>
  </si>
  <si>
    <t>222347-44</t>
  </si>
  <si>
    <t>Rally (New York)</t>
  </si>
  <si>
    <t>Developer of an investment platform intended to allow members to invest in fractional equity shares of individual blue-chip collectibles. The company's platform democratizes alternative asset investing, allowing fractional buying and selling of equity shares in collectible assets, enabling users access, liquidity and transparency to passion-led markets.</t>
  </si>
  <si>
    <t>Accel, Alex Baker, Alexis Ohanian, Animal Capital, Anthemis, Anthony Tumbiolo, Arun Sundararajan, Asymmetry Ventures, BDMI, Bill Simmons, Capital V Strategies, Chase Utley, Connor Schell, Eberg Capital, Eli Broverman, Global Brain, Howard Lindzon, Jason Droege, Jeffrey Cruttenden, John Stamos, KDDI Ventures Program, LionTree, LionTree Partners, Major League Baseball Ventures, Mana Ventures, Muchmore Ventures, Nasir Jones, Nick Abouzeid, Porsche Ventures, Raptor Group, Red Beard Ventures, Relay Ventures, Sal Iacono, Scala Ventures, Scott Galloway, Social Leverage, Stone Ridge Asset Management, Thirty Five Ventures, Upfront Ventures, Upper90 Capital Management, Wheelhouse (New York), WndrCo</t>
  </si>
  <si>
    <t>www.rallyrd.com</t>
  </si>
  <si>
    <t>167193-73</t>
  </si>
  <si>
    <t>Savana (Other Commercial Banks)</t>
  </si>
  <si>
    <t>Developer of financial process automation software designed to help banking and mortgage clients to expand their markets. The company's platform offers a unified digital experience, seamlessly linking business, regulatory, and servicing processes with all bank channels, while automating operations, enabling financial and insurance firms to increase productivity and reduce costs.</t>
  </si>
  <si>
    <t>Daniel McKinney, Fiserv, Georgian, Live Oak Ventures, Recurring Capital Partners, Rob Adams, Truist Ventures, Venture Capital Fund of America</t>
  </si>
  <si>
    <t>www.savanainc.com</t>
  </si>
  <si>
    <t>343219-24</t>
  </si>
  <si>
    <t>Belvo</t>
  </si>
  <si>
    <t>Developer of a financial API platform designed to connect financial data, understand behavior, and move money. The company offers account aggregation, financial data access and interpretation, payment initiation, application programming interface connectivity, and tools for accessing user account information securely, enabling businesses to be efficient and generate new revenue streams through a single open finance platform.</t>
  </si>
  <si>
    <t>Astir Ventures, BoostLAB, BTG Pactual, Burch Creative Capital, Citi Ventures, D4 Ventures, David Vélez, Diversity Ventures, Expansion Capital, FJ Labs, Founders Fund, Future Positive, Hard Yaka, Harsh Sinha, Hedosophia, Jonathan Golden, Kalonia, Kaszek, Kibo Ventures, Kishore Ganji, Maya Capital (Brazil), Novo Capital, OBr.global, P93 Ventures, Peter Livingston, Quona Capital, Rally Cap VC, Scott Hartley, Sebastian Mejia, Spectra Investments, Trousdale Ventures, Two Culture Capital, Unpopular Ventures, VentureFriends, VentureSouq, Visa Ventures, WillowTree Investments, Y Combinator</t>
  </si>
  <si>
    <t>www.belvo.com</t>
  </si>
  <si>
    <t>229479-76</t>
  </si>
  <si>
    <t>Finally</t>
  </si>
  <si>
    <t>Developer of bookkeeping software designed to automate accounting and finance transactions in small and medium-sized businesses. The company's software uses artificial intelligence and features a robotic accounting engine that performs automated expense categorization, bank reconciliation, and document retrieval, enabling small and medium-sized business enterprises to keep track of their financials, reduce accounting expenses, and save hours of work.</t>
  </si>
  <si>
    <t>500 FinTech, 500 Global, Active Capital, Andrew Moss, David Bohnett, DIS Capital, GTMfund, Josep Aliagas, Karen Bergman, Marvin Liao, Mike Sigal, PeakSpan Capital, Plug and Play Tech Center, Scott Weller, Sheel Mohnot</t>
  </si>
  <si>
    <t>www.finally.com</t>
  </si>
  <si>
    <t>82497-70</t>
  </si>
  <si>
    <t>Bumper International</t>
  </si>
  <si>
    <t>FinTech, Mobility Tech, SaaS, TMT</t>
  </si>
  <si>
    <t>Operator of an interest-free monthly payment service platform designed to help drivers spread the cost of their car repairs, servicing, parts, and accessories. The company's platform facilitates approval without paperwork, psartners with local dealerships across various regions, and offers a system for managing vehicle expenses without upfront payment, enabling vehicle owners seeking manageable finance options to distribute costs while preserving their other financial priorities.</t>
  </si>
  <si>
    <t>Autotech Ventures, Elderstreet Investments, Fair Value Capital, InMotion Ventures, Itochu, Link Holdings (US), London Technology Club, Marubeni Ventures, Michael Jackson, Porsche Ventures, Revo Capital, Salica Investments, Shell Ventures, Suzuki Global Ventures, Tech Nation Group</t>
  </si>
  <si>
    <t>www.bumper.co</t>
  </si>
  <si>
    <t>180925-39</t>
  </si>
  <si>
    <t>Salt Lending</t>
  </si>
  <si>
    <t>Developer of crypto-backed financial application designed to offer lending services using blockchain tools. The company's platform uses cryptocurrency as collateral and offers business and personal loans, enabling clients to leverage their holdings as collateral for borrowing.</t>
  </si>
  <si>
    <t>Fiparin, KrowdMentor, Varys Capital, VestChain Capital</t>
  </si>
  <si>
    <t>www.saltlending.com</t>
  </si>
  <si>
    <t>234906-58</t>
  </si>
  <si>
    <t>Infinicept</t>
  </si>
  <si>
    <t>Developer of a payment-facilitating platform designed to offer underwriting, onboarding, risk monitoring, and payout services. The company's platform offers a dynamic suite of automated services that collectively perform as an operational backbone for payment facilitators and offer tools and services that simplify everything from underwriting and onboarding to risk monitoring and payouts, enabling clients to open up new revenue streams and increase valuations.</t>
  </si>
  <si>
    <t>MasterCard, MissionOG, Operator Stack, Piper Sandler, Start Path, SVB Financial Group, Team Ignite Ventures</t>
  </si>
  <si>
    <t>www.infinicept.com</t>
  </si>
  <si>
    <t>433832-14</t>
  </si>
  <si>
    <t>Lendtable</t>
  </si>
  <si>
    <t>Provider of cash advance services intended to help people secure their retirement financially. The company's services provide exactly the amount customers need to receive the employer match, while customers pay the company back through a service fee, enabling individuals to supplement their monthly income with the money they allocate toward employee benefits.</t>
  </si>
  <si>
    <t>01 Advisors, Alexander Lurie, AltaIR Capital, Anthony Noto, Asymmetry Ventures, Blue Trail Partners, Browder Capital, Bryce Hall, BT Growth Capital, Cow Hollow Capital, Dennis Woodside, Dragon Capital (California), FiDi Ventures, Foundation Capital, Fractal (California), GP Ventures+, Green Visor Capital, Griffin Johnson, Jay Parikh, Joshua Browder, Joshua Richards, Kara Rieben, Malex Enterprises, Michael Gruen, Michael Vaughan, Open Opportunity Fund, Partech, Realm Capital Ventures, Red Beard Ventures, Rich Antoniello, Socii Capital, SoftBank Group, South Park Commons, Spacebar Ventures, Steven Sarowitz, Streamlined Ventures Management, Ullas Naik, Valia Ventures, Valor Equity Partners, Wellington Access Ventures, Wellington Management, Western Technology Investment, Y Combinator</t>
  </si>
  <si>
    <t>www.lendtable.com</t>
  </si>
  <si>
    <t>226031-41</t>
  </si>
  <si>
    <t>Loansnap</t>
  </si>
  <si>
    <t>Operator of an online mortgage platform intended to help get out of debt when purchasing or refinancing a mortgage. The company's platform offers a variety of refinancing options, including home equity lines of credit and traditional mortgage loans, enabling homeowners to lower their interest rates and monthly payments.</t>
  </si>
  <si>
    <t>Accelerator Ventures, Alumni Ventures, Avanta Ventures, Baseline Ventures, Core Innovation Capital, Forté Ventures, Index Ventures, Joseph Montana, Liquid 2 Ventures, Mantis VC, Mark Goldstein, Mark Pincus, Morado Ventures, OVO Fund, Reid Hoffman, Thomvest Ventures, Transmedia Capital, True Ventures, Virgin (London), WorkPlay Ventures</t>
  </si>
  <si>
    <t>www.goloansnap.com</t>
  </si>
  <si>
    <t>812145-16</t>
  </si>
  <si>
    <t>iO Finance Partners</t>
  </si>
  <si>
    <t>Developer of an alternative finance platform designed to address funding gaps and strengthen support for the wider economy. The company offers a diversified network of finance providers, a strategic acquisition approach, and a focus on underserved segments, enabling small and medium-sized enterprises to access tailored financing options and drive business growth.</t>
  </si>
  <si>
    <t>B.P. Marsh &amp; Partners</t>
  </si>
  <si>
    <t>www.iofp.co.uk</t>
  </si>
  <si>
    <t>235284-76</t>
  </si>
  <si>
    <t>Aiera</t>
  </si>
  <si>
    <t>Developer of an event intelligence and AI-driven research management platform designed to enhance fundamental investment strategies. The company's platform provides indicators to access financial disclosures, compare past financial statements, monitor events, analyze and extract information using advanced natural language and also offers document discovery, broker research and predictive modelling to investors, enabling institutional investors to achieve advanced, self-learning models, augmented with human insight, on a secure and scalable infrastructure.</t>
  </si>
  <si>
    <t>Citigroup, Consortium, Deutsche Bank Ventures, Fin Capital, Flybridge (New York), Franklin Templeton Investments United Kingdom, Gaingels, gAngels, Guava (Business/Productivity Software), HSBC Ventures, Innovation Endeavors Management Company, Knickerbocker Financial Group, Kube VC, Macquarie Group, Project Voice Capital Partners, Third Bridge, WGI Group</t>
  </si>
  <si>
    <t>www.aiera.com</t>
  </si>
  <si>
    <t>182215-99</t>
  </si>
  <si>
    <t>Synergies Intelligent Systems</t>
  </si>
  <si>
    <t>Developer of a business decision-making navigation system designed to help enterprises in finding pathways to make smarter decisions. The company's navigation system uses artificial intelligence, deep learning algorithms, and big data analytics to offer immediate and comprehensive information about operational requirements, enabling supply chain enterprises to solve their manufacturing, procurement, and distribution problems.</t>
  </si>
  <si>
    <t>www.synergies.ai</t>
  </si>
  <si>
    <t>83826-82</t>
  </si>
  <si>
    <t>Credit Key</t>
  </si>
  <si>
    <t>Developer of a business-to-business (B2B) payment platform designed to offer a buy now, pay later function. The company offers a proprietary process that permits fast financing approval and provides purchasers a financing option at the point of sale, assuming the credit risk and any loan servicing, enabling merchants to drive better sales, revenue, and conversions.</t>
  </si>
  <si>
    <t>Barings, Barings BDC, Barings Capital Investment BDC, Basis Set Ventures, Bonfire Ventures, Borderless Capital, Canyon Creek Capital, Cheyenne Partners, Coffin Capital &amp; Ventures, Daher Investment Management, Footwork, Greycroft, Lightspeed Venture Partners, Loeb.nyc, Peterson Partners, Pulsar Capital Management, RedBird Capital Partners, Richard Wolpert, Wavemaker Partners</t>
  </si>
  <si>
    <t>www.creditkey.com</t>
  </si>
  <si>
    <t>232137-91</t>
  </si>
  <si>
    <t>Easol</t>
  </si>
  <si>
    <t>Marketing Tech, SaaS</t>
  </si>
  <si>
    <t>Developer of an experience commerce platform designed to help experience businesses grow efficiently. The company's platform offers smart booking, payment, and marketing tools all in one platform and helps create a website with a selection of themes, web hosting, integration of products directly with online catalogs, and monetary or percentage discount codes, enabling clients to spend less time on operations.</t>
  </si>
  <si>
    <t>99 Startups, AvanTech Ventures, Cathexis Ventures, Eight Roads, FMZ ventures, Foundation Capital, Micheal Zeisser, Notion Capital, Slow Ventures, TechNexus Venture Collaborative, Tiger Global Management, Y Combinator</t>
  </si>
  <si>
    <t>www.easol.com</t>
  </si>
  <si>
    <t>60153-85</t>
  </si>
  <si>
    <t>91 Tech Group</t>
  </si>
  <si>
    <t>Artificial Intelligence &amp; Machine Learning, Big Data, CloudTech &amp; DevOps, FinTech</t>
  </si>
  <si>
    <t>Developer and provider of financial services, financial media, and startup incubation services intend to lower the transaction cost of financing and to increase transaction efficiency. The company's products include consumer/small business loans, credit card services, financial news reports, startup advisory and startup space creation, enabling clients to obtain a wide variety of quality financial services based on their needs.</t>
  </si>
  <si>
    <t>China Broadband Capital Partners, China Growth Capital, China Venture Capital, Harmony Riverside, HT CC, Lanchi Ventures, Microsoft for Startups, MPC (Beijing), Unity Ventures (China)</t>
  </si>
  <si>
    <t>www.91techgroup.com</t>
  </si>
  <si>
    <t>157287-07</t>
  </si>
  <si>
    <t>Licaifan</t>
  </si>
  <si>
    <t>Developer and provider of an online financial platform designed to offer online lending intermediary services. The company's platform connects individual lenders and small-scale borrowers online and offers a variety of financial products to online lenders, enabling businesses and individuals to meet their urgent financing needs.</t>
  </si>
  <si>
    <t>Lin Guangmao, MSA Capital, Zhong Capital Holding Group</t>
  </si>
  <si>
    <t>www.licaifan.com</t>
  </si>
  <si>
    <t>233614-45</t>
  </si>
  <si>
    <t>Hokodo</t>
  </si>
  <si>
    <t>Artificial Intelligence &amp; Machine Learning, FinTech, Industrials, InsurTech</t>
  </si>
  <si>
    <t>Developer of a digital platform intended to make the business-to-business trade safe and effective. The company's platform helps to check the credit ratings of clients and suppliers and facilitates informed decisions about credit terms, streamlining the entire order-to-cash process, enabling merchants to make credit decisions in real time, be protected against bad debt, and get access to working capital finance options.</t>
  </si>
  <si>
    <t>www.hokodo.co</t>
  </si>
  <si>
    <t>535737-79</t>
  </si>
  <si>
    <t>Bastion</t>
  </si>
  <si>
    <t>Developer of regulated wallet infrastructure platform designed for enterprises. The company's platform offers a white-label API that allows businesses to build secure and trustworthy cryptocurrency products that combine the advantages of a licensed financial institution, a wallet platform, and a secure enterprise-grade custody technology, enabling businesses to offer cryptocurrency products to their customers with confidence</t>
  </si>
  <si>
    <t>Alchemy Ventures (California), Andreessen Horowitz, Aptos (Business/Productivity Software), Autograph, Coinbase Ventures, Dan Guido, Hashed, Laser Digital, Melo7 Tech Partners, Not Boring, NTT Docomo Ventures, Patrick McCormick, Robot Ventures, Roham Gharegozolou, Ryan Wyatt, Samsung Electronics, Sancus Ventures, Sony Innovation Fund</t>
  </si>
  <si>
    <t>www.bastion.com</t>
  </si>
  <si>
    <t>166037-14</t>
  </si>
  <si>
    <t>Scratchpay</t>
  </si>
  <si>
    <t>FinTech, Pet Technology</t>
  </si>
  <si>
    <t>Operator of payment processing, patient financing, and patient communication platform intended for veterinary and medical practices. The company's platform operationalizes payments and allows practices to transact and interact with their clients in person and remotely, enabling dental and other medical practices of all sizes to access payment plans without long-term commitments.</t>
  </si>
  <si>
    <t>Alumni Ventures, Argonautic Ventures, Avenue Asset Management, Chestnut Street Ventures, Digitalis Ventures, FJ Labs, Industry Ventures, Nimble Ventures, Norwest, Pet Project, Struck Capital, SWS Venture Capital, TTV Capital</t>
  </si>
  <si>
    <t>www.scratchpay.com</t>
  </si>
  <si>
    <t>501564-25</t>
  </si>
  <si>
    <t>Zamp (Automation/Workflow Software)</t>
  </si>
  <si>
    <t>Artificial Intelligence &amp; Machine Learning, B2B Payments, FinTech, HR Tech, InsurTech, SaaS</t>
  </si>
  <si>
    <t>Developer of a generalist digital employee platform designed to operate and take ownership of long-running business processes as accountable artificial intelligence teammates. The company offers digital employees that can read, write, communicate, use software, make decisions, maintain context, handle exceptions, and collaborate with human teams, enabling enterprises across industries and business functions to shift ongoing operational work away from staff and focus human effort on strategic priorities.</t>
  </si>
  <si>
    <t>Andre Soelistyo, Anthropic AWS Agentic AI Accelerator, Dara Khosrowshahi, Gokul Rajaram, Hisham Al-Falih, Human Capital, Kevin Aluwi, Kirthiga Reddy, Laxman Narasimhan, Marcelo Claure, Mudassir Sheikha, Pankaj Gupta, Peak XV Partners, Prajit Nanu, Rahul Mehta, Ramanathan RV, Sandeep Naliwal, Saurabh Gupta, Sequoia Capital, Thomson Reuters Ventures, Tony Xu, White Venture Capital</t>
  </si>
  <si>
    <t>www.zamp.ai</t>
  </si>
  <si>
    <t>157352-95</t>
  </si>
  <si>
    <t>iraLogix</t>
  </si>
  <si>
    <t>Developer of an IRA technology platform designed to bring innovation, advanced technology, and deep industry experience to growing businesses. The company's paperless and end-to-end white-label platform provides a wide range of institutionally priced investment choices and access to professional advice, education, and other financial services, enabling financial organizations to accelerate growth and market share while reducing internal administration and servicing costs associated with accounts of all sizes.</t>
  </si>
  <si>
    <t>Audrey's Kitchen, Bacchus Venture Capital, Beresford Ventures, Circadian Ventures, CreativeCo Capital, Great North Ventures, Hybrid Capital, Innovation Works, Matthew Vettel, Morningstar, Nicholas Cayer, Riverfront Ventures, Roanoke Capital Management, SteelBridge Labs, Trog Hawley Capital, University Growth Fund</t>
  </si>
  <si>
    <t>www.iralogix.com</t>
  </si>
  <si>
    <t>549538-66</t>
  </si>
  <si>
    <t>Worth AI</t>
  </si>
  <si>
    <t>Developer of a patent-pending platform intended to offer risk management and business valuation expertise. The company's platform predicts business futures, reduces risks, and eliminates biases with real-time data by leveraging traditional and non-traditional data sources, enabling banks, credit unions, fintech, and financial service providers to rapidly accelerate approvals for business loans and lines of credit.</t>
  </si>
  <si>
    <t>AMEX Ventures, Deepwork Capital, Florida Funders, Florida Opportunity Fund, Fulcrum Equity Partners, Gray Ventures, Ingeborg Investments, Thrrive, TTV Capital, Venture Worx (US)</t>
  </si>
  <si>
    <t>www.worthai.com</t>
  </si>
  <si>
    <t>466515-82</t>
  </si>
  <si>
    <t>Finout</t>
  </si>
  <si>
    <t>CloudTech &amp; DevOps, FinTech, SaaS</t>
  </si>
  <si>
    <t>Developer of a cost observability platform intended to help understand spending on cost of goods sold and research and development. The company's platform offers a unified view of past cloud spend across all environments with allocation, shared costs, unit economics, and virtual tagging, enabling companies to allocate, manage, and reduce cloud spending across the entire infrastructure.</t>
  </si>
  <si>
    <t>Ariel Maislos, Deloitte Launchpad, Growing Capital, Insight Partners (New York), Jibe Ventures, J-Ventures, Maor Investments, Pitango Venture Capital, Red Dot Capital Partners, R-Squared Ventures, Team8, ToDay Ventures</t>
  </si>
  <si>
    <t>www.finout.io</t>
  </si>
  <si>
    <t>156930-40</t>
  </si>
  <si>
    <t>Habito</t>
  </si>
  <si>
    <t>Artificial Intelligence &amp; Machine Learning, FinTech, Mortgage Tech, Real Estate Technology</t>
  </si>
  <si>
    <t>Developer of a digital mortgage platform designed to offer mortgage products from a range of lenders. The company's platform makes use of chatbot interfaces and machine learning designed to make the process efficient, enabling consumers to find suitable deals for themselves, choose the lowest to highest monthly payments, and apply for mortgages, and avoid overpaying interest rates and monthly costs.</t>
  </si>
  <si>
    <t>Atomico (UK) Partners, Augmentum Fintech, Australia Future Fund, Bootstrap Europe, Errol Damelin, Innovate Finance, Loric Ventures, MAHR Projects, Mark Troughton, Mojo Capital, Mosaic Ventures, Paul Forster, Regah Ventures, Revolution (Washington DC), Ribbit Capital, Samir Desai, SBI Insurance Group, SBI Investment, Taavet Hinrikus, The Future Fund, Tom Stafford, VentureFounders, Volution Ventures, Yuri Milner</t>
  </si>
  <si>
    <t>www.habito.com</t>
  </si>
  <si>
    <t>433261-72</t>
  </si>
  <si>
    <t>Selina Finance</t>
  </si>
  <si>
    <t>Operator of a digital lending platform intended to provide funding to individuals. The company platform offers an affordable line of credit, using the residential property as collateral with no setup or early repayment fees, and provides the flexibility to draw down amounts up to the pre-approved limit, enabling homeowners to finance the lifestyle they deserve.</t>
  </si>
  <si>
    <t>Bonsai Partners, Global Founders Capital, HW Capital, Lightrock, Picus Capital, Rocket Internet Capital Partners</t>
  </si>
  <si>
    <t>www.selinafinance.co.uk</t>
  </si>
  <si>
    <t>503863-93</t>
  </si>
  <si>
    <t>TrueMed</t>
  </si>
  <si>
    <t>Developer of a healthcare platform designed to enable consumers to use pre-tax HSA/FSA funds for proactive health and wellness purchases. The company's platform offers a qualification process for obtaining a letter of medical necessity for purchasing fitness equipment and supplements, enabling health-conscious individuals to enhance their health and well-being efficiently.</t>
  </si>
  <si>
    <t>Bessemer Venture Partners, Granite Point Partners, Highland Creek Partners, Learn Capital, Legate Partners, M2O, Maven Equity Partners, Trilogy Search Partners, TTCER Partners</t>
  </si>
  <si>
    <t>www.truemed.com</t>
  </si>
  <si>
    <t>495748-27</t>
  </si>
  <si>
    <t>Ayoconnect</t>
  </si>
  <si>
    <t>Developer of an open finance platform designed to reduce friction and provide the necessary infrastructure for businesses to connect. The company's platform aggregates bill products from utilities, lenders, insurance, banks, and government bodies through its cash collection points across the country, enabling clients to manage their money collections and people to stay on track with their monthly bill expenses and increase financial literacy.</t>
  </si>
  <si>
    <t>Aakrit Vaish, Absolute Confidence, AC Ventures (EU), ACV Capital, Alto Partners, Amand Ventures, Brama One Ventures, BRI Ventures, CE Innovation Capital, Colopl Next, Convergence Capital, Convergence Ventures, DEG, DT &amp; Investment, Elevate Innovation Partners, Ephesus United, Finch Capital, FinTech Innovation Lab, Grayscale Ventures, Holm Dominik, Ilham Habibie, Ioann Fainsilber, Ion Pacific, Jeff Lin, Jerry Ng, Kakaku.com, Mandiri Capital Indonesia, Muir Capital, Navin Jain, Patamar Capital, Paul Bernard, PayU, PFR Ventures, Sandeep Tandon, SIG Venture Capital, STRIVE (VC Investor), Taurus Ventures, Tiger Global Management, William Hockey</t>
  </si>
  <si>
    <t>www.ayoconnect.com</t>
  </si>
  <si>
    <t>1083392-92</t>
  </si>
  <si>
    <t>Natural</t>
  </si>
  <si>
    <t>Developer of a payments infrastructure platform designed to facilitate financial transactions for autonomous AI agents. The company's platform supports payment initiation using recipient contact information and specified amounts, featuring real-time settlement, cross-border compatibility, configurable transaction limits, human review and escalation processes, and managed dispute resolution, enabling businesses integrating AI-driven workflows to conduct secure, automated, and compliant financial operations.</t>
  </si>
  <si>
    <t>Abstract Ventures, Akshay Kothari, Anti Fund, Armaan Ali, Arthur Levy, Baris Akis, Darragh Buckley, Dylan Babbs, Eric Glyman, Forerunner Ventures, Genius Ventures, Guillermo Rauch, Henri Stern, Human Capital, Immad Akhund, Isaiah Granet, Itai Damti, Jake Paul, Karim Atiyeh, Logan Paul, Matt Michaelis, Matteo Franceschetti, Mattress Warehouse, Max Segall, Michael Tannenbaum, Nichole Wischoff, Pablo Palafox, Park Rangers Capital, Paul Klein, Peter Koomen, Ramtin Naimi, Restive Ventures, SV Angel, Terrain, Torch Capital, Upper90 Capital Management, Zachary Abrams</t>
  </si>
  <si>
    <t>www.natural.com</t>
  </si>
  <si>
    <t>662797-63</t>
  </si>
  <si>
    <t>KiteAI</t>
  </si>
  <si>
    <t>Developer of an AI-powered blockchain infrastructure intended to enable autonomous agents to authenticate. The company's platform offers a blockchain designed for autonomous agents, providing verifiable cryptographic identity, programmable governance, and native stablecoin transactions that reduce costs and increase efficiency, enabling users to seamlessly build, manage, and scale AI-driven services across commerce.</t>
  </si>
  <si>
    <t>8VC, Alchemy Insights, Alumni Ventures, Animoca Brands, Avalanche, Coinbase Ventures, Dispersion Capital, Essence Development, Essence Venture Capital, General Catalyst, GS Futures, GSR, Hashed, Hashkey Capital, LayerZero, PayPal Ventures, RR2 Capital, Samsung NEXT Ventures, SBI Holdings, Vertex Ventures Japan, WAGMI Ventures (Texas)</t>
  </si>
  <si>
    <t>www.gokite.ai</t>
  </si>
  <si>
    <t>435596-05</t>
  </si>
  <si>
    <t>Huirong Technology</t>
  </si>
  <si>
    <t>Provider of consumer installment loan related services for financial institutions. The company integrates artificial intelligence, machine learning and big data technology to provide financial institutions such as banks and businesses with business acceptance, credit review, customer management, business analysis, compliance management and solutions for business scenarios, risk control, and operations to lower risks of consumer installment loans.</t>
  </si>
  <si>
    <t>Cowin Capital, Fellow Partners, Hundsun Technologies, Shunwei Capital</t>
  </si>
  <si>
    <t>www.hrfax.cn</t>
  </si>
  <si>
    <t>521742-97</t>
  </si>
  <si>
    <t>Hadrius</t>
  </si>
  <si>
    <t>Developer of an AI-powered compliance platform designed to automate SEC and FINRA compliance. The company's platform offers a cloud-based compliance management platform with communications monitoring, marketing review, trade surveillance, policy management, and audit documentation capabilities, enabling financial institutions and investment firms to manage regulatory requirements and maintain compliance through centralized oversight and automated workflows.</t>
  </si>
  <si>
    <t>CRV, Dorm Room Fund, Innate Capital Partners, Lynett Capital, Pathlight Ventures, Seraph Group, Singularity Capital, Trolley Venture Partners, Unpopular Ventures, Witz Ventures, Y Combinator</t>
  </si>
  <si>
    <t>www.hadrius.com</t>
  </si>
  <si>
    <t>153333-55</t>
  </si>
  <si>
    <t>CrossLend</t>
  </si>
  <si>
    <t>Developer of a digital debt marketplace platform designed for end-to-end loan portfolio transactions. The company's platform connects private and institutional investors from low-interest rate countries with borrowers from high-interest rate countries and intermediates loans and securitizes them into bonds in which they can invest, enabling investors to have attractive risk-return profiles and borrowers to have attractive interest rates.</t>
  </si>
  <si>
    <t>ABN AMRO Ventures, Atlantic (Berlin), Christian Schmidt, finleap, Molten Ventures, Northzone Ventures, Solaris (Financial Software)</t>
  </si>
  <si>
    <t>www.crosslend.com</t>
  </si>
  <si>
    <t>99197-11</t>
  </si>
  <si>
    <t>October</t>
  </si>
  <si>
    <t>Operator of an online lending marketplace intended to open a new world of opportunity for investors and enterprises. The company's marketplace lets private investors finance enterprises of all sizes with fully disclosed terms and is assisted by institutional lenders who automatically complete the part not covered by individuals, enabling borrowers to access high success rates and fast processing along with a safe and simple way to invest directly into the real economy for lenders.</t>
  </si>
  <si>
    <t>www.october.eu</t>
  </si>
  <si>
    <t>226363-15</t>
  </si>
  <si>
    <t>ChargeAfter</t>
  </si>
  <si>
    <t>Developer of a consumer financing platform intended to connect merchants to lenders to offer shoppers approved financing from multiple lenders using a single source. The company's platform offers full performance and detailed transaction reporting from an easy-to-use merchant dashboard and white-label options and gives the ability to easily embed multiple financing products into omnichannel customer journeys into one streamlined experience that maximizes approvals, enabling merchants to increase conversion, average order value, and customer loyalty.</t>
  </si>
  <si>
    <t>2bCapital, Bank Bradesco, BBVA Asset Management, Citi Ventures, Mitsubishi UFJ Financial Group, MUFG Innovation Partners, Phoenix Insurance Company (Multi-Line Insurance), PICO Venture Partners, Plug and Play Tech Center, Propel Venture Partners, Synchrony Financial, Visa Ventures</t>
  </si>
  <si>
    <t>www.chargeafter.com</t>
  </si>
  <si>
    <t>601531-57</t>
  </si>
  <si>
    <t>FINNY</t>
  </si>
  <si>
    <t>Developer of a client acquisition platform designed to improve client relationship management and streamline the onboarding process. The company's platform utilizes artificial intelligence to analyze data and identify potential clients who are likely to need financial advice and automates the process of screening candidates, enabling financial advisors to enhance their client engagement strategies and operations.</t>
  </si>
  <si>
    <t>Activant Capital, Altruist, Breakpoint Capital, Dan Westgarth, Gallery Ventures, HNVR Technology Investment Management, Jason Wenk, Joshua Brown, Kunal Kapoor, Liquid 2 Ventures, Maple VC, Merchant Investment Management, Restive Ventures, Sparkwave Capital, Tomer London, Venrock, William McNabb, Y Combinator</t>
  </si>
  <si>
    <t>www.finny.com</t>
  </si>
  <si>
    <t>104356-27</t>
  </si>
  <si>
    <t>Oddup</t>
  </si>
  <si>
    <t>Developer of a prediction market platform designed to enable analysis and wagering on emerging assets and ventures. The company offers a data-driven platform with startup ratings, market insights, and predictive analytics, enabling investors and traders to evaluate opportunities and make informed decisions.</t>
  </si>
  <si>
    <t>500 Global, Andre Eikmeier, BigColors, Brand Capital International, Click Ventures, Glooh Ventures, Goldman Sachs Asset Management, IRO Capital Group, Justin Dry, Kima Ventures, Lago Innovation Fund, Moneta Ventures, Parastate, Ralfetto Labs</t>
  </si>
  <si>
    <t>www.oddup.com</t>
  </si>
  <si>
    <t>398893-69</t>
  </si>
  <si>
    <t>Zeni</t>
  </si>
  <si>
    <t>Operator of AI bookkeeping software intended to offer financial services, including bookkeeping, invoicing, and financial reporting. The company's platform a comprehensive suite of economic tools and services, leverages automation to offer real-time financial insight with a comprehensive suite of financial tools and services to leverage automation to save time and increase the accuracy of financial operations, enabling startups and small businesses to save and increase the accuracy of your financial operations.</t>
  </si>
  <si>
    <t>Amit Singhal, Anupam Mittal, Dragon Capital (California), Ed Lu, Elevation Capital (India), Firebolt Ventures, Gokul Rajaram, Kunal Shah, Liquid 2 Ventures, Manish Chandra, Neeraj Arora, Nickhil Jakatdar, Saama Capital, Sierra Ventures, SVB Financial Group, Think Investments (San Francisco), Twin Ventures</t>
  </si>
  <si>
    <t>www.zeni.ai</t>
  </si>
  <si>
    <t>268353-01</t>
  </si>
  <si>
    <t>GetGround</t>
  </si>
  <si>
    <t>Operator of a property management platform designed to help landlords and investors buy and manage rental properties. The company's platform offers programmatic incorporation and administration, e-wallet financial infrastructure, automated accounting techniques, and a secondary market platform built for scale, enabling clients to streamline residential asset management and transactions.</t>
  </si>
  <si>
    <t>Flashpoint Venture Capital Group, Geovation, Government of UK, Mosaic Ventures, QED Investors, Salica Investments, Skaala, Taavet Hinrikus</t>
  </si>
  <si>
    <t>www.getground.co.uk</t>
  </si>
  <si>
    <t>462156-67</t>
  </si>
  <si>
    <t>Basis Theory</t>
  </si>
  <si>
    <t>Developer of a tokenization platform designed for securing, using, and managing sensitive data. The company's platform optimizes the payment acceptance stack without bearing the risk and compliance burden, enabling clients to meet or exceed compliance requirements without taking on the burden of securing it themselves.</t>
  </si>
  <si>
    <t>Bessemer Venture Partners, BoxGroup, Conversion Capital, Costanoa Ventures, Good Friends, Kindred Ventures, Ludlow Ventures, Moneta Venture Capital, Offline Ventures, Plug and Play Tech Center, Stage 2 Capital</t>
  </si>
  <si>
    <t>www.basistheory.com</t>
  </si>
  <si>
    <t>112505-86</t>
  </si>
  <si>
    <t>Facteus</t>
  </si>
  <si>
    <t>Artificial Intelligence &amp; Machine Learning, FinTech, TMT</t>
  </si>
  <si>
    <t>Developer of a financial data business intelligence platform designed to serve financial institutions, payment processors, investment companies, and retail corporations. The company's platform transforms raw transaction data from legacy technologies into actionable information, which enables companies to make intelligent business decisions, automate manual operational tasks, and optimize their data strategies, enabling clients to get access to an easy way to turn data exhaust into revenue without compromising safety, security, or compliance.</t>
  </si>
  <si>
    <t>Brighton Jones Investment Partners, Colchuck, Curql, Flex Capital, ID8 Investments, Next Level Ventures, Plug and Play Tech Center, Reseda Group, Tribeca Early Stage Partners</t>
  </si>
  <si>
    <t>www.facteus.com</t>
  </si>
  <si>
    <t>519953-77</t>
  </si>
  <si>
    <t>Kintsugi</t>
  </si>
  <si>
    <t>Developer of an AI-powered sales tax automation platform designed to monitor, calculate, and manage global tax compliance for businesses. The company offers real-time nexus monitoring, automated tax calculation, product classification, tax registration, filing, remittance, and system integrations, enabling e-commerce companies, SaaS providers, and finance teams to automate sales tax, VAT, and GST compliance across multiple jurisdictions.</t>
  </si>
  <si>
    <t>AICPA and CPA.com Startup Accelerator, Airwallex, Capital 49, DeVC, Full Commit Partners, General Catalyst, GSR Ventures, Kyber Knight Capital, Link Ventures, Plug and Play Tech Center, Signia Venture Partners, StartX (US), Venture Highway, Vertex (Software Company), WestWave Capital</t>
  </si>
  <si>
    <t>www.trykintsugi.com</t>
  </si>
  <si>
    <t>153640-09</t>
  </si>
  <si>
    <t>Token.io</t>
  </si>
  <si>
    <t>Developer of open banking payment infrastructure designed to facilitate account-to-account payments for businesses and financial institutions. The company's platform features direct bank connectivity, real-time payment initiation, data access from verified bank accounts, integrated reporting, and settlement tools, providing merchants, banks, and payment service providers with a streamlined way to accept payments, reduce costs, and enhance the payment experience for their customers.</t>
  </si>
  <si>
    <t>13books Capital, Cota Capital, Digital Currency Group, EQT Ventures, HSBC Holdings, Human Capital, Linden3 Ventures, MissionOG, Nahkoda Capital Management, Octopus Ventures, OP Life Assurance Company, Opera Tech Ventures, Plug and Play Tech Center, PostFinance Ventures, Salica Investments, Samudra Pacific Capital Partners, SBI Investment, Scott Robinson, Silverhorn Investment Advisors, Sony Innovation Fund, Steven Kirsch, TempoCap, Tirto Adji</t>
  </si>
  <si>
    <t>www.token.io</t>
  </si>
  <si>
    <t>268744-69</t>
  </si>
  <si>
    <t>Aero Payments</t>
  </si>
  <si>
    <t>Developer of a financial platform designed to help people and businesses move money via bank-to-bank transfers. The company's platform facilitates direct customer-to-business payments through mobile, allowing users to connect their bank accounts and make purchases, enabling businesses to accept compliant, cashless, and contactless payments, and giving customers the freedom to spend.</t>
  </si>
  <si>
    <t>Chicago Ventures, Group 11, Plug and Play Tech Center</t>
  </si>
  <si>
    <t>www.aeropay.com</t>
  </si>
  <si>
    <t>434527-93</t>
  </si>
  <si>
    <t>Eastern Union Interactive</t>
  </si>
  <si>
    <t>Eastern Union Interactive Corp is a Company that offers a safe platform that provides safe and convenient cross-border financial services. Its service scope includes Indonesia, the Philippines, Vietnam, Thailand, etc. which is of positive help in guiding foreign migrant workers to handle remittances through legal channels and thereby establishing inclusive finance. It has obtained a foreign small-amount exchange license for foreign migrant workers in Taiwan. Legal services for foreign migrant workers working in Taiwan, Make cross-border remittances.</t>
  </si>
  <si>
    <t>CTBC Bank (Taiwan), Darwin Venture Management, Fsp Technology, SinoPac Bancorp, UMC Capital</t>
  </si>
  <si>
    <t>www.eui.money</t>
  </si>
  <si>
    <t>434574-37</t>
  </si>
  <si>
    <t>Finom ( Netherlands )</t>
  </si>
  <si>
    <t>Developer of a financial platform designed to combine digital business account benefits with multiple services. The company's platform provides fast onboarding and online financial services all in one place for entrepreneurs and small to medium-sized enterprises, and its services include multi-banking, invoicing, international payments, accounting integration, and expense management, enabling companies to manage financial admin while saving time and money seamlessly.</t>
  </si>
  <si>
    <t>AdFirst, Avala Capital, AVP, Azuro Capital, Begin Capital, Bell Ventures (Limassol), Cogito Capital Partners, Entrée Capital, FJ Labs, Frank Freund, Freesearch Ventures, General Catalyst, Global Tech Ventures, Headline, Ilya Kondrashov, London Technology Club, Michael Stephan, Northzone Ventures, PFR Ventures, Rancilio Cube, S16VC, Tal Capital, Tal Ventures, Tamaz Georgadze, Target Global</t>
  </si>
  <si>
    <t>www.finom.co</t>
  </si>
  <si>
    <t>149932-18</t>
  </si>
  <si>
    <t>Duanrong</t>
  </si>
  <si>
    <t>Operator of a P2P platform designed to change the long-standing unreasonable lending relationship on the market and make credit more valuable. The company's financial information portal provides a variety of simple and flexible lending information intermediary services, enabling clients to choose the correct form of loan according to their requirement.</t>
  </si>
  <si>
    <t>Beijing State-Owned Assets Management, Furen Pharmaceutical Group Industry Company, HSG (Hong Kong), QF Capital</t>
  </si>
  <si>
    <t>www.duanrong.com</t>
  </si>
  <si>
    <t>451024-57</t>
  </si>
  <si>
    <t>Agora Data</t>
  </si>
  <si>
    <t>Developer of an analytics platform intended to help auto dealers and finance companies to build wealth, increase sales, and compete for additional market share. The company's family of auto finance products and suite of tools provides a wide range of critical funding paths so originators can obtain the cash they need to fuel growth, enabling clients to have access to data analytics and planning resources to help optimize the performance of their portfolio.</t>
  </si>
  <si>
    <t>1111 Capital Group, Atalaya Capital Management, Dorm Room Fund, Garage Capital, Waterfall Asset Management</t>
  </si>
  <si>
    <t>agoradata.com</t>
  </si>
  <si>
    <t>463109-59</t>
  </si>
  <si>
    <t>Allocate</t>
  </si>
  <si>
    <t>Developer of a digital financial platform designed to optimize venture capital investing. The company's platform permits limited partners to efficiently discover and access compelling institutional-quality fund opportunities, enabling fund managers to efficiently access retail capital without the hassle of managing smaller checks or the inefficiency of traditional retail fundraising.</t>
  </si>
  <si>
    <t>Andreessen Horowitz, Anthemis, Asilica, Atacama Ventures, Basis Set Ventures, Bedrock (Financial Services), BluePointe Ventures, Broadhaven Capital Partners, CapitalX, Colibri Equity Ventures, Community Access Fund, Fika Ventures, FJ Labs, Gopher Asset Management, INTERA Investments, Interactive Capital Partners, Interallied Group, Liquid 2 Ventures, M13, Michael Sidgmore, Monochrome Capital, Portage, RareBreed Ventures, Realm Capital Ventures, Ripple Capital, Rise Together Ventures, Sagard, Secocha Ventures, SignalFire, Supernode Ventures, Tusk Venture Partners, Ulu Ventures, Unshackled Ventures, Urban Innovation Fund</t>
  </si>
  <si>
    <t>www.allocate.co</t>
  </si>
  <si>
    <t>265341-16</t>
  </si>
  <si>
    <t>Astra</t>
  </si>
  <si>
    <t>Developer of a payments platform designed to facilitate instant money movement across modern payment rails and simplify real-time payment processing for financial transactions. The company's platform offers a single API that spans push-to-card, RTP, FedNow, and ACH, enabling fintech companies and enterprises to integrate real-time payments without building or maintaining underlying payment infrastructure, thereby improving speed and operational efficiency in payment processing.</t>
  </si>
  <si>
    <t>Allegis Capital, Alumni Ventures, Ayokunle Omojola, BDMI, Catapult VC, Chartline Capital Partners, Four Cities Capital, FPV Ventures, Great Oaks Venture Capital, Hard Yaka, Hustle Fund, Jake Gibson, Jetstream (San Francisco), Johnny Ayers, Justin Overdorff, Louis Beryl, Makai VC, Mandela Dixon, Nico Chinot, Nik Milanovic, Nyca Partners, Red Hook Capital, SilverCircle, Slow Ventures, Tommy Leep, Yardley Pohl</t>
  </si>
  <si>
    <t>www.astrafi.com</t>
  </si>
  <si>
    <t>268621-66</t>
  </si>
  <si>
    <t>GROW</t>
  </si>
  <si>
    <t>Developer of a savings and investment management platform designed to create financial well-being for people. The company's platform links bank accounts, rounds up spare change after setting aside funds as savings, tracks, accesses intelligent tips, and sets aside funds as superannuation funds for the future to transform legacy business models and value propositions through trusted data, enabling fund managers to optimize operations.</t>
  </si>
  <si>
    <t>Airtree Ventures, ASX, Brendan Hill, Citigroup, Five V Capital, Greenstone Financial Services, HESTA Industry Super Fund, Hitachi Ventures, Insignia Financial, LeadBlock Partners, Marbruck Investments, R3, Regent Partners (Seoul), Saniel Ventures, SecondQuarter Ventures, South Australian Venture Capital Fund, Voveo Capital, Wunala Capital</t>
  </si>
  <si>
    <t>www.grow.inc</t>
  </si>
  <si>
    <t>459331-84</t>
  </si>
  <si>
    <t>Hakbah</t>
  </si>
  <si>
    <t>Developer of an AI-powered digital savings platform designed to digitize social savings practices and make personal finance more accessible. The company's platform offers machine-learning scoring, early cash flow monitoring, and personalized recommendations, enabling Saudi consumers to manage their savings efficiently and plan for future financial needs.</t>
  </si>
  <si>
    <t>Abdullah Aldosary, Aditum Investment Management, Alhareth Alsuhaibani, Bunat Ventures, Global Ventures (Private Equity), Ibrahim Alfayez, M Capital Investment, M Capital Partners, Mutlaq Alotaibi, Nada Alamoudi, Nuwa Capital, Seraj Marghalani, Tahani Alsalem, Techstars, VentureSouq, Yaser Alghamdi</t>
  </si>
  <si>
    <t>www.hakbah.sa</t>
  </si>
  <si>
    <t>42924-88</t>
  </si>
  <si>
    <t>LiquidX</t>
  </si>
  <si>
    <t>Operator of a global network and fintech platform intended to streamline trade finance and working capital management. The company's platform digitizes the origination, financing, and distribution of trade finance and working capital assets, enabling finance professionals to transact more efficiently with enhanced transparency, reporting, and forecasting.</t>
  </si>
  <si>
    <t>Broadridge Financial Solutions, Christian Luding, Citibank, Eaglehead Capital</t>
  </si>
  <si>
    <t>www.liquidx.com</t>
  </si>
  <si>
    <t>166402-99</t>
  </si>
  <si>
    <t>Morty</t>
  </si>
  <si>
    <t>Developer of a mortgage platform designed to simplify operations for loan officers and brokerages. The company's platform offers fully integrated technology including AI-assisted tools, built-in compliance handling, and access to a wide lender network, and allows users to launch, scale, and manage their businesses, enabling independent brokers and mortgage teams to streamline processes, grow revenue, and reduce operational overhead.</t>
  </si>
  <si>
    <t>Alex Volodarsky, Allon Ventures, Alpaca VC, Elizabeth Wessel, Everywhere Ventures, Fabrice Grinda, FJ Labs, Gideon Hixon Fund, HexGn, Jason Shuman, Kevin Moore, Lerer Hippeau, March Capital, MetaProp, Prudence, Rethink Impact, Right Side Capital Management, Sixty3 VC, SV Angel, Techstars, Thrive Capital, TriplePoint Capital, TTV Capital</t>
  </si>
  <si>
    <t>www.morty.com</t>
  </si>
  <si>
    <t>160818-13</t>
  </si>
  <si>
    <t>Ordermentum</t>
  </si>
  <si>
    <t>B2B Payments, FinTech, FoodTech, SaaS</t>
  </si>
  <si>
    <t>Developer of a digital ordering and payments platform designed to connect wholesale food suppliers with hospitality venues to support efficient trade interactions. The company offers an online platform with ordering tools, automated payment processing, a catalog, data insights, easy supplier discovery, and accounting features, enabling cafes, bars, restaurants, and hospitality businesses to manage their procurement and financial workflows, thereby reducing manual tasks.</t>
  </si>
  <si>
    <t>Aditum Investment Management, Alison Deans, Athletic Ventures (Australia), Bosco Tan, Damon Pezaro, David Gordon, David Skellern, Five V Capital, Gandel Invest, Gasan Investments, Greg Wilkinson, James Spenceley, Matt RockMan, Microequities Asset Management, NAOS Asset Management, Perennial Partners (Funds and Trusts), Stone &amp; Chalk, Touch Ventures, Utiliti Group</t>
  </si>
  <si>
    <t>www.ordermentum.com</t>
  </si>
  <si>
    <t>459451-90</t>
  </si>
  <si>
    <t>Qraft</t>
  </si>
  <si>
    <t>Developer of a financial platform designed to maximize efficiency in investment by minimizing costs. The company's platform maximizes productivity and marketability and can be customized and delivered in areas including investments, autonomous driving, insurance underwriting, and purchasing management, enabling investors to achieve excess returns over traditional market indices.</t>
  </si>
  <si>
    <t>1Q Agile Lab, Dunamu &amp; Partners, KB Innovation HUB, KB Investment, Korea Development Bank, Mirae Asset Global Investments, Mirae Asset Venture Investment, Shinhan Bank, Smilegate Investment, SoftBank Group</t>
  </si>
  <si>
    <t>www.qraftec.com</t>
  </si>
  <si>
    <t>438879-16</t>
  </si>
  <si>
    <t>Superhero</t>
  </si>
  <si>
    <t>Developer of a financial platform designed to make investment accessible and understandable for everyone. The company's platform offers detailed investment tracking and reporting, allowing users to manage their cash flexibly and streamline the process of cash management.</t>
  </si>
  <si>
    <t>www.superhero.com.au</t>
  </si>
  <si>
    <t>490870-81</t>
  </si>
  <si>
    <t>Vesta Innovations</t>
  </si>
  <si>
    <t>Artificial Intelligence &amp; Machine Learning, FinTech, Mortgage Tech, SaaS</t>
  </si>
  <si>
    <t>Developer of mortgage loan origination software and artificial intelligence agents designed to support approval, underwriting, and closing of home loans, operating in the financial services technology industry. The company offers a data-centric, rules-driven, and extensible platform with customizable workflows and open architecture, enabling financial institutions to manage lending processes through configurable systems and intuitive user experiences.</t>
  </si>
  <si>
    <t>A*, Andreessen Horowitz, Bain Capital Ventures, Conversion Capital, Coyne Lloyd, Index Ventures, Innovation Endeavors Management Company, Parker89, Private National Mortgage Acceptance, Temerity Capital Partners, Wischoff Ventures, Zigg Capital</t>
  </si>
  <si>
    <t>www.vesta.com</t>
  </si>
  <si>
    <t>339830-56</t>
  </si>
  <si>
    <t>Vivifi India</t>
  </si>
  <si>
    <t>Operator of an online platform intended to offer innovative financial products to customers across the credit spectrum. The company's proprietary machine learning-based credit decision model and loan management system offer unsecured personal loans to under-prime and near-prime salaried individuals, providing individuals with quick loans through easy application from the application or website.</t>
  </si>
  <si>
    <t>Viernes Holdco.</t>
  </si>
  <si>
    <t>www.vivifin.com</t>
  </si>
  <si>
    <t>493444-90</t>
  </si>
  <si>
    <t>Yuno</t>
  </si>
  <si>
    <t>Developer of payment infrastructure technology designed to integrate the business into the payment and fraud ecosystem. The company's technology offers checkout, routing, and reconciliation that increase revenue by routing transactions to the best processor and retrying declined transactions, and provides a UI to handle all methods while allowing transaction orchestration and reconciliation, enabling enterprises to manage all payment methods and fraud providers through a single integration.</t>
  </si>
  <si>
    <t>Aito Capital, Andreessen Horowitz, Clocktower Ventures, Daniel Bilbao, DST Global, Endeavor Catalyst, Enrique Lafaurie, Foreword, Further Ventures, Gerry Giacomán Colyer, Global PayTech Ventures, GrowthX Capital for Investment, January Capital, Kaszek, Latitud, María Echeverri, Monashees, Mountain Partners, Nazca, Newtopia VC, Nido Management, Norte Ventures, ONEVC, Opera Ventures, QuantumLight Capital, Rasmal Ventures, Ricardo Weder, Saurabh Gupta, Sebastián Ruales, Simon Borrero, Smart Growth Investments, Spectra Investments, Sujay Tile, Tiger Global Management, Web Summit Ventures</t>
  </si>
  <si>
    <t>www.y.uno</t>
  </si>
  <si>
    <t>125083-27</t>
  </si>
  <si>
    <t>Indifi</t>
  </si>
  <si>
    <t>FinTech, Impact Investing</t>
  </si>
  <si>
    <t>Developer of a digital lending platform designed to provide easy access to unsecured business loans for MSMEs. The company offers customized loan products such as term loans, revolving lines of credit, invoice discounting and merchant cash advances, enabling customers to secure funds in 24 hours without collateral.</t>
  </si>
  <si>
    <t>Abhishek Goyal, Accel, Accel India, Arun Tadanki, British International Investment, CX Partners, Elevar Equity, Finnish Fund for Industrial Cooperation, Flourish Ventures, Gagan Hasteer, Gaurav Dalmia, ICICI Venture, Maninder Juneja, Omidyar Network, Parul Mittal, Pramod Bhasin, Rajan Anandan, Startup Haryana, Tracxn Labs</t>
  </si>
  <si>
    <t>www.indifi.com</t>
  </si>
  <si>
    <t>225642-97</t>
  </si>
  <si>
    <t>Citcon</t>
  </si>
  <si>
    <t>Developer of mobile payment platform designed to connect global merchants with consumers. The company's platform provides a network of mobile wallets and digital payment methods to be accepted securely and conveniently, enabling businesses to have a full-stack alternative from payment processing and gateway services to reporting and fund settlement.</t>
  </si>
  <si>
    <t>Assetfort Wealth Management, Beijing TRS Information Technology Company, Bright Pixel Sonae, Cota Capital, Cybernaut Investment (China), Cyberwisdom Learning Solutions, East West Bancorp, Elite Investment, GCP Capital Partners, Hard Yaka, Heda Ventures, LDV Capital, LDV Partners, Momentor Ventures, Norwest, Qiantang Ventures, Race Capital, Shuzhi Technology, Sierra Ventures, Taihill Venture, TSV Capital (Los Altos), Wisemont Capital, Zfounder, ZhenFund, Zheshang Venture Capital</t>
  </si>
  <si>
    <t>www.citcon.com</t>
  </si>
  <si>
    <t>277350-67</t>
  </si>
  <si>
    <t>PayMongo</t>
  </si>
  <si>
    <t>E-Commerce, FinTech, Mobile, Mobile Commerce, SaaS</t>
  </si>
  <si>
    <t>Developer of a mobile payment software designed to make the collection of payments convenient. The company's software is engineered to scale hidden fees and offers embedded checkout forms and shareable payment links with no fees and transaction security, enabling businesses to accept online payments from multiple channels and scale efficiently.</t>
  </si>
  <si>
    <t>Alter Global, Bedrock (Financial Services), Founders Fund, ICCP SBI Venture Partners, JAM Fund, Justin Mateen, Kaya Founders, Mikko Silventola, Peter Thiel, Soma Capital, Stripe, Thiel Macro, VentureSouq, Y Combinator</t>
  </si>
  <si>
    <t>www.paymongo.com</t>
  </si>
  <si>
    <t>399594-97</t>
  </si>
  <si>
    <t>Biller Genie</t>
  </si>
  <si>
    <t>Developer of a cloud-based accounts receivable platform designed to integrate existing business processes for small and midsize businesses. The company's platform automates bill presentation, follow-up, online payments, and reconciliation, enabling clients to streamline workflows and providing customers with a branded, frictionless checkout experience.</t>
  </si>
  <si>
    <t>Chaithanya Sama, Harish Natarajan, Henry Helgeson, NewtekOne, Omar Soliman, Radian Capital, Shai Stern</t>
  </si>
  <si>
    <t>www.billergenie.com</t>
  </si>
  <si>
    <t>458201-62</t>
  </si>
  <si>
    <t>LemFi</t>
  </si>
  <si>
    <t>Developer of a financial platform designed to facilitate international payments and global account management. The company offers seamless multi-currency accounts, low transfer fees, and no monthly subscription costs, enabling individuals across the globe to manage their finances easily and at the best value.</t>
  </si>
  <si>
    <t>Arjuna Toso, Armyn Capital, Berrywood Capital., Big Wok Ventures, Carmine Capital, Cassis &amp; Cassis Capital, Daniel Getman, David Hauslaib, Endeavor Catalyst, Gautam Rao, Global Founders Capital, Goodwater Capital, Guy Antoine, Highland Europe, HoaQ, Irina Azu, Jaireh Tecarro, John-Paul Gallo, Jonathan Effgen, Jonty Knox, Karthikeyan Sathyamoorthy, Kester Goh, Kube VC, Left Lane Capital, Michael Jarmuz, Microtraction, Olive Tree Capital, Ossian Capital, Palm Drive Capital, Patrick Grossmann-Kavanagh, Prodigio Capital, Resilience17, Sathyam Mandra, Silverbacks Holdings, Sprint VC, Stonewater Ventures, Stradford Venture Partners, Tether, Toby Morning, Trajectory Ventures, TrechCircle, Uncovered Fund, Ventures Platform, VentureSouq, William Kearns, Y Combinator, Zrosk Investment Management</t>
  </si>
  <si>
    <t>www.lemfi.com</t>
  </si>
  <si>
    <t>103347-01</t>
  </si>
  <si>
    <t>Toss</t>
  </si>
  <si>
    <t>Developer of a peer-to-peer payment application designed to simplify financial transactions and personal finance management. The company's application offers peer-to-peer money transfers, credit score and bank account management, loan and insurance access, bill splitting, QR payments, and related financial services, enabling users to manage payments and finances through a single platform.</t>
  </si>
  <si>
    <t>1809 Capital, Alkeon Capital Management, Altos Ventures, Arete Capital Asia, Aspex Management, Baillie Gifford, Bessemer Venture Partners, BOND Capital (San Francisco), Cambium Grove Capital, DAOL Investment, Dumac Business Systems, Echo Street Capital Management, Fifth Down Capital, FinSight Ventures, FJ Labs, Forerunner Capital Partners, G Squared, GIC Private, Global Alternative Investment Management, Goodwater Capital, Gorilla Private Equity, Greyhound Capital, Hexagon Ventures, HOF Capital, HSG (Hong Kong), Industrial Bank of Korea, Invariantes Fund, Kleiner Perkins, Korea Development Bank, Korea Investment &amp; Securities, Lerer Hippeau, Light Street Capital Management, Meritech Capital Partners, MSA Capital (Family Office), MW &amp; Company, NALA Investments, NCORE Ventures, Novel Capital (Philippines), Openwater Investment, Partech, Pebbles Investment, Prosto Venture Club, Qualcomm Ventures, RAA Ventures, Ribbit Capital, Saehan Venture Capital, SC Ventures, Skywell Capital Partners, Tekton Ventures, Unicorn Capital Partners (Hong Kong), Viceroy Ventures, Wai Kit Koh, Woori Venture Partners</t>
  </si>
  <si>
    <t>www.toss.im</t>
  </si>
  <si>
    <t>182544-58</t>
  </si>
  <si>
    <t>Phi Commerce</t>
  </si>
  <si>
    <t>Developer of an omnichannel financial platform designed to process digital payments. The company's platform offers a digital enablement suite coupled with comprehensive plans and result-oriented business strategies, enabling clients to ensure frictionless payments and simplified transactions.</t>
  </si>
  <si>
    <t>BEENEXT Capital Management, DG Strategic Investment, NSRCEL-IIMB, The Fintech Meetup, Yatra Angel Network</t>
  </si>
  <si>
    <t>www.phicommerce.com</t>
  </si>
  <si>
    <t>170508-43</t>
  </si>
  <si>
    <t>Nomba</t>
  </si>
  <si>
    <t>Developer of financial software designed to simplify everyday payments and transactions to drive financial growth for individuals and businesses. The company's platform helps to pay bills and transfer money, buy airtime and TV subscriptions, pay electricity bills, withdraw and cash out data subscriptions through digital channels and agent networks, enabling customers to send money and pay bills through digital channels like messaging, mobile, web, and physically through an agent network.</t>
  </si>
  <si>
    <t>4DX Ventures, Base10 Partners, Brian Armstrong, Femi Kuti, Google Accelerator, Helios Investment Partners, Khosla Ventures, Kube VC, Michael Seibel, Musha Ventures, Necessary Ventures, Neil Devani, Next Ventures, Partech, Shopify, Ventures Platform, Vladimir Gidirim, Y Combinator</t>
  </si>
  <si>
    <t>www.nomba.com</t>
  </si>
  <si>
    <t>233232-22</t>
  </si>
  <si>
    <t>Komgo</t>
  </si>
  <si>
    <t>Developer of a trade finance platform designed to digitalize and automate trade finance operations. The company provides a multi-bank trade finance network and software-as-a-service applications that automate the management of trade finance instruments, enabling financial institutions and corporates to centralize and automate trade finance activities across multiple financing partners.</t>
  </si>
  <si>
    <t>Banco Santander, Citi Ventures, Consensys Mesh, Emirates NBD, Fongit, ING Ventures, Santander Corporate &amp; Investment Banking, Sumitomo Mitsui Banking</t>
  </si>
  <si>
    <t>www.komgo.io</t>
  </si>
  <si>
    <t>481392-37</t>
  </si>
  <si>
    <t>CurbWaste</t>
  </si>
  <si>
    <t>Developer of a waste management platform intended to optimize waste recycling operations. The company's platform offers SaaS products that help companies understand their operations through data collection and provide real-time information, enabling clients to increase efficiencies while providing operational transparency.</t>
  </si>
  <si>
    <t>B Capital Group, Flourish Ventures, Mucker Capital, Socium Ventures, Squarepoint Capital, TTV Capital</t>
  </si>
  <si>
    <t>www.curbwaste.com</t>
  </si>
  <si>
    <t>439339-33</t>
  </si>
  <si>
    <t>Heron Data</t>
  </si>
  <si>
    <t>Developer of a document intelligence software designed to automate document-heavy workflows. The company's software automates document intake, data extraction, syncs structured data directly to customer relationship management platforms, digitizes portable document format and bank statements, or ingests open banking data to automate risk metrics calculations and support customers in making proper and fast underwriting decisions, enabling lenders to leverage bank transaction data for underwriting decisions and evaluate the financial health of businesses.</t>
  </si>
  <si>
    <t>Auren Hoffman, BoxGroup, Flex Capital, Insight Partners (New York), Jonathan Levine, Matt Robinson, Musha Ventures, Olima Ventures, Shivaas Gulati, Y Combinator</t>
  </si>
  <si>
    <t>www.herondata.io</t>
  </si>
  <si>
    <t>113912-11</t>
  </si>
  <si>
    <t>KredX</t>
  </si>
  <si>
    <t>Operator of an invoice-discounting platform designed to provide business growth without the hassle of collaterals. The company's platform offers an investment application that connects micro, small, and medium-sized enterprises looking to raise working capital with individual financiers, enabling businesses to gain immediate access to working capital by selling their unpaid receivables.</t>
  </si>
  <si>
    <t>Peak XV Partners, Prime Venture Partners, Tiger Global Management</t>
  </si>
  <si>
    <t>www.kredx.com</t>
  </si>
  <si>
    <t>399125-17</t>
  </si>
  <si>
    <t>ChangTouWang</t>
  </si>
  <si>
    <t>EdTech, FinTech, SaaS</t>
  </si>
  <si>
    <t>Provider of online financial education platform providing investment education, investment information and socialization. The company's platform covers financial management, investment categories and market analysis, enabling investors to establish investment concepts and improve investment skills.</t>
  </si>
  <si>
    <t>Chengwei Capital, Yonghua Capital</t>
  </si>
  <si>
    <t>www.ichangtou.com</t>
  </si>
  <si>
    <t>230595-40</t>
  </si>
  <si>
    <t>Hanxinfintech</t>
  </si>
  <si>
    <t>Big Data, FinTech, Mobile Commerce</t>
  </si>
  <si>
    <t>Provider of mobile payment technology platform designed to offer payment solutions for banks and businesses. The company offers services in payment platform creation, big data surveillance, risk management, credit loan system, enabling institutions to benefit from mobile payment technologies.</t>
  </si>
  <si>
    <t>Broadhi Capital, Enwei Capital, JIF Capital, Kingnet Internet Technology, New Access Capital, Trustbridge Partners</t>
  </si>
  <si>
    <t>www.bypay.cn</t>
  </si>
  <si>
    <t>338583-07</t>
  </si>
  <si>
    <t>3S Money</t>
  </si>
  <si>
    <t>Artificial Intelligence &amp; Machine Learning, B2B Payments, FinTech, Mobile</t>
  </si>
  <si>
    <t>Provider of international payment and foreign exchange (FX) services intended to support global business-to-business transactions. The company offers online payment and FX services that allow merchants to send and receive payments worldwide through multiple banks, enabling businesses to execute high-value transactions and trade in major currencies reliably and cost-effectively.</t>
  </si>
  <si>
    <t>3S Investments, Maxfield Capital, TMT Investments, Visor Ventures</t>
  </si>
  <si>
    <t>www.3s.money</t>
  </si>
  <si>
    <t>53488-09</t>
  </si>
  <si>
    <t>Quantifind</t>
  </si>
  <si>
    <t>Developer of a financial crime intelligence automation platform designed for risk detection and mitigation. The company's platform integrates internal data with complex, unstructured public information to deliver real-time risk assessments, uncover hidden threats, and reduce false positives with unprecedented accuracy, speed, and scale, enabling organizations to collaborate with trusted entities, focus on critical risks, and strengthen compliance with greater confidence and precision.</t>
  </si>
  <si>
    <t>Citi Ventures, Deloitte Ventures, DNS Capital, In-Q-Tel, MoonPay Ventures, Nomura Strategic Ventures, Rick Prostko, S&amp;P Global, Snowflake Ventures, Summit Partners, The Stephens Group, U.S. Venture Partners, Valor Equity Partners</t>
  </si>
  <si>
    <t>www.quantifind.com</t>
  </si>
  <si>
    <t>229787-65</t>
  </si>
  <si>
    <t>RenoFi</t>
  </si>
  <si>
    <t>Developer of a renovation financing marketplace intended to connect homeowners and local banks. The company's platform offers renovation loans at competitive rates and home valuation services, enabling homeowners to get an instant loan and increase the mortgage value of their property.</t>
  </si>
  <si>
    <t>Alumni Ventures, Anthony Bucci, Canaan Partners, Comcast Ventures, Curql, Fifth Wall, First Round Capital, Flintlock Capital, Gaingels, HighSage Ventures, Moderne Ventures, Mosaic General Partnership, Next Level Ventures, Nyca Partners, Progressive Insurance, TruStage Ventures</t>
  </si>
  <si>
    <t>www.renofi.com</t>
  </si>
  <si>
    <t>472475-80</t>
  </si>
  <si>
    <t>Yonder (Financial Software)</t>
  </si>
  <si>
    <t>Developer of a credit card platform designed to give individuals control of their financial future. The company tool provides users with credit cards and shows the interest and fees directly without any hidden charges and offers smart fraud protection, payment notifications, and purchase protection, enabling clients to access credit cards with no credit history.</t>
  </si>
  <si>
    <t>Blackwood Ventures (Denmark), Carlos Gonzalez-Cadenas, Chris Corbishley, CircleRock Capital, Frank Strausse, Global VC, Joseph Moore, Kunal Shah, Mark Ransford, Matt Robinson, Michael Pennington, NatWest Group, Northzone Ventures, Oliver Kent-Braham, Phoenix Court, Repeat Ventures, Rio Ferdinand, RTP Global, Sabou Capital, Seedcamp, Sharmadean Reid, Tech Nation Group, Unpopular Ventures, Upfin Management, William Neale</t>
  </si>
  <si>
    <t>www.yonder.com</t>
  </si>
  <si>
    <t>608887-81</t>
  </si>
  <si>
    <t>Maxima</t>
  </si>
  <si>
    <t>Developer of an AI-based accounting platform designed for teams to organize their close, streamline reconciliations, and leverage auto-drafted flux analysis. The company's platform offers automated bank reconciliations, accruals automation, revenue and prepaid expense reconciliation, and auto-drafted flux analysis, enabling companies to streamline and speed up the month-end close process.</t>
  </si>
  <si>
    <t>Audacious Ventures, Crossover VC, Joseph Montana, Kleiner Perkins, Redpoint Ventures</t>
  </si>
  <si>
    <t>www.maxima.ai</t>
  </si>
  <si>
    <t>267781-60</t>
  </si>
  <si>
    <t>Paytient</t>
  </si>
  <si>
    <t>FinTech, HealthTech, InsurTech, SaaS</t>
  </si>
  <si>
    <t>Developer of a financial platform intended to increase the company's deductible health plan adoption. The company's platform allows employees to pay any medical, dental, vision, or veterinary bill over time via interest-free, payroll-deducted payment plans, enabling users to reduce the delay in treatment due to financial anxiety.</t>
  </si>
  <si>
    <t>Bertelsmann Investments, BoxGroup, Commerce Bank, Cultivation Capital, Eagle Point Trinity Senior Secured Lending Company, Felicis, Gallery Ventures, Inspired Capital (New York), Jon Davidman, Jonny Weinstock, Joseph Speiser, Lachy Groom, Left Lane Capital, Lightbank (Venture Capital), Mercato Partners, Missouri Innovation Center, Sam Marks, The Box Group, Treville Capital Group, Trinity Capital (Phoenix)</t>
  </si>
  <si>
    <t>www.paytient.com</t>
  </si>
  <si>
    <t>166234-87</t>
  </si>
  <si>
    <t>Iban</t>
  </si>
  <si>
    <t>Developer of a cross-continental peer-to-peer lending network designed to obtain secure loans. The company offers loans for construction projects, homes, businesses, and more at competitive interest rates, enabling clients to get alternatives to traditional banks to get affordable loans.</t>
  </si>
  <si>
    <t>Sego Finance</t>
  </si>
  <si>
    <t>www.ibanonline.com.do</t>
  </si>
  <si>
    <t>224307-91</t>
  </si>
  <si>
    <t>SteadyIQ</t>
  </si>
  <si>
    <t>Big Data, Cybersecurity, Mobile</t>
  </si>
  <si>
    <t>Developer of a consent-based income verification platform designed to streamline benefit applications, reduce administrative burden, and prevent fraud. The company's platform retrieves real-time income data directly from bank accounts, digital wallets, and payroll providers, identifies inconsistencies and monitors for suspicious patterns using AI-powered algorithms, and aggregates and verifies all income, enabling government agencies and lenders to streamline income verification, reduce improper payments, and eliminate associated administrative costs.</t>
  </si>
  <si>
    <t>25madison, Advanced Technology Development Center, Blue Equity, Chaos Ventures (New York), Clocktower Ventures, Commerce Ventures, Experian Ventures, Fintech71, Flourish Ventures, Gaingels, Loeb.nyc, Omidyar Network, Propel Venture Partners, Recruit Strategic Partners, The Family Fund, TruStage Ventures, WndrCo</t>
  </si>
  <si>
    <t>www.steadyiq.com</t>
  </si>
  <si>
    <t>481447-27</t>
  </si>
  <si>
    <t>equipifi</t>
  </si>
  <si>
    <t>Operator of a financial software intended to remove friction in the payments ecosystem. The company's technology platform provides banks and credit unions with buy now, pay later solutions and also offers automatic push notifications, and emails, online and mobile banking integration for simple user experience, and dashboard access to real-time visibility in performance and usage, enabling consumers with reduced friction to utilize the benefits of buy now, pay later.</t>
  </si>
  <si>
    <t>AZ Disruptors, Baleon Capital, Bankers Helping Bankers Fund, Curql, FIS Fintech Accelerator, Jack Henry &amp; Associates, Jordan Wright, Left Lane Capital, New Stack Ventures, Next Level Ventures, PHX Ventures, Revolution (Washington DC), SaaS Ventures, SixThirty Ventures, The Venture Center</t>
  </si>
  <si>
    <t>www.equipifi.com</t>
  </si>
  <si>
    <t>267553-18</t>
  </si>
  <si>
    <t>Jaris</t>
  </si>
  <si>
    <t>Developer of a financial services platform intended to fulfill financing needs without taking on credit risk. The company's tool leverages expertise from underwriting to financing and servicing with quick working capital advances and loans that are repaid with a percentage of daily card sales processed through partner payment systems, enabling businesses to increase customer retention and revenue while helping their merchants grow.</t>
  </si>
  <si>
    <t>345 Partners, Franklin Resources, Informed Ventures, Makai VC, Wing Venture Capital</t>
  </si>
  <si>
    <t>www.jaris.io</t>
  </si>
  <si>
    <t>279461-89</t>
  </si>
  <si>
    <t>Welligence</t>
  </si>
  <si>
    <t>Developer of a machine learning data and analytics platform designed to forecast international oil and gas assets. The company's platform is based on data-driven decision-making, valuation models and investment screening algorithms to quantify nearly every piece of upstream developments and the valuations that are assisted by back-tested production forecasts at the individual well-level, enabling companies to get opportunity screening and benchmarking efficiently for asset valuations, interactive maps and future value.</t>
  </si>
  <si>
    <t>Alexandre Nogueira, Donald Zilkha, Elephant Partners, Energy &amp; Development Group, Ferris Hussein, Global Reserve Group, J. MENDES, Michael Kearns, Quantum Capital Group (Houston), R. Harris, Robert Israel, Stephan Farber, Veriten, Weiss Tech House, Zilkha Investments</t>
  </si>
  <si>
    <t>www.welligence.com</t>
  </si>
  <si>
    <t>490706-65</t>
  </si>
  <si>
    <t>Zippy</t>
  </si>
  <si>
    <t>Developer of a home loan origination and servicing platform designed to elevate the manufactured home-buying experience. The company's platform offers lending, house financing, house mortgage services, and manufactured home loan options, enabling homebuyers to finance the purchase of a property conveniently.</t>
  </si>
  <si>
    <t>Brand Foundry Ventures, Capital Factory, First Bank of Conroe, Forum Markets</t>
  </si>
  <si>
    <t>www.zippymh.com</t>
  </si>
  <si>
    <t>454548-88</t>
  </si>
  <si>
    <t>Markaaz</t>
  </si>
  <si>
    <t>Developer of a global business identity platform designed for small business data and application programming interfaces for onboarding, verification, and monitoring. The company's platform onboards small to medium-sized businesses faster through its no-code and low-code API services for verification and monitoring to provide certain data by the SMB end-user and data interoperability key with a better way to run business and improve financial health, enabling companies to provide better and personalized services, all while increasing enterprise customer growth, cost savings, and regulatory compliance.</t>
  </si>
  <si>
    <t>MasterCard, Sandy Watkins, XYZ Venture Capital</t>
  </si>
  <si>
    <t>www.markaaz.com</t>
  </si>
  <si>
    <t>102767-86</t>
  </si>
  <si>
    <t>Sharestates</t>
  </si>
  <si>
    <t>Operator of an online marketplace platform designed to connect real estate developers seeking capital with accredited investors interested in asset-backed real estate debt investments. The company's platform offers private lending options for various real estate projects, supports low investment minimums, uses a multi-step risk assessment, ensures transparency with detailed reporting and SOC-2 compliance, enabling developers and accredited investors to access efficient, secure, and diversified funding or investment opportunities.</t>
  </si>
  <si>
    <t>FinTech Innovation Lab, Intercap, RDL Realisation PLC</t>
  </si>
  <si>
    <t>www.sharestates.com</t>
  </si>
  <si>
    <t>464385-52</t>
  </si>
  <si>
    <t>Sunday App</t>
  </si>
  <si>
    <t>Artificial Intelligence &amp; Machine Learning, FinTech, Mobile, Restaurant Technology, SaaS</t>
  </si>
  <si>
    <t>Developer of a Quick Response (QR)-based payment application designed to make payments in restaurants. The company's application uses artificial intelligence to track past bills and food allergies and saves users' favorite payment methods, enabling restaurants to increase table turnover rates by offering a way to check the menu and pay without touching anything.</t>
  </si>
  <si>
    <t>Big Mamma, Coatue Management, Convivialité Ventures, Deltalpha Capital, DST Global, HEC Ventures, Liberty Equity Management, Xavier Niel</t>
  </si>
  <si>
    <t>www.sundayapp.com</t>
  </si>
  <si>
    <t>442682-56</t>
  </si>
  <si>
    <t>Targeted Lending</t>
  </si>
  <si>
    <t>Provider of equipment financing services intended to offer lending and funding options to small businesses. The company offers proprietary systems, wall street backing, and all transactions are uploaded into the online system, so users can track the status of their deals in real-time, enabling businesses to stay competitive.</t>
  </si>
  <si>
    <t>www.targetedlending.com</t>
  </si>
  <si>
    <t>519701-32</t>
  </si>
  <si>
    <t>ZILO</t>
  </si>
  <si>
    <t>Operator of a cloud-native transfer agency and wealth management platform intended to modernize fund operations and investor servicing for financial institutions. The company's platform offers AI-driven software solutions for digital asset management, regulatory compliance, and data processing, enabling global asset managers and banks to replace legacy systems, optimize operational resiliency, and transform static records into dynamic assets.</t>
  </si>
  <si>
    <t>Altered Capital, Aspen Ventures (London), Citigroup, Fidelity International Strategic Ventures, Portage, Ripple, Sagard, State Street</t>
  </si>
  <si>
    <t>www.zilo.co.uk</t>
  </si>
  <si>
    <t>108464-68</t>
  </si>
  <si>
    <t>peramoko</t>
  </si>
  <si>
    <t>Developer of a financial platform designed to offer pre-qualified loans. The company's platform facilitates credit decisions, digital banking software, analytics, and risk management, as well as digital sales and distribution, and regulatory reporting and technology, enabling clients to discover and track their credit history and increase their access to loans.</t>
  </si>
  <si>
    <t>Barito Pacific, DEG, Experian Ventures, FengHe Fund Management, Fuchsia Venture Capital Company, InterVest, Jasrag Investments, Kejora Capital, Kickstart Ventures, Korea Investment Partners, Monk's Hill Ventures, Mountain Partners, Propan, responsAbility Investments, Samator Group, Socrates Capital, Titanium Ventures</t>
  </si>
  <si>
    <t>www.peramoko.com</t>
  </si>
  <si>
    <t>222343-93</t>
  </si>
  <si>
    <t>Neliöt Liikkuu</t>
  </si>
  <si>
    <t>Artificial Intelligence &amp; Machine Learning, Big Data, FinTech, Real Estate Technology, TMT</t>
  </si>
  <si>
    <t>Provider of property management services designed to facilitate secure trading for real estate properties. The company's platform leverages machine learning and automation to offer a home price appraisal tool that computes price estimates of various real estate properties, enabling homeowners to get instant offers on their properties avoiding uncertainty, fees, and open house troubles.</t>
  </si>
  <si>
    <t>A.GAIN, Adevinta Ventures, FJ Labs, KI Capital, Kristian Penttila, Urban Partners (Denmark), Vend Marketplaces</t>
  </si>
  <si>
    <t>www.neliotliikkuu.fi</t>
  </si>
  <si>
    <t>339784-84</t>
  </si>
  <si>
    <t>Hum Capital</t>
  </si>
  <si>
    <t>Developer of a capital funding software designed to make raising institutional capital manageable and transparent. The company's platform uses artificial intelligence technology to translate volumes of a company's financial data into a clear picture of their value to help them fundraise with confidence and on the terms for their business and also allows investors to gain investment insights and a personalized deal flow built on company data, enabling investors and companies to get an expedited process of raising funding that cuts out the time-consuming elements of pitching and data aggregation.</t>
  </si>
  <si>
    <t>AME Cloud Ventures, Bonfire Ventures, Disruptive Technologies Venture Capital, Draper Associates, Future Ventures (San Francisco), Greycroft, Howard Morgan, Hurt Family Investments, Invesco, Open Field Capital, Partech, PLG Ventures, Stuart Roden, Tekton Ventures, Wavemaker Partners, Webb Investment Network</t>
  </si>
  <si>
    <t>www.humcapital.com</t>
  </si>
  <si>
    <t>227073-34</t>
  </si>
  <si>
    <t>CredAble (Financial Software)</t>
  </si>
  <si>
    <t>Developer of a supply chain financing platform intended to facilitate working capital management across Asia. The company's platform combines technology, financing, deep learning, and analytics to create financing products and investments, as well as help vendors receive their payments against their approved invoices, enabling companies to receive revenue share-based financial services.</t>
  </si>
  <si>
    <t>Acasia Ventures, Axis Bank, Equentia Natural Resources, NASSCOM DeepTech Club, OAKS Asset Management, Plutus Wealth Management, UBR Capital, Ventures Platform</t>
  </si>
  <si>
    <t>www.credable.in</t>
  </si>
  <si>
    <t>539199-10</t>
  </si>
  <si>
    <t>Vridhi Home Finance</t>
  </si>
  <si>
    <t>Operator of a housing finance company intended to bring the underserved and unserved population into the financial mainstream. The company provides cost-effective housing finance to create a channel for secured housing loans and serves salaried and self-employed individuals in tier two and three cities across India, providing customers with a better standard of living by helping them own a dream home.</t>
  </si>
  <si>
    <t>Elevation Capital (India), Norwest</t>
  </si>
  <si>
    <t>www.vridhihomefinance.com</t>
  </si>
  <si>
    <t>55865-17</t>
  </si>
  <si>
    <t>iwoca</t>
  </si>
  <si>
    <t>Expected 01-Dec-2026</t>
  </si>
  <si>
    <t>Operator of a credit finance platform intended to assist small businesses in getting the finance they need. The company's platform provides unsecured business loans and short-term cash loans along with access to funding for inventory, technology, employees, and international expansion, enabling clients to get approved for a loan through an online application process.</t>
  </si>
  <si>
    <t>10X Group, Acton Capital, Augmentum Fintech, Banking Competition Remedies, Beyond Digital, CommerzVentures, Global Founders Capital, Intesa Sanpaolo, Matteo Sotti, Michael Baptista, NEVA SGR, Prime Ventures, Redline Capital Management, Shawbrook Bank, Talis Capital, The Future Fund, Verdane</t>
  </si>
  <si>
    <t>www.iwoca.co.uk</t>
  </si>
  <si>
    <t>462963-07</t>
  </si>
  <si>
    <t>Bureau</t>
  </si>
  <si>
    <t>Cybersecurity, FinTech, Mobile</t>
  </si>
  <si>
    <t>Developer of a no-code identity and risk orchestration platform designed to facilitate end-to-end identity verification, compliance, and fraud prevention for new-age businesses. The company's platform offers digital identity, risk management, and fraud prevention in the mobile space by enhancing Know Your Customer (KYC), authentication, and authorization on a real-time basis, enabling clients to accelerate transactions with one-tap login and one-click checkout.</t>
  </si>
  <si>
    <t>AIC ISB, Blume Venture Advisors, Commerce Ventures, Core91 VC, Emphasis Ventures (EMVC), GMO Payment Gateway, GMO Venture Partners, I-Venture @ISB, Mark Britton, Okta Ventures, PayPal Ventures, Quona Capital, Siddharth Mehta, Sorenson Capital, Sweat Equity Ventures, The General Partnership, TIDES Business Incubator, Venkat Srinivasan, Village Global, XYZ Venture Capital</t>
  </si>
  <si>
    <t>www.bureau.id</t>
  </si>
  <si>
    <t>228510-01</t>
  </si>
  <si>
    <t>Thirdfort</t>
  </si>
  <si>
    <t>Legal Tech, Real Estate Technology, SaaS</t>
  </si>
  <si>
    <t>Developer of an intelligent client due diligence platform designed to streamline client onboarding processes across regulated industries. The company offers automated identity verification, risk assessment tools, and real-time compliance monitoring, enabling legal, property, and financial services firms to accelerate onboarding and maintain regulatory compliance.</t>
  </si>
  <si>
    <t>13books Capital, Alexander Chesterman, Andrew Mullinger, Breega, Charles Delingpole, Chestertons UK Services, Christopher Marks, David Rutter, Dev Subrata, Geovation, Grosvenor Hill Ventures, Innovate UK, James Meekings, Knight Frank, L Marks, Lawyer Checker, Marc Murphy, MDR Lab, Pepper Advantage, Savills North America, Thomas Adams, Timothy Sadler, Todd McDonald</t>
  </si>
  <si>
    <t>www.thirdfort.com</t>
  </si>
  <si>
    <t>467238-07</t>
  </si>
  <si>
    <t>Butter Payments</t>
  </si>
  <si>
    <t>Artificial Intelligence &amp; Machine Learning, B2B Payments, Big Data, FinTech, Mobile, SaaS</t>
  </si>
  <si>
    <t>Developer of a financial management platform designed to mitigate accidental payment failure. The company's platform offers pre-built no-code integrations with existing service providers to make sure legitimate transactions go through and are not flagged as fraud, enabling firms to decrease the loss of revenue due to involuntary churn.</t>
  </si>
  <si>
    <t>Atomic (Private Equity), BEA Venture Fund, Norwest, Springtide, Transpose Platform Management, Zeal Talent Ventures</t>
  </si>
  <si>
    <t>www.butterpayments.com</t>
  </si>
  <si>
    <t>807589-90</t>
  </si>
  <si>
    <t>Etherealize</t>
  </si>
  <si>
    <t>Developer of blockchain infrastructure designed for secure and compliant digital asset ecosystems. The company's platform brings tokenized assets, institutional L2s, and applications to facilitate Wall Street activity moving onto Ethereum. It integrates permissioned networks, automated compliance, and on-chain governance, enabling financial institutions and enterprises to manage digital transactions with transparency, interoperability, and regulatory alignment.</t>
  </si>
  <si>
    <t>Electric Capital, Ethereum, Paradigm, Starbloom Capital, Vitalik Buterin</t>
  </si>
  <si>
    <t>www.etherealize.com</t>
  </si>
  <si>
    <t>163783-63</t>
  </si>
  <si>
    <t>Finexio</t>
  </si>
  <si>
    <t>Artificial Intelligence &amp; Machine Learning, B2B Payments, E-Commerce, FinTech, SaaS</t>
  </si>
  <si>
    <t>Developer of a payment platform designed to simplify accounts payable payments for medium and large corporations. The company's platform identifies which suppliers can be paid electronically and then routes payments to suppliers without requiring bank account information and eliminates paper-based cheques for accounts payable departments, enabling businesses to transfer payments directly to suppliers' and seller's bank accounts at discounted rates to avoid swiped payments, cash transaction costs, and currency conversion charges.</t>
  </si>
  <si>
    <t>1st &amp; Main Growth Partners, Advection Growth Capital, Alpine Meridian, Anil Aggarwal, Banc of California, Christian Wyatt, Coelius Capital, David Fogel, David Truetzel, Discover Financial Services, Dynamic Leap, EOM Investments, Ernest Pomerantz, Five Stones Investment Group, Florida Funders, Geoffrey Judge, J.P. Morgan, James Heistand, Joseph Proto, Karl Kapital, Keith Meyers, Loeb.nyc, Louis DeRose, MacDonald Ventures, Mark Abramowitz, Medalist Partners (New York), Mendon Venture Partners, MFP Ventures, National Bank Holdings, Natural Bridge Ventures, Patriot Financial Partners, Paul Friday, Peter Wirth, Post Road Partners, Preceptor Capital, Ronnie Selinger, Shai Stern, Stormbreaker Ventures, Sunil Sabharwal, The Bank Funds, Trog Hawley Capital, Valley National, Valley Ventures, Vincent Passione</t>
  </si>
  <si>
    <t>www.finexio.com</t>
  </si>
  <si>
    <t>100467-91</t>
  </si>
  <si>
    <t>ToneTag</t>
  </si>
  <si>
    <t>E-Commerce, FinTech, Mobile, Mobile Commerce, TMT</t>
  </si>
  <si>
    <t>Developer of a mobile payment platform designed to offer cashless and contactless payment services on all devices. The company's platform facilitates contactless money withdrawals with the help of data-over-sound technology from ATMs, cashless payments at toll plazas and parking, as well as mobile payments at railway ticket counters, enabling users to stay connected to their wallet, with or without data connectivity for secure proximity payments.</t>
  </si>
  <si>
    <t>Aakash Prakash, Amazon.com, Anand Chandrasekaran, Arun Seth, Deepak Ghaisas, Elevate Capital Group, Elevate Innovation Partners, MasterCard, Mohandas Pai, NASSCOM DeepTech Club, Neeraj Baghel, Nilesh Trivedi, Plug and Play Tech Center, Qatar FinTech Hub Wave, Qualcomm Ventures, Rajesh Yohannan, Reliance Venture Asset Management, Scale Investment Funds, Start Path, T. Kurien, ValueQuest Investment Advisors</t>
  </si>
  <si>
    <t>www.tonetag.com</t>
  </si>
  <si>
    <t>62620-57</t>
  </si>
  <si>
    <t>Tradier</t>
  </si>
  <si>
    <t>Developer of a cloud-based financial services and brokerage platform designed to improve trade execution. The company's platform offers trading access, real-time market data, and account opening and funding, enabling investors, advisers, and traders to access brokerage with transparent pricing.</t>
  </si>
  <si>
    <t>Doug Nelson, Eight Roads, F-Prime Capital, KF Business Ventures, PEAK6 Investments, Robert Kopple, Shervin Ghaemmaghami</t>
  </si>
  <si>
    <t>www.tradier.com</t>
  </si>
  <si>
    <t>503868-52</t>
  </si>
  <si>
    <t>Grain (Financial Services)</t>
  </si>
  <si>
    <t>Developer of a fintech company intended to deliver automated, precision-tailored capital markets products optimized for micro-transactions. The company's cross-currency hedging technology integrates into third-party software applications and business platforms, allowing users to seamlessly protect from currency rates and also offers a free exposure analysis tool, enabling businesses to gain better insight into their specific cross-currency risks.</t>
  </si>
  <si>
    <t>9Yards Capital Management, Aleph (Israel), Bain Capital Ventures, Barclays, Deutsche Bank, FJ Labs, Hanaco Ventures, Melio, Phoenix Court, Riskified, Vesey Ventures</t>
  </si>
  <si>
    <t>www.grainfinance.com</t>
  </si>
  <si>
    <t>234972-64</t>
  </si>
  <si>
    <t>TreasurySpring</t>
  </si>
  <si>
    <t>Developer of a cash investment platform designed to revolutionize institutional short-term funding markets. The company's platform is based on applied legal, financial, and operational technology, which facilitates the creation, issuance of, and investment in a new class of financial instruments, enabling investors and lenders to diversify from their current exposure to unsecured financial institutions' risk while increasing security and increasing yields.</t>
  </si>
  <si>
    <t>Anthemis, Balderton Capital, Black Lion Group, Chris Adelsbach, Eden Rock Capital Management, ETFS Capital, Grow London, MMC Ventures</t>
  </si>
  <si>
    <t>www.treasuryspring.com</t>
  </si>
  <si>
    <t>45248-32</t>
  </si>
  <si>
    <t>SmartBiz</t>
  </si>
  <si>
    <t>Operator of an AI-powered small business financing platform intended to provide small businesses with low-cost loans. The company's platform matches loan applications with trusted banks that are likely to fund businesses, enabling clients with the required finance to meet their needs.</t>
  </si>
  <si>
    <t>Baseline Ventures, BRONZE (California), Catapult VC, Enova International, First Round Capital, Mark Goines, Patricia Industries, PayPal Holdings, Steve Anderson, SV Angel, Uncork Capital, Venrock</t>
  </si>
  <si>
    <t>mrktstatic.smartbizloans.com</t>
  </si>
  <si>
    <t>183716-92</t>
  </si>
  <si>
    <t>Meritize</t>
  </si>
  <si>
    <t>Developer of a merit-based lending platform designed to expand access to skills-based education. The company offers a proprietary evaluation model that incorporates academic, military, and work achievements alongside traditional credit assessments, which taps into students' academic data to expand student lending opportunities, enabling individuals pursuing vocational training and certification programs to secure funding opportunities previously limited to those with traditional credit histories.</t>
  </si>
  <si>
    <t>Aegon Asset Management, Chicago Ventures, Chief Labour Commissioner (Central), City Light Capital, Colchis Capital Management, College Loan Corporation, Cube Financial Holdings, ECMC Group - Education Impact Fund, PC Squared (Salt Lake City), University Ventures</t>
  </si>
  <si>
    <t>www.meritize.com</t>
  </si>
  <si>
    <t>232231-78</t>
  </si>
  <si>
    <t>Trust Science</t>
  </si>
  <si>
    <t>Seed Round</t>
  </si>
  <si>
    <t>Developer of a virtual loans officer designed to assess borrower creditworthiness and support lending decisions. The company offers an AI (artificial intelligence)-powered credit bureau platform with advanced credit profiling and risk evaluation capabilities, enabling banks and lending institutions improved credit decision-making and expanded access to lending.</t>
  </si>
  <si>
    <t>David Ebersman, Donald Guloien, Plug and Play Tech Center</t>
  </si>
  <si>
    <t>www.trustscience.com</t>
  </si>
  <si>
    <t>117829-63</t>
  </si>
  <si>
    <t>Shopic</t>
  </si>
  <si>
    <t>Artificial Intelligence &amp; Machine Learning, FinTech, Mobile, Mobile Commerce, SaaS</t>
  </si>
  <si>
    <t>Developer of AI-powered digitalization technology designed to merge online commerce with physical retail for seamless, personalized shopping experiences. The company offers computer vision-based loss prevention, featuring a smart cart device with automated product recognition and retail media capabilities. This enables retailers to reduce fraud, understand shopper behavior, and enhance in-store operations.</t>
  </si>
  <si>
    <t>Alicorn, Clal Insurance Enterprises Holdings, Claridge Israel, DNX Ventures, Entrée Capital, IBI Tech Fund, ICON (Other Commercial Services), Legziel Family, Qualcomm Ventures, SeedIL Ventures, Shufersal, SigmaLabs Accelerator, Spring Ventures (Israel), Tal Ventures, Vintage (Private Equity)</t>
  </si>
  <si>
    <t>www.shopic.co</t>
  </si>
  <si>
    <t>106888-87</t>
  </si>
  <si>
    <t>Ripjar</t>
  </si>
  <si>
    <t>Artificial Intelligence &amp; Machine Learning, Big Data, Cybersecurity, SaaS</t>
  </si>
  <si>
    <t>Developer of a data intelligence platform designed to automate the detection, investigation, and monitoring of threats from criminal activity. The company's platform utilizes artificial intelligence and data visualization to integrate data sources, improve workflow, store and share mission-critical intelligence, along with analytics reports, enabling organizations and governments to solve complex risk and security management problems at scale.</t>
  </si>
  <si>
    <t>Accenture, Accenture Ventures, CyLon Ventures, Daher Investment Management, Dow Jones &amp; Company, FinTech Innovation Lab, Long Ridge Equity Partners, Winton Ventures</t>
  </si>
  <si>
    <t>www.ripjar.com</t>
  </si>
  <si>
    <t>489650-77</t>
  </si>
  <si>
    <t>UPTIQ</t>
  </si>
  <si>
    <t>Developer of an AI agent platform designed to automate and optimize financial services workflows across lending, digital banking, and wealth management. The company's platform offers purpose-built AI agents, low-code agent building tools, pre-trained finance-specific models, and integrations with core banking and wealth systems, enabling banks, credit unions, fintech firms, and non-bank lenders to accelerate decision-making, improve compliance, and scale operations efficiently.</t>
  </si>
  <si>
    <t>645 Ventures, BAT VC, Broadridge Financial Solutions, Cota Capital, Curql, EPIC Ventures, Evolution (Venture Capital), Evolution Ventures, Green Visor Capital, Greycroft, H.E.N.R.Y Collective, Hourglass Capital (California), Hourglass Capital Partners, Live Oak Ventures, Louis Lehot, Next Level Ventures, Opulentia, Porter Sablan Capital, Silverton Partners, Tau Ventures, Ulu Ventures</t>
  </si>
  <si>
    <t>www.uptiq.ai</t>
  </si>
  <si>
    <t>494492-50</t>
  </si>
  <si>
    <t>Highbeam</t>
  </si>
  <si>
    <t>Developer of a fintech platform designed to automate cash flow for e-commerce entrepreneurs. The company's platform helps to use cash accounts and business visa cards with no fees, create multiple cards with different limits to manage vendors and spending and cashback on all marketing expenses, enabling companies to keep in control of their dealings through easy-to-understand insights and clear actions.</t>
  </si>
  <si>
    <t>Acrew Capital, Boon Fund Management, Deviation Capital, FirstMark Capital, GSF India, Mana Ventures, Mayfield Fund, SuperAngel.Fund, Vesey Ventures</t>
  </si>
  <si>
    <t>www.highbeam.com</t>
  </si>
  <si>
    <t>148838-23</t>
  </si>
  <si>
    <t>Progressa</t>
  </si>
  <si>
    <t>Provider of financial and loan consolidation services intended to facilitate and ensure improved credit. The company's services use data science to build its customer scoring models and provide consumers a second chance to improve their credit ratings, enabling users to take out loans conveniently.</t>
  </si>
  <si>
    <t>Ali Pourdad, Canaccord Genuity, Conconi Growth Partners, Cypress Hills Capital, Gravitas Securities, Hash Aboulhosn, Nathan Slee, Paradigm Capital, Pourdad Capital Partners, Richardson GMP</t>
  </si>
  <si>
    <t>www.progressa.com</t>
  </si>
  <si>
    <t>231107-41</t>
  </si>
  <si>
    <t>iPaynow</t>
  </si>
  <si>
    <t>FinTech, Marketing Tech</t>
  </si>
  <si>
    <t>Developer and provider of intelligent digital marketing solutions designed for enterprises operation. With customized deployment system, one-stop application platform, blockchain and other digital marketing technologies, the company offers intelligent operation and marketing services, enabling enterprise users to increase operating efficiency and revenue.</t>
  </si>
  <si>
    <t>China Merchants Venture Capital, Huagai Capital</t>
  </si>
  <si>
    <t>www.ipaynow.cn</t>
  </si>
  <si>
    <t>268081-48</t>
  </si>
  <si>
    <t>Arival Bank</t>
  </si>
  <si>
    <t>Provider of digital banking services intended to empower businesses of all sizes to thrive in the borderless economy. The company offers seamlessly accessible USD and multi-currency bank accounts, integrated domestic and international payments, and a suite of tailored financial tools, enabling businesses to manage their finances efficiently, transact globally, and scale their operations without borders.</t>
  </si>
  <si>
    <t>Arumugam Yathurshan, Diana Cereda, Kay Ake, Love Capital, Mbanq, Murali Karthik, Polyvalent Capital, Ritesh Rampure, Rodrigo Ferreira, Stuart Sims</t>
  </si>
  <si>
    <t>arival.com</t>
  </si>
  <si>
    <t>534447-82</t>
  </si>
  <si>
    <t>Casca</t>
  </si>
  <si>
    <t>Developer of a loan origination system designed for automating manual banking tasks. The company's system uses artificial intelligence technology and streamlines processes like document collection for loans, account setup, and compliance procedures, enabling banks, credit unions and non-bank lenders to originate commercial loans with less manual effort.</t>
  </si>
  <si>
    <t>Bankwell Financial Group, Canapi Ventures, Clocktower Ventures, Litquidity Capital, Live Oak Bank, MBA Ventures, Nick Elledge, Olive Tree Capital, PDS Ventures, Peterson Partners, Plug and Play Tech Center, PROSPERITY NOW, Sarah Smith Fund, Sequoia Capital, Simon Taylor, The 23 Fund, The Fintech Fund, Wilson Sonsini Goodrich &amp; Rosati Professional, Y Combinator</t>
  </si>
  <si>
    <t>www.cascading.ai</t>
  </si>
  <si>
    <t>467578-18</t>
  </si>
  <si>
    <t>Félix</t>
  </si>
  <si>
    <t>Developer of a chat-based money transfer platform designed to facilitate cross-border payments. The company's platform uses blockchain technology, natural language processing, and artificial intelligence algorithms to simplify and automate transactions and build credit history, enabling customers to transfer money between countries and providing a pathway for financial health.</t>
  </si>
  <si>
    <t>72 Point, Amplifica Capital, Brightlane Ventures, Castle Island Ventures, Contour Venture Partners, Coolwater Capital, Davis Smith, Dorm Room Fund, Endeavor Catalyst, Endeavor Miami, General Catalyst, Girona Ventures, Global Founders Capital, H2O Capital, HTwenty Capital, IGNIA, Luis Garza, MELI Capital, Mercado Libre Fund, Michael Levinthal, Monashees, Newtopia VC, Nicoya Ventures, QED Investors, Redwood Capital Ventures, Scout Fund, Sequoia Capital, Switch Ventures, The MBA Fund, Unpopular Ventures, Venture Initiation Program, Wharton Cypher, Wharton School of the University of Pennsylvania Endowment, Wollef</t>
  </si>
  <si>
    <t>www.felixpago.com</t>
  </si>
  <si>
    <t>466534-99</t>
  </si>
  <si>
    <t>Finkargo</t>
  </si>
  <si>
    <t>Operator of an import financing platform intended to accelerate and finance international trade operations for SMEs in Latin America. The company's platform offers an automated credit scoring model, access to capital, and integrated logistics and financing processes, enabling small and medium-sized importers to manage and control their supply chain operations.</t>
  </si>
  <si>
    <t>Accion, Angel Ventures Mexico, Community Investment Management, Endeavor Colombia, Flybridge (New York), Latitud, Maya Capital (Brazil), Nazca, ONEVC, Opportunity Fund, Pear (California), QED Investors, Quona Capital, Xochi Ventures</t>
  </si>
  <si>
    <t>www.finkargo.com</t>
  </si>
  <si>
    <t>416503-00</t>
  </si>
  <si>
    <t>Investor Cash Management</t>
  </si>
  <si>
    <t>Developer of a cash management platform designed to simplify financial management. The company's platform offers banking and investing in a single, easy-to-use mobile banking product using a first cash management account (CMA), enabling customers to manage their savings, spending, and investments in a single product.</t>
  </si>
  <si>
    <t>Cary Grace, Charles Goldman, John Rogers, Joseph Mansueto, Mansueto Ventures, Vamsi Yadlapati, Visa Ventures</t>
  </si>
  <si>
    <t>www.investorcashmanagement.com</t>
  </si>
  <si>
    <t>432505-81</t>
  </si>
  <si>
    <t>Lev</t>
  </si>
  <si>
    <t>Artificial Intelligence &amp; Machine Learning, Big Data, FinTech, Real Estate Technology</t>
  </si>
  <si>
    <t>Developer of a commercial real estate financing platform designed to find and close loans for property transactions. The company's platform leverages machine learning and artificial intelligence to identify the financing scenarios and lenders for every deal, based on historical data and lender activity, and then contact and negotiate with the lenders on behalf of the client through the platform, enabling clients to get the right financing for their deals.</t>
  </si>
  <si>
    <t>Adam Beckerman, Adam Offman, ANIMO Ventures, Avi Goldberg, Blitzscaling Ventures, Canaan Partners, Capital One Ventures, Citi SPRINT, Citi Ventures, Clark Valberg, Cross River Digital Ventures, David Zar, First American Financial, Jay Eisenstadt, JLL Spark, Joel Schreiber, Josef Teplow, Ludlow Ventures, NFX, Nico Berardi, Pareto Holdings, Parker89, StepStone Group, Tal Bar-or, Vlad Medvedovsky</t>
  </si>
  <si>
    <t>lev.com</t>
  </si>
  <si>
    <t>229348-63</t>
  </si>
  <si>
    <t>Obligo</t>
  </si>
  <si>
    <t>Developer of a financial platform designed to increase fairness, trust, accountability, and transparency in the tenant-landlord relationship. The company's platform helps qualified renters to keep their cash deposit and only pay if their landlord has a claim and provides secure and limited access to a bank account, enabling landlords to bill renters up to the deposit amount in case there is a claim, effectively replacing security deposits.</t>
  </si>
  <si>
    <t>10D, 83North, Alumni Ventures, Entrée Capital, Falcon Peak Capital, HFZ Capital Group, La Maison Partners, Launchbay Capital, MUFG Innovation Partners, Rainfall Ventures, Ruby Ventures, True Global Ventures, Viola Credit</t>
  </si>
  <si>
    <t>www.obligo.com</t>
  </si>
  <si>
    <t>443251-90</t>
  </si>
  <si>
    <t>Riseup</t>
  </si>
  <si>
    <t>Operator of a fintech platform intended for financial planning and management. The company's platform uses a human and machine approach to translate the chaos and complexities of the financial world into a simple and actionable WhatsApp message and also facilitates automatic daily cash flow analysis, enabling customers to manage cash flow and make informed financial decisions.</t>
  </si>
  <si>
    <t>Aleph (Israel), Corner (New York), Debbie Schwartz, Dynamic Loop Capital, Jeffrey Schwartz, Jibe Ventures, John Jacobson, Kobi Malkin, Latitude (London), mediaforgrowth, Michael Eisenberg, Phoenix Court, Ronald Cohen</t>
  </si>
  <si>
    <t>www.riseup.co.il</t>
  </si>
  <si>
    <t>517851-01</t>
  </si>
  <si>
    <t>Bank Ash Israel</t>
  </si>
  <si>
    <t>Provider of consumer and commercial banking services based in Tel Aviv, Israel. The company offers checking and savings accounts, round-up savings, loans, security, financial tools, and online and telephone banking, enabling businesses to provide a range of financial instruments and services.</t>
  </si>
  <si>
    <t>Clal Insurance Enterprises Holdings, Kli Capital</t>
  </si>
  <si>
    <t>www.esh.com</t>
  </si>
  <si>
    <t>523335-52</t>
  </si>
  <si>
    <t>Coinflow</t>
  </si>
  <si>
    <t>Developer of the web3 payments infrastructure designed to provide a simpler, more secure, and efficient way for companies to accept traditional payments. The company platform allows companies to implement full payment functionalities and payout their customers by converting cryptocurrency to USD in their traditional bank accounts, enabling clients to move cryptocurrency from self-custody wallets instantly to their accounts using existing real-time payment rails.</t>
  </si>
  <si>
    <t>Blocktech Ventures, Builder Capital, CMT Digital Holdings, Coinbase Ventures, DCG Expeditions, Digital Currency Group, Draper Dragon, Faction Ventures, gumi Cryptos Capital, Jump Capital, Jump Crypto, Pantera Capital, Prompt Ventures, Reciprocal Ventures, Roneil Rumburg, The Fintech Fund, Yolo Investments</t>
  </si>
  <si>
    <t>www.coinflow.cash</t>
  </si>
  <si>
    <t>264847-42</t>
  </si>
  <si>
    <t>Weiyan Tech</t>
  </si>
  <si>
    <t>Provider of artificial intelligence industrialization solutions designed for financial risk control and industrial upgrading. The company provides industrial intelligent solutions that improve industrial efficiency and lower the threshold for the application of artificial intelligence (AI) technology, empowering industry to have equal access to AI.</t>
  </si>
  <si>
    <t>Context Lab (China), Huizun Asset Management, Leo Group (Distributors/Wholesale), Midai Group, SB China Venture Capital, Xin'an Financial Group</t>
  </si>
  <si>
    <t>www.weiyankeji.cn</t>
  </si>
  <si>
    <t>187995-25</t>
  </si>
  <si>
    <t>TransFICC</t>
  </si>
  <si>
    <t>Provider of e-trading services intended to facilitate fixed income trading for banks and asset managers. The company offers a unified API for connectivity across Rates, Credit, Interest Rate Swap, Repurchase Agreement, and Municipal Bond venues, automated workflows for pricing and trading, and co-location hosting with low latency and disaster recovery support, enabling banks and asset managers to execute and manage fixed income trades efficiently.</t>
  </si>
  <si>
    <t>Albion Crown VCT, AlbionVC, BlackFin Capital Partners, Citadel Securities, Citibank, FinTech Innovation Lab, HSBC Holdings, Illuminate Financial, ING Ventures, Kings Arms Yard VCT, Neosfer, Tech Nation Group, The FinLab</t>
  </si>
  <si>
    <t>transficc.com</t>
  </si>
  <si>
    <t>498440-17</t>
  </si>
  <si>
    <t>Musaffa</t>
  </si>
  <si>
    <t>Operator of a Shariah-compliant investment and trading platform intended to democratize Islamic finance education. The company's platform provides services such as halal stock and exchange-traded fund screener, stock recommendations, a halal trading platform, a Muslim investors community forum, and other related services, enabling investors worldwide to pursue financial goals through trading and financial education platforms.</t>
  </si>
  <si>
    <t>UCEA Capital Partners</t>
  </si>
  <si>
    <t>www.musaffa.com</t>
  </si>
  <si>
    <t>267776-65</t>
  </si>
  <si>
    <t>Iyiou</t>
  </si>
  <si>
    <t>TMT</t>
  </si>
  <si>
    <t>Operator of an online industry research services platform intended to enable entrepreneurs and industry innovators to learn about the latest trends and information. The company offers industry research, investment analysis, innovation consulting, data products, brand public relations, and international landing services, enabling domestic and foreign clients to access industrial innovation information and strategic insights for business development.</t>
  </si>
  <si>
    <t>Changrong Capital, Chen Zhong, Detong Capital, Gaorong Ventures, Panda Capital Asia, Qiaojing Capital, SJ Jiacheng Investment Management, Star VC, Yijing Capital, Yingdong Capital</t>
  </si>
  <si>
    <t>www.iyiou.com</t>
  </si>
  <si>
    <t>491845-24</t>
  </si>
  <si>
    <t>Covariance (Business/Productivity Software)</t>
  </si>
  <si>
    <t>Developer of an AI-driven analytics platform designed to generate company-level performance insights from external data for corporate and investment users. The company's platform ingests external and alternative datasets, derives firm-level performance indicators, applies machine learning for forecasting and trend analysis, and maintains time-series views of business activity, enabling enterprises, financial institutions, and investment professionals to monitor companies, compare peers, and support data-driven decision-making.</t>
  </si>
  <si>
    <t>BoxOne Ventures, Industrial Liaison Program, Simple Food Ventures</t>
  </si>
  <si>
    <t>www.covariance.ai</t>
  </si>
  <si>
    <t>53351-47</t>
  </si>
  <si>
    <t>Dwolla</t>
  </si>
  <si>
    <t>E-Commerce, FinTech, Mobile, Mobile Commerce, Real Estate Technology, SaaS</t>
  </si>
  <si>
    <t>Developer of a payment platform designed to facilitate account-to-account transfers and automate electronic payment processing. The company's platform features API integration for ACH, real-time payments, instant account verification, balance checks, and secure transfer capabilities, enabling insurance, lending, real estate, healthcare, and manufacturing industries to improve payment speed, efficiency, security, and overall transaction management.</t>
  </si>
  <si>
    <t>www.dwolla.com</t>
  </si>
  <si>
    <t>507297-97</t>
  </si>
  <si>
    <t>Centricity WealthTech</t>
  </si>
  <si>
    <t>Developer of a wealth management platform designed to bridge the gap between investors and asset managers. The company's platform offers an investment product marketplace, digital transactional capabilities, as well as deep portfolio reporting and monitoring capabilities, enabling financial professionals to democratize investment intelligence and deliver personalized services to their customers.</t>
  </si>
  <si>
    <t>Aakash Chaudhry, Action Tesa, Ankush Nijhawan, Arun Jain, Burman Family, Devesh Sachdev, InnoVen Capital, Lightspeed India Partners, Lightspeed Venture Partners, Mitsubishi UFJ Financial Group, MMG Group, MS Dhoni family office, Navin Jain, NB Ventures, Paramark Ventures, Pravin Jain, Purrshottam Bhaggeria, RAAY Global Investments, Rajesh Razdan, Ritesh Agarwal, Shantanu Agarwal, SMBC Asia Rising Fund, Stride Ventures, Susquehanna, Vishal Dhupar</t>
  </si>
  <si>
    <t>www.centricity.co.in</t>
  </si>
  <si>
    <t>481225-15</t>
  </si>
  <si>
    <t>Accrue Money</t>
  </si>
  <si>
    <t>Developer of an online savings platform intended to help customers choose their purchase plan for their future. The company's platform offers merchant-embedded online savings accounts and also helps them with cash rewards when they save up for big purchases, enabling customers to keep track of their savings and plan their day-to-day expenses.</t>
  </si>
  <si>
    <t>Adobe, Aglaé Ventures, Attentive, BoxGroup, Brian Mallkerson, Carol Tome, Center Street Capital Partners, Centre Street Partners, Declaration Partners, DoorDash, Fanatics Holdings, Firebolt Ventures, Four Acres Capital, Gokul Rajaram, Good Friends, Ground Up Ventures, Habitat Partners, Hanaco Ventures, Maple VC, Michael Rubin, Niche Capital (San Francisco), Night Capital, Red Sea Ventures, Scott Belsky, Seagate Ventures, Seamless Corporation, Silas Capital, Stonecroft Management, Sunflower Capital, Tiger Global Management, Twelve Below, United Parcel Service, Verne Point Capital, Wiley Cerilli</t>
  </si>
  <si>
    <t>www.byaccrue.com</t>
  </si>
  <si>
    <t>530737-93</t>
  </si>
  <si>
    <t>Baselayer</t>
  </si>
  <si>
    <t>Developer of an AI-powered business risk management platform designed to verify businesses, assess risk, and prevent fraud during customer onboarding. The company's platform offers business identity verification, risk scoring, fraud detection, compliance monitoring, credit analysis, portfolio monitoring, and application programming interface integration capabilities, enabling banks, financial technology companies, and organizations to automate risk assessments, improve decision-making, and reduce fraudulent business activity.</t>
  </si>
  <si>
    <t>Afore Capital, Daniel Mason, Emburse, Eric Woodward, Founder Collective, Gilgamesh Ventures, Hawk (Financial Software), Invest Tokyo, Jason Mikula, Jonathan Weiner, Koro Capital, M13, Maia Bittner, Marco Ronning, Nantucket Ventures, Picks and Shovels, Picus Capital, Torch Capital</t>
  </si>
  <si>
    <t>www.baselayer.com</t>
  </si>
  <si>
    <t>528707-53</t>
  </si>
  <si>
    <t>Cache (Brokerage)</t>
  </si>
  <si>
    <t>Operator of a fintech platform intended for large stockholders, providing tax-efficient investment strategies. The company's platform offers high-net-worth individuals and families with concentrated stock positions access to sophisticated investment strategies and liquidity solutions, including tax-efficient exchange funds and secured lending, enabling clients to diversify their portfolios and achieve their financial goals, ultimately simplifying the management of their wealth.</t>
  </si>
  <si>
    <t>BBQ Capital, Dash VC, First Round Capital, Quiet Capital</t>
  </si>
  <si>
    <t>www.usecache.com</t>
  </si>
  <si>
    <t>499961-35</t>
  </si>
  <si>
    <t>DKK Partners</t>
  </si>
  <si>
    <t>Developer of a fintech platform designed to secure access to currencies in both emerging and established markets. The company's platform specializes in management consultancy and providing a transparent, educational approach to forex and treasury management, enabling clients an alternative to access G10 and emerging market currencies without relying on central banks.</t>
  </si>
  <si>
    <t>www.dkkpartners.com</t>
  </si>
  <si>
    <t>504090-28</t>
  </si>
  <si>
    <t>Frec</t>
  </si>
  <si>
    <t>Developer of an investment platform designed for direct indexing, treasury, and margin loans. The company offers a suite of automated, self-service products that simplify sophisticated financial strategies traditionally only available through wealth advisors, enabling users to get instant loans without underwriting or credit checks.</t>
  </si>
  <si>
    <t>20VC, Ahmad Al Dahle, Ankur Nagpal, Anthony Pompliano, Avlok Kohli, Blank Ventures, Brian Norgard, Conversion Capital, Daniel Wolfson, David Kossnick, David Lieb, David Scacco, Eugene Marinelli, Evan Reiser, Fifth Down Capital, Flex Capital, Georges Harik, Global Founders Capital, Goutham Buchi, Greylock, James Tamplin, Jana Messerschmidt, Kayvon Beykpour, Marc Bhargava, Max Mullen, Nate Mitchell, Neil Parikh, Neo (Consulting Services (B2B)), Pathbreaker Ventures, Rajat Suri, Sahil Lavingia, Shaan Puri, Shreyas Doshi, Social Leverage, Varsha Rao, Vijaya Gadde</t>
  </si>
  <si>
    <t>www.frec.com</t>
  </si>
  <si>
    <t>97737-76</t>
  </si>
  <si>
    <t>Gust</t>
  </si>
  <si>
    <t>Developer of an international entrepreneurial support platform designed for founding, incorporating, operating, and funding scalable, high-growth companies. The company's platform offers SaaS systems for startup ventures, business angel investors, and investment organizations, and connects startups with investment groups, and manages online, technology-supported training and mentorship programs for founders and investors, enabling companies in their early stages to thrive.</t>
  </si>
  <si>
    <t>Austanco, FirstXFounder, Karl Handelsman, Loeb.nyc, Mechpart, New York Angels, New York Venture Partners, Rogue Venture Partners, Rose Tech Ventures</t>
  </si>
  <si>
    <t>www.gust.com</t>
  </si>
  <si>
    <t>86040-01</t>
  </si>
  <si>
    <t>LoanStreet</t>
  </si>
  <si>
    <t>Developer of a loan management platform designed to streamline the loan-sharing processes. The company's platform establishes new sources of revenue and enhances balance sheet management through improved automation, scale, and transparency, provides deep insights, tracks the distribution of the portfolio, optimizes capital, and reduces administration costs to buy more loans from more sellers, enabling lenders to originate, manage, and share any portion of any loan.</t>
  </si>
  <si>
    <t>Arbor Ventures, Coastal Financial, Curql, Frederik Gieschen, Greg Arrese, Leland Hart, Next Level Ventures, Portage, Richard Levin, Ride Ventures, Rob Kiessling, Rosecliff Venture Partners, Sally Rocker, SilverCircle, Sterling Bank &amp; Trust, The Gramercy Fund, Third Prime, Valar Ventures</t>
  </si>
  <si>
    <t>www.loan-street.com</t>
  </si>
  <si>
    <t>468966-70</t>
  </si>
  <si>
    <t>Parker</t>
  </si>
  <si>
    <t>Bankruptcy: Liquidation</t>
  </si>
  <si>
    <t>Developer of a digital financial platform intended to help pay expenses and manage their e-commerce finances. The company's platform offers a card to cover expenses and encourage users to track key metrics to grow profits and maximize their brand's potential, enabling firms to handle their finances smoothly.</t>
  </si>
  <si>
    <t>www.getparker.com</t>
  </si>
  <si>
    <t>222331-42</t>
  </si>
  <si>
    <t>Yoti</t>
  </si>
  <si>
    <t>Developer of digital identity verification and age assurance software designed for regulatory compliance and fraud prevention purposes. The company's platform provides automated document verification, facial age estimation, passive liveness detection, anti-spoofing and deepfake detection tools, reusable digital identity wallet functionality, legally recognized electronic signatures, and options for human review, integrating with APIs, SDKs, web portals, and third-party SaaS systems, enabling regulated businesses and public sector organizations to verify customer identity and age, support compliance obligations, and reduce identity fraud across digital and in-person interactions.</t>
  </si>
  <si>
    <t>ARC InterCapital, Grow London, Lloyds Banking Group, Nex.D, Plug and Play Tech Center</t>
  </si>
  <si>
    <t>www.yoti.com</t>
  </si>
  <si>
    <t>266565-61</t>
  </si>
  <si>
    <t>Resolve</t>
  </si>
  <si>
    <t>Developer of a B2B payments platform designed to bridge the gap between buyers and sellers. The company's platform analyzes financing applications with non-traditional underwriting data to authorize extended payment windows, assuming all repayment risks within the credit period, enabling manufacturers, wholesalers, and distributors to extend automated net payment terms to their customers.</t>
  </si>
  <si>
    <t>6ixth Event, Acumen Fund, Affirm, Alumni Ventures, Caffeinated Capital, Chestnut Street Ventures, Clocktower Ventures, Commerce Ventures, Elementum Ventures, Eudemian Ventures, Four Cities Capital, GrayArch Partners, Haystack Management Company, HVF Labs, Initialized Capital, Insight Partners (New York), Kevin Moore, KSD Capital, Max Levchin, Operator Stack, P93 Ventures, PayPal Holdings, SV Angel</t>
  </si>
  <si>
    <t>www.resolvepay.com</t>
  </si>
  <si>
    <t>58287-97</t>
  </si>
  <si>
    <t>NeoGrowth</t>
  </si>
  <si>
    <t>Artificial Intelligence &amp; Machine Learning, B2B Payments, Big Data, FinTech, Mobile</t>
  </si>
  <si>
    <t>Operator of a financial lending platform intended for businesses and merchants. The company's platform collects and analyzes digital payment transaction records, applies data-driven credit assessment methods, integrates automated underwriting systems, links repayment structures to daily electronic sales flows, and provides loan management and disbursement processes through digital infrastructure, enabling small and medium-sized retailers and service providers to access working capital financing and manage short-term funding requirements.</t>
  </si>
  <si>
    <t>360 ONE, Accion, Blue Earth Capital, Flourish Ventures, FMO Entrepreneurial Development Bank, LeapFrog Investments, Lightrock, Omidyar Network, Quona Capital, Sahil Kini, Varun Bhalla, WestBridge Capital (San Mateo)</t>
  </si>
  <si>
    <t>www.neogrowth.in</t>
  </si>
  <si>
    <t>516151-45</t>
  </si>
  <si>
    <t>Constantinople</t>
  </si>
  <si>
    <t>Operator of a digital banking service platform intended to provide proprietary payments and fund transfers. The company's platform offers a cloud-native, event-driven customer experience, transaction and lending products, and digital servicing, enabling clients with compliance solutions using blockchain technology.</t>
  </si>
  <si>
    <t>Airtree Ventures, Credit Union Australia, Prosus Ventures, Square Peg Capital</t>
  </si>
  <si>
    <t>www.cxnpl.com</t>
  </si>
  <si>
    <t>466546-87</t>
  </si>
  <si>
    <t>Ava Finance</t>
  </si>
  <si>
    <t>Developer of a consumer financial platform designed to improve credit scores and reduce interest rates for American consumers. The company's app offers a rewards-based credit builder card, installment loans, cash flow-based underwriting, automatic payments, and detailed financial analysis, enabling users to increase on-time payments and lengthen their overall credit history.</t>
  </si>
  <si>
    <t>Bit Santos, Burst Capital, Defy Partners Management, Firebolt Ventures, Greylock, Mentors Fund, Precursor Ventures, Sure Ventures, Thunder Future, Transform VC, Twine Ventures</t>
  </si>
  <si>
    <t>www.meetava.com</t>
  </si>
  <si>
    <t>168313-51</t>
  </si>
  <si>
    <t>Loanboox</t>
  </si>
  <si>
    <t>Operator of a debt capital market platform intended to digitalize debt financing and investing. The company's platform connects public-sector borrowers with institutional investors and banks and accepts financing requests from banks for unsecured loans, enabling clients to conduct trades and transactions in an efficient, transparent, and accessible manner.</t>
  </si>
  <si>
    <t>Delphen SARL, Deutsche Kreditbank, Emmanuel Roth, Gerd Häusler, LGT Group, Luzius Meisser, Mutschler Ventures, Roland Berger</t>
  </si>
  <si>
    <t>www.loanboox.com</t>
  </si>
  <si>
    <t>62185-24</t>
  </si>
  <si>
    <t>DigniFi</t>
  </si>
  <si>
    <t>Developer of a vehicle financing platform intended to connect consumers with lenders for auto parts, repairs, and services. The company's platform accepts applications online, gives instant credit decisions, and uses an alternative to credit card financing for increased credit approvals and quick access to capital, enabling consumers to access and get auto repair financing done.</t>
  </si>
  <si>
    <t>Brigade Capital Management, BuildGroup, EXOR Seeds, FM Capital (Transportation Tech), Lontra Ventures, MicroVentures</t>
  </si>
  <si>
    <t>www.dignifi.com</t>
  </si>
  <si>
    <t>770581-99</t>
  </si>
  <si>
    <t>Project Eleven</t>
  </si>
  <si>
    <t>Cryptocurrency/Blockchain, Cybersecurity, FinTech</t>
  </si>
  <si>
    <t>Operator of an applied quantum computing and cryptography research company intended to secure digital systems against emerging quantum-computing threats. The company offers open-source research and engineering expertise in post-quantum cryptography and quantum-resilient tooling, enabling customers such as crypto stakeholders, enterprises, and broader digital infrastructure to proactively assess vulnerabilities, develop safe migration paths, and maintain trust in a post-quantum era.</t>
  </si>
  <si>
    <t>Ambush Capital, Audacia, Balaji Srinivasan, Castle Island Ventures, Coinbase Ventures, Fin Capital, Formation (New York), Lattice Capital, Lattice Ventures, Nascent, Nebular, Quantonation, Satstreet, Solana Ventures, The Goldman Sachs Group, Variant (Brooklyn)</t>
  </si>
  <si>
    <t>www.projecteleven.com</t>
  </si>
  <si>
    <t>108061-12</t>
  </si>
  <si>
    <t>EMQ</t>
  </si>
  <si>
    <t>Provider of cross-border payment services intended to facilitate real-time financial transactions. The company offers a global financial settlement network and cloud-based api infrastructure, enabling financial institutions and global businesses to automate reconciliation, access real-time foreign exchange rates, and embed financial services into product offerings.</t>
  </si>
  <si>
    <t>500 Southeast Asia, Abu Dhabi Capital Group, AppWorks, DG Ventures, Hard Yaka, Intudo Ventures, January Capital, OMVC, Quest Venture Partners, Rockpool Capital, SparkLabs Group, Vectr Ventures, WI Harper Group</t>
  </si>
  <si>
    <t>www.emq.com</t>
  </si>
  <si>
    <t>434394-37</t>
  </si>
  <si>
    <t>Patch</t>
  </si>
  <si>
    <t>CleanTech, Climate Tech, LOHAS &amp; Wellness, SaaS</t>
  </si>
  <si>
    <t>Developer of a climate-focused carbon management platform designed to help organizations build and execute effective carbon credit strategies. The company's platform offers AI-powered portfolio management, access to carbon credits, data-backed diligence, transaction centralization, monitoring and reporting tools, and expert guidance, enabling sustainability leaders and corporations to implement credible, transparent, and efficient climate action programs.</t>
  </si>
  <si>
    <t>AENU, Andreessen Horowitz, Andrew Robb, B Capital Group, Carbon to Value (C2V) Initiative, Coatue Management, Contrary (San Francisco), Energize Capital (Chicago), EQT, EQT Foundation, Equinor Ventures, Firebolt Ventures, Frank Slootman, GIC Private, Gokul Rajaram, Greentown Labs, GTMfund, Jeremy Cai, Kate Brennan, Lara Birkes, LG Nova, Maple VC, MCJ, Nick Abouzeid, Ofek Lavian, Pale Blue Dot Advisors, Peter Reinhardt, Plug and Play Tech Center, SE Ventures, Sierra Peterson, Valor Equity Partners, Version One Ventures, VersionOne</t>
  </si>
  <si>
    <t>www.patch.io</t>
  </si>
  <si>
    <t>277820-74</t>
  </si>
  <si>
    <t>Posh (Business/ Productivity Software)</t>
  </si>
  <si>
    <t>Artificial Intelligence &amp; Machine Learning, Big Data, FinTech, Marketing Tech</t>
  </si>
  <si>
    <t>Developer of a conversational artificial intelligence platform designed to change the way how businesses interact with customers. The company's platform is equipped with natural language understanding (NLU) capabilities, can self-serve common inquiries and transactions without the need for human intervention, and offers insights into customer preferences, enabling banks to provide instant access to information and support during customer interactions.</t>
  </si>
  <si>
    <t>American Bankers Association, Canapi Ventures, Curql, Experian Ventures, HackMIT, Human Capital, JAM FINTOP, Jolly VC, MassChallenge, MIT Delta V, Next Level Ventures, NXTUS, Piedmont Capital Investments, REMUS Capital, Tenity, The Venture Center, TruStage Ventures, Underscore VC</t>
  </si>
  <si>
    <t>www.posh.ai</t>
  </si>
  <si>
    <t>234583-21</t>
  </si>
  <si>
    <t>Genesis</t>
  </si>
  <si>
    <t>Developer of a capital markets software designed to innovate business and operating models. The company's platform focuses on the financial markets, primarily the capital markets, to help clients from the buy-side, sell-side, execution venues, and clearinghouses to address complex industry challenges by delivering real-time insights, enabling firms to optimize cost, and relieving margin pressure by reimaging the business models.</t>
  </si>
  <si>
    <t>Accel, Bank of America, Bank of New York Mellon, Citigroup, Fuse Incubator, GV, Illuminate Financial, Insight Partners (New York), Molten Ventures, Salesforce Ventures, Tiger Global Management, Tribeca Early Stage Partners</t>
  </si>
  <si>
    <t>www.genesis.global</t>
  </si>
  <si>
    <t>433634-86</t>
  </si>
  <si>
    <t>Tazapay</t>
  </si>
  <si>
    <t>Developer of a global payments platform designed to streamline cross-border money movement for businesses. The company offers virtual accounts in multiple currencies, international payouts, and localized checkout integration, enabling global enterprises to manage international transactions more efficiently and ensure regulatory compliance.</t>
  </si>
  <si>
    <t>Akhil Paul, Arc180, Circle Ventures, CMT Digital Holdings, Coinbase Ventures, Credit Saison, Firebolt Ventures, Foundamental, GMO Venture Partners, Gokul Rajaram, January Capital, MasterCard, Norinchukin Capital, PayPal Ventures, Peak XV Partners, Ripple, RTP Global, Saison Capital, Sequoia Capital, Surge (Accelerator), Surge Ventures</t>
  </si>
  <si>
    <t>www.tazapay.com</t>
  </si>
  <si>
    <t>445617-82</t>
  </si>
  <si>
    <t>MerQube</t>
  </si>
  <si>
    <t>CloudTech &amp; DevOps, Cryptocurrency/Blockchain, FinTech</t>
  </si>
  <si>
    <t>Developer of a cloud-native indexing platform designed for designing, calculating, and disseminating financial indices at scale. The company's platform offers financial indices across equities, futures, options, and ESG, along with custom calculation services and historical performance information for each index, enabling financial professionals with expertise in indices, including research and development, index construction, new index product launches, and compliance and governance.</t>
  </si>
  <si>
    <t>7RIDGE, Allianz Life Ventures, Benjamin Smith, Citigroup, DB1 Ventures, Deutsche Börse, Intel Capital, J.P. Morgan, Laurion Capital Management, Morgan Stanley, Sheehan Maduraperuma, ThirdStream Partners, UBS Group</t>
  </si>
  <si>
    <t>www.merqube.com</t>
  </si>
  <si>
    <t>58218-40</t>
  </si>
  <si>
    <t>True Link</t>
  </si>
  <si>
    <t>Operator of a financial company intended to serve vulnerable adults, people with disabilities, and those recovering from addiction. The company offers prepaid cards, investment management, and other financial services to protect from fraud, help people with special needs preserve lifesaving medical benefits, prevent impulsive cash withdrawals or purchases that could lead to a relapse, and provide personalized retirement investment plans to earn stable retirement income, enabling families to avail a financial partner to prevent financial exploitation and stay informed about unusual activity across all accounts.</t>
  </si>
  <si>
    <t>Allianz Life Ventures, Alumni Ventures, Cambia Health Solutions, Catapult VC, Centana Management, Deciens Capital, Fifth Third, Four Cities Capital, GMO Venture Partners, Hugo Angelmar, Khosla Ventures, Lemonade Capital, Parkway Venture Capital, Proton Enterprises, QED Investors, Renn Ventures, Transpose Platform Management, Tribe Capital, Vadim Oss</t>
  </si>
  <si>
    <t>www.truelinkfinancial.com</t>
  </si>
  <si>
    <t>438846-67</t>
  </si>
  <si>
    <t>Qapita Fintech</t>
  </si>
  <si>
    <t>Developer of digital equity management software designed to assist in working quickly throughout the content lifecycle. The company's platform records capitalization table management, employee stock ownership plan management, and digital ESOP issuance, enabling equity stakeholders to manage their holdings digitally.</t>
  </si>
  <si>
    <t>Analog Capital, Analog Partners, Anjali Bansal, Atin Kukreja, Avaana Capital, BLOCK71, Blowfish Ventures, Boon Koh, Cercano Management, Citigroup, Crane Venture Partners, East Ventures, Endiya Partners, GIFT International Fintech Innovation Hub, Harsh Rajpal, K3 Ventures, KDV Capital, MassMutual Ventures, Mission Holdings, Mission Street (London), Nyca Partners, Patrick Walujo, Redbrook, Sprouts Investments, Sujeet Kumar, The Charles Schwab, Vulcan Capital Singapore Greenhouse</t>
  </si>
  <si>
    <t>www.qapita.com</t>
  </si>
  <si>
    <t>490042-72</t>
  </si>
  <si>
    <t>Fintech Farm</t>
  </si>
  <si>
    <t>Artificial Intelligence &amp; Machine Learning, FinTech, Mobile Commerce</t>
  </si>
  <si>
    <t>Operator of a financial technology company intended to help traditional banks create and run digital banks. The company's platform partners with customers and relies on the licensing infrastructure of local banks, acts as the operator of neobanks, and provides the banks with comprehensive consultancy, enabling clients to create successful neo-banks in emerging markets.</t>
  </si>
  <si>
    <t>AVentures Capital, Endeavor Global, Flashpoint Venture Capital Group, Flyer One Venture, Genesis Investment Management, Hartmann Holdings, ICLUB, IQ-EQ, JIJI Online, Lion Finance Group, MA7 Ventures, Nordstar Partners, OneCapital Investment Group, Redseed, RedSeed Ventures, Roosh Ventures, Solid (Financial Software), TA Ventures, u.ventures, Ukraine-Moldova American Enterprise Fund</t>
  </si>
  <si>
    <t>www.fintech-farm.com</t>
  </si>
  <si>
    <t>54093-61</t>
  </si>
  <si>
    <t>Zanbato</t>
  </si>
  <si>
    <t>Developer of an alternative trading system designed to make private markets more liquid and reliable. The company's platform offers an inter-broker platform for trading venture-backed private shares, enabling investors to access price discovery, liquidity, and trade execution services across private markets globally.</t>
  </si>
  <si>
    <t>8VC, Alberta Investment Management, Anduin, Apartment Investment and Management (17 Multifamily Properties), Arnav Guleria, Ashby Monk, Augustin Ku, Bob Hellman, Delinian, Eric Pirone, Finches, Formation 8, Frank Meehan, Jonathan Soberg, JP Morgan Chase, LeFrak, Michael Paulus, Net Jacobsson, Rupert Schneider, SparkLabs Group, Sway Capital, The Ropart Asset Management Funds, Vickers Venture Partners, Webb Investment Network, William Malloy</t>
  </si>
  <si>
    <t>www.zanbato.com</t>
  </si>
  <si>
    <t>97476-31</t>
  </si>
  <si>
    <t>Kinara Capital</t>
  </si>
  <si>
    <t>Developer of a digital lending platform designed to offer a range of business loans to small-to-medium enterprises in India. The company's platform offers loans without property collateral to growing businesses that require funding for working capital, capital assets, and start-up needs, enabling entrepreneurs to run their businesses with micro-finance and commercial capital.</t>
  </si>
  <si>
    <t>1to4 Foundation, Artha Venture Challenge, Benefiit, British International Investment, Dweep Chanana, Evan Hatch, Gaja Capital, GAWA Capital, Impact Investment Exchange, Kinara Capital Holdings, Mesoloan, Michael &amp; Susan Dell Foundation, Miller Center for Social Entrepreneurship, Nuveen, Patamar Capital, Sorenson Impact Foundation, Triple Jump</t>
  </si>
  <si>
    <t>www.kinaracapital.com</t>
  </si>
  <si>
    <t>434278-36</t>
  </si>
  <si>
    <t>mx51</t>
  </si>
  <si>
    <t>B2B Payments, E-Commerce, FinTech, Mobile</t>
  </si>
  <si>
    <t>Developer of a white-label digital platform designed to simplify and modernize merchant payment experiences across channels. The company's platform offers device-agnostic payment software, merchant and support dashboards, business analytics, dispute management, and scalable cloud infrastructure, enabling payment providers, partners, and merchants to deliver seamless commerce experiences, streamline operations, and support business growth securely.</t>
  </si>
  <si>
    <t>Acorn Capital, Alpha Protocol Ventures, Artesian, Commencer Capital, Cultivation Capital, Hedosophia, MasterCard, Rampersand, SixThirty Ventures, Start Path, Westpac Banking</t>
  </si>
  <si>
    <t>www.mx51.com</t>
  </si>
  <si>
    <t>519809-59</t>
  </si>
  <si>
    <t>Stable Money</t>
  </si>
  <si>
    <t>Developer of a financial platform designed to simplify investments in fixed deposits by offering a range of RBI-regulated options with competitive returns. The company's platform offers various flexible investment plans, including monthly and quarterly payouts, enabling investors to secure higher returns with minimal effort, all insured by the DICGC.</t>
  </si>
  <si>
    <t>Abhishek Goyal, AL Trust (India), Amrish Rau, Dezerv, Indian Silicon Valley, Jitendra Gupta, Kunal Bahl, Kunal Shah, Lightspeed India Partners, Madhusudanan Rangarajan, Mars Shot Ventures, Naman Finance And Investment, Nandan Nilekani, Peak XV Partners, Ramakant Sharma, Revant Bhate, Rohit Bansal, RTP Global, Sandeep Tyagi, Sriharsha Majety, The Fundamentum Partnership, Third Prime, Titan Capital, TMRW (Aditya Birla Digital Fashion Ventures), Z47</t>
  </si>
  <si>
    <t>www.stablemoney.in</t>
  </si>
  <si>
    <t>339766-03</t>
  </si>
  <si>
    <t>Bright Money</t>
  </si>
  <si>
    <t>Developer of an artificial intelligence-driven personal finance application designed to help consumers reduce debt and build credit history. The company offers a platform that provides secured lines of credit with payments reported to major credit bureaus, customized debt pay-off and budgeting plans, automated savings through purchase round-ups, credit history rebuilding through rent payment reporting, credit card balance consolidation through revolving credit lines, and access to personal loan offers through a network of lending partners, enabling individuals with limited or poor credit history to improve their credit scores, manage debt more effectively, and achieve long-term financial stability.</t>
  </si>
  <si>
    <t>Abhay Singhal, AdFirst, Alpha Wave Global, Bossa Invest, Chris Adelsbach, Encina Capital Partners, Felicis, FJ Labs, Gaingels, Greenlights Capital, Gunjan Soni, Hummingbird Ventures, Jitendra Gupta, Kavitark Shriram, Kunal Shah, Naveen Tewari, Peak XV Partners, Pradeep Parameswaran, Realm Capital Ventures, Sequoia Capital, Sherpalo Ventures, Surge (Accelerator)</t>
  </si>
  <si>
    <t>www.brightmoney.co</t>
  </si>
  <si>
    <t>66164-86</t>
  </si>
  <si>
    <t>Kasisto</t>
  </si>
  <si>
    <t>Operator of a virtual personal assistant platform designed to improve customer experiences in consumer mobile banking. The company's platform offers behavioral personalization, multi-agent coordination, analyzes spending patterns, upcoming bills, savings trajectory, and past travel expenses, and offers personalized insights, enabling financial institutions to engage and transact with customers through intelligent conversations.</t>
  </si>
  <si>
    <t>www.kasisto.com</t>
  </si>
  <si>
    <t>267963-31</t>
  </si>
  <si>
    <t>MODIFI</t>
  </si>
  <si>
    <t>Operator of a digital trade finance and payment service platform intended to simplify and accelerate cross-border B2B transactions. The company's platform offers B2B Buy-Now-Pay-Later capabilities, cash flow management tools, and region-specific payment solutions, enabling small and medium-sized enterprises engaged in international trade to optimize working capital, simplify global transactions, and expand into new markets with reduced financial and operational friction.</t>
  </si>
  <si>
    <t>Dust Road Ventures, Errol Damelin, Felix Jahn Beteiligungen, German Accelerator, Global Founders Capital, Heliad, Incubate Fund Asia, Intesa Sanpaolo, Maersk Growth, NEVA SGR, Picus Capital, Sumitomo Mitsui Banking</t>
  </si>
  <si>
    <t>www.modifi.com</t>
  </si>
  <si>
    <t>503933-14</t>
  </si>
  <si>
    <t>Netgain</t>
  </si>
  <si>
    <t>Developer of a lease accounting software designed to simplify and automate complex accounting. The company focuses on standardizing and automating suites while emphasizing controls and audits, enabling accountants to simplify and automate processes from lease compliance to advanced fixed assets and loan management.</t>
  </si>
  <si>
    <t>Summit Partners</t>
  </si>
  <si>
    <t>www.netgain.tech</t>
  </si>
  <si>
    <t>470703-61</t>
  </si>
  <si>
    <t>Reflexivity</t>
  </si>
  <si>
    <t>Developer of a financial analytics platform intended to provide assets and market trends without needing coding or spreadsheets. The company's platform utilizes artificial intelligence and natural language to give insights about opportunities and test asset performance against market hypotheses, enabling institutional investors and wealth management advisors to make faster and informed decisions in a competitive marketplace.</t>
  </si>
  <si>
    <t>Aurelia Ventures, Fifth Down Capital, Flucas Ventures, Gaingels, General Catalyst, Greg Coffey, Grey House Partners, Greycroft, Interactive Brokers, Lightscape Partners, Makai VC, MUFG Innovation Partners, NKM Capital, Rose Park Advisors, Snow Fox Partners, SoftBank Latin America Fund, Stanley Druckenmiller, Stephen Hays, Westrie Capital</t>
  </si>
  <si>
    <t>www.reflexivity.com</t>
  </si>
  <si>
    <t>489601-27</t>
  </si>
  <si>
    <t>Upbanx</t>
  </si>
  <si>
    <t>Developer of a financial platform designed to help creators achieve financial goals. The company's platform offers financial products with licensed partners to manage money, get financing, grow commercial partnerships, launch digital assets, and raise investments, allowing creators, brands, freelancers, and agencies to discover and manage their workflow and finances.</t>
  </si>
  <si>
    <t>Alpha JWC Ventures, Alto Partners, Arya Setiadharma, Budi Handoko, Digital Rantai Maya, Frances Kang, Hendoko Kwik, Hendra Kwik, Jerry Soer, Mohandass Kalaichelvan, Nagita Slavina, Oliver Jung, PINBALL, Raffi Ahmad, Rick Firnando, Tianwei Liu, UBI Capital, Williem Williem, Y Combinator</t>
  </si>
  <si>
    <t>www.upbanx.com</t>
  </si>
  <si>
    <t>267668-38</t>
  </si>
  <si>
    <t>Floww</t>
  </si>
  <si>
    <t>Developer of an investment workflow platform designed to offer deal management services to venture capital funds and other investment firms. The company's platform houses data surrounding deals, investors, and transactions in one environment by utilizing artificial intelligence for data cleaning with a drag-and-drop data interface, enabling investors to track and manage their deal flow effortlessly.</t>
  </si>
  <si>
    <t>Angus Davidson, Duncan Simpson-Craib, Force Over Mass Capital, Grow London, London Stock Exchange Group, Pip Baker, Ramon Mendes de Leon, Stephane Delacote</t>
  </si>
  <si>
    <t>www.floww.io</t>
  </si>
  <si>
    <t>131276-08</t>
  </si>
  <si>
    <t>IoniaPay</t>
  </si>
  <si>
    <t>Developer of a unified payment infrastructure platform designed to provide real-time settlement, and fraud-free processing for modern commerce. The company's platform offers a single scalable API with a proprietary verification engine that eliminates fraud, optimizes routing, and lowers processing costs, enabling businesses, platforms, and payment providers to deliver secure, continous transactions and gain immediate access to funds.</t>
  </si>
  <si>
    <t>Dash Investment Foundation, Dash Investments (California), EvoNexus, Ventive (IT Consulting and Outsourcing)</t>
  </si>
  <si>
    <t>www.ioniapay.com</t>
  </si>
  <si>
    <t>60628-96</t>
  </si>
  <si>
    <t>Cellulant</t>
  </si>
  <si>
    <t>Developer of a payments infrastructure platform designed to simplify digital payment acceptance and processing across fragmented payment ecosystems. The company offers a blockchain-ready platform with payment network connectivity and financial infrastructure capabilities, enabling merchants, financial institutions, and businesses to accept local payment methods and support digital commerce operations.</t>
  </si>
  <si>
    <t>Chris Bouwer, EchoVC Partners, Endeavor Catalyst, Satya Capital, TBL Mirror Fund, The Rise Fund, TPG, Velocity Capital Fintech Ventures</t>
  </si>
  <si>
    <t>www.cellulant.io</t>
  </si>
  <si>
    <t>437675-86</t>
  </si>
  <si>
    <t>Qolo</t>
  </si>
  <si>
    <t>Developer of payments infrastructure software intended to serve banks, financial technology companies and business-to-business platforms. The company's software offers an embedded ledger, virtual account management, card issuing and processing, payment orchestration, automated reconciliation, and fund tracking, thereby enabling clients to launch, manage, and scale payment programs with real-time visibility and control.</t>
  </si>
  <si>
    <t>www.qolo.io</t>
  </si>
  <si>
    <t>51596-29</t>
  </si>
  <si>
    <t>doxo</t>
  </si>
  <si>
    <t>Developer of an all-in-one bill management platform designed to help users make secure payments. The company's platform provides users with contact information, website links, and bill payment details, all from one site that reduces customer care and increases paperless billing adoption, enabling consumers to connect and make payments to multiple billers and service providers, all under one convenient login.</t>
  </si>
  <si>
    <t>Bezos Expeditions, Jackson Square Ventures, Mohr Davidow Ventures, Sigma Partners</t>
  </si>
  <si>
    <t>www.doxo.com</t>
  </si>
  <si>
    <t>234881-56</t>
  </si>
  <si>
    <t>Green Check Verified</t>
  </si>
  <si>
    <t>B2B Payments, Cannabis, FinTech, SaaS</t>
  </si>
  <si>
    <t>Developer of a compliance and financial platform designed to provide legitimate and transparent commerce for banks and credit unions in high-risk industries. The company offers secure, compliant systems that facilitate seamless transactions, enabling financial institutions to safely serve cannabis businesses and other high-risk sectors.</t>
  </si>
  <si>
    <t>32 Ventures, Alumni Ventures, Arcview Ventures, Basecamp Fund, Bravos Capital, Fenway Summer, Flatiron Venture Partners, JourneyOne Ventures, Mendon Venture Partners, Poseidon Asset Management, Robert Wolf, Silverleaf Venture Partners</t>
  </si>
  <si>
    <t>www.greencheckverified.com</t>
  </si>
  <si>
    <t>235007-65</t>
  </si>
  <si>
    <t>SellersFi</t>
  </si>
  <si>
    <t>Developer of a financial platform designed to provide funding and financial services to e-commerce entrepreneurs. The company's platform provides working capital for online businesses as well as uses machine-learning models to analyze data generated through business activities of eCommerce firms to provide actionable insights, enabling commerce businesses to gain easy access to working capital, improve cash flow, and streamline their business operations.</t>
  </si>
  <si>
    <t>111 Investment Partners, Endeavor Catalyst, Endeavor Miami, Fasanara Capital, GAA Investments, MUFG Innovation Partners, Northzone Ventures</t>
  </si>
  <si>
    <t>www.sellersfi.com</t>
  </si>
  <si>
    <t>437187-52</t>
  </si>
  <si>
    <t>Runway Financial</t>
  </si>
  <si>
    <t>Developer of a business financial software designed to reinvent how business financials are presented through modern design and engineering. The company's software provides clarity, power, and speed to economic data, offering financial understanding and business management reporting through customizable dashboards and data integration from numerous sources, enabling teams across companies to align on the entire business, allowing them to collaborate and make decisions quickly.</t>
  </si>
  <si>
    <t>500 Global, 75 &amp; Sunny, Andreessen Horowitz, Authentic, Avra, Basement Fund, Calm Ventures, Chamaeleon, Combine, Crosscourt Ventures, DO Venture Partners, Dreamers VC, Dylan Field, Elad Gil, Gaingels, Green Bay Ventures, Henry Ward, Highfield Capital, Initialized Capital, Lenny Rachitsky, Lightspeed Venture Partners, Long Journey Ventures, Naval Ravikant, Quiet Capital, RFQ Ventures, Shervin Pishevar, Shrug Capital, Soda Cap Ventures, Terrence Rohan, Trajectory Ventures, Tribe Capital, Venrex Investment Management</t>
  </si>
  <si>
    <t>runway.cfo.ai</t>
  </si>
  <si>
    <t>182983-42</t>
  </si>
  <si>
    <t>Open Mineral</t>
  </si>
  <si>
    <t>Developer of a cloud-based trading platform designed to optimize and simplify all stages of metal concentrate tender and trade execution. The company's platform directly connects concentrate producers and also offers tender management, trade execution services, contract execution monitoring, document tracking, exchange, reporting, and analytics, enabling producers to increase profitability through efficient, direct, and transparent transactions.</t>
  </si>
  <si>
    <t>10x Value Partners, Emerald Technology Ventures, Goldcorp, Igor Kim, Lingfeng Capital, Mubadala Investment Company, Polymath Digital, Thomson Reuters Labs, Xploration Capital</t>
  </si>
  <si>
    <t>www.openmineral.com</t>
  </si>
  <si>
    <t>187694-38</t>
  </si>
  <si>
    <t>Mode Mobile</t>
  </si>
  <si>
    <t>Artificial Intelligence &amp; Machine Learning, FinTech, Gaming, Mobile</t>
  </si>
  <si>
    <t>Developer of a reward-based streaming ecosystem designed to compensate users for data while consuming content. The company's application specializes in playing videos, songs, and playlists from the application and getting curated information while rewarding users for viewing the data, enabling users to consume content of their choice while making money off it.</t>
  </si>
  <si>
    <t>AU21 Capital, Cloud Toronto Venture Capital, Crux Capital (Menlo Park), Deep Venture Partners, Graphene Ventures, Hayek Capital, IU Ventures, Kosmos Ventures, Lofty Ventures, M25, Mercurius Media Capital, Pallasite Ventures, Tribal Ventures</t>
  </si>
  <si>
    <t>www.modemobile.com</t>
  </si>
  <si>
    <t>470815-84</t>
  </si>
  <si>
    <t>Easy Home Finance</t>
  </si>
  <si>
    <t>Provider of home loan services intended to serve the affordable home loan market in India. The company offers affordable housing loans to low-income groups and economically weaker sections of society, enabling clients to get loans easily and at a competitive interest rate.</t>
  </si>
  <si>
    <t>Aart Corporate Advisors, Aurum Venture Partners, B2V Ventures, Claypond Capital Partners, Daiwa SMBC Capital Asia, DasCapital, FinSight Ventures, Harbourfront Capital, Helena Eriksson, Incubate Fund Asia, Integra Software Services, Investcorp, Navida Capital AB, Pegasus FinInvest Advisory, SMBC Asia Rising Fund, Svs Trust, Venktesh Investment and Trading Company, Xponentia Capital Partners</t>
  </si>
  <si>
    <t>www.easyhomefinance.in</t>
  </si>
  <si>
    <t>435411-37</t>
  </si>
  <si>
    <t>Titanbay</t>
  </si>
  <si>
    <t>Operator of a private equity investment platform intended to democratize private equity funds. The company's platform builds diversified allocations of various asset classes, and offers deal flow and portfolio analysis tools without large ticket sizes or fees, enabling private and institutional investors to have access to funds and generate a return on their investment.</t>
  </si>
  <si>
    <t>Aberdeen Investments (Scotland), FNZ Group, Motive Partners</t>
  </si>
  <si>
    <t>www.titanbay.com</t>
  </si>
  <si>
    <t>267901-30</t>
  </si>
  <si>
    <t>Fintecture</t>
  </si>
  <si>
    <t>Developer of a scalable payment interface gateway designed to connect businesses to banks. The company's gateway allows open banking through a programming interface that manages the technical and regulatory hassle and initiates transactions and provides access to customer account data, enabling merchants to collect payments directly from their customers' bank accounts and businesses to increase their sales and cash flow by making it easier for customers to pay by bank transfer.</t>
  </si>
  <si>
    <t>Alidad Moghaddam, Allianz Trade, Eurazeo, HEC Paris Incubation and Acceleration Center, HEC Ventures, Huey Ru Lin, Le Village by CA, MassChallenge, Olivier Pomel, RTP Global, Samaipata, Societe Generale Ventures, Target Global, Wilco(Paris)</t>
  </si>
  <si>
    <t>www.fintecture.com</t>
  </si>
  <si>
    <t>184626-64</t>
  </si>
  <si>
    <t>Creditspring</t>
  </si>
  <si>
    <t>Operator of a consumer credit platform intended to improve financial stability by giving people the credit they deserve. The company's platform offers no interest to pay on loans, doesn't charge late fees if the customers are unable to pay, and lets them borrow money after the end of the withdrawal period, enabling users without savings to manage unexpected expenses and stay in control of their lives.</t>
  </si>
  <si>
    <t>Adfisco, Monomyth Group</t>
  </si>
  <si>
    <t>www.creditspring.co.uk</t>
  </si>
  <si>
    <t>472081-42</t>
  </si>
  <si>
    <t>Carmoola</t>
  </si>
  <si>
    <t>Developer of a financial lending platform designed to reinvent how people pay for cars. The company's platform offers car loans and financing options at low-interest rates and attractive terms, which allow spreading the cost into multiple payments, enabling customers to easily finance their cars.</t>
  </si>
  <si>
    <t>AlleyCorp, BridgeComm, Clocktower Ventures, Elysium Ventures, InMotion Ventures, Jamie Whitcroft, NatWest Group, QED Investors, Tara Reeves, Tech Nation Group, T-Life Capital, TrueSight Ventures, u.ventures, VentureFriends</t>
  </si>
  <si>
    <t>www.carmoola.co.uk</t>
  </si>
  <si>
    <t>64778-50</t>
  </si>
  <si>
    <t>Credit Benchmark</t>
  </si>
  <si>
    <t>Developer of a credit risk analytics platform designed to provide forward-looking credit assessments based on aggregated insights from global financial institutions. The company offers anonymized consensus-based credit ratings, transition analytics, and sector benchmarks, enabling banks, asset managers, insurers, and corporates to enhance risk management, meet regulatory expectations, and assess unrated counterparties with greater transparency.</t>
  </si>
  <si>
    <t>Balderton Capital, Communitas Capital Partners, Grow London, Index Ventures, Kreos Capital, Lee Olesky, Michael Sherwood</t>
  </si>
  <si>
    <t>www.creditbenchmark.com</t>
  </si>
  <si>
    <t>520924-06</t>
  </si>
  <si>
    <t>Archway Software</t>
  </si>
  <si>
    <t>Developer of digital customer interaction software designed to provide a single access point to connect any banking platform to third-party financial software. The company's software connects internal infrastructure and data used nationwide by banking systems to the applications consumers use daily, enabling regional and community banks to compete with their national and global competitors to serve their communities.</t>
  </si>
  <si>
    <t>www.archwaysoftware.com</t>
  </si>
  <si>
    <t>442540-90</t>
  </si>
  <si>
    <t>AtomicVest</t>
  </si>
  <si>
    <t>Developer of an integrated investment platform designed to manage personal investment accounts easily. The company's platform enhances value proposition, boosts retention, and grows profits, builds critical financial infrastructure that allows fintechs, banks and consumer-facing companies to offer engaging investing experiences, enabling consumers to deposit and manage investments.</t>
  </si>
  <si>
    <t>Anthemis, Anti Fund, Appia Ventures, Aquiline Capital Partners, Blank Ventures, Brewer Lane Ventures, Collide Capital, Coughdrop Capital, Dash Fund, Erie Strategic Ventures, Evolution VC Partners, Flux Capital, Innovation Global Capital, Intuit Ventures, Irregular Expressions, Kube VC, Nationwide Ventures, Open Opportunity Fund, QED Investors, Samsung NEXT Ventures, SLVC, Socially Financed, SoftBank Investment Advisers, Transmedia Capital, Tribe Capital, VentureSouq, VII Ventures, Wedbush Ventures, Y Combinator</t>
  </si>
  <si>
    <t>www.atomicvest.com</t>
  </si>
  <si>
    <t>231898-24</t>
  </si>
  <si>
    <t>FloatMe</t>
  </si>
  <si>
    <t>Developer of a financial wellness platform designed to help people make informed financial decisions. The company's platform offers transparent wage advances with no interest, affordable overdraft protection, and features bank-grade encryption and overdraft alerts and products are designed to break debt cycles with short-term liquidity and manage financial progress with a suite of tools, enabling individuals and employees to build an emergency fund while increasing their financial health.</t>
  </si>
  <si>
    <t>Active Capital, Alamo Angels, Capital Factory, Comeback Capital, Drummond Road Capital, Foundry Group, gBETA, Geekdom, Geekdom Fund, HTV Industries, John Henry, Jordan Wright, ManchesterStory, Michal Cieplinski, Patrick Matthews, Right Side Capital Management, Samsung NEXT Ventures, SpringTime Ventures, Xochi Ventures</t>
  </si>
  <si>
    <t>www.floatme.com</t>
  </si>
  <si>
    <t>454838-14</t>
  </si>
  <si>
    <t>Gr4vy</t>
  </si>
  <si>
    <t>Operator of a cloud-based payments platform designed to simplify the process of building and managing payment ecosystems for merchants. The company's no-code rules engine and low-code integration offer access to payment methods and anti-fraud providers worldwide, helping businesses to scale their payment infrastructure and expand into new markets easily.</t>
  </si>
  <si>
    <t>Activant Capital, Firestartr, Fourth Realm, Global Founders Capital, March Capital, Mercer Ventures (New York), Nyca Partners, Plug and Play Tech Center, Start Path, W23</t>
  </si>
  <si>
    <t>www.gr4vy.com</t>
  </si>
  <si>
    <t>227108-53</t>
  </si>
  <si>
    <t>Inscribe (Business/Productivity Software)</t>
  </si>
  <si>
    <t>Developer of a fraud document detection platform designed to automate the process of identifying fraudulent documents. The company's platform uses a combination of natural language processing and computer vision to scan documents, enabling businesses in the financial services sector to streamline onboarding and underwriting processes, reduce fraud losses, and approve customers.</t>
  </si>
  <si>
    <t>10X Capital, Brad Flora, Crosslink Capital, Des Traynor, Dylan Smith, Forum Ventures, Foundry Group, Friale, Gaingels, Kyle Parrish, Liquid 2 Ventures, Marc McCabe, Mark Cummins, Phil Boyer, Quiet Capital, Right Side Capital Management, Sunflower Capital, SV Angel, Threshold Ventures, Uncork Capital, Y Combinator</t>
  </si>
  <si>
    <t>www.inscribe.ai</t>
  </si>
  <si>
    <t>109039-69</t>
  </si>
  <si>
    <t>Kashable</t>
  </si>
  <si>
    <t>Developer of a financial wellness software designed to offer socially responsible financing to employees as an employer-sponsored voluntary benefit. The company's platform offers a direct way to tackle costly debt and unexpected expenses through its employee benefits program offered as a sponsored benefit, enabling employees to get emergency financial assistance.</t>
  </si>
  <si>
    <t>Alpaca VC, ASBC, EJF Ventures, Goldman Sachs Asset Management, Krillion Ventures, Moneta Venture Capital, Raptor Group, Revolution (Washington DC), Revolution Ventures</t>
  </si>
  <si>
    <t>www.kashable.com</t>
  </si>
  <si>
    <t>1307726-56</t>
  </si>
  <si>
    <t>pmtbox</t>
  </si>
  <si>
    <t>Developer of payment streamlining technology designed for reducing transaction costs and simplifying revenue operations. The company unifies payment processes, reduces fees and friction, and provides transparent tools for accessing new payment rails and revenue opportunities, enabling businesses to simplify payments, keep more of their earnings, and transform payment operations into a more efficient and scalable growth driver.</t>
  </si>
  <si>
    <t>Aaron Skonnard, Cynosure Partners, Element Ventures, Tandem Ventures (Utah)</t>
  </si>
  <si>
    <t>www.pmtbox.com</t>
  </si>
  <si>
    <t>108884-80</t>
  </si>
  <si>
    <t>Olyv</t>
  </si>
  <si>
    <t>Provider of digital lending services designed to let people access personal funds and grow their credit strength quickly. The company offers soft-credit score checks, loan reminders, gold savings with no storage fees, and partnerships with regulated lenders to access personal funds and build credit with ease, enabling salaried and self-employed users to secure credit and savings support with clarity and trust to manage funds when needed.</t>
  </si>
  <si>
    <t>01VC, AngelBay, Incubate Fund Asia, Lightrock, Physis Capital, SMBC Asia Rising Fund, The Fundamentum Partnership</t>
  </si>
  <si>
    <t>www.olyv.co.in</t>
  </si>
  <si>
    <t>266156-38</t>
  </si>
  <si>
    <t>Clasp</t>
  </si>
  <si>
    <t>Big Data, FinTech, HR Tech</t>
  </si>
  <si>
    <t>Provider of student loan assistance services intended to help students reduce their post-graduation debt burdens. The company connects students with future employers who will help them repay their student loans and helps employers build a broader, more sustainable pipeline of new hires who stay longer by addressing their financial burden, enabling students to get pre-selected by an employer who wants to invest in their potential and long-term career growth.</t>
  </si>
  <si>
    <t>Ascendium Education Group, Crosslink Capital, Digitalis Ventures, Docstoc, Encina Capital Partners, Firework Ventures, Flybridge (New York), Frank Britt, Graham Holdings, Grasshopper Bank, GSV Ventures, Harvard Innovation Launch Lab, Invested., Jason Nazar, Juvo Ventures, Kalos Ventures (NY), Marc Weill, Pear (California), SHRM Labs, Silicon Valley Bank, Slow Ventures, Society for Human Resource Management, Strada Education Foundation, The Graduate Syndicate, Variant(Krakow)</t>
  </si>
  <si>
    <t>www.clasp.com</t>
  </si>
  <si>
    <t>160138-72</t>
  </si>
  <si>
    <t>Flyhomes</t>
  </si>
  <si>
    <t>Artificial Intelligence &amp; Machine Learning, Mobile, Mortgage Tech, Real Estate Technology</t>
  </si>
  <si>
    <t>Operator of a real estate brokerage and technology company intended to empower home buyers, sellers and agents. The company offers comprehensive consumer education, specialized expertise, financial innovation and on-demand technology, enabling buyers to shop for lower rates from lenders and buy the home they want.</t>
  </si>
  <si>
    <t>75 &amp; Sunny, Alexander Goldstein, Andreessen Horowitz, BAM Elevate, Battery Ventures, Camber Creek, Canvas Prime, Fifth Wall, Leo Capital, Mark Vadon, Nazca, Norwest, Parker89, Soma Capital, Spencer Rascoff, Starting Line, Trustbridge Partners, Vesta Ventures</t>
  </si>
  <si>
    <t>www.flyhomes.com</t>
  </si>
  <si>
    <t>159106-15</t>
  </si>
  <si>
    <t>MonetaGo</t>
  </si>
  <si>
    <t>Developer of financial networking software designed to improve the bottom line of working capital, supply chain, and the surrounding ecosystem. The company's software offers workflow automation for real-time issuance tracking, programmatic reporting through user-friendly interfaces and in-line fraud detection during the financing, enabling financial services companies to improve the efficiency and security of various products.</t>
  </si>
  <si>
    <t>Aurum Venture Partners, C2 Ventures, Fantail Ventures, Shorewood Capital</t>
  </si>
  <si>
    <t>www.monetago.com</t>
  </si>
  <si>
    <t>493494-94</t>
  </si>
  <si>
    <t>My Unisoft</t>
  </si>
  <si>
    <t>Developer of an accounting tool designed to manage all files and automate low-value-added tasks. The company's tool offers automatic document collection, direct sending, access to enterprise document management, and real-time information, enabling businesses to focus on what matters and increase productivity.</t>
  </si>
  <si>
    <t>Cabinets D'Expertise Comptable, Drakarys, Hg, La French Tech</t>
  </si>
  <si>
    <t>www.myu.fr</t>
  </si>
  <si>
    <t>55640-08</t>
  </si>
  <si>
    <t>Jifiti</t>
  </si>
  <si>
    <t>Operator of a fintech platform intended to bridge the gap between lenders, retailers, and consumers. The company's point-of-sale financing platform helps clients deploy their competitive consumer loan programs at any merchant's point of sale, online, and in-store without the need for any point-of-sale integration, enabling clients to achieve easy rollout and scalability.</t>
  </si>
  <si>
    <t>IKEA, Jesselson Capital, Liberty Ventures Group, Rev1 Ventures, Schottenstein Stores, Simon Ventures, Start Path</t>
  </si>
  <si>
    <t>www.jifiti.com</t>
  </si>
  <si>
    <t>62352-64</t>
  </si>
  <si>
    <t>Landbay</t>
  </si>
  <si>
    <t>FinTech, Mortgage Tech, Real Estate Technology, SaaS, TMT</t>
  </si>
  <si>
    <t>Developer of peer-to-peer lending software designed to offer information on mortgages and alternative investments. The company's platform matches funding to a diversified portfolio and supports the growth of quality private rental accommodation, enabling clients to invest in the privately rented sector by funding residential buy-to-let mortgages.</t>
  </si>
  <si>
    <t>2050 Capital, Allegro Capital, Andy Murray, Assembly Capital Partners, Ben Tibbits, Dale Ventures, Growth Strategy, Hevella Capital, James Sore, Krasimir Kehayov, Michael Burke, Motiur Taj AIH, Oksana Stowe, Pario Ventures, Patha Capital, Zoopla</t>
  </si>
  <si>
    <t>www.landbay.co.uk</t>
  </si>
  <si>
    <t>343360-27</t>
  </si>
  <si>
    <t>Uncapped</t>
  </si>
  <si>
    <t>Provider of revenue-based financing services intended to provide founders access to fair and flexible finance. The company offers flat fee-based funding that can be issued in less time, and with a flexible payment system, enabling entrepreneurs to access capital without the need for personal guarantees, credit checks, warrants, or equity.</t>
  </si>
  <si>
    <t>Acurio Ventures Partners, Ataraxy Ventures, Atempo Growth, Carlos Gonzalez-Cadenas, Christian Faes, Cogito Capital Partners, David Nolan, Global Founders Capital, Grow London, Innovate UK, Kevin Glynn, Lakestar, Mouro Capital, Robert Dighero, Seedcamp, Taavet Hinrikus, White Star Capital</t>
  </si>
  <si>
    <t>www.weareuncapped.com</t>
  </si>
  <si>
    <t>233698-87</t>
  </si>
  <si>
    <t>Mooncard</t>
  </si>
  <si>
    <t>Developer of an expense management system designed to optimize operational team efficiency while giving control to finance teams. The company's system offers secure, real-time payment cards that automate the management of expense claims and business expenses and also put the new payment technologies at the service of day-to-day management, enabling users to pay, manage and simply record the expense reports and business expenses.</t>
  </si>
  <si>
    <t>Aglaé Ventures, Athena Family, BlackFin Capital Partners, Bpifrance, ByTheTower, Key Ventures, La French Tech, Le Village by CA, Orange Ventures, Partech, Portage, RAISE Group</t>
  </si>
  <si>
    <t>www.mooncard.co</t>
  </si>
  <si>
    <t>100385-83</t>
  </si>
  <si>
    <t>Xempus Deutschland</t>
  </si>
  <si>
    <t>Developer of a financial technology designed to digitize occupational pension schemes and life insurance. The company's technology offers user-friendly information and customer journeys, transparent, and efficient processes, and a single platform to connect all stakeholders, enabling life insurers, insurance agents, corporates, and consumers to buy and manage pension and life insurance online.</t>
  </si>
  <si>
    <t>Armada Investment, Cinco Capital, CoastCap, Daniel Gutenberg, Goldman Sachs Asset Management, HPE Growth, InfraVia Capital Partners, Reimann Investors, TempoCap, Vas Ventures</t>
  </si>
  <si>
    <t>www.xempus.ai</t>
  </si>
  <si>
    <t>62851-60</t>
  </si>
  <si>
    <t>PeerNova</t>
  </si>
  <si>
    <t>Developer of a data quality and analytics platform designed to provide contextual insights for decision-making. The company's platform enables users to monitor data quality metrics, identify high-impact exceptions, and perform root-cause analysis, enabling financial institutions and enterprises to improve data reliability and optimize operational efficiency.</t>
  </si>
  <si>
    <t>Asha Motwani, Bed Bath &amp; Beyond, Harbor Island Equity Partners, Intuitive Venture Partners, Mac Hofeditz, Medici Ventures, Mosaik Partners, Plug and Play Tech Center, Three Tree Ventures, Zhejiang Zhongnan Group, Zhongnan Capital</t>
  </si>
  <si>
    <t>www.peernova.com</t>
  </si>
  <si>
    <t>500869-54</t>
  </si>
  <si>
    <t>Every (Financial Software)</t>
  </si>
  <si>
    <t>Developer of a financial operations platform designed for bill payments and the employee onboarding process for the organization. The company's platform specializes in financial operations, HR operations, bank account management, corporate cards, bill payments, and payroll management, enabling clients to manage all their back-office operations through a single portal.</t>
  </si>
  <si>
    <t>Andover Ventures, Base10 Partners, Cambrian Fintech, Formus Capital, Hustle Fund, Maiora Ventures, Okta Ventures, Olive Tree Capital, Pioneer Fund, Rebel Fund, Redpoint Ventures, Rex Salisbury, Versus Ventures, Wayfinder Ventures, Y Combinator</t>
  </si>
  <si>
    <t>www.every.io</t>
  </si>
  <si>
    <t>513185-23</t>
  </si>
  <si>
    <t>VD Robotics</t>
  </si>
  <si>
    <t>Artificial Intelligence &amp; Machine Learning, FinTech, Robotics and Drones</t>
  </si>
  <si>
    <t>Developer of an artificial intelligence and IT technology intended for retail businesses. The company offers consumer shopping journey automation by combining computer vision algorithms and sensor fusion, an AI vending machine with computer vision and automatic payment, and an AI serving robot equipped with self-driving technology, enabling clients to innovate existing values and systems to create a new, more convenient consumer life.</t>
  </si>
  <si>
    <t>Hana Ventures</t>
  </si>
  <si>
    <t>www.vdrobotics.co.kr</t>
  </si>
  <si>
    <t>520579-18</t>
  </si>
  <si>
    <t>Fin</t>
  </si>
  <si>
    <t>Developer of a financial payments platform designed to simplify the process of distributing digital assets. The company's platform offers a link-based sharing system through which users can create and share their digital assets without having any wallets and making the process convenient, enabling customers to have a secure way to transform their digital assets at an affordable cost as per their needs and handle high-value, global, and instant transactions.</t>
  </si>
  <si>
    <t>Asymmetric Financial, Balaji Srinivasan, Big Brain Holdings, Circle Ventures, Karatage, Liu Jiang, MonkeVentures, Multicoin Capital, Pantera Capital, Paxos, Samsung NEXT Ventures, Sarah Guo, Sequoia Capital, Solana Ventures, Sunflower Capital, Vinny Lingham</t>
  </si>
  <si>
    <t>www.fin.tech</t>
  </si>
  <si>
    <t>230714-29</t>
  </si>
  <si>
    <t>Finalis</t>
  </si>
  <si>
    <t>Developer of a compliance and dealflow platform designed for private capital market deals. The company's platform offers FINRA member broker-dealer affiliation, integrated data rooms, AI-powered compliance workflows, automated regulatory oversight, deal intelligence tools, networking and community access, and centralized workflow management with real-time visibility, enabling investment bankers, placement agents, and independent advisors to streamline compliance, reduce operational complexity, and accelerate deal execution.</t>
  </si>
  <si>
    <t>Accel, Altari Ventures, ANIMO Ventures, Banyan Ventures (New York), Chaac Ventures, Enabling Future, Everywhere Ventures, Feedback Ventures, Gaingels, Kube VC, LightPost Capital, Marin Sonoma Impact Ventures, OVO Fund, Tribe Capital, Two Culture Capital, Ulu Ventures</t>
  </si>
  <si>
    <t>www.finalis.com</t>
  </si>
  <si>
    <t>226327-96</t>
  </si>
  <si>
    <t>Vyapar</t>
  </si>
  <si>
    <t>Developer of a billing and accounting application designed to simplify business management and tax filings. The company's application offers a variety of features, including invoicing, inventory management, GST-compliant invoice creation, multi-device support, offline billing, automated payment reminders, accounting, and cash flow management, enabling businesses to streamline their operations and comply with tax regulations in India.</t>
  </si>
  <si>
    <t>AG Ventures., Anicut Capital, Atrium Ventures (India), Axilor Ventures, Dharana Capital, First Principles Ventures, FortyTwo.VC, India Quotient, IndiaMART InterMESH, SN Damani, WestBridge Capital (San Mateo)</t>
  </si>
  <si>
    <t>www.vyaparapp.in</t>
  </si>
  <si>
    <t>183997-54</t>
  </si>
  <si>
    <t>Metropolitan Stock Exchange of India</t>
  </si>
  <si>
    <t>Operator of a stock exchange platform intended to enable trading in the capital market. The company offers a free-float-based index, robust electronic trading infrastructure, and investor-education support to measure and benchmark the performance of a diversified set of liquid large-cap companies, allowing brokers, corporates, and retail investors to trade and benchmark equity, derivatives, currency, and debt instruments with improved market access and transparency.</t>
  </si>
  <si>
    <t>Achintya Securities, Anisha Fincap Consultants, Arham Share, AY Securities &amp; Commodities, Bank of India, Bhaijee Broking &amp; Investment, Brand Capital, Butterworth Holdings, Evolve Capital Advisors, Excel Stock Broking, Faad Network, Finsol Securities, Groww, IL&amp;FS Securities Services, Indasset StockGro Services, Jainam, Kailash Nadh, KIFS International, KKM Enterprises, Mansi Share &amp; Stock Advisors, Marwadi Chandarana Intermediaries Brokers, Monarch Networth Capital, Nithin Kamath, Peak XV Partners, Pharma Ventures International, Raghav Investment, Rainmatter Capital, RM Corporate Services, Rosy Blue Securities, S Gupta Family Investments, Securicorp Securities India, Share India Securities, Straits Holdings, Trust Investment Advisors (Indianapolis), Valpro Capital, YMS Finance, Zanskar AIF, Zaveri Enterprise</t>
  </si>
  <si>
    <t>mseindia.com</t>
  </si>
  <si>
    <t>267799-06</t>
  </si>
  <si>
    <t>BestEx Research</t>
  </si>
  <si>
    <t>Developer of trading technology designed to improve portfolio implementation costs. The company's technology provides a suite of global and multi-asset algorithmic trading products and develops low-latency trading technology, enabling clients to build their portfolios at a cheaper rate.</t>
  </si>
  <si>
    <t>QC VENTURES</t>
  </si>
  <si>
    <t>www.bestexresearch.com</t>
  </si>
  <si>
    <t>482036-95</t>
  </si>
  <si>
    <t>Bill360</t>
  </si>
  <si>
    <t>Developer of billing and payment automation software designed to streamline financial operations and accelerate payment collection. The company offers cloud-based invoicing, payment processing, customer communication automation, and artificial intelligence-driven transaction management tools, enabling businesses to reduce payment processing costs and improve cash flow management.</t>
  </si>
  <si>
    <t>www.bill360.com</t>
  </si>
  <si>
    <t>222605-29</t>
  </si>
  <si>
    <t>Clerkie</t>
  </si>
  <si>
    <t>Artificial Intelligence &amp; Machine Learning, Big Data, FinTech, Mortgage Tech, SaaS</t>
  </si>
  <si>
    <t>Developer of a financial platform designed to automate loan servicing and credit score building through debt management. The company's platform uses conversational AI to build in-depth financial knowledge graphs that allow the management of loan losses and combine financial advice with one-click automation, enabling lenders, businesses, and individuals to optimize loan portfolios, improve repayment rates, and enhance financial wellness.</t>
  </si>
  <si>
    <t>Citigroup Alternative Investments, David Velez, Flourish Ventures, Google Accelerator, Left Lane Capital, SaxeCap, Tom Proulx, TruStage Ventures, Vestigo Ventures, Wellington Access Ventures, Wellington Management</t>
  </si>
  <si>
    <t>www.clerkie.io</t>
  </si>
  <si>
    <t>267790-96</t>
  </si>
  <si>
    <t>Databento</t>
  </si>
  <si>
    <t>Big Data, SaaS</t>
  </si>
  <si>
    <t>Developer of a colocation platform designed to provide simpler and faster access to historical data to receive market data. The company's platform automates data licensing and reduces onboarding time for reliable capture of institutional-grade financial data, including live exchange feeds and terabytes of historical data, enabling businesses and financial institutions to access high-fidelity data capture directly from the source, save storage costs, and ensure low latency.</t>
  </si>
  <si>
    <t>10X Capital, 12 Angels Venture Capital, Alumni Ventures, Belvedere Strategic Capital, Belvedere Trading, Blindspot Ventures, Blue Moon (San Francisco), Bridge Ventures (Chicago), Claire Johnson, Clear Street, Cross Creek Advisors, David Lin, David Magerman, Differential Ventures, DRW Venture Capital, Endless Frontier Labs, Fifth Down Capital, Gaingels, GingerBread Capital, Gokul Rajaram, Good Growth Capital, Hanwha Asset Management (USA), Highfield Capital, House Of Ventures, Indicator Ventures, Joanne Bradford, Lightscape Partners, Ligo Partners, Main Set, MassChallenge, Morrison Seger, Motley Fool Ventures, Nancy Fechnay, Network VC, New Enterprise Associates, OneCapital Investment Group, Operator Collective, Owen Van Natta, Redpoint Ventures, Service Provider Capital, SV Pacific Ventures, Taihill Venture, TGVP, TRAC VC, Tribe Capital, Trousdale Ventures, Unicorn Venture Partners, Unusual Ventures, Wealthing VC Club</t>
  </si>
  <si>
    <t>www.databento.com</t>
  </si>
  <si>
    <t>434163-88</t>
  </si>
  <si>
    <t>Standard Metrics</t>
  </si>
  <si>
    <t>Developer of an automated portfolio reporting platform designed to reduce the reporting burden on investment firms and their portfolio companies. The company offers centralized data collection, standardized reporting workflows, investor-ready reporting, and support for audits and valuations, enabling investment firms and portfolio companies to maintain a single source of portfolio truth and simplify ongoing reporting and oversight.</t>
  </si>
  <si>
    <t>8VC, Abstract Ventures, Adapt Ventures, Alpha Edison, Ammar Amdani, Broom Ventures, Calm Ventures, Cameron Teitelman, Charles Li, Christina Sass, Dan Von Kohorn, Eugene Marinelli, Fareed Mosavat, Fin Capital, First Trust Capital Partners, Gaingels, Global Founders Capital, J17 Ventures, January Capital, Jonathan Scherr, Kane Hsieh, Kindergarten Ventures, LeFrak, Mark VC, Mohammed Amdani, Musha Ventures, Nimit Jain, Nitesh Banta, Not Boring, Ray Zhou, Realm Capital Ventures, Ride Ventures, Riot Ventures, Salesforce Ventures, Scale Asia Ventures, Slack Fund, Socii Capital, Soma Capital, Spark Capital, Titan Capital, Vibhav Altekar, Victor Chiang, Zain S Hasan Charitable Remainder Trust</t>
  </si>
  <si>
    <t>www.standardmetrics.io</t>
  </si>
  <si>
    <t>895889-08</t>
  </si>
  <si>
    <t>Translucent AI</t>
  </si>
  <si>
    <t>Artificial Intelligence &amp; Machine Learning, FinTech, HealthTech</t>
  </si>
  <si>
    <t>Developer of an agentic financial analysis platform designed to provide financial planning support to healthcare operators. The company's software offers a personal analyst for financial questions, drafts analysis reports and forecasts from service-line data, allows progress monitoring, enabling healthcare teams to simplify complex workflows, reduce time needed for manual report building, identify revenue and cost improvement opportunities, and understand what drives their financial performance.</t>
  </si>
  <si>
    <t>FPV Ventures, GV, Nea, New Enterprise Associates, Redesign Health, Virtue (Austin)</t>
  </si>
  <si>
    <t>www.translucent.ai</t>
  </si>
  <si>
    <t>147448-18</t>
  </si>
  <si>
    <t>Trackwizz</t>
  </si>
  <si>
    <t>Provider of risk and compliance technology alternatives designed for banks, stock exchanges, stockbrokers, and other financial institutions. The company specializes in anti-money laundering, screening, risk rating, employee trade tracking, information utility, customer onboarding, and transaction monitoring, enabling clients to make financial decisions conveniently.</t>
  </si>
  <si>
    <t>WestBridge Capital (San Mateo)</t>
  </si>
  <si>
    <t>tssconsultancy.com</t>
  </si>
  <si>
    <t>104757-49</t>
  </si>
  <si>
    <t>Blue Dot</t>
  </si>
  <si>
    <t>Developer of a tax compliance platform designed for employee-driven transactions in the market. The company's platform harnesses digitization, tax compliance, and automation to process and analyze a company's employee spending data for VAT, taxable employee benefits, and corporate income tax, enabling clients to ensure consistent, proper, and valid VAT posting and a compliant return.</t>
  </si>
  <si>
    <t>Communitas Capital Partners, Ibex Investors, La Maison Partners, Lutetia Capital, Marc Berger, Omega Funds, Start Path, Talent Resources Ventures, Target Global, Viola Growth, YADAY</t>
  </si>
  <si>
    <t>www.bluedotcorp.com</t>
  </si>
  <si>
    <t>155203-03</t>
  </si>
  <si>
    <t>Cleo AI</t>
  </si>
  <si>
    <t>Developer of an artificial intelligence-based personal finance application designed to change financial health. The company's application turns the complexity of financial life into a conversation and provides deeply personal advice and products based on specific needs and financial history, enabling users to keep track of their spending across multiple accounts and credit cards, and grows with users from their first paycheck to their first mortgage.</t>
  </si>
  <si>
    <t>Adfisco, AI Venture Labs, Alan Morgan, Alexander Chesterman, Balderton Capital, Bruce Macfarlane, Entrepreneurs First, EQT Ventures, Errol Damelin, Hamble Investment Holding, Ian Hogarth, Jason Goodman, Joe White, Mainspring Fund Services, Matt Robinson, Niklas Zennström, Phoenix Court, Robin Klein, SBI Holdings, SBI Investment, Silicon Valley, Simon Franks, Siraj Khaliq, Skaala, Sofina, Taavet Hinrikus, Tech Nation Group, TriplePoint Capital, Wendy Tan-White</t>
  </si>
  <si>
    <t>web.meetcleo.com</t>
  </si>
  <si>
    <t>182601-55</t>
  </si>
  <si>
    <t>Carver Edison</t>
  </si>
  <si>
    <t>Developer of employee equity benefits software designed to reduce expense and dilution from employee stock plans while improving the ability to build long-term wealth. The company's platform features technology that funds additional plan contributions repaid through automatic share sales, AI-powered controls and accounting, and integrations with HR and stock plan systems, enabling public companies to expand equity participation, enhance perceived benefit value, and improve employees' financial resilience.</t>
  </si>
  <si>
    <t>DDC Ventures, Differential Ventures, Eli Broverman, Forefront Venture Partners, Jeffrey Cruttenden, ManchesterStory, Operator Partners, Reddy Holdings (Hyderabad), Subversive Capital</t>
  </si>
  <si>
    <t>www.carveredison.com</t>
  </si>
  <si>
    <t>507325-42</t>
  </si>
  <si>
    <t>Light (Financial Software)</t>
  </si>
  <si>
    <t>Developer of an AI-native finance platform designed to automate global accounting operations and streamline financial workflows. The company offers a unified ledger, automated bookkeeping, multi-entity reporting, and immutable audit trails, enabling finance teams in global enterprises to manage operations efficiently with complete visibility and control.</t>
  </si>
  <si>
    <t>Atomico (UK) Partners, Balderton Capital, Charles Songhurst, Cherry Ventures, Entrée Capital, Mario Götze, Seedcamp, Thomas Wolf</t>
  </si>
  <si>
    <t>www.light.inc</t>
  </si>
  <si>
    <t>464072-41</t>
  </si>
  <si>
    <t>finmid</t>
  </si>
  <si>
    <t>Developer of an embedded lending infrastructure platform designed to enable platforms to offer financing products to their business customers. The company offers a single integration for launching tailored financing products, scalable lending infrastructure, and support across multiple industries, enabling digital platforms and marketplaces to generate revenue, improve customer retention, and support business growth.</t>
  </si>
  <si>
    <t>Blossom Capital, Earlybird Venture Capital, Maximilian Tayenthal, Silicon Allee</t>
  </si>
  <si>
    <t>www.finmid.com</t>
  </si>
  <si>
    <t>279962-83</t>
  </si>
  <si>
    <t>Auditoria</t>
  </si>
  <si>
    <t>Developer of intelligent applications designed to automate corporate finance and accounting tasks. The company's applications combine artificial intelligence-based finance process automation with natural language-driven configuration and recommendation analytics to produce a system of intelligent engagement for enterprise resource planning (ERP) applications, enabling clients to automate routine business processes and leverage strategic financial insights that improve visibility and decision-making.</t>
  </si>
  <si>
    <t>B Capital Group, Dell Technologies Capital, Engineering Capital, Firebolt Ventures, HTA (Arkansas), Innovius Capital Management, KPMG, Neotribe Ventures, Sentinel Global, Venrock, Workday Ventures</t>
  </si>
  <si>
    <t>www.auditoria.ai</t>
  </si>
  <si>
    <t>433602-73</t>
  </si>
  <si>
    <t>OY!</t>
  </si>
  <si>
    <t>Operator of a digital payment portal intended to simplify financial transactions. The company's portal provides a free and easy way of transferring money directly from debit cards, viewing bank account balances and bank statements, and bringing all payments together through a single integrated platform, enabling companies to achieve financial wellness and save time.</t>
  </si>
  <si>
    <t>ACV Capital, Alfamart, Alternate Ventures, GLAS, Kembangan Holdings, Kheng Nam Lee, Krungsri Finnovate, MDI Ventures, MUFG Innovation Partners, Orion Global Advisors UK, Orion Wealth Advisors, Rich Capital Holdings, Saison Capital, SBVA, Seviora Holdings, Tazdingo Ventures, Teepakorn Lojanagosin, Tortola Capital, Wavemaker Partners, Wishaw Holding</t>
  </si>
  <si>
    <t>www.oyindonesia.com</t>
  </si>
  <si>
    <t>494436-43</t>
  </si>
  <si>
    <t>Embat</t>
  </si>
  <si>
    <t>Developer of a cloud-based financial platform designed to democratize access to valuable information. The company's software consolidates all the financial information to make treasury projections, automate reporting, and make information instantly available, enabling clients, managers, entrepreneurs, and shareholders of small and medium-sized companies to improve control of their treasury and financial planning.</t>
  </si>
  <si>
    <t>4Founders Capital, 4YFN, Borja Prado, Cathay Capital, Cathay Innovation, Creandum, Earth (Berlin), Google Accelerator, Kilian Thalhammer, Lanai Ventures, Martin Blessing, Maximilian Tayenthal, Samaipata, Scaleup Spain Network, Tetuan Valley, VentureFriends</t>
  </si>
  <si>
    <t>www.embat.io</t>
  </si>
  <si>
    <t>467258-86</t>
  </si>
  <si>
    <t>Abhi</t>
  </si>
  <si>
    <t>Developer of a financial wellness platform designed to authorize businesses and employees to financially. The company's platform is a salary advance app that provides access to unpaid wages, invoice factoring, and payroll processing, among others, for employees without any hidden charges, enabling employers to run their payroll on demand to any bank account in the country to pay their employees timely, despite financial issues.</t>
  </si>
  <si>
    <t>Alter Global, Blue Aura Ventures, BOD Tech Ventures, Conjunction Capital, D4 Ventures, Fatima Gobi Ventures, FJ Labs, Future100, Global Ventures (Private Equity), Gobi Partners, Graph Ventures, Hub71, i2i Ventures (Pakistan), JDAC Capital, K3 Diversity Ventures, Mentors Fund, Next Billion Ventures, Portman Wills, Rally Cap VC, Sarmayacar, Seedstars International Ventures, Shorooq Partners, Soma Capital, Speedinvest, Sprint VC, Square Associates, Sturgeon Capital, Sukna Ventures, Suya Ventures, Team Ignite Ventures, TPL e-Ventures, UNIQA Ventures, VEF, VentureSouq, Village Global, Y Combinator, Zayn Venture Capital</t>
  </si>
  <si>
    <t>abhi.com.pk</t>
  </si>
  <si>
    <t>484078-60</t>
  </si>
  <si>
    <t>Quilo</t>
  </si>
  <si>
    <t>Developer of a digital lending network platform intended to empower community financial institutions to originate long-term loans. The company's platform simplifies lending by fractionally placing the funds across loans by offering instant financing at the point of sale or service so they can provide much-needed products to their customers, enabling clients to easily extend their financial institution's liquidity with full control and on their terms.</t>
  </si>
  <si>
    <t>Fin Capital, Studio VC, The Venture Center</t>
  </si>
  <si>
    <t>www.quilocloud.com</t>
  </si>
  <si>
    <t>483281-92</t>
  </si>
  <si>
    <t>TAPP Engine</t>
  </si>
  <si>
    <t>Developer of artificial general intelligence (AI)-powered, API-first financial technology infrastructure designed to support the delivery and management of modern financial services. The company offers a unified, cloud-based platform spanning wealth management, brokerage, multi-custody, trade execution, cash management, payments, digital assets, securitization, and deposit access, enabling financial institutions, fintechs, and enterprises to build and manage financial services.</t>
  </si>
  <si>
    <t>One Washington Financial</t>
  </si>
  <si>
    <t>www.tappengine.com</t>
  </si>
  <si>
    <t>128479-51</t>
  </si>
  <si>
    <t>Glint (Financial Software)</t>
  </si>
  <si>
    <t>Artificial Intelligence &amp; Machine Learning, Big Data, Cryptocurrency/Blockchain, FinTech, Mobile, Mobile Commerce</t>
  </si>
  <si>
    <t>Developer of a mobile gold payment application designed to reintroduce gold as a global currency. The company's application lets users buy, save, exchange and send multiple currencies including gold and use a debit card to spend those currencies, enabling people to make everyday payments through gold as per their convenience at the point of sale.</t>
  </si>
  <si>
    <t>Bray Capital, British Business Bank, Craig Dewar, Evy Hambro, Future Fund (UK), NEC Capital Solutions, Nicholas Silitch, Peter Michael, Sprott Natural Resource Investment Partners, Startup Réseau, Tokyo Commodity Exchange, TriplePoint Capital, Venture Labo Investment</t>
  </si>
  <si>
    <t>www.glintpay.com</t>
  </si>
  <si>
    <t>494240-50</t>
  </si>
  <si>
    <t>DataMesh</t>
  </si>
  <si>
    <t>Artificial Intelligence &amp; Machine Learning, E-Commerce, FinTech, Mobile Commerce</t>
  </si>
  <si>
    <t>Developer of a financial system designed to provide payment operations for merchants on behalf of any financial institution. The company's system specializes in offering financial switch technology and payment application software, enabling merchants to streamline low-cost, and flexible payment terminal tools integrated into point-of-sale systems.</t>
  </si>
  <si>
    <t>1835i, Deutsche Bank, Fifth Estate Asset Management, National Australian Bank Ventures, Perpetual Corporate Nominees, Wunala Capital, Yasser Shahin</t>
  </si>
  <si>
    <t>www.onedmg.com</t>
  </si>
  <si>
    <t>234953-65</t>
  </si>
  <si>
    <t>Ledgy</t>
  </si>
  <si>
    <t>Developer of a valuation tracking platform designed to manage equity capital and employee participation. The company's platform simplifies the overview of vesting plans, phantom programs, and numbered shares, digitizing the equity management process and ensuring clarity for all parties involved, enabling entrepreneurs and shareholders to gain insights on their capital table, financing rounds, or exit negotiations.</t>
  </si>
  <si>
    <t>20VC, b2venture, Creathor Ventures, Crew Capital, Daniel Dines, Harry Stebbings, Jonathan Golden, Kinled Holding, Mathilde Collin, Michael Naf, New Enterprise Associates, Paul Sevinç, Sequoia Capital, Speedinvest, The Delta, UNIQA Ventures, Vi Partners, Visionaries Club, Xavier Niel</t>
  </si>
  <si>
    <t>www.ledgy.com</t>
  </si>
  <si>
    <t>265216-78</t>
  </si>
  <si>
    <t>BlocPal</t>
  </si>
  <si>
    <t>Developer of a digital neo-banking platform intended to transform how people access financial services. The company platform aggregates traditional and decentralized financial services to create an easy-to-use marketplace of financial services and uses artificial intelligence, cloud computing, and blockchain to reimagine the possibilities of how people transact, invest, and thrive in the digital economy, enabling users, merchants, and enterprise partners to easily and safely transact with local or international currencies and digital assets.</t>
  </si>
  <si>
    <t>www.blocpal.com</t>
  </si>
  <si>
    <t>13288-69</t>
  </si>
  <si>
    <t>Zempler Bank</t>
  </si>
  <si>
    <t>Operator of a smart banking platform intended to offer current accounts and lending services for small businesses and consumers. The company's platform offers easy-to-access, simple-to-use banking services, including digital current accounts, overdrafts, and credit cards, and has a track record of digital innovation, enabling micro businesses and consumers to get banking services at a click or a tap.</t>
  </si>
  <si>
    <t>BCI Capital, Trident Capital</t>
  </si>
  <si>
    <t>www.zemplerbank.com</t>
  </si>
  <si>
    <t>739620-91</t>
  </si>
  <si>
    <t>Saarathi Finance</t>
  </si>
  <si>
    <t>Provider of loan credit to micro, small, and medium enterprises (MSMEs) and self-employed individuals, intended for easy availability of cash for businesses. The company offers quick, transparent lending processes and personalized support through relationship managers, enabling businesses in underserved semi-urban and rural markets to access financial resources, growth, and success.</t>
  </si>
  <si>
    <t>Evolvence Equity Partners, Lok Capital, Paragon Partners, TVS Capital</t>
  </si>
  <si>
    <t>www.saarathifinance.com</t>
  </si>
  <si>
    <t>56319-85</t>
  </si>
  <si>
    <t>M-Kopa</t>
  </si>
  <si>
    <t>Artificial Intelligence &amp; Machine Learning, Big Data, CleanTech, FinTech, Internet of Things, Mobile, SaaS</t>
  </si>
  <si>
    <t>Developer of a connected-asset financing platform designed to improve access to essential digital and energy goods. The company's platform offers devices funded via a small deposit and daily micro-installments, backed by embedded sensors and mobile-money integration, enabling underserved everyday earners in African markets to build credit histories and gain ownership of high-value assets.</t>
  </si>
  <si>
    <t>Aadil Mamujee, Africa Enterprise Challenge Fund, AfricaGoGreen Fund, AHL Venture Partners, Blue Haven Initiative, British International Investment, Broadscale Group, DOB Equity, FinDev Canada, Generation Investment Management, Gray Ghost Ventures, HEPCO Capital Management, Impact Ventures UK, International Finance Corporation, Jean Case, Latitude (London), Lauder Partners, Lightrock, Make-IT in Africa, Mitsui &amp; Co, Musha Ventures, New Summit Investments, Phoenix Court, Richard Branson, SBI Ven Capital, Standard Bank, Stephen Case, Sumitomo, Treehouse Investments</t>
  </si>
  <si>
    <t>www.m-kopa.com</t>
  </si>
  <si>
    <t>169783-84</t>
  </si>
  <si>
    <t>Bud</t>
  </si>
  <si>
    <t>Developer of a financial data enrichment platform designed to transform raw transaction data into structured, meaningful insights for improved decision-making. The company offers AI-driven transaction enrichment, categorisation, merchant identification, and behavioral analysis, enabling banks and fintechs to understand customer activity and enhance personalisation, risk management, and operational efficiency.</t>
  </si>
  <si>
    <t>1835i, 9Yards Capital Management, Adfisco, ANZ Group Holdings, Banco Sabadell, Breega, Edward Cooper, FinTech Innovation Lab, Force Over Mass Capital, Fundación Banco Sabadell, Goldman Sachs Growth Equity, Grow London, HSBC Ventures, Investec, Outward Venture Capital, Sabadell Venture Capital, SEI Investments, Stanley Fink, TDR Capital, TechHub, The Up VC, TransUnion Information Group</t>
  </si>
  <si>
    <t>www.thisisbud.com</t>
  </si>
  <si>
    <t>472082-23</t>
  </si>
  <si>
    <t>Olea</t>
  </si>
  <si>
    <t>Developer of a trade finance origination and distribution platform designed to serve institutional investors. The company's fully digitized trade finance platform brings businesses requiring supply chain financing with investors who invest in trade finance assets as an alternative asset class, enabling clients to focus on growing their businesses.</t>
  </si>
  <si>
    <t>Banco Bilbao Vizcaya Argentaria, Linklogis, SC Ventures, Standard Chartered, theDOCK, XVC Tech</t>
  </si>
  <si>
    <t>www.olea.net</t>
  </si>
  <si>
    <t>229089-88</t>
  </si>
  <si>
    <t>Brooklyn Investment Group</t>
  </si>
  <si>
    <t>Developer of a digital wealth management platform designed to combine institutional-grade portfolio optimization and automated tax-loss harvesting. The company's platform combines machine learning and natural language processing to automatically decode data for investment management, enabling clients to transform intangible developments into quantified impacts.</t>
  </si>
  <si>
    <t>Atypical Ventures, Future Labs, InCrowd Capital, John Hantz, Kesha Ventures, Nue Capital, S&amp;P Global, Thomson Reuters Labs, TIAA Ventures</t>
  </si>
  <si>
    <t>www.bkln.com</t>
  </si>
  <si>
    <t>183364-57</t>
  </si>
  <si>
    <t>Extend</t>
  </si>
  <si>
    <t>Developer of a digital credit card-sharing platform designed to offer modern virtual credit card features and distribution capabilities. The company's tool permits a unique digital credit card to employees, contractors, and freelancers with a defined spend limit and expiration date, improves core financial processes, enabling businesses to streamline spend management while keeping the banks they know and trust.</t>
  </si>
  <si>
    <t>B Capital Group, City National Bank, Commerce Ventures, FinTech Collective, FinTech Innovation Lab, Jonathan Weiner, March Capital, Michael Heller, Pacific Western Bank, Plug and Play Tech Center, Reciprocal Ventures, Royal Bank of Canada, Tribeca Early Stage Partners, Wells Fargo, WorldQuant Ventures</t>
  </si>
  <si>
    <t>www.paywithextend.com</t>
  </si>
  <si>
    <t>53473-33</t>
  </si>
  <si>
    <t>GAIN Credit</t>
  </si>
  <si>
    <t>Operator of consumer lending company intended to offer access to short-term and installment financing products. The company provides personal loans, credit products, online loan applications, underwriting, and repayment management services, enabling consumers to obtain financing for personal expenses and cash flow needs.</t>
  </si>
  <si>
    <t>David Wanek, Frank Rotman, James Feuille, Kevin Dunlap, Mark Sherman, MFP Ventures, QED Investors, SLR Credit Solutions, Wildcat Venture Partners</t>
  </si>
  <si>
    <t>www.gaincredit.com</t>
  </si>
  <si>
    <t>515419-03</t>
  </si>
  <si>
    <t>Kredete</t>
  </si>
  <si>
    <t>Developer of a financial platform designed to help African immigrants build credit and access financial services. The company's platform offers loan application, disbursement, repayment, and collection, also helps in accessing credit scores, reports, assessments, and credit monitoring, and applying for personalized loans, enabling individuals to gain financial stability and access a simplified credit application, manage their finances, and plan their future better.</t>
  </si>
  <si>
    <t>Africinvest, Bharat Founders Fund, Blockchain Founders Fund, Cathay Innovation, Decelera Ventures, DNA Fund, Era Capital, Expert DOJO, Keiretsu Forum, Launch Africa Ventures, Neer Venture Partners, Partech, Polymorphic Capital, RevTech Labs Capital, SDF (Machinery (B2B)), Stellar (Financial Software), Team Ignite Ventures, Techstars, Tezos, Visa Accelerator</t>
  </si>
  <si>
    <t>www.kredete.io</t>
  </si>
  <si>
    <t>501756-58</t>
  </si>
  <si>
    <t>Navro</t>
  </si>
  <si>
    <t>Developer of a fintech platform designed to allow brands to scale their payment operations globally. The company's platform offers to check out in their preferred method, connect to any payment acceptance method, collect funds locally, use payment stack management, provide real-time local coverage, and receive funds in their preferred method, enabling businesses to handle payment infrastructure and grow their companies.</t>
  </si>
  <si>
    <t>Bain Capital Ventures, Better Tomorrow Ventures, Clocktower Ventures, D4 Ventures, Fin Capital, Four Cities Capital, Greenwave Ventures (Florida), Jump Capital, Motive Partners, Salica Investments, Signal Rank, The Fintech Fund, Tona Investments, Unusual Ventures</t>
  </si>
  <si>
    <t>www.navro.com</t>
  </si>
  <si>
    <t>268233-13</t>
  </si>
  <si>
    <t>Griffin</t>
  </si>
  <si>
    <t>Developer of a digital banking platform designed to facilitate payments for the fintech sector. The company's platform has integrated compliance services for companies that need custodial accounts and access to interbank payments, enabling businesses to satisfy know-your-customer and anti-money laundering requirements securely and hassle-free.</t>
  </si>
  <si>
    <t>Adfisco, AirAngels, Andy Homer, Augustin Ku, Breega, Carlos Gonzalez-Cadenas, Charles Delingpole, Charles Songhurst, Chris Adelsbach, CircleRock Capital, Crane Venture Partners, DG Daiwa Ventures, EQT Ventures, Google Accelerator, Main Set, Mango Capital, Marcus Westin, MassMutual Ventures, Matthew Robinson, Michele Attisani, New Venture, Nilan Peiris, NJF Capital, NordicNinja VC, Notion Capital, Paul Forster, Phillip McGriskin, Portfolio Ventures, Robertus Straathof, Rony Kahan, Santosh Radhakrishnan, Seedcamp, Shane Happach, The Fintech Fund, Tribe Capital, William Hockey</t>
  </si>
  <si>
    <t>www.griffin.com</t>
  </si>
  <si>
    <t>50972-59</t>
  </si>
  <si>
    <t>indinero</t>
  </si>
  <si>
    <t>Developer of a business management and accounting software designed to automate day-to-day bookkeeping tasks. The company's software combines a finance team of bookkeepers, accountants, and certified public accountants to provide startups and small businesses with the knowledge to understand their company's financial health and specializes in fund accounting, grant management, and regulatory compliance, enabling enterprises to make informed decisions about how and where to use their money.</t>
  </si>
  <si>
    <t>500 Global, Acequia Capital, Ali Partovi, Babak Yazdani, Base Ventures, Beedie Capital, Camp One Ventures, Capital Southwest, Catapult VC, Charles Songhurst, Christian Busch, Cota Capital, Coyote Ridge Ventures, Currency M, Elad Gil, Erik Moore, FundersClub, Galeo Capital, Geoff Ralston, Hamid Barkhordar, Hemisphere Ventures, J. Patil, Jared Slosberg, Jawed Karim, Jeremy Stoppelman, Jesse Middleton, Joel Gascoigne, Jude Gomila, K5 Ventures, Kapor Capital, Karl Jacob, Keith Rabois, Kingsbridge Investment Partners, Louis Beryl, Mahway, Mario Martinez, Matthew Humphrey, Michael Liou, MindWorks Ventures, Mitchell Kapor, NOMO Ventures, Paige Craig, QueensBridge Venture Partners, S.A.W. Capital Partners, Seth Ginns, SGH Capital, Streamlined Ventures Management, Sven Ernst, Ullas Naik, Y Combinator, Yun-Fang Juan</t>
  </si>
  <si>
    <t>www.indinero.com</t>
  </si>
  <si>
    <t>437472-10</t>
  </si>
  <si>
    <t>Jodo</t>
  </si>
  <si>
    <t>Developer of a fintech platform designed to provide financial services for middle-income households. The company's platform offers an alternate way to pay school fees for the lower-middle-class by facilitating them to pay in installments to solve the cash flow issues which face a shortage of funds after paying hefty sums, enabling parents to pay their children's school fees in monthly installments at no interest cost.</t>
  </si>
  <si>
    <t>Amit Rajan, Deepti Sanghi, Elevation Capital (India), QED Innovation Labs, Rainmatter Capital, Sarthak Misra, Stride Ventures, Tiger Global Management, Z47</t>
  </si>
  <si>
    <t>www.jodo.in</t>
  </si>
  <si>
    <t>184210-21</t>
  </si>
  <si>
    <t>MoCaFi</t>
  </si>
  <si>
    <t>Developer of a personal finance platform designed to achieve economic equality through affordable, credit-building financial products. The company's platform offers financial products and services in the areas of check cashing, custom loans, debit cards, financial literacy, data analytics, and personal finance via its mobile application and financial card, enabling financially excluded individuals and community organizations to check their balance, cash their paychecks, and send money safely at no extra cost.</t>
  </si>
  <si>
    <t>www.mocafi.com</t>
  </si>
  <si>
    <t>519173-02</t>
  </si>
  <si>
    <t>TigerBeetle</t>
  </si>
  <si>
    <t>Developer of a financial accounting database designed to track financial transactions at scale, within, and between systems. The company's platform redesigns the distributed database storage engine and consensus protocol for the Online Transaction Processing (OLTP) workload, enabling businesses to ensure critical safety and performance.</t>
  </si>
  <si>
    <t>Ameet Patel, Amod Malviya, Amplify Partners, Andrew Kelley, Chris Riccomini, Deepti Srivastava, Derek Collison, Desigan Chinniah, Dominik Tornow, James Cowling, Loris Cro, Spark Capital, Thomas McLeod</t>
  </si>
  <si>
    <t>www.tigerbeetle.com</t>
  </si>
  <si>
    <t>232095-07</t>
  </si>
  <si>
    <t>Vativis</t>
  </si>
  <si>
    <t>HealthTech, SaaS</t>
  </si>
  <si>
    <t>Provider of non-insurance health benefits services intended to simplify access to affordable healthcare options. The company's platform offers a variety of services, including telehealth, discounted prescription drugs, mental health support, and direct primary care, enabling individuals, families, and businesses to reduce healthcare costs while maintaining comprehensive coverage without the complexities and high premiums associated with traditional insurance plans.</t>
  </si>
  <si>
    <t>www.vativis.com</t>
  </si>
  <si>
    <t>169690-60</t>
  </si>
  <si>
    <t>Netwealth</t>
  </si>
  <si>
    <t>Provider of wealth management services intended to combine elements of a discretionary service with the benefits of a technology-enhanced approach. The company mainly focuses on offering fully managed portfolios and retirement planning services, enabling clients to get a comprehensive offering at a lower cost and meet their financial goals.</t>
  </si>
  <si>
    <t>Alan Parker, Alison Carnwath, Bruce Brown, David Peacock, Edward Carter, Harvey McGrath, James Mellon, John Weiss, Julian Mash, LSG Holdings, Michael Spencer, Stuart Rose</t>
  </si>
  <si>
    <t>www.netwealth.com</t>
  </si>
  <si>
    <t>484579-18</t>
  </si>
  <si>
    <t>PayGlocal</t>
  </si>
  <si>
    <t>Operator of a global financial payments platform designed to offer an appropriate experience with low-risk exposure to a transaction. The company offers local accounts in multiple currencies, advanced fraud detection, transparent pricing, and broad global payment method support, enabling exporters, service providers, and online merchants to confidently expand into cross-border markets and capture more revenue.</t>
  </si>
  <si>
    <t>Abhishant Pant, Amrish Rau, BEENEXT Capital Management, Jitendra Gupta, Kunal Shah, Peak XV Partners, QED Innovation Labs, Start Path, Sweta Rau, The Fintech Meetup, Tiger Global Management</t>
  </si>
  <si>
    <t>www.payglocal.in</t>
  </si>
  <si>
    <t>82896-76</t>
  </si>
  <si>
    <t>Assetz Capital</t>
  </si>
  <si>
    <t>Operator of a peer-to-peer lending platform intended to provide secured loans and funding options that support business growth and property projects. The company's platform provides alternative funding opportunities where people take control of finances and make investments viable to access capital for purchases, builds, refurbishments, and expansion, enabling enterprises and institutional investors to access different types of investments to improve their liquidity and operations.</t>
  </si>
  <si>
    <t>111 Holdings, CAPITALS Circle Group, Deeptech Ventures, Pario Ventures</t>
  </si>
  <si>
    <t>www.assetzcapital.co.uk</t>
  </si>
  <si>
    <t>325417-96</t>
  </si>
  <si>
    <t>Zepto (Financial Software)</t>
  </si>
  <si>
    <t>Developer of an open banking and real-time payment management platform designed to deliver a direct entry funding system for the digital economy. The company's platform features intelligence clearance, real-time settlement, consent management, instant account verification, and other related features that provide ongoing data insights to avoid the typical payment pain points including dishonor fees, high transactional costs, delayed clearance and unauthorized adjustments, enabling businesses to use data insights to provide better financial outcomes for their customers, improve approval times and offer reliable bank transfer capabilities.</t>
  </si>
  <si>
    <t>Airtree Ventures, Decade Partners, Euphemia (Melbourne)</t>
  </si>
  <si>
    <t>www.zepto.com.au</t>
  </si>
  <si>
    <t>178737-76</t>
  </si>
  <si>
    <t>Signzy</t>
  </si>
  <si>
    <t>Developer of a digital trust system designed for banks to solve customer authentication and onboarding problems. The company's platform uses artificial intelligence and cryptography to provide biometric-enabled digital contracts and due diligence through algorithmic risk intelligence and digitalises processes such as background checks and issuance of electronic bank guarantees, enabling banks to do digital onboarding and KYC of customers efficiently.</t>
  </si>
  <si>
    <t>Amrish Rau, Arkam Ventures, Dilipkumar Khandelwal, Fintech Nation, Gaja Capital, Google Accelerator, Government of Maharashtra, Govind Lohia, JioGenNext, Kalaari Capital, MasterCard, Neeraj Aggarwal, Peak Sustainability Ventures, Rahul Mehra, Rajan Anandan, SAP, Start Path, Stellaris Venture Partners, Sweta Rau, Tenity, T-Hub, Unitary Foundation, Vertex Ventures Southeast Asia &amp; India, Vikram Chachra, Yes Bank Business Accelerator Program</t>
  </si>
  <si>
    <t>www.signzy.com</t>
  </si>
  <si>
    <t>185474-80</t>
  </si>
  <si>
    <t>Wosai</t>
  </si>
  <si>
    <t>Provider of digital store management services intended for offline merchants across China. The company specailises in membership marketing systems, online shopping interfaces, supply chain management tools, payment integration, customer analytics, inventory tracking, promotional management and multi-location coordination, thereby enabling businesses to digitise operations and scale effectively across diverse industries.</t>
  </si>
  <si>
    <t>Ally Capital China, Chongqing Yiyi Angel Investment, CICC Capital, Detong Capital, Eagles Fund, Galileo Venture, Hangzhou Yima Private Equity Fund Management, Haoyuan Capital, Hundsun Technologies, Koala Fund, Lakala Payment, Orchid Asia Group Management, PreAngel, Steamboat Ventures China, Supergravity Capital, Xingfu Investment Management</t>
  </si>
  <si>
    <t>www.shouqianba.com</t>
  </si>
  <si>
    <t>156158-38</t>
  </si>
  <si>
    <t>Vitesse</t>
  </si>
  <si>
    <t>Developer of a settlement and liquidity management system designed to fix the opaque, costly, and outdated payment process. The company's platform offers a single connection to a network of domestic clearing systems, landing full value payments as quickly as possible, along with a simple, real-time view of global liquidity, enabling banks and businesses to make cross-border payments.</t>
  </si>
  <si>
    <t>Andy Homer, David Christie, Hannover Digital Investments, Kohlberg Kravis Roberts, Paul Townsend, Prime Ventures, Rohinton Kalifa, Shane Happach, Winforton Investments</t>
  </si>
  <si>
    <t>www.vitesse.io</t>
  </si>
  <si>
    <t>538315-21</t>
  </si>
  <si>
    <t>Greenboard</t>
  </si>
  <si>
    <t>Developer of a financial compliance operating system designed to help financial institutions meet SEC and FINRA requirements. The company offers an artificial intelligence-powered compliance system that uses machine learning to analyze communications, detect risks, and map compliance in real time, enabling firms to streamline marketing review and automate exception reporting through centralized data and testing workflows.</t>
  </si>
  <si>
    <t>A-Level Capital, Base10 Partners, Commerce Ventures, General Catalyst, Joel Fliegelman, Kulveer Tagger, Liquid 2 Ventures, Nadav Eylath, Phosphor Capital, Richard Aberman, Rogue Capital, Transpose Platform Management, Twenty Two Ventures, Wayfinder Ventures, Y Combinator</t>
  </si>
  <si>
    <t>www.greenboard.com</t>
  </si>
  <si>
    <t>98282-62</t>
  </si>
  <si>
    <t>Bankin'</t>
  </si>
  <si>
    <t>Developer of a money management application designed to facilitate money management. The company's application combines intelligent algorithms and human coaching to provide customized alternatives regarding savings, credit, and insurance, enabling customers to save and manage their money in a hassle-free manner.</t>
  </si>
  <si>
    <t>Casino, Guichard Perrachon, Didier Kuhn, Franck Lhuerre, Generation NewTech, Simon Dawlat, Wilco(Paris)</t>
  </si>
  <si>
    <t>www.bankin.com</t>
  </si>
  <si>
    <t>459654-58</t>
  </si>
  <si>
    <t>Aerem Solutions</t>
  </si>
  <si>
    <t>CleanTech, Climate Tech, FinTech</t>
  </si>
  <si>
    <t>Provider of solar financing services intended for businesses seeking to reduce their electricity costs and adopt clean energy. The company's platform leverages a widespread installer network that helps in the implementation of rooftop solar systems along with loans from its in-house non-banking financial institution or partner banks, enabling businesses to create a greener, sustainable future.</t>
  </si>
  <si>
    <t>Alphatron Capital, Alteria Capital, Anchorage Capital Partners (India), Avaana Capital, Blume Venture Advisors, British International Investment, Catalyst Trusteeship, FirstPort Capital, Incubate Fund Asia, Inflection Point Ventures (India), Riverwalk Holdings (India), SE Ventures, SMBC Asia Rising Fund, The University of Tokyo Edge Capital</t>
  </si>
  <si>
    <t>www.aerem.co</t>
  </si>
  <si>
    <t>461855-08</t>
  </si>
  <si>
    <t>Sydecar</t>
  </si>
  <si>
    <t>Developer of a web-based platform designed to support the formation and administration of private investment vehicles. The company offers automated banking, compliance management, contract processing, and reporting workflows, enabling venture fund and syndicate managers to establish and oversee special-purpose vehicles and pooled investment funds with reduced operational effort.</t>
  </si>
  <si>
    <t>Aaron Frank, Anil Aggarwal, Anthemis, Armyn Capital, Daniel Khan, Daniel Shi, Deciens Capital, Greenpoint Capital, Hawke Ventures, Hayden Simmons, House Of Ventures, Hustle Fund, Jonathan Weiner, Karim Bhalwani, LoftyInc Capital Management, Maia Bittner, Michael Vaughan, Nik Milanovic, OPCO Ventures, Pari Passu Venture Partners, PEAK6 Strategic Capital, Pipeline Capital Partners, Prota Ventures, Rally Cap VC, Riverside Ventures, Rohini Pandhi, Runa Capital, Samir Kaji, Shai Goldman, Snow Leopard Ventures, TechU Ventures, Winter Mead, Zag Capital</t>
  </si>
  <si>
    <t>www.sydecar.io</t>
  </si>
  <si>
    <t>121702-96</t>
  </si>
  <si>
    <t>Cashfree Payments</t>
  </si>
  <si>
    <t>Developer of a bulk payout and payments gateway platform designed to simplify online transactions. The company's platform offers instant refunds, on-demand payouts, bank account verification, and recurring as well as facilitates payments via several payment methods including credit and debit cards, a unified payments interface, immediate payment service, national electronic funds transfer, and digital wallets, enabling businesses to make bulk outbound payments with the upload of a simple excel file or through an application programming interface.</t>
  </si>
  <si>
    <t>10,000 Startups-NASSCOM, 9Yards Capital Management, Aadil Mamujee, Alexander Gezelius, Alexey Alexanov, Apis Partners, Arun Venkatachalam, Cabra VC, Charles Fong, Krafton, Musha Ventures, Naman Sarawagi, PhonePe, Rupert van Millingen, Smilegate Investment, Start Tank Incubator, State Bank of India, Vellayan Subbiah, Village Capital, Y Combinator</t>
  </si>
  <si>
    <t>www.cashfree.com</t>
  </si>
  <si>
    <t>119345-32</t>
  </si>
  <si>
    <t>Lendingkart Technologies</t>
  </si>
  <si>
    <t>Developer of an online lending platform designed to provide working capital finance for small and medium enterprises. The company's tool utilizes technology tools based on big data analysis, which facilitates lenders to evaluate borrowers' creditworthiness and provides other related services, enabling small and medium businesses to get short-term business loans to grow their business operations.</t>
  </si>
  <si>
    <t>Alteria Capital, Ashish Goenka, Ashit Lilani, Ashwin Chadha, Bertelsmann India Investments, Darrin Capital, Errol Damelin, EvolutionX Debt Capital, Fullerton Financial Holdings, India Quotient, Mayfield Fund, Rhythm Ventures, Saama Capital, Shailesh Mehta, Sistema Asia Capital, Stride Ventures</t>
  </si>
  <si>
    <t>www.lendingkart.com</t>
  </si>
  <si>
    <t>481595-86</t>
  </si>
  <si>
    <t>K1x</t>
  </si>
  <si>
    <t>Operator of a fintech company intended to digitize investors' experience. The company offers implementation, onboarding, custom development, data management, process optimization, and data validation services through its software tools, enabling institutional investors and accounting firms to move from traditionally analog-based processes to an all-digital experience, reducing risk and opportunity cost.</t>
  </si>
  <si>
    <t>Edison Partners, Sumeru Equity Partners</t>
  </si>
  <si>
    <t>k1x.io</t>
  </si>
  <si>
    <t>154368-46</t>
  </si>
  <si>
    <t>Kard</t>
  </si>
  <si>
    <t>Developer of a loyalty platform intended to enhance customer rewards programs through card-linked offers. The company's platform partners with financial institutions to embed customizable rewards programs seamlessly into cards, driving engagement and spending, enabling consumers to earn cash back, points, or other incentives automatically when purchasing.</t>
  </si>
  <si>
    <t>Arthur Becker, Bill Gray, Eagle Point Trinity Senior Secured Lending Company, Fin Capital, Nucleus Adventure Capital, Pathlight Ventures, Roger Taylor, Ron Moelis, Ryan Flynn, S12F, Techstars, Tiger Global Management, Trinity Capital (Phoenix), Underscore VC</t>
  </si>
  <si>
    <t>www.getkard.com</t>
  </si>
  <si>
    <t>527120-92</t>
  </si>
  <si>
    <t>Kiwi (Financial Services)</t>
  </si>
  <si>
    <t>Developer of a virtual credit card software platform intended to facilitate UPI payments. The company's software offers a lifetime free credit card with assured cashback on every transaction using a scan and pay card, enabling users to pay at any QR code, with no minimum spend amount, and claim cashback anytime.</t>
  </si>
  <si>
    <t>Nexus Venture Partners, Omidyar Network, Stellaris Venture Partners, Vertex Ventures Southeast Asia &amp; India</t>
  </si>
  <si>
    <t>www.gokiwi.in</t>
  </si>
  <si>
    <t>435807-10</t>
  </si>
  <si>
    <t>Aria (Paris)</t>
  </si>
  <si>
    <t>Artificial Intelligence &amp; Machine Learning, B2B Payments, FinTech, Mobile, SaaS</t>
  </si>
  <si>
    <t>Developer of a financial software designed to help businesses own their payment terms and grow their financial process. The company's software provides a credit infrastructure that unlocks cash on demand from corporate lenders, makes payments in a simple commodity, and matches each company's billing procedures, enabling clients to pay instantly and maintain cash flows while they grow.</t>
  </si>
  <si>
    <t>115K, 13books Capital, Adevinta, Ankaa, Arthur Waller, Cnam Incubator, d'lle de France, Guillaume Princen, Kima Ventures, Laurent Ritter, Mark Ransford, Michaël Diguet, Oleg Tscheltzoff, Otium Capital, Purple (Paris), Super Capital, Wilco(Paris)</t>
  </si>
  <si>
    <t>www.helloaria.eu</t>
  </si>
  <si>
    <t>533023-21</t>
  </si>
  <si>
    <t>Alix</t>
  </si>
  <si>
    <t>Developer of an artificial intelligence-powered settlement platform designed to automatically manage the disbursement of estates and probate procedures. The company's secure digital portal gives users a plan, guides them along each step of the process and does the work for them, enabling clients with clear and simple guidance, making their involvement as straightforward and minimal as possible.</t>
  </si>
  <si>
    <t>Acrew Capital, Alumni Ventures, American Family Ventures, Cameron Ventures, Charles Schwab, Edward Jones Ventures, Initialized Capital, Magnify VC, Scribble Ventures, Ziegler</t>
  </si>
  <si>
    <t>www.meetalix.com</t>
  </si>
  <si>
    <t>126055-90</t>
  </si>
  <si>
    <t>AlphaFlow</t>
  </si>
  <si>
    <t>Operator of a retail investment management platform intended to invest in previously inaccessible asset classes. The company's platform includes crowd financing and allows users to achieve high-income streams through debt-based real estate investments as well as provides expertise relating to real estate debt and the capital markets, enabling real estate investors to build and manage investment portfolios across different peer-to-peer platforms.</t>
  </si>
  <si>
    <t>10X Capital, 500 Global, Adamas Trust, Aria Emiko (Investment), Astir Ventures, Benjamin Savage, Buffalo Ventures, Clocktower Ventures, FundersClub, Gokul Rajaram, Hans Thomas, Igor Shoifot, Jonathan Wasserstrum, Joshua Diamond, Justin Alanis, Kevin Moore, Kishore Ganji, Knockout Capital, Kube VC, Natural Bridge Ventures, Rebel Fund, Red Swan Ventures, Relumin, Resolute Ventures, Saluda Grade, Sand Hill Angels, Social Capital, The Garage Syndicate, TRAC VC, Tyler Scriven, Vishal Garg, Y Combinator</t>
  </si>
  <si>
    <t>www.alphaflow.com</t>
  </si>
  <si>
    <t>510868-45</t>
  </si>
  <si>
    <t>Aside (Other Financial Services)</t>
  </si>
  <si>
    <t>Operator of a fintech company intended to help people keep money aside. The company helps to empower people to be more generous, more often, through a seamless mobile experience that helps members set money aside, watch it grow tax-free, and donate to nearly any U.S. nonprofit, all in one place, enabling users to put their money to better use.</t>
  </si>
  <si>
    <t>Aaron Levie, Amy Chang, Coinbase Ventures, Dylan Field, John Lilly, Michael Schroepfer, Reid Hoffman, Ribbit Capital, XYZ Venture Capital</t>
  </si>
  <si>
    <t>www.aside.co</t>
  </si>
  <si>
    <t>458121-52</t>
  </si>
  <si>
    <t>Chari</t>
  </si>
  <si>
    <t>E-Commerce, FinTech, Mobile, SaaS</t>
  </si>
  <si>
    <t>Developer of a B2B e-commerce platform designed for inventory procurement and financial service access. The company offers a digital platform featuring product listings with transparent pricing, order tracking, customer support, and timely delivery, enabling small retailers to manage stock replenishment and access financial tools, thereby supporting their operational efficiency and business continuity.</t>
  </si>
  <si>
    <t>Africa Tech Startup Forum, Afrimobility, AirAngels, AXIAN Group, AXIAN Investment, BYLD (Dubai), Chandaria Capital, DisrupTech Ventures, Dragon Capital (California), Eczacıbaşı Momentum, EIS Eczacibasi Ilac Sanayi ve Finansal Yatirimlar Sanayi ve Ticaret, Endeavor Catalyst, Endeavor Catalyst (Egypt), Global Founders Capital, H&amp;S Investment, Harambeans, Harvard University, Investing in Innovation, Khwarizmi Ventures, MetLife Foundation, MyAsiaVC, Negma Group, Orange Ventures, Orbit Ventures (Venture Capital), P1 Ventures, Pincus Capital Management, Plug and Play Tech Center, Reflect Ventures, Rocket Internet, SPE Capital, Stonewater Ventures, UM6P Ventures, Uncovered Fund, Ventek Ventures, Verod-Kepple Africa Ventures, Village Capital, Visa Accelerator, Warburg Pincus, Willarth Investments, Y Combinator</t>
  </si>
  <si>
    <t>www.chari.ma</t>
  </si>
  <si>
    <t>537475-51</t>
  </si>
  <si>
    <t>Debtist</t>
  </si>
  <si>
    <t>Provider of digital debt collection and receivables management services intended to streamline payment recovery and reduce financial risk for businesses. The company's platform automates the end-to-end receivables management process, including payment reminders, real-time payment tracking, multi-channel debtor communication, and legal debt enforcement, utilizing cloud-based SaaS architecture, analytics, and system integrations, enabling businesses across industries to improve cash flow, reduce administrative workload, and manage outstanding invoices more efficiently.</t>
  </si>
  <si>
    <t>Norvestor</t>
  </si>
  <si>
    <t>www.debtist.com</t>
  </si>
  <si>
    <t>470716-84</t>
  </si>
  <si>
    <t>Domain Money</t>
  </si>
  <si>
    <t>Provider of financial planning services intended to offer financial planning tailored to needs. The company offers flat-fee plans that include areas such as cash flow and budgeting, retirement planning, real estate analysis, and risk management with a dedicated financial expert who provides personalized advice, enabling users to streamline their transactions and overall financial investments.</t>
  </si>
  <si>
    <t>Arrington Capital, Bessemer Venture Partners, Castle Island Ventures, Christopher Ashton Kutcher, Christopher Giancarlo, Do Kwon, Elisha Wiesel, Joseph Lonsdale, Kalyan Vepuri, Marc Benioff, Maveron, Michael Arrington, Next Coast Ventures, Niall Ferguson, RRE Ventures, Spectra Investments, Start Path, SV Angel, Torch Capital, Valor Capital Group</t>
  </si>
  <si>
    <t>www.domainmoney.com</t>
  </si>
  <si>
    <t>178984-36</t>
  </si>
  <si>
    <t>Everdays</t>
  </si>
  <si>
    <t>Operator of a digital financial and estate planning platform intended for end-of-life preparation purposes. The company's platform provides a simplified issue whole life insurance product without medical exams, a digital planning tool to document final wishes, an integrated dashboard for fund allocation, and a centralized system to share these details with family members, enabling the senior consumer market and insurance agents to secure financial coverage while streamlining the logistical complexities associated with final arrangements.</t>
  </si>
  <si>
    <t>www.everdays.com</t>
  </si>
  <si>
    <t>507385-54</t>
  </si>
  <si>
    <t>FlexFactor</t>
  </si>
  <si>
    <t>Developer of a payment recovery platform designed to reduce revenue loss from declined payment transactions. The company offers software that uses artificial intelligence and real-time decisioning to identify, assess, and recover eligible payment declines across e-commerce and subscription transactions, enabling merchants to increase payment approvals, reduce customer churn, and improve revenue performance.</t>
  </si>
  <si>
    <t>Bessemer Venture Partners, Moneta Venture Capital</t>
  </si>
  <si>
    <t>www.flexfactor.io</t>
  </si>
  <si>
    <t>459548-38</t>
  </si>
  <si>
    <t>Fractional</t>
  </si>
  <si>
    <t>Developer of a fractional real estate investment platform designed to make investing accessible to everyone by making it inclusive, educational, collaborative and fun. The company's platform offers a variety of investment properties, including single-family homes and multi-family homes, enabling investors to make rental income and appreciation gains with no annual fees or holding period.</t>
  </si>
  <si>
    <t>99 Tartans, Contrary (San Francisco), Conversion Capital, CRV, Dreamers VC, Eugene Marinelli, Fifth Wall, Global Founders Capital, Goodwater Capital, Kevin Durant, Left Lane Capital, Not Boring, ODF, Outbound Ventures, Path Ventures, Patrick McCormick, Potluck Ventures, Rankin Ventures, REACH, Second Century Ventures, Soma Capital, Terrence Rohan, Twenty Two Ventures, Unusual Ventures, Willard Smith, Y Combinator</t>
  </si>
  <si>
    <t>www.fractional.app</t>
  </si>
  <si>
    <t>490165-21</t>
  </si>
  <si>
    <t>Instant (Business/Productivity Software)</t>
  </si>
  <si>
    <t>Artificial Intelligence &amp; Machine Learning, Marketing Tech, SaaS</t>
  </si>
  <si>
    <t>Developer of an instant checkout platform designed to help businesses drive revenue growth. The company offers an email and messaging platform with artificial intelligence-driven personalised campaigns, audience identification, multi-channel engagement, and automated performance testing, enabling e-commerce brands and direct-to-consumer retailers to improve customer retention and increase revenue from returning and high-interest buyers.</t>
  </si>
  <si>
    <t>Accel, Blackbird Ventures, HubSpot Ventures, Hummingbird Ventures, Justin Mateen, Larry Diamond, Reinventure Group, TEN13</t>
  </si>
  <si>
    <t>www.instant.one</t>
  </si>
  <si>
    <t>988192-45</t>
  </si>
  <si>
    <t>Meridian (New York)</t>
  </si>
  <si>
    <t>Developer of an artificial intelligence-powered automation platform designed for spreadsheet-based workflows. The company's platform utilizes artificial intelligence to automate formula generation, data updates, and repetitive tasks within spreadsheets, enabling organizations to reduce manual effort, improve accuracy, and make decisions.</t>
  </si>
  <si>
    <t>Andreessen Horowitz, FPV Ventures, Litquidity Capital, QED Investors, Soma Capital, The General Partnership</t>
  </si>
  <si>
    <t>www.meridian.ai</t>
  </si>
  <si>
    <t>268245-73</t>
  </si>
  <si>
    <t>Minu (Financial Software)</t>
  </si>
  <si>
    <t>Operator of a micro unsecured loan services platform intended to change the financial health of Mexican employees. The company's platform offers early access to salary by co-coordinating with the company's human resource department with no change to finance or change the dates of court or payroll, enabling employees to gain access to their earned wages whenever they need, instead of having to wait for payday.</t>
  </si>
  <si>
    <t>www.minu.mx</t>
  </si>
  <si>
    <t>481381-84</t>
  </si>
  <si>
    <t>Pine Canada Financial</t>
  </si>
  <si>
    <t>Artificial Intelligence &amp; Machine Learning, FinTech, Mortgage Tech</t>
  </si>
  <si>
    <t>Operator of a digital mortgage company intended for the Canadian home financing process. The company offers a digital-first, direct-to-consumer, and low-rate mortgage process as well as real estate services to buy or sell a home, all in one place, enabling clients to get a stress-free mortgage experience.</t>
  </si>
  <si>
    <t>Boon Fund Management, BoxGroup, C100 (Commercial Services), FJ Labs, Formulate Ventures, Garage Capital, Global Founders Capital, Greylock, Inovia Capital, Intact Ventures, Ludlow Ventures, MetaProp, Original Capital, Position Ventures, Rogue Capital, Thomvest Ventures, Wischoff Ventures, Zain S Hasan Charitable Remainder Trust</t>
  </si>
  <si>
    <t>www.pine.ca</t>
  </si>
  <si>
    <t>454957-93</t>
  </si>
  <si>
    <t>Projectworks</t>
  </si>
  <si>
    <t>Developer of a business management platform designed to track and record time spent on projects and manage project invoicing. The company offers a cloud-based platform with project planning, resource management, time tracking, financial management, forecasting, reporting, and invoicing capabilities, enabling professional services teams to coordinate resources, monitor project performance, and manage project finances from planning through completion.</t>
  </si>
  <si>
    <t>Bridgewest Group, Punakaiki, Ten Coves Capital</t>
  </si>
  <si>
    <t>www.projectworks.com</t>
  </si>
  <si>
    <t>232058-89</t>
  </si>
  <si>
    <t>Prometeo</t>
  </si>
  <si>
    <t>B2B Payments, FinTech, Infrastructure</t>
  </si>
  <si>
    <t>Developer of fintech infrastructure technology designed to standardise and manage cross-border banking operations. The company offers API based bank integration, transaction data standardisation, account verification, identity confirmation, and payment workflow orchestration capabilities, enabling global businesses and financial institutions to operate across multiple banking systems without managing country-specific integrations.</t>
  </si>
  <si>
    <t>Altun Capital, Angels VC, Claire Diaz-Ortiz, Cometa (Mexico), Dhow Ventures, DN Capital, Entrepreneurs Capital, Ezra Kebrab, Google Accelerator, Hustle Fund, Ingenio (Capital Markets/Institutions), Kalonia, Latinia Interactive Business, LoftyInc Capital Management, Magma Partners, MyAsiaVC, Nathan Schorr, National Agency of Research and Innovation, Orbis Capital, Parade Ventures, PayPal Ventures, Proximity Angels, Samsung NEXT Ventures, SIMMA Capital, Startupbootcamp Holding</t>
  </si>
  <si>
    <t>www.prometeoapi.com</t>
  </si>
  <si>
    <t>459507-61</t>
  </si>
  <si>
    <t>R2 (Other Financial Services)</t>
  </si>
  <si>
    <t>Developer of an embedded lending platform designed to offer financial resources to small and medium businesses simply and securely. The company's platform embeds with the company's existing platform and provides application programming interface and revenue-based financing services to increase capital retention, enabling businesses to lend without credit risk and start a new stream of revenue.</t>
  </si>
  <si>
    <t>166 2nd Financial Services, Ant Group, Cometa (Mexico), Emles Venture Partners, General Catalyst, Gradient Ventures, Hi Ventures, Latitud, Magma Partners, PayU, Prosus Ventures, Soma Capital, VentureSouq, Y Combinator</t>
  </si>
  <si>
    <t>www.r2.co</t>
  </si>
  <si>
    <t>343288-63</t>
  </si>
  <si>
    <t>Simetrik</t>
  </si>
  <si>
    <t>Developer of a financial operations automation software designed for control and efficiency in complex organizational environments. The company's platform offers AI-powered tools, no-code configuration, and data integration capabilities, enabling finance teams across global enterprises to streamline transaction reconciliation, detect anomalies, reduce manual effort, accelerate financial closings, and improve decision-making with speed, accuracy, and operational clarity.</t>
  </si>
  <si>
    <t>Actyus, Amador Holdings, Attom Capital, Clocktower Ventures, Cometa (Mexico), Endeavor Catalyst, Falabella, Fen Ventures, FinTech Collective, FJ Labs, Galicia Ventures, Global Founders Capital, Goldman Sachs Asset Management, Investo (San Francisco), Jason Pate, Mercado Libre Fund, MercadoLibre, Monashees, Moore Capital Management, Moore Strategic Ventures, Neel Murthy, Rally Cap VC, Santiago Suárez, Signal Rank, SIMMA Capital, Spectra Investments, Tania Zapata, Tiger Global Management, Upload Ventures (Sao Paulo), Volpe Capital, Wayra, Y Combinator</t>
  </si>
  <si>
    <t>www.simetrik.com</t>
  </si>
  <si>
    <t>459548-02</t>
  </si>
  <si>
    <t>Sivo</t>
  </si>
  <si>
    <t>Operator of the financial technology platform intended to offer risk scoring and debt funding for companies. The company's platform provides rapid access to debt, pushes the boundaries of risk innovation, and bridges the gap to financial inclusion, enabling fintech, neo banks, and gig platforms to lend money to their users at scale.</t>
  </si>
  <si>
    <t>Andre Charoo, Atypical Ventures, Bali Venture Partners, Dash Fund, Day One Ventures, Emles Venture Partners, Immeasurable, Maple VC, NordStar Capital, Nordstar Partners, Orange DAO, Quarry Ventures, Rankin Ventures, Riverside Ventures, Rogue Capital, Side Door Ventures, Think +, Tribe Capital, VentureSouq, Y Combinator</t>
  </si>
  <si>
    <t>www.sivo.com</t>
  </si>
  <si>
    <t>470073-79</t>
  </si>
  <si>
    <t>Smart Bank</t>
  </si>
  <si>
    <t>Developer of an expense management application designed to automatically record and visualize spending. The company offers a chargeable prepaid card that prevents overuse and an app that allow see the balance and spending at a glance, enabling users to have a wide range of functionality in deciding expenses and managing them.</t>
  </si>
  <si>
    <t>AG Capital (Tokyo), Akatsuki, ANRI, BEENEXT Capital Management, Dawn Capital (Tokyo), DBJ Capital, Global Brain, Globis Capital Partners, GMO Venture Partners, Japan Post Spiral Regional Innovation No. 1 Investment, J-Startup, Mitsui Sumitomo Kaijo Capital, Mizuho Capital, Seven Bank, SMBC Venture Capital, Spiral Capital (Tokyo), SV-FINTECH Fund, Z Venture Capital</t>
  </si>
  <si>
    <t>www.smartbank.co.jp</t>
  </si>
  <si>
    <t>551784-25</t>
  </si>
  <si>
    <t>Stuut</t>
  </si>
  <si>
    <t>Developer of an artificial intelligence coworker designed to automate accounts receivable operations and improve cash flow management. The company offers AI-driven automation across credit, collections, cash application, deductions, and disputes, along with fast integration into existing enterprise resource planning systems, enabling finance teams to streamline accounts receivable processes and promote working capital efficiency.</t>
  </si>
  <si>
    <t>1984 Ventures, Activant Capital, Andreessen Horowitz, Carya Venture Partners, Khosla Ventures, Page One Ventures, Punch Capital, Sequoia Capital, Valley Ventures, Vesey Ventures</t>
  </si>
  <si>
    <t>www.stuut.ai</t>
  </si>
  <si>
    <t>452715-85</t>
  </si>
  <si>
    <t>Tag (Information Services (B2C))</t>
  </si>
  <si>
    <t>Operator of online casino review and information services designed for user guidance and industry transparency. The company's platform offers comprehensive analysis of gaming options, promotional offerings, customer support quality, licensing compliance, mobile usability, and responsible gaming tools, enabling online casino users to explore features with confidence, compare service strengths, and make informed decisions through regularly updated, impartial content derived from expert review and user feedback.</t>
  </si>
  <si>
    <t>Andreessen Horowitz, Banana Capital, Canaan Partners, Christian Rebernik, Fatima Gobi Ventures, Hub71, Immad Akhund, Khosla Ventures, Khwarizmi Ventures, Kube VC, Liberty City Ventures, Mantis VC, Polymath Digital, Quiet Capital, Soma Capital, Sprint VC, Stefan Wille, Unpopular Ventures, Visa, William Hockey, Y Combinator</t>
  </si>
  <si>
    <t>www.tagme.pk</t>
  </si>
  <si>
    <t>465696-01</t>
  </si>
  <si>
    <t>Finnable</t>
  </si>
  <si>
    <t>Developer of a digital lending platform designed to provide quick and transparent personal loans to salaried professionals. The company offers quick loan approval with minimal documentation and low EMI options, flexible repayment options, and tools like free credit score checks and PF tracking, enabling salaried professionals to access instant financial support and ensuring an easy borrowing experience.</t>
  </si>
  <si>
    <t>Harsh Jain, India Nippon Electricals, Malpani Retails, Manipal Global Education Services (India), Neha Bagaria, Roopjyot Engineering, TVS Capital, Z47</t>
  </si>
  <si>
    <t>www.finnable.com</t>
  </si>
  <si>
    <t>63226-09</t>
  </si>
  <si>
    <t>Pockit</t>
  </si>
  <si>
    <t>Operator of a financial platform designed to provide accessible prepaid accounts and contactless cards without the requirement of credit checks. The company's software facilitates the management of finances through a mobile application that includes features for tracking spending, budgeting, and receiving salaries or benefits a day early, while also offering cashback rewards and tools to help users improve their credit scores through plans, enabling individuals with low credit scores or no credit history to access essential financial services and secure payment methods.</t>
  </si>
  <si>
    <t>Airswift Group, Alex Ferguson, Belcube, Bell Ventures (Limassol), Better Capital, Colin Harris, Concentric Team, Denis Shafranik, Frontier Car Group, Future Fund (UK), Harold Mechelynck, Houst, iNCReDiBLe LaBS UK, Kevin Reynolds, Kinled Holding, Lornamead., Mark Newton-Jones, Maven Capital Partners UK, North East Development Capital Fund, North East Fund, Oliver Farago, Perscitus, Puma VCT 13, Spotify, Telegram Service, Verve Ventures (London), Wheely</t>
  </si>
  <si>
    <t>www.pockit.com</t>
  </si>
  <si>
    <t>234834-49</t>
  </si>
  <si>
    <t>ReadyFor</t>
  </si>
  <si>
    <t>Operator of a crowdfunding platform intended to realize ideas and collect support money. The company's services help to generate pre-sales and collect feedback from early adopters for short-term fundraising campaigns for specific projects, enabling clients to solicit and raise funds for their charity or startup under one platform.</t>
  </si>
  <si>
    <t>Aozora Corporate Investment, Globis Capital Partners, JIC Venture Growth Investments, J-Startup, Mizuho Bank, MUFG Innovation Partners, Nanto Capital Partners, Salesforce Ventures, Venture Labo Investment</t>
  </si>
  <si>
    <t>www.readyfor.jp</t>
  </si>
  <si>
    <t>416559-07</t>
  </si>
  <si>
    <t>Funds</t>
  </si>
  <si>
    <t>Operator of an online peer-to-peer lending marketplace designed to connect individuals and lending companies. The company's platform connects individual investors who wish to manage their assets online to companies that borrow operating funds, enabling lenders to invest in middle-risk, middle-return type financial instruments.</t>
  </si>
  <si>
    <t>AG Capital (Tokyo), Alpha (Japan), ANRI, Arco Partners, Asset Management One, B Dash Ventures, Carta Holdings, Cygames Capital, Dentsu Group, FFG Venture Business Partners, Global Brain, Hanwha Asset Management, Hokkoku Bank, ITOCHU Technology Ventures, Japan Airlines Company, Japan Post Capital, MCP Capital, Mercari, Mercuria Investment Company, Merpay, Mitsubishi UFJ Capital, Mitsubishi UFJ eSmart Securities, Mitsui Sumitomo Insurance, Mizuho Bank, Mizuho Capital, MUFG Digital Accelerator, PKSHA Technology, Quester Capital, Rakuten Securities, Shoko Chukin Bank, SMBC Venture Capital, Sony Financial Ventures, Sumitomo Mitsui Banking, SV Frontier, SV-FINTECH Fund</t>
  </si>
  <si>
    <t>funds.jp</t>
  </si>
  <si>
    <t>463445-02</t>
  </si>
  <si>
    <t>Baselane</t>
  </si>
  <si>
    <t>Developer of a banking and finance platform designed to help landlords manage their property finances. The company's platform seamlessly integrates clients' existing bank accounts, expense management, rent collection, bookkeeping, cash flow, and performance analytics, enabling independent landlords to be empowered with tailored financial services, automated tools, and actionable insights to help them save time, increase their returns, and grow their investment portfolios.</t>
  </si>
  <si>
    <t>Activant Capital, ArchPoint Investors, Collaborative Fund, Conversion Capital, Danish Munir, Diagram Ventures, Goodwater Capital, Imraan Ahmed, Matrix, Navitas Capital, OneEleven(Ontario), Parameter Ventures, Portage, RXR Arden Digital Ventures, Sagard, Starwood Capital Group, Thomvest Ventures, Vaibhav Puranik, Watershed Collective, WaterShed Growth Ventures</t>
  </si>
  <si>
    <t>www.baselane.com</t>
  </si>
  <si>
    <t>169138-99</t>
  </si>
  <si>
    <t>Toranotec</t>
  </si>
  <si>
    <t>FinTech, Impact Investing, SaaS</t>
  </si>
  <si>
    <t>Developer of a financial asset management platform designed to offer an accessible entry point to the world of saving and investing, for anyone, at any level. The company sources the transaction data of daily life and in creating a gateway through which small change and loyalty points can be invested, enabling investors the possible entry point to begin investing and expanding the access point to wealth creation.</t>
  </si>
  <si>
    <t>AG Capital (Tokyo), Apex Capital Partners, Aslead Capital, IBIS Capital, ICM Group (Hamilton), Innovation Network Corporation of Japan, JIC Venture Growth Investments, Kodansha, Koei Tecmo Holdings, Mizuho Americas, Nissay Capital, Nomura Research Institute, Paraca, Rakuten Capital, Seven Bank, Sumisei Innovation Fund, Sumitomo Life Insurance Company, TEPCO i-Frontiers Co., TEPCO Ventures, Tokai Tokyo Financial Holdings, Tokyo Financial Award</t>
  </si>
  <si>
    <t>www.toranotec.com</t>
  </si>
  <si>
    <t>232300-54</t>
  </si>
  <si>
    <t>Simfoni</t>
  </si>
  <si>
    <t>Developer of spend analytics and spend automation platform designed to accelerate and automate key aspects of the procurement process. The company's platform offers insights into operational movements, procures applications that facilitate operational growth, and speeds up the deployment of strategies for project management and savings tracking, enabling companies to track their total expenses to improve working capital while reducing expenditures across the organization.</t>
  </si>
  <si>
    <t>Confluence Investment Management, Foundry Capital, Growth Lending, Kearney, PeakSpan Capital</t>
  </si>
  <si>
    <t>www.simfoni.com</t>
  </si>
  <si>
    <t>265240-00</t>
  </si>
  <si>
    <t>ANNA Money</t>
  </si>
  <si>
    <t>Developer of a business banking and business administration platform designed to automate and simplify financial administration for small businesses. The company's platform offers integrated business accounts, invoicing tools, tax calculation and filing, and AI-powered admin support, enabling small business owners across the UK to manage finances efficiently, reduce manual tasks, and stay compliant.</t>
  </si>
  <si>
    <t>Flashpoint Venture Capital Group, Investible</t>
  </si>
  <si>
    <t>www.anna.money</t>
  </si>
  <si>
    <t>62105-05</t>
  </si>
  <si>
    <t>Stockpile</t>
  </si>
  <si>
    <t>Developer of a financial investment platform designed to make it simple for young and first-time investors to save and invest for their future. The company's platform offers debit cards and membership to kids and families, and assists users in buying individual stocks, setting up an automatic investment plan, tracking their investments, saving up for college, and learning about stock investing with fractional trading, enabling kids and parents to learn to save, budget, invest, and spend responsibly.</t>
  </si>
  <si>
    <t>10X Group, Arbor Ventures, Christopher Ashton Kutcher, Eight Roads, Hard Yaka, Jennifer Ceran, Keith Rabois, Leland Stanford Junior University, Leonardo Rocco, Mayfield Fund, Robert Wuttke, Sequoia Capital, Y Combinator</t>
  </si>
  <si>
    <t>www.stockpile.com</t>
  </si>
  <si>
    <t>471265-12</t>
  </si>
  <si>
    <t>Lynx FinHealth</t>
  </si>
  <si>
    <t>Developer of a healthcare fintech platform designed to help organizations build and launch digital payments, benefits, and commerce experiences. The company's platform offers API-first and white-label capabilities for banking and ledgering, healthcare payment processing, benefit account management, and integrated e-commerce experiences, enabling health plans, benefit providers, and platforms to deliver unified financial experiences while managing compliance and operational complexity.</t>
  </si>
  <si>
    <t>.406 Ventures, CVS Health Ventures, Flare Capital Partners, Frist Cressey Ventures, Huntington Avenue Ventures, McKesson Ventures, Obvious Ventures, Shields Health Innovations, Winter Street Ventures</t>
  </si>
  <si>
    <t>www.lynx-fh.com</t>
  </si>
  <si>
    <t>458560-45</t>
  </si>
  <si>
    <t>Purestream</t>
  </si>
  <si>
    <t>Developer of an alternative trading software designed to match traders and investors with compatible liquidity and to focus on improving liquidity discovery and natural cross rates amongst algorithmic orders. The company's trading platform prioritizes and matches orders based on liquidity relevance, focusing on improving cross rates and order completion speed, enabling brokers and institutional clients to get quality bandwidth for optimum liquidity, more cost-effectively, and with greater security.</t>
  </si>
  <si>
    <t>AllianceBernstein, Bank of America, BMO Capital Markets, BMO Financial Group, MaC Venture Capital, Nasdaq Ventures, The Goldman Sachs Group</t>
  </si>
  <si>
    <t>www.purestream.tech</t>
  </si>
  <si>
    <t>467590-24</t>
  </si>
  <si>
    <t>Indihood</t>
  </si>
  <si>
    <t>Developer and Operator of digital platform infrastructure designed to build and run large-scale software systems. The company's platform provides configurable system building, automated workflows, data management, security and compliance controls, and integration with existing digital infrastructure, enabling enterprises and financial institutions to deploy and operate scalable digital services efficiently with minimal engineering effort.</t>
  </si>
  <si>
    <t>1950 Ventures</t>
  </si>
  <si>
    <t>www.indihood.com</t>
  </si>
  <si>
    <t>233306-02</t>
  </si>
  <si>
    <t>Zoe Financial</t>
  </si>
  <si>
    <t>Developer of a wealth planning platform designed to help people find financial advisors. The company offers separate advisors according to the qualifications, depth of knowledge, ability to solve problems, operational efficiency and client-advisor ratio, which advise individuals to make personalized financial plans, accountability and minimum investment, enabling businesses to find planners to make stable financial decisions and wealth creation.</t>
  </si>
  <si>
    <t>Aaron Schildkrout, BDMI, Brian Finn, CAPTRUST Financial Advisors, Christopher Jones, Christopher Taylor, Creative Planning, Demetrios Christofidis, Falcon Wealth Planning, George Gatch, Jessica Lachs, Karman Ventures, Mana Ventures, Mango.vc, Marie Chandoha, Mariner Wealth Advisors, Morales Capital, Nomad Ventures, Open Opportunity Fund, Perigon Wealth Management, Republic Capital Adviser, Robert Deutsch, Sageview Capital, SoftBank Investment Advisers, Stephanie DiMarco, Stonewater Ventures, ThirdStream Partners, Thylacine Capital</t>
  </si>
  <si>
    <t>www.zoefinancial.com</t>
  </si>
  <si>
    <t>228795-22</t>
  </si>
  <si>
    <t>Banyan Infrastructure</t>
  </si>
  <si>
    <t>Artificial Intelligence &amp; Machine Learning, FinTech, Internet of Things, SaaS</t>
  </si>
  <si>
    <t>Developer of a purpose-built project finance software designed to simplify, accelerate, and optimize the financing of sustainable infrastructure. The company's platform helps to replace spreadsheets and email with digitized loans and workflows, automating data aggregation and compliance tracking, enabling clients to streamline the origination and securitization of renewable energy loans and investments at higher volume and lower cost.</t>
  </si>
  <si>
    <t>Ashby Monk, City Light Capital, Climate Capital, Cow Hollow Capital, Elemental Impact, Endless Frontier Labs, Energize Capital (Chicago), Flybridge (New York), Global FinTech Hackcelerator, Industrious Ventures, M12, New Mexico Angels, Nomadic Venture Partners, Project W (US), SE Ventures, Singapore FinTech Festival, The Conti Group, The Graduate Syndicate, Third Derivative, Ulu Ventures, Uptake Alliance, Vectors Capital, VoLo Earth Ventures</t>
  </si>
  <si>
    <t>www.banyaninfrastructure.com</t>
  </si>
  <si>
    <t>433646-38</t>
  </si>
  <si>
    <t>Proper AI</t>
  </si>
  <si>
    <t>Artificial Intelligence &amp; Machine Learning, Big Data, FinTech, Real Estate Technology, SaaS</t>
  </si>
  <si>
    <t>Developer of property management bookkeeping software designed to facilitate accounting and bookkeeping services for property managers. The company's software uses machine learning and offers secure systems, receives applicant fees to tenant receipts, and corrects the recording and classification of all payables promptly, enabling accountants to deliver accurate and affordable accounting and bookkeeping services.</t>
  </si>
  <si>
    <t>Bling Capital, Calm Ventures, Expa, FJ Labs, Gaingels, GOS Capital, Iterative Accelerator, Locus Ventures, MetaProp, QED Investors, Rivet Ventures, Vesey Ventures</t>
  </si>
  <si>
    <t>www.proper.ai</t>
  </si>
  <si>
    <t>229786-57</t>
  </si>
  <si>
    <t>Wealthbetter Technology</t>
  </si>
  <si>
    <t>Developer of an AI-driven wealth management platform serving high-net-worth individuals. The company provides AI-powered financial services including AI funds, intelligent portfolio risk management, financial planning and Pre-IPO advisory, aiming to help investors achieve long-term financial success utilizing advanced technology.</t>
  </si>
  <si>
    <t>Danen Capital, Sinovation Ventures</t>
  </si>
  <si>
    <t>www.wealthbetter.com</t>
  </si>
  <si>
    <t>122849-65</t>
  </si>
  <si>
    <t>MagicCube</t>
  </si>
  <si>
    <t>Cybersecurity, FinTech, Mobile Commerce, Mobility Tech</t>
  </si>
  <si>
    <t>Developer of a software-based trusted execution environment designed to secure sensitive data processing and computation across devices and cloud infrastructure without specialized hardware. The company offers a platform that provides hardware-grade isolation, post-quantum encryption, and secure execution environments, enabling AI providers, financial institutions, banks, merchants, and enterprise mobility operators to process confidential data across distributed environments with strong security and data integrity.</t>
  </si>
  <si>
    <t>Adham Fahmi, Aimee Paquin, Azure Capital Partners, Bialla Venture Partners, BOLD Capital Partners, e&amp; capital, EPIC Ventures, Fifth Era Blockchain Coinvestors Fund Manager, ID Tech (Electronic Equipment and Instruments), Joyance Partners, Khaled Bichara, Luqman Weise Capital, Martín Enríquez, Michael Warsinske, Mosaik Partners, NTT Data Group, Sony Innovation Fund, SVB Financial Group, VeriFone, Visa Ventures</t>
  </si>
  <si>
    <t>www.magiccube.co</t>
  </si>
  <si>
    <t>463576-78</t>
  </si>
  <si>
    <t>Spiral (Financial Software)</t>
  </si>
  <si>
    <t>FinTech, Impact Investing, Mobile, SaaS</t>
  </si>
  <si>
    <t>Developer of a personalized banking platform designed to provide banking and giving services. The company's platform assists financial institutions in growing deposits, attracting new accounts, and increasing engagement through financial wellness and community impact, enabling businesses to benefit from rewards for the payments made to charities.</t>
  </si>
  <si>
    <t>Bankers Helping Bankers Fund, BoxGroup, Collective Ventures, Communitas Capital Partners, Curql, Euclidean Capital, FinTech Innovation Lab, gener8tor, Independent Community Bankers of America, Intuition Fund, Maccabee Ventures, Mtvo, Next Level Ventures, Nidoco, One Washington Financial, Phoenix Insurance Company (Multi-Line Insurance), SVB Capital, Team8, The Venture Center</t>
  </si>
  <si>
    <t>www.spiral.us</t>
  </si>
  <si>
    <t>521231-23</t>
  </si>
  <si>
    <t>Quant Co (Financial Software)</t>
  </si>
  <si>
    <t>Operator of an AI-based fintech platform intended for asset management services. The company's platform offers investment and automatic operation of securities and digital assets and provides big data-based AI solutions specialized in the financial sectors, enabling customers by offering technologies and financial models, accumulating them on the Finter platform, and providing products and services.</t>
  </si>
  <si>
    <t>KB Innovation HUB, KB Securities, Smilegate Holdings</t>
  </si>
  <si>
    <t>quantit.ai</t>
  </si>
  <si>
    <t>527167-27</t>
  </si>
  <si>
    <t>Decile Group</t>
  </si>
  <si>
    <t>Developer of an ethical framework for venture capitalists designed to ensure integrity and positive impact in investment practices. The company offers the Mensarius Oath, a publicly agreed-upon code of conduct, fostering fairness, equality, and responsible investment decisions within the venture capital industry, enabling ethical investing and promoting positive outcomes for all stakeholders involved in the investment process.</t>
  </si>
  <si>
    <t>Dash VC, Draper Associates, Evolution VC Partners, Geek Ventures, Javelin Venture Partners, Jolly VC, LAUNCH Fund, Roadster Capital, Team Ignite Ventures, Ventioneers, WIV Ventures, Zain S Hasan Charitable Remainder Trust</t>
  </si>
  <si>
    <t>www.decilegroup.com</t>
  </si>
  <si>
    <t>435826-99</t>
  </si>
  <si>
    <t>Shift Markets</t>
  </si>
  <si>
    <t>Developer of a trading infrastructure platform designed to support digital asset and financial marketplace operations. The company offers white-label exchange software, trading systems, and infrastructure tools that support brokerage setup, liquidity integration, and exchange operations across crypto and traditional financial markets, enabling businesses to launch and manage trading platforms and financial marketplaces.</t>
  </si>
  <si>
    <t>Blizzard Avalanche Fund, Stellar (Financial Software)</t>
  </si>
  <si>
    <t>www.shiftmarkets.com</t>
  </si>
  <si>
    <t>266255-47</t>
  </si>
  <si>
    <t>three+one</t>
  </si>
  <si>
    <t>Angel (individual)</t>
  </si>
  <si>
    <t>Provider of cash management and liquidity analysis services intended to assist public officials in managing liquidity for financial planning and maximising returns on idle funds. The company provides data-driven insights, liquidity forecasting, banking service analysis, credit rating support, marketplace benchmarks, and a consolidated view of cash availability, enabling municipalities, higher education institutions, and other public entities to optimise the use of taxpayer and tuition funds through informed cash management strategies.</t>
  </si>
  <si>
    <t>www.threeplusone.us</t>
  </si>
  <si>
    <t>161873-47</t>
  </si>
  <si>
    <t>Liqid (Financial Services)</t>
  </si>
  <si>
    <t>Provider of digital wealth management services intended to offer customer-oriented investment services. The company's services offer discretionary wealth management services as well as give access to private equity, real estate, and venture capital funds by combining investment expertise with technology, enabling affluent clients to get investment services for a fraction of the traditional cost and minimum investment requirements.</t>
  </si>
  <si>
    <t>Berliner Volksbank Ventures, Crossventures, Dieter von Holtzbrinck Ventures, Harald Quandt Family Office, HQ Trust, LGT Group, Lightrock, Michael Grabner Media, Project A Ventures, Redstone VC, Timo Fleig, Toscafund Asset Management</t>
  </si>
  <si>
    <t>www.liqid.de</t>
  </si>
  <si>
    <t>551294-74</t>
  </si>
  <si>
    <t>Internovo Ventures</t>
  </si>
  <si>
    <t>Operator of a fintech company intended to operate fintech platforms that offer retail credit and digital financial services. The company develops and maintains platforms for loans, investments, bookkeeping, and property discovery, enabling users to access financial products and manage financial activities digitally.</t>
  </si>
  <si>
    <t>Interface Ventures, Novostack</t>
  </si>
  <si>
    <t>www.internovo.in</t>
  </si>
  <si>
    <t>181933-75</t>
  </si>
  <si>
    <t>Traydstream</t>
  </si>
  <si>
    <t>Artificial Intelligence &amp; Machine Learning, FinTech, SaaS, Supply Chain Tech</t>
  </si>
  <si>
    <t>Developer of a cloud-based trade finance platform designed to automate trade finance processing. The company's platform uses artificial intelligence to digitize and store trade finance documentation as well as extract data intelligently and validate transaction documentation, enabling clients to optimize their working capital, improve cost structure and operational efficiency, as well as manage risks.</t>
  </si>
  <si>
    <t>AFG Partners, Ayana Capital, Bostwick Walters Wealth Partners, e&amp; capital, Emirates Telecommunications Group, Endeavour Ventures, Epiphany Capital, Gauss Ventures, Innovate UK, Pivot Investment Partners, SVRGN Capital, UHNI</t>
  </si>
  <si>
    <t>www.traydstream.com</t>
  </si>
  <si>
    <t>229111-93</t>
  </si>
  <si>
    <t>Helicap</t>
  </si>
  <si>
    <t>Operator of a data-driven fintech investment platform intended to fill the consumer and corporate credit gap that banks cannot serve. The company's services mainly focus on lending capital to transform the way corporations and consumers access credit through its fintech fund management and investment platforms specializing in the alternative lending space, enabling investors to make investments that yield high returns with less risk involved and providing originators with access to scalable and responsible debt financing.</t>
  </si>
  <si>
    <t>33 Capital, Access Ventures (Asia), ADERA AI, Anthony Siau, Chap Huat Lim, Christopher Ganis, Credit Saison, East Ventures, IJK Capital Partners, Ilham Habibie, Kenanga Investors, Kosuke Mori, Lamivoie Capital Partners, Lim Teck, Nufin Data, Ooi Lee, Phillip Capital, Saison Capital, Sam Phoen, Samuel Rhee, Soilbuild Group Holdings, Taisu Ventures, Teo Ser Luck, Tikehau Capital, Voveo Capital, Willson Cuaca</t>
  </si>
  <si>
    <t>www.helicap.com</t>
  </si>
  <si>
    <t>181005-58</t>
  </si>
  <si>
    <t>Entelligent</t>
  </si>
  <si>
    <t>Developer of a climate risk assessment platform designed for advanced financial analytics. The company's platform assists institutional investors in assessing systemic risk from changes in global energy demand, supply, and pricing including the effects of climate change as well as in tracking and beating the performance benchmarks and using scenario analysis in a technology that assesses climate-related risks in security selection and index construction, enabling financial institutions to evaluate long term climate risks to their investment portfolios.</t>
  </si>
  <si>
    <t>Chester Winter, Lingfeng Capital, North Base Media, Oak Creek Group, Rob Moir, Robert Barnett, Societe Generale Capital Partenaires, Societe Generale Ventures, Wexford Capital Partners</t>
  </si>
  <si>
    <t>www.entelligent.com</t>
  </si>
  <si>
    <t>277452-10</t>
  </si>
  <si>
    <t>Sharesies</t>
  </si>
  <si>
    <t>Developer of a wealth development platform designed to make investment opportunities accessible to everyone. The company's platform facilitates investments in a range of funds and products based on risk tolerance, without minimum buy-in requirements, enabling customers to access investment opportunities without being constrained by capital adequacy.</t>
  </si>
  <si>
    <t>Amplo, Angel HQ, Arc Angels, Benton Group, Callaghan Innovation, Clare Ventures, Creative HQ, Dave Moskovitz, DST Global, Even Capital (New Zealand), Greenlight Ventures NZ, GreenMount (Australia), Hiraya Ventures, Hybridge Capital Management, Icehouse Ventures, Inertia Ventures, Jennifer Sutton, K1W1, Mark Hurley, NZVC, Pathfinder (Asset Management) (New Zealand), Seed The Change, Smartshares, STILL (New Zealand), Trade Me, Vulpes Ventures</t>
  </si>
  <si>
    <t>www.sharesies.nz</t>
  </si>
  <si>
    <t>187970-95</t>
  </si>
  <si>
    <t>OneDine</t>
  </si>
  <si>
    <t>FinTech, FoodTech, Mobile, Restaurant Technology</t>
  </si>
  <si>
    <t>Debt - PPP</t>
  </si>
  <si>
    <t>Developer of online payment and ordering system designed to automate operations in the restaurant technology space. The company's system lets restaurant customers browse a digital menu on their phones and place food orders from their tables without the need to talk to a server, enabling businesses to focus on crafting the optimal dining experience for customers.</t>
  </si>
  <si>
    <t>Hidden Lake Asset Management, Idea Gateway, RevTech Ventures, TMW Capital</t>
  </si>
  <si>
    <t>www.onedine.com</t>
  </si>
  <si>
    <t>438592-87</t>
  </si>
  <si>
    <t>Uni Cards</t>
  </si>
  <si>
    <t>Provider of pay-later services intended to change the way people interact with credit. The company offers a card that splits the bill into multiple parts spread across months with no interest fee if paid on time and cashback rewards for full payment, while also offering other installment options, enabling users to manage payments and get rewards.</t>
  </si>
  <si>
    <t>Accel, Arbor Ventures, EAI Investments, Eight Roads, Elevation Capital (India), General Catalyst, GMO Venture Partners, Lightspeed India Partners, Sparkle Fund, Stride Ventures, Titan Capital</t>
  </si>
  <si>
    <t>www.uni.cards</t>
  </si>
  <si>
    <t>504086-50</t>
  </si>
  <si>
    <t>Chocolate Finance</t>
  </si>
  <si>
    <t>Provider of a financial asset management service designed for wealth accumulation. The company offers daily returns and the flexibility of no lock-ins, minimums, or fees, ensuring funds can be withdrawn at any time without penalties and safeguards accounts with technology, real-time alerts, custody, and fraud protection, with funds held in segregated custody accounts with institutions, enabling individuals seeking a simple and secure method to grow their money to achieve higher target returns and financial flexibility.</t>
  </si>
  <si>
    <t>Amova Asset Management, ChocVen, Chocven 1 Pte. Ltd., Credit Saison, Dara Holdings, Global Founders Capital, Ion Pacific, Orion Advisors LP, Orion Global Advisors UK, Peak XV Partners, Prosus Ventures, Saison Capital</t>
  </si>
  <si>
    <t>www.chocolatefinance.com</t>
  </si>
  <si>
    <t>42372-73</t>
  </si>
  <si>
    <t>Hazeltree</t>
  </si>
  <si>
    <t>Developer of a cloud-based treasury and portfolio software designed to facilitate enhanced performance for investment managers. The company's software provides integrated cash management, collateral management, securities financing, and margin analytics, enabling investors to get the required assistance in risk management and investment prospects.</t>
  </si>
  <si>
    <t>FINTOP (US), Hamilton Lane, Trafelet &amp; Company</t>
  </si>
  <si>
    <t>www.hazeltree.com</t>
  </si>
  <si>
    <t>435372-49</t>
  </si>
  <si>
    <t>All Blue Labs</t>
  </si>
  <si>
    <t>Operator a financial technology company intended to provide a cloud-based enterprise operating system to unify a company's finance and operations. The company's platform offers digital and crypto-enabled banking and full-stack financial services designed specifically for institutional asset managers and their teams, enabling fund managers and their limited partners to do everything from complex accounting to wealth management to scale their underwriting processes.</t>
  </si>
  <si>
    <t>Nick Abouzeid</t>
  </si>
  <si>
    <t>askmodu.com</t>
  </si>
  <si>
    <t>161206-57</t>
  </si>
  <si>
    <t>Valiant Finance</t>
  </si>
  <si>
    <t>Operator of a business loan marketplace intended to empower small business owners to find loan options available. The company's platform matches businesses with loan providers and feasibly compares business loan rates, terms, and fees for free, enabling small business owners to get timely and affordable business loans.</t>
  </si>
  <si>
    <t>1835i, Black Sheep Capital, Carthona Capital, Firemark Ventures, Full Circle Venture Capital, H2 Ventures, MA Growth Ventures, Mitchel Harad, Reinventure Group, Salesforce Ventures, Vincent Turner, Voyager Ventures</t>
  </si>
  <si>
    <t>www.valiantfinance.com</t>
  </si>
  <si>
    <t>187698-07</t>
  </si>
  <si>
    <t>Templum</t>
  </si>
  <si>
    <t>Operator of a capital raising and secondary trading platform designed to allow investors to access insiders' non-traditional assets. The company's platform provides automated infrastructure and a regulated alternative to improve private market investing through a single platform that provides automation, transparency, connectivity, and secure recordkeeping, enabling clients to access seamless digital workflows from investor onboarding to investment closing.</t>
  </si>
  <si>
    <t>Dace Ventures, Firstminute Capital, Goldman Sachs Asset Management, Greg Arrese, James Pallotta, Joshua Langsam, Kaulig Capital, Larina Kleynerman, Raptor Group, Ride Ventures, SBI Holdings, Shake and Bake, WestCap (New York)</t>
  </si>
  <si>
    <t>www.templuminc.com</t>
  </si>
  <si>
    <t>459129-07</t>
  </si>
  <si>
    <t>Bondaval</t>
  </si>
  <si>
    <t>Developer of a payment platform designed to make money transfer security instruments accessible to all types of businesses. The company's platform is meant for B2B credit security that replaces bank guarantees and traditional collateral-based instruments by providing clients with facilities like issuance and payout, live risk monitoring and alerts, and seamless claims handling, enabling clients to free up their working capital and also save time, and to grow their business by democratizing access to credit alternatives.</t>
  </si>
  <si>
    <t>Broadhaven Capital Partners, Carlos Gonzalez-Cadenas, Charles Delingpole, Charles Songhurst, Chris Adelsbach, Dawn Capital, Dorsey &amp; Whitney, Expa, FJ Labs, Gateway Fund GP Limited, Insurtech Gateway, Matthew Clifford, Octopus Ventures, Talis Capital, Thomas Blomfield, TrueSight Ventures, William Neale, Yi Luo</t>
  </si>
  <si>
    <t>www.bondaval.com</t>
  </si>
  <si>
    <t>99049-60</t>
  </si>
  <si>
    <t>SESAMm</t>
  </si>
  <si>
    <t>Developer of an artificial intelligence-driven text analysis platform designed for environmental, social, and governance (ESG) analytics. The company's platform mission is to deliver insights through portfolio management system integration that aid private equity firms, asset managers, consulting firms, and corporations in making sustainable and responsible investments using natural language processing, enabling businesses to effectively manage their assets.</t>
  </si>
  <si>
    <t>AFG Partners, Banque Populaire, BNP Paribas, Bourgogne Franche Comte Angels, Bpifrance, C2IME, Caisse d'Epargne, Cameleon Invest, CEGEE Capital, Elaia Partners, Elevator Ventures, Engine (Accelerator), Frida (Lacnic Initiative), Global Markets Incubator, Havenrock, ILP Group, Incubateur Lorrain, La French Tech Est, NewAlpha Asset Management, Open CNP, Opera Tech Ventures, Plug and Play Tech Center, Raiffeisen Bank International, SEMIA Incubateur d' Alsace, Startup Tunisia, The Carlyle Group, Tomcat Invest, Unigestion</t>
  </si>
  <si>
    <t>www.sesamm.com</t>
  </si>
  <si>
    <t>51227-83</t>
  </si>
  <si>
    <t>LendKey</t>
  </si>
  <si>
    <t>Developer of an online lending platform designed to manage liquidity, mitigate financial risks, and attract borrowers. The company's platform helps with marketing support, loan origination, liquidity management, and credit decisions, enabling lenders to promptly and cost-effectively expand their portfolios with quality loans in asset classes.</t>
  </si>
  <si>
    <t>Daniel Rosensweig, David Rohrsheim, Gotham Ventures, North Atlantic Capital, Threshold Ventures, TTV Capital, Updata Partners</t>
  </si>
  <si>
    <t>www.lendkey.com</t>
  </si>
  <si>
    <t>234776-08</t>
  </si>
  <si>
    <t>Pay by B</t>
  </si>
  <si>
    <t>Operator of a global payments network intended to make real-time payments for consumers, businesses, and banks. The company's network offers bank account connections, spending analysis, balance and income verification, and low-cost payments by connecting bank account data to third-party applications via secure application programming interfaces and consent flow, enabling clients to share data and use it in a wide range of apps and still be in control.</t>
  </si>
  <si>
    <t>www.paybyb.com</t>
  </si>
  <si>
    <t>338701-60</t>
  </si>
  <si>
    <t>Sarvagram Fincare</t>
  </si>
  <si>
    <t>Provider of collateral credit services intended to offer home, personal, farm and business loans. The company's services offer credit to underserved communities based on household cash flow appraisal and facilitate access to productivity enhancement tools such as loans, farm mechanization services and risk mitigants, enabling small to medium businesses to get access to finance and livelihood up-gradation for aspiring households based in rural and semi-urban.</t>
  </si>
  <si>
    <t>Elevar Equity, Elevation Capital (India), Peak XV Partners, Temasek Holdings, TVS Capital</t>
  </si>
  <si>
    <t>www.sarvagram.com</t>
  </si>
  <si>
    <t>466428-52</t>
  </si>
  <si>
    <t>Partior</t>
  </si>
  <si>
    <t>Developer of a blockchain platform designed to ease the process of financial market infrastructure. The company's platform aims to reduce frictions in cross-border settlements, trade, and foreign exchange payments to process and settle international transactions with reduced risk, enabling the banking industry to access a unified ledger that eliminates the need for manual reconciliation while ensuring value transfer and real-time visibility of transaction status.</t>
  </si>
  <si>
    <t>Async Capital, DBS Bank (Singapore), Deutsche Bank, Deutsche Bank Ventures, JP Morgan Chase, Jump Capital, Peak XV Partners, Standard Chartered, Temasek Holdings, Valor Capital Group</t>
  </si>
  <si>
    <t>www.partior.com</t>
  </si>
  <si>
    <t>481894-39</t>
  </si>
  <si>
    <t>Cognaize</t>
  </si>
  <si>
    <t>Developer of artificial intelligence-based financial software designed to process balance sheets and income statements. The company specializes in financial spreading, automated trustee report processing, and processing of invoices through artificial intelligence by keeping secure data management, reliable microservices, agile data science, and quick software engineering, enabling organizations to automate their work effectively.</t>
  </si>
  <si>
    <t>Argonautic Ventures, Granatus Ventures, Metaplanet Holdings</t>
  </si>
  <si>
    <t>www.cognaize.com</t>
  </si>
  <si>
    <t>433640-35</t>
  </si>
  <si>
    <t>Milo (Consumer Finance)</t>
  </si>
  <si>
    <t>Provider of crypto lender and pioneer of the crypto mortgage intended to offer hassle-free loans to foreigners. The company provides access to loans that are quicker, simpler, and sourced by a direct lender instead of other intermediaries, enabling foreigners to purchase US real estate or cash out their equity.</t>
  </si>
  <si>
    <t>10X Capital, 305 Ventures, Gaingels, Growth Technology Partners, M13, MetaProp, QED Investors, Shiff Group</t>
  </si>
  <si>
    <t>www.milo.io</t>
  </si>
  <si>
    <t>570302-74</t>
  </si>
  <si>
    <t>Vinyl Equity</t>
  </si>
  <si>
    <t>Artificial Intelligence &amp; Machine Learning, CloudTech &amp; DevOps, FinTech</t>
  </si>
  <si>
    <t>Developer of a digital agent transfer platform designed for workflow automation. The company's platform connects issuers, shareholders, and service providers and helps public companies operate automatically by integrating equity plans, managing and reconciling treasury stock, eliminating complex, manual processes, real-time reporting, and many more, enabling firms to ensure efficient and secure collaboration across all stakeholders in share registry, dividend plan management, proxy voting, and compliance.</t>
  </si>
  <si>
    <t>Cambrian Fintech, Hustle Fund, Index Ventures, Infinity Ventures (San Francisco), Jump Capital, MUFG Innovation Partners, Spark Capital</t>
  </si>
  <si>
    <t>www.vinylequity.com</t>
  </si>
  <si>
    <t>117430-75</t>
  </si>
  <si>
    <t>GoTab</t>
  </si>
  <si>
    <t>FoodTech, Mobile, Mobile Commerce, Restaurant Technology, SaaS</t>
  </si>
  <si>
    <t>Developer of a hospitality commerce platform designed to help venues run lean, profitable operations while improving the guest experience. The company's platform allows customers to deploy any or all aspects of the end-to-end platform, including ordering, point-of-sale and kitchen management or integrate with any leading system, patrons can order and pay through waitstaff, directly from their mobile device or blend the two experiences for ultimate flexibility, enabling hospitality organizations to get features and actionable data that can be deployed and adapted to their requirements for reduced costs.</t>
  </si>
  <si>
    <t>ABDJ Ventures, Andover Ventures, Andrew Newcomb, Anthony Bruce, Branded Hospitality, George Krautzel, Greg Cohen, James Hirshorn, Jodie McLean, Jonathan Zabusky, The Chef Agency, Truist Ventures, Will Graylin</t>
  </si>
  <si>
    <t>www.gotab.com</t>
  </si>
  <si>
    <t>168630-58</t>
  </si>
  <si>
    <t>Spark Systems</t>
  </si>
  <si>
    <t>Developer of a foreign exchange trading platform designed to serve the specific requirements of buy-side subgroups. The company's platform offers tools for segmented and underserved foreign exchange markets, improves usability, and optimizes user experience by providing a stable and ultra-low latency marketplace with an aggregator and algorithms for execution, enabling local banks, hedge funds, retail traders, and corporate treasuries to capitalize on the liquidity and trading history and improve users' experiences.</t>
  </si>
  <si>
    <t>5X Capital, ATFX, Dymon Asia, Farquhar Venture Capital, Goldman Sachs Growth Equity, HSBC Holdings, Integra Partners (Singapore), Jubilee Capital Management, Lim Hock San, Monetary Authority of Singapore, OSK Ventures International, Oski Technology, Phillip Capital, Vickers Venture Partners</t>
  </si>
  <si>
    <t>www.sparksystems.sg</t>
  </si>
  <si>
    <t>233733-52</t>
  </si>
  <si>
    <t>Pretto</t>
  </si>
  <si>
    <t>FinTech, Mobile, Mortgage Tech, Real Estate Technology, SaaS</t>
  </si>
  <si>
    <t>Developer of an online mortgage platform designed to simplify the process of finding a mortgage loan. The company's tool allows stimulating property loans by comparing the rates of all banks, refines credit applications, and facilitates file optimization, enabling customers to have access to transparent mortgage services and identify the tailor-made financing suitable for their project.</t>
  </si>
  <si>
    <t>Alven Capital Partners, BlackFin Capital Partners, Christophe Cremer, Eurazeo, Groupe Duval, HEC Ventures, Hugues Le Bret, Kernel Investissements, Les Business Angels des Grandes Écoles, Memo Bank, Orange Ventures, Pierre Kosciusko Morizet, Serena</t>
  </si>
  <si>
    <t>www.pretto.fr</t>
  </si>
  <si>
    <t>234764-20</t>
  </si>
  <si>
    <t>Epsor</t>
  </si>
  <si>
    <t>Provider of financial advisory services intended to provide free and personalized advice modules. The company offers an intuitive online interface with personalised investment guidance, independent access to a diverse range of fund options, educational tools, and human support, enabling human resource professionals and salaried workers in companies to engage with and grow their retirement and savings plans in a way that fits their long-term financial goals and values.</t>
  </si>
  <si>
    <t>Antoine de Rochefort, Augmentum Fintech, BlackFin Capital Partners, Didier Valet, ISALT- Strategic Long Term Equity Investments, Partech, Revaia</t>
  </si>
  <si>
    <t>www.epsor.fr</t>
  </si>
  <si>
    <t>534577-87</t>
  </si>
  <si>
    <t>Capi Money</t>
  </si>
  <si>
    <t>Developer of a digital payments platform designed for businesses to make and receive international payments. The company's platform offers budgeting tools, expense tracking, investment analysis, and goal setting, enabling importers to manage finances and make informed financial decisions.</t>
  </si>
  <si>
    <t>Algorithmic Strategies, Creandum, Firstminute Capital, Four Cities Capital, Janngo, Kara Ventures, Kima Ventures, Maiora, Musha Ventures, Pioneer Fund, Rebel Fund, Tech Nation Group, The Raba Partnership, Y Combinator</t>
  </si>
  <si>
    <t>www.capimoney.com</t>
  </si>
  <si>
    <t>108494-74</t>
  </si>
  <si>
    <t>Finda</t>
  </si>
  <si>
    <t>Developer of an online loan comparison platform designed to differentiate between various financial products. The company's platform collects information on financial products, recommends suitable products, and provides economic calculation services for housing loans, monthly savings, loan repayment purposes, mortgages, personal loans, and investments, enabling users to make informed financial decisions.</t>
  </si>
  <si>
    <t>1Q Agile Lab, 500 Global, Coocon, DATA-STARS, D-Camp, FuturePlay, Google Accelerator, InterVest, JB Financial Group, KB Innovation HUB, Kia, Mashup Ventures, Shinhan Futures Lab, Strong Ventures, TransLink Capital, Woori Bank</t>
  </si>
  <si>
    <t>www.finda.co.kr</t>
  </si>
  <si>
    <t>232440-58</t>
  </si>
  <si>
    <t>Fairlo</t>
  </si>
  <si>
    <t>Provider of financial services intended for flexible lending purposes to manage unexpected expenses. The company's platform offers personalized loan services with a focus on sustainability and user-centric terms, including adjustable repayment plans and transparent fee structures, enabling consumers to access credit in a more manageable and responsible way.</t>
  </si>
  <si>
    <t>Boel Rydenå-Swartling, Georg Rydbeck, Helena Westin, Jimmy Hanna Holding, Propel Capital (Sweden), Redpill (Stockholm), Saminvest, Soläng Invest, Stockholm Innovation &amp; Growth</t>
  </si>
  <si>
    <t>www.fairlo.se</t>
  </si>
  <si>
    <t>1154418-67</t>
  </si>
  <si>
    <t>Payra</t>
  </si>
  <si>
    <t>Developer of an invoicing and collections platform designed to help businesses get paid on time and manage accounts receivable efficiently. The company offers card fee offsetting, stored payment methods, client-facing payment portals, automated clearing house processing, and enterprise resource planning and accounting integrations, enabling small and mid-sized businesses, distributors, contractors, and service providers to improve cash flow, reduce overdue invoices, and simplify reconciliation.</t>
  </si>
  <si>
    <t>www.payra.com</t>
  </si>
  <si>
    <t>221988-25</t>
  </si>
  <si>
    <t>Yabie</t>
  </si>
  <si>
    <t>Developer of a payment platform intended to simplify sales for retail owners. The company's platform permits users to browse, scan, or search products, add discounts, apply campaigns, and pay using various payment methods while managing customer service issues and integrating consumer applications, enabling store associates to engage with customers anywhere on the floor.</t>
  </si>
  <si>
    <t>Absolute Unlisted, Brightly Ventures, Creades, DYNAMO Consulting, Erik Stannow, Ilija Batljan, Mastercard Lighthouse, NFT Ventures, Swedbank, Zaal Management, Zefyr Invest</t>
  </si>
  <si>
    <t>www.yabie.com</t>
  </si>
  <si>
    <t>468894-88</t>
  </si>
  <si>
    <t>Atlas Consolidated</t>
  </si>
  <si>
    <t>Artificial Intelligence &amp; Machine Learning, B2B Payments, Cryptocurrency/Blockchain, FinTech, Mobile, SaaS</t>
  </si>
  <si>
    <t>Developer of a full-stack banking-as-a-service (BaaS) platform designed to help banks modernize their technical infrastructure for the future of finance. The company offers technology that enables financial institutions to become artificial intelligence-driven and ready for stablecoin and tokenization integration, enabling banks to improve efficiency, scalability, and readiness for digital upgradation.</t>
  </si>
  <si>
    <t>1982 Ventures, M-Co (The Marketplace Company), Nimoi Holdings, The Getz Group, Tin Men Capital, Woodside Holdings</t>
  </si>
  <si>
    <t>www.atlasconsolidated.com</t>
  </si>
  <si>
    <t>1083812-50</t>
  </si>
  <si>
    <t>Crown (Financial Software)</t>
  </si>
  <si>
    <t>Developer of a digital currency collateralized platform designed for secure and compliant on-chain transactions and financial applications. The company's platform specializes in collateralizing with Brazilian sovereign debt instruments held in a separate, audited bankruptcy-remote structure, enabling financial institutions and fintech developers to accelerate product development, reduce transactional friction, and enable native settlement for tokenized real-world assets.</t>
  </si>
  <si>
    <t>Coinbase Ventures, Edward Wible, Framework Ventures, Norte Ventures, Paradigm, Paradigm (Brokerage), Paxos, Valor Capital Group</t>
  </si>
  <si>
    <t>crown-brlv.com</t>
  </si>
  <si>
    <t>233520-76</t>
  </si>
  <si>
    <t>Percent Technologies</t>
  </si>
  <si>
    <t>Developer of a credit marketplace designed to modernize private credit markets. The company's core infrastructure delivers public market efficiencies to the analog private credit market by powering the sourcing, structuring, syndication, surveillance, and servicing of private credit transactions from beginning to end, enabling investors, borrowers, and underwriters to access private credit investments.</t>
  </si>
  <si>
    <t>10X Capital, Allied Investors Group, Altai Ventures, Andover Ventures, Andrew Vigneault, B Capital Group, BDMI, Blue 9 Capital, Brandon Krull, Bridge Ventures (Chicago), Chaos Ventures (New York), Christian Toczko, Claridge Venture Partners, Coinbase Ventures, Contrarian Thinking Capital, CTC Venture Capital, Edward Lando, Evolution (Venture Capital), Fantail Ventures, Flexcap Ventures, Forté Ventures, Global FinTech Venture Partners, Hybridge Capital Management, INBlockchain, Inertia Ventures, Jessica Toy, Ligo Partners, Mana Ventures, Manatt Phelps &amp; Phillips, Manatt Ventures, MGV, Morgan Creek Capital Management, Morgan Creek Digital Assets, Nimble Ventures, OMVC, Parametric Portfolio Associates, Pirque, Polaris Capital (New York), Recharge Capital, Revel Partners, Sprint VC, Susquehanna, The K Funds, Thicket Ventures, Tuesday Capital, Vectr Ventures, Vinthera, Visary Capital, White Star Capital</t>
  </si>
  <si>
    <t>www.percent.com</t>
  </si>
  <si>
    <t>227314-18</t>
  </si>
  <si>
    <t>SoLo</t>
  </si>
  <si>
    <t>Developer of a digital financial platform designed to efficiently conduct community marketplace lending for individual lenders and borrowers. The company's platform leverages technology to assess the creditworthiness of individuals, enabling users to solve emergency cash needs with low-dollar-amount microloans without any interest charged and on self-selected terms.</t>
  </si>
  <si>
    <t>100 Black Angels + Allies Fund, Access Ventures, ACME Capital, Alumni Ventures, Backstage Capital, Black Angel Group, Capital Factory, CEAS Investments I, Comcast NBCUniversal LIFT Labs, Endeavor Catalyst, FinTech Innovation Lab, Flintlock Capital, Gaingels, gBETA, gener8tor, iHeartMedia, Impact America Fund, Jenny Fielding, Jewel Burks Solomon, New Voices Fund, Notley Ventures, Ossian Capital, Plug and Play Tech Center, Realm Capital Ventures, Reign Ventures, Right Side Capital Management, Serac Ventures, Serena Ventures, Sidecut Ventures, Southern Equity Advisors, Taavet Hinrikus, Tampa Bay Wave, TechSquare Labs, The Majira Project, VentureFuel, Zachary Bookman</t>
  </si>
  <si>
    <t>www.solofunds.com</t>
  </si>
  <si>
    <t>758278-18</t>
  </si>
  <si>
    <t>Town</t>
  </si>
  <si>
    <t>Developer of an artificial intelligence (AI)-powered digital assistant platform designed to automate knowledge work tasks across existing software tools. The company's platform connects to email, calendars, messaging applications, document systems, and workflow tools to triage inboxes, draft communications in the user's style using contextual data, manage schedules, orchestrate and execute multi-step workflows with configurable approval modes, and maintain a preference-aware memory profile, enabling businesses and organizations to reduce repetitive manual work, centralize task execution, and retain granular oversight of automated actions across their software environment.</t>
  </si>
  <si>
    <t>Adam D'Angelo, Alt Capital (San Francisco), Andreessen Horowitz, Annelies Gamble, Christina Cacioppo, Conviction Partners, Depth Ventures, First Round Capital, Forerunner Ventures, Helen Min, Immad Akhund, Jetstream (San Francisco), Jonathan Golden, Mischief, Position Ventures, Soleio Cuervo, South Park Commons, True Ventures, William Hockey, WndrCo</t>
  </si>
  <si>
    <t>www.town.com</t>
  </si>
  <si>
    <t>529909-75</t>
  </si>
  <si>
    <t>Celery</t>
  </si>
  <si>
    <t>Developer of a cloud-based financial platform designed for automating internal controls and streamlining financial audits. The company's platform offers a centralized repository, pre-configured rules, automated payroll auditing, and a reporting dashboard to identify discrepancies, inefficiencies, and trends, enabling finance teams to achieve maximum profitability, mitigate risk, improve efficiency, and gain control over financial processes.</t>
  </si>
  <si>
    <t>97212 Ventures, Bullet Ventures, Centre Street Partners, Elad Kushnir, Simon Legziel, Tal Shoham, Team8, Verissimo Ventures</t>
  </si>
  <si>
    <t>www.celeryway.com</t>
  </si>
  <si>
    <t>295328-98</t>
  </si>
  <si>
    <t>FamApp</t>
  </si>
  <si>
    <t>Developer of a payment application designed to provide UPI and card payments for the younger generation. The company's application allows users to make transactions without establishing a bank account, tracks and manages expenses, among others, enabling children to have an efficient and secure transition from cash to digital.</t>
  </si>
  <si>
    <t>Amrish Rau, Elevation Capital (India), General Catalyst, Global Founders Capital, Greenoaks, Kevin Lin, Kunal Shah, Neeraj Arora, Peak XV Partners, Pioneer Fund, Rocketship.vc, Soma Capital, Venky Karnam, Venture Highway, VentureSouq, Vlad Tenev, Y Combinator</t>
  </si>
  <si>
    <t>www.famapp.in</t>
  </si>
  <si>
    <t>469664-83</t>
  </si>
  <si>
    <t>Kmerit</t>
  </si>
  <si>
    <t>Developer of integrated IT system solutions for capital markets. The company's solutions include integrated front-end, middle-end and back-end solutions for the treasury business of various financial institutions, as well as integrated pan-asset transaction management solutions and cloud asset management services, enabling financial institutions to achieve IT technology upgrades.</t>
  </si>
  <si>
    <t>Addor Capital, Ally Capital China, Capital X (China), Jolmo Investment, SIP Joinne MingYuan Venture Capital</t>
  </si>
  <si>
    <t>www.kmerit.com</t>
  </si>
  <si>
    <t>268491-25</t>
  </si>
  <si>
    <t>Merkle Science</t>
  </si>
  <si>
    <t>Artificial Intelligence &amp; Machine Learning, Cryptocurrency/Blockchain, Cybersecurity, FinTech, SaaS</t>
  </si>
  <si>
    <t>Operator of a risk monitoring platform intended to detect and prevent the illegal use of cryptocurrency. The company's platform is an easy-to-use rule management interface that helps users visualize account activity across time and generate forensic reports, enabling blockchain companies, crypto-exchanges, investment funds, banks, and regulators to perform due diligence and compliance on the blockchain to detect, investigate, and prevent cryptocurrency fraud.</t>
  </si>
  <si>
    <t>100x Ventures, 500 Global, 500 Southeast Asia, Aspen Digital (Real Estate), BECO Capital, Cadenza Capital, Ceras Ventures, Cloud3 Ventures, Coinhako, COMEUP STARS, Creative Destruction Lab, Darrow Holdings, Digital Currency Group, Entrepreneurs First, Fenbushi Capital, Granite Asia, Hashkey Capital, Haymarket HQ, Hub71, K3 Ventures, Kenetic Capital, L Marks, Libertus Capital, Lloyd's Lab, LuneX Ventures, Play Ventures, Plug and Play Tech Center, Q Angels, Republic, Republic Capital Adviser, Seedstars International Ventures, SGInnovate, SNZ Holding, Summer Capital (China), Tenity, Token Bay Capital, Tribe (Consulting Services), Triton Capital (San Francisco), Uncorrelated Ventures, University of Toronto, University of Toronto Entrepreneurship, Village Capital</t>
  </si>
  <si>
    <t>www.merklescience.com</t>
  </si>
  <si>
    <t>156544-12</t>
  </si>
  <si>
    <t>Bitwala</t>
  </si>
  <si>
    <t>Developer of a blockchain technology platform designed to facilitate international money transfers. The company utilizes self-custody security, app-based wallet access, and SEPA bank transfer integration, providing a Bitcoin wallet, Visa debit card, and cryptocurrency trading, enabling users to manage and spend digital assets for real-world transactions while maintaining full ownership.</t>
  </si>
  <si>
    <t>Blockchain Founders Fund, Claret Capital Partners, DIP Capital, Earlybird Venture Capital, G1 Ventures (London), Global Brain, High-Tech Gründerfonds, Horizon 2020, LvlUp Ventures, NKB Ventures, Pointer Capital (AngelList Venture), XFounders</t>
  </si>
  <si>
    <t>www.bitwala.com</t>
  </si>
  <si>
    <t>494784-82</t>
  </si>
  <si>
    <t>Swaap</t>
  </si>
  <si>
    <t>Developer of an automated market maker platform designed to handle pools of arbitrary assets without impermanent loss. The company's platform utilizes and combines on-chain market data with quantitative methods to create impermanent loss-resistant AMM, enabling traders to avail market-neutral yield strategies and allow for a diversified and passive form of investing.</t>
  </si>
  <si>
    <t>Agoranov, Alexandre Stachtchenko, C Squared Ventures, Claire Balva, Entrepreneurs First, Frédéric Montagnon, Jean-Marie Mognetti, Julien Bouteloup, Julien Romanetto, Kima Ventures, Marc Bhargava, Meltem Demirors, Mounir Benchemled, New Form Capital, Pareto Holdings, Pareto Ventures, Pascal Gauthier, Richard Ma, Signature Ventures, Tegan Kline, Thibaud Elziere</t>
  </si>
  <si>
    <t>www.swaap.finance</t>
  </si>
  <si>
    <t>497375-38</t>
  </si>
  <si>
    <t>Enhanced Digital Group</t>
  </si>
  <si>
    <t>Developer of a tailored derivative platform designed to assist institutions in managing digital asset exposure. The company offers customizable financial alternatives and a diverse crypto client base with products designed to meet the suitability characteristics, enabling institutional investors to navigate the complexities of digital assets and make informed decisions, and helping all stages of businesses in initial product offerings, risk management, and hedging of instruments.</t>
  </si>
  <si>
    <t>Brevan Howard Asset Management, Genesis Global Trading, Jesus Rodriguez, Kenetic Capital, New Form Capital, Nexo Ventures, StoneX Group, Tribe Capital, WebN Group (UK)</t>
  </si>
  <si>
    <t>www.enhanceddigital.group</t>
  </si>
  <si>
    <t>342093-43</t>
  </si>
  <si>
    <t>Alami Fintech Sharia</t>
  </si>
  <si>
    <t>Developer of a financial platform designed to help small and medium-sized enterprises to easily access financing from various Islamic financial institutions. The company's platform analyzes data points to give insights regarding Sharia financing to enterprises, enabling clients to reduce transaction costs by expanding access and facilitating users.</t>
  </si>
  <si>
    <t>Accion, ACV Capital, Amir Rahim, Asean Innovation Capital, Capria Ventures, East Ventures, FEBE Ventures, Golden Gate Ventures, Green Tree Asia, Intudo Ventures, K9 Industries, Karya Sembilan Visi, Misty Ventures, Paragon Beneva Investama, Quona Capital, RHL Ventures, Sand Hill Road, Scale Up by Endeavor, Sun Tzu, Tryb Group</t>
  </si>
  <si>
    <t>www.alamisharia.co.id</t>
  </si>
  <si>
    <t>442317-79</t>
  </si>
  <si>
    <t>Yunji Network</t>
  </si>
  <si>
    <t>Developer of a private equity integrated business service platform. The company is committed to providing private equity institutions with a full range of services from transaction, risk control, asset management, internal management to external promotion, enabling users to trade more safely and conveniently.</t>
  </si>
  <si>
    <t>Dongzheng Rongtong, Hengtai Group, Pacific Securities</t>
  </si>
  <si>
    <t>www.isimu123.com</t>
  </si>
  <si>
    <t>463563-28</t>
  </si>
  <si>
    <t>OneBlinc</t>
  </si>
  <si>
    <t>Developer of a financial platform designed to provide funds to people when they are short of money. The company's platform uses technology to offer a fast, simple and secure alternative to the vicious cycle of predatory lending and provide a quick line of credit to the customers as it connects them to their banks and helps in credit approval, enabling customers to avail funds whenever they require.</t>
  </si>
  <si>
    <t>2bCapital, Alvaro Vidigal, José Pedro, Jose Ramos, Marcos Lutz</t>
  </si>
  <si>
    <t>www.oneblinc.com</t>
  </si>
  <si>
    <t>501216-22</t>
  </si>
  <si>
    <t>Tesouro</t>
  </si>
  <si>
    <t>Provider of embedded payment infrastructure designed to connect software platforms with financial institutions and streamline digital payment workflows. The company's platform offers unified connectivity between banks and software companies, standardized payment APIs, and orchestration tools for payment flows, enabling vertical SaaS providers, fintech platforms, and financial institutions to integrate, manage, and scale digital payment capabilities within their existing products while reducing operational friction and technical overhead.</t>
  </si>
  <si>
    <t>Drive Capital, eGateway Capital, Flourish Ventures, M25, Page One Ventures, Point72 Ventures</t>
  </si>
  <si>
    <t>www.tesouro.com</t>
  </si>
  <si>
    <t>484649-47</t>
  </si>
  <si>
    <t>Blips</t>
  </si>
  <si>
    <t>Operator of a credit, financing, and equipment rental firm intended for small and micro-entrepreneurs. The company offers rental plans with the option to purchase the equipment in the visual communication, clothing, ice cream, aesthetics, fitness, and construction sectors, with fixed installments and low initial investment, enabling clients to finance supplies and inputs for business operations without depleting business capital.</t>
  </si>
  <si>
    <t>Headline, Inpulse Aceleradora</t>
  </si>
  <si>
    <t>www.blips.com.br</t>
  </si>
  <si>
    <t>523442-26</t>
  </si>
  <si>
    <t>Quanta</t>
  </si>
  <si>
    <t>Developer of an accounting software designed to automate accounting and finance reporting. The company's software offers a wide range of solutions from customer relationship management to billing integration, revenue recognition, automated cash receipts, capitalized commissions, reporting and analytics, enabling users to close the books fast and generate reports to understand revenue metrics.</t>
  </si>
  <si>
    <t>Acacia Venture Partners, Accel, Akshay Kothari, Base Case Capital, Claire Johnson, Comma Capital, Designer Fund, Elad Gil, FYSK, Homebrew Management, Huey Ru Lin, Naval Ravikant, Operator Collective, Sequoia Capital</t>
  </si>
  <si>
    <t>www.usequanta.com</t>
  </si>
  <si>
    <t>530191-81</t>
  </si>
  <si>
    <t>Payouts.com</t>
  </si>
  <si>
    <t>Developer of unified marketing operations and finance platform intended to manage and optimize their marketing spend. The company's platform specializes in providing a comprehensive view of marketing data, including campaign performance, budget tracking, and attribution analysis, marketing expense management, enabling businesses to make informed decisions about their marketing campaigns and improve their return on investment.</t>
  </si>
  <si>
    <t>Boaz Weinstein, Eddy Shalev, iAngels, NFX</t>
  </si>
  <si>
    <t>www.payouts.com</t>
  </si>
  <si>
    <t>510690-70</t>
  </si>
  <si>
    <t>Payflows</t>
  </si>
  <si>
    <t>Developer of a treasury management software designed to help businesses manage finances. The company's platform uses artificial intelligence to automate data gathering, reporting, benchmarking, and order execution tasks, enabling businesses to reduce costs and streamline operational cash flows.</t>
  </si>
  <si>
    <t>20VC, AirAngels, Balderton Capital, Global Founders Capital, Groupe Galeries Lafayette, Headline, Mischief, Motier Ventures, Pathlight Ventures, Ribbit Capital, Ventures Together</t>
  </si>
  <si>
    <t>www.payflows.io</t>
  </si>
  <si>
    <t>463633-03</t>
  </si>
  <si>
    <t>BrightPlan</t>
  </si>
  <si>
    <t>Developer of a global financial wellness platform designed to provide generative artificial intelligence-driven financial coaching, education, planning, employer benefit guidance, and workforce insights for employers and employees. The company's platform is integrated with employer benefits through education, financial planning, investment advice, and comprehensive personal financial management, enabling employees to achieve financial success at every stage of life.</t>
  </si>
  <si>
    <t>Fremont Group, Hawk Partners, Palo Alto Venture Partners, Plancorp, Robo RIA Partners, Sovereign's Capital, Still Capital Partners, Thomas Wyatt, Various Angels</t>
  </si>
  <si>
    <t>www.brightplan.com</t>
  </si>
  <si>
    <t>159460-48</t>
  </si>
  <si>
    <t>Funding U</t>
  </si>
  <si>
    <t>Operator of a student lending platform designed to offer no-cosigner student loans for undergraduate students. The company provides fixed-rate student loans based on academic performance and career potential rather than credit history or cosigner availability, enabling undergraduate students to secure educational financing and cover tuition costs without the need for a creditworthy cosigner.</t>
  </si>
  <si>
    <t>Advanced Technology Development Center, Bezos Expeditions, Deciens Capital, ECMC Foundation, GMO Venture Partners, MacKenzie Scott, Next Act Fund, Raptor Group, Renn Ventures, TechFarms Capital Management, The JumpFund, Tribe Capital, Valor Ventures, VentureSouq, WGU Labs</t>
  </si>
  <si>
    <t>www.funding-u.com</t>
  </si>
  <si>
    <t>537348-16</t>
  </si>
  <si>
    <t>Pivot</t>
  </si>
  <si>
    <t>Developer of consumer-grade procurement software intended to help companies keep their spending under control while enhancing their teams. The company's software allows implementation without an integrator, fostering employee adoption and avoiding training for finance, legal, compliance, and security teams, enabling firms to reduce manual work and endless email threads.</t>
  </si>
  <si>
    <t>Alexandre Berriche, Alexis Hartmann, Alpha Protocol Ventures, Anamcara Capital, Cocoa Ventures, Emblem (Paris), Emblem Cannabis, Financière Saint James, Forestay Capital, Greyhound Capital (Asia), Hanno Renner, Hedosophia, Loic Soubeyrand, Notion Capital, Oliver Samwer, Pierre Laprée, Steve Anavi, Visionaries Club</t>
  </si>
  <si>
    <t>www.pivotapp.ai</t>
  </si>
  <si>
    <t>482624-47</t>
  </si>
  <si>
    <t>Sequence (Financial Software)</t>
  </si>
  <si>
    <t>Developer of an artificial intelligence (AI) -powered billing and order-to-cash platform designed to automate revenue management for B2B software companies with custom pricing models. The company offers invoicing, metering, billing, revenue recognition, and artificial intelligence (AI) -powered finance automation, enabling B2B software companies to streamline financial operations and accelerate cash collection.</t>
  </si>
  <si>
    <t>1/1 Capital, 645 Ventures, 9Yards Capital Management, Andreessen Horowitz, Ardour Capital Investments, Crew Capital, Cur8 Capital, DCG Expeditions, DIG Ventures, Fin Capital, Firebolt Ventures, Firstminute Capital, Mandeep Singh, Passion Capital, Salesforce Ventures, Vor Capital</t>
  </si>
  <si>
    <t>www.sequencehq.com</t>
  </si>
  <si>
    <t>167628-88</t>
  </si>
  <si>
    <t>Airtm</t>
  </si>
  <si>
    <t>Developer of an online money-transfer network platform designed to address the problems suffered in weak currency countries. The company's platform backs users to deposit and withdraw local currency to and from their accounts through a P2P network of cashiers that connects to national banking systems and multiple e-money networks, enabling consumers and businesses to send, receive, save, and spend their money as dollars in their account and reduce the cost and risk of operating in these currencies.</t>
  </si>
  <si>
    <t>Alpha Impact 8, BlueYard Capital, BnkToTheFuture, Charles Songhurst, Circle Ventures (Boston), Cloud Money Ventures, Coinbase Ventures, David Rowan, Elevar Equity, IGNIA, International Finance Corporation, MW Eaglewood, NXTP Ventures, Richmond View Ventures, Stellar (Financial Software), Tiny Supercomputer Investment Company, Winston Ling, Wintech Ventures</t>
  </si>
  <si>
    <t>www.airtm.com</t>
  </si>
  <si>
    <t>101357-11</t>
  </si>
  <si>
    <t>Domuso</t>
  </si>
  <si>
    <t>Developer of a rent payment technology platform designed to streamline multifamily property operations. The company's system helps renters to finance their move-in payments and manage online move-out refunds and loan installments, enabling property owners to automate receivables and improve the efficiency of their on-site operations and resident communications.</t>
  </si>
  <si>
    <t>Brian Burkett, CD Private Equity, Crescent Capital (Los Angeles), David Kim, Day One Ventures, Derive Ventures, Doug Sills, Evan Wies, Flux Capital, Gelt Venture Capital, Hybridge Capital Management, Inertia Ventures, Jake Chapman, Leon Halperin, Marshall Wax, Moshe Shahaf, Telescope Partners, Tides Ventures, Yodlee</t>
  </si>
  <si>
    <t>www.domuso.com</t>
  </si>
  <si>
    <t>101935-72</t>
  </si>
  <si>
    <t>KoreInside</t>
  </si>
  <si>
    <t>Developer of a business management platform designed for companies raising capital. The company specializes in combining the ability to manage corporate and financial records, deal room and transaction support, board management activities, stakeholder reporting, and a communications platform, enabling organizations to securely and efficiently manage essential business data, facilitate compliance, and empower the private markets.</t>
  </si>
  <si>
    <t>Blockchain Fond, Brian Traquair, Global Blockchain Ventures, Hard Yaka, Human Capital Development, Michael Nall</t>
  </si>
  <si>
    <t>www.kore.inc</t>
  </si>
  <si>
    <t>495826-66</t>
  </si>
  <si>
    <t>LinqAlpha</t>
  </si>
  <si>
    <t>Developer of an artificial intelligence research workflow platform designed to support investment research and analysis for institutional investors. The company's platform offers agent-based analysis across earnings calls, regulatory filings, broker research, and internal knowledge repositories, enabling buy-side and sell-side investment teams to evaluate securities, monitor developments, and support investment decision-making.</t>
  </si>
  <si>
    <t>Atinum Investment, AVP, Betatron Venture Group, East Ventures, FinTech Innovation Lab, FinTechSpace, GFT Ventures, Google Accelerator, Hana Ventures, InterVest, Kakao Ventures, MassChallenge, Ministry of SMEs and Startups, Mirae Asset Capital, Mirae Asset Venture Investment, NH Investment &amp; Securities, NuVentures, Orange Planet Foundation, Samsung Futures, Samsung Securities, SBI Investment, Shinhan Venture Investment, Smilegate Investment, SV Investment, Techstars, YellowDog, Z Venture Capital</t>
  </si>
  <si>
    <t>www.linqalpha.com</t>
  </si>
  <si>
    <t>493460-20</t>
  </si>
  <si>
    <t>XFlow</t>
  </si>
  <si>
    <t>Developer of cross-border payments software intended to simplify and speed up inward payment flows for businesses across the world. The company platform aims at reducing friction due to high regulatory/operational complexity, lack of transparency, and high transaction costs, enabling clients to easily make payments across global markets.</t>
  </si>
  <si>
    <t>Blank Ventures, Catalyze Advisors, General Catalyst, IIT Mandi Catalyst, Lightspeed India Partners, Moore Capital Management, Moore Strategic Ventures, PayPal Ventures, Square Peg Capital, Stripe, Titan Capital</t>
  </si>
  <si>
    <t>www.xflowpay.com</t>
  </si>
  <si>
    <t>180247-42</t>
  </si>
  <si>
    <t>Kristal.AI</t>
  </si>
  <si>
    <t>Developer of a private wealth platform designed to create new investment strategies and manage assets digitally. The company's platform features a variety of exchange-traded assets, including stocks, bonds, currencies, alternative investments, private investments such as pre-initial public offering investments, and investments in cryptocurrency, enabling investors and advisors to get access to portfolios and investment strategies online and invest smartly.</t>
  </si>
  <si>
    <t>AI Venture Labs, Amit Gupta, Chiratae Ventures, Cyberport Hong Kong, Desai Ventures, Gaurav Garg, Global Incubator Network, Pai Madhavaraya, Sanadhya Family, Sanat Rao, Saurabh Anand, Shailesh Rao, Shubham Gupta, Stride Ventures, Sudhanshu Sanadhya, WorldPeak Holdings</t>
  </si>
  <si>
    <t>www.kristal.ai</t>
  </si>
  <si>
    <t>434945-35</t>
  </si>
  <si>
    <t>Winner Holding</t>
  </si>
  <si>
    <t>Developer and operator of an offline payment platform. The company's offline payment platform connects telecom operators, UnionPay companies, banks, merchants and provides convenient payment systems in various industries such as gas station payments, automotive aftermarket, internet marketing, digital entertainment and tourism, providing payment solutions in various scenarios.</t>
  </si>
  <si>
    <t>Detong Capital, PetroChina Company, Shaanxi Cultural Industry Investment Holdings(Group), Similan Group</t>
  </si>
  <si>
    <t>www.epaynfc.com</t>
  </si>
  <si>
    <t>60056-02</t>
  </si>
  <si>
    <t>ForUsAll</t>
  </si>
  <si>
    <t>Operator of a cloud-based financial platform intended to advise small and mid-sized businesses on employee investment plans. The company's platform through its consultants, investment adviser representatives, operations teams, and technologists advises companies to lower administrative workload, reduce fiduciary liabilities, and improve the employee experience by automating the elements of plan administration and driving employee success through retirement assets, enabling businesses to secure financial futures without sinking hours into administration or putting at risk for costly compliance penalties.</t>
  </si>
  <si>
    <t>CMT Digital Holdings, Coinbase Ventures, First Trust Capital Partners, Foundation Capital, Kita Capital Management, Ribbit Capital, Richard Chen, Ryan Gilbert, ThirdStream Partners</t>
  </si>
  <si>
    <t>www.forusall.com</t>
  </si>
  <si>
    <t>94918-51</t>
  </si>
  <si>
    <t>Splitwise</t>
  </si>
  <si>
    <t>Developer of an expense-sharing platform designed to make it easy to split bills with friends and family. The company's platform helps split bills such as rent, bills, travel expenses, and other transactions with friends, roommates, and travel companions, enabling users to organize all shared expenses in one place so that everyone can see who and how much they owe.</t>
  </si>
  <si>
    <t>10X Venture Partners, Andrew Chen, Ashish Bhatia, Benjamin Savage, Betaspring, Bullpen Capital, Centre Street Partners, Clocktower Ventures, Commerce.Innovated, Cyan Banister, Ding Zhou, Don Wyper, Great Oaks Venture Capital, Insight Partners (New York), Jeremy Hitchcock, Joshua Diamond, Matrix, Ridge Ventures, Rocketship.vc, Saad AlSogair, Scott Banister, Start Path, SVB Financial Group, Tyler He, Walnut Ventures, William Guttman</t>
  </si>
  <si>
    <t>www.splitwise.com</t>
  </si>
  <si>
    <t>227922-22</t>
  </si>
  <si>
    <t>Lender Price</t>
  </si>
  <si>
    <t>Artificial Intelligence &amp; Machine Learning, FinTech, Mortgage Tech, SaaS, TMT</t>
  </si>
  <si>
    <t>Developer of a fintech and consumer digital lending technology designed for the mortgage industry. The company's technology includes product pricing and eligibility of conforming non-conforming, hard money and specialty loans through an openly accessible marketplace, enabling mortgage loan originators to price the loans efficiently.</t>
  </si>
  <si>
    <t>Argentum (New York), Costner Lake Investments, First Analysis, Regions Financial</t>
  </si>
  <si>
    <t>www.lenderprice.com</t>
  </si>
  <si>
    <t>472360-42</t>
  </si>
  <si>
    <t>Defacto (Financial Software)</t>
  </si>
  <si>
    <t>Develoepr of an invoice financing platform designed to finance business-to-business transactions. The company's platform solves the working capital requirement, gives loans, and allows customers to repay when they pay, enabling businesses to finance any invoices, offer early payment to suppliers, and automate payout and reconciliation.</t>
  </si>
  <si>
    <t>Arthur Waller, Citi Ventures, Didier Valet, Financière Saint James, Global Founders Capital, Headline, La Maison Partners, Motier Ventures, Northzone Ventures, Rodolphe Ardant, Thibaud Elziere, Victoria van Lennep, Viola Credit</t>
  </si>
  <si>
    <t>www.getdefacto.com</t>
  </si>
  <si>
    <t>226774-27</t>
  </si>
  <si>
    <t>Kaleidofin</t>
  </si>
  <si>
    <t>Developer of a financial management platform designed to estimate customers' income level, saving capacity, and monetary health. The company's platform assists users in saving money each month while taking volatilities into account and also helps to invest funds using a data-driven model to estimate their income level, enabling customers to use economic planning and wealth management principles.</t>
  </si>
  <si>
    <t>Alteria Capital, Bharat Inclusion Seed Fund, Blume Venture Advisors, Catalyst (Incubator), Coöperatieve Rabobank, Flourish Ventures, Gates Foundation, GF Xinde Investment Management, Google Accelerator, IDH, IIMA Ventures, Michael &amp; Susan Dell Foundation, Oikocredit, Omidyar Network, Reserve Bank Innovation Hub, Shlomo Ben-Haim, T-Hub, Trifecta Capital</t>
  </si>
  <si>
    <t>www.kaleidofin.com</t>
  </si>
  <si>
    <t>520743-88</t>
  </si>
  <si>
    <t>Applause</t>
  </si>
  <si>
    <t>Developer of employee performance management software intended to help service businesses measure, recognize and improve employee performance through connected operational and customer feedback data. The company offers technician scorecards, performance incentives, AI insights, review management, NPS, and employee apps, enabling service businesses to monitor employee performance and customer feedback from a unified platform.</t>
  </si>
  <si>
    <t>Album VC, RET Ventures, Tandem Ventures (Utah)</t>
  </si>
  <si>
    <t>www.applausehq.com</t>
  </si>
  <si>
    <t>327126-88</t>
  </si>
  <si>
    <t>BluePenguin</t>
  </si>
  <si>
    <t>Developer of a digital payment technology designed to help manage and control the payment process. The company's technology helps in reviewing, approving, and paying invoices, converting payments into a virtual card or fast electronic transfers that work anywhere, anytime as well as integrates directly into accounts payable systems, enabling clients to save time, reduce costly processing errors and avoid reconciling payables against bank statements.</t>
  </si>
  <si>
    <t>Southeast Investor Group</t>
  </si>
  <si>
    <t>www.bluepenguin.com</t>
  </si>
  <si>
    <t>121408-30</t>
  </si>
  <si>
    <t>Candis</t>
  </si>
  <si>
    <t>Developer of an automated accounting software designed to automate the financial workflows of organizations. The company's software uses artificial intelligence tools to generate real-time overviews of liabilities and missing invoices by connecting their bank accounts, credit cards, and online payments, enabling small and medium-sized enterprises to view and manage their accounts and securely forward their invoices.</t>
  </si>
  <si>
    <t>10x Digital, 42 Capital, 42CAP, Bootstrap Europe, Coöperatieve Rabobank, Fly Ventures, Jan Reichelt, Lightspeed Venture Partners, Michael Schutzler, Neosfer, Point Nine Capital, Rabo Corporate Venturing, Sebastian Kotzwander, Speedinvest, Thomas Wilke, Viola FinTech, Viola Ventures, Werner Zahnt</t>
  </si>
  <si>
    <t>www.candis.io</t>
  </si>
  <si>
    <t>516080-53</t>
  </si>
  <si>
    <t>Alternative Derivatives Exchange</t>
  </si>
  <si>
    <t>Developer of a technology stack designed to cover all trading aspects, from order submission to the finality of settlement. The company's matching engine can match futures or options products, match orders, and commit trades per second to the real-time database, and technology will be deployed in a series of regional deployments, enabling clients to have a platform for trading alternative derivatives backed by proprietary technology.</t>
  </si>
  <si>
    <t>braiins, Faisal Dahlawi</t>
  </si>
  <si>
    <t>www.adebsx.com</t>
  </si>
  <si>
    <t>343309-78</t>
  </si>
  <si>
    <t>Kion</t>
  </si>
  <si>
    <t>Artificial Intelligence &amp; Machine Learning, CloudTech &amp; DevOps</t>
  </si>
  <si>
    <t>Developer of a financial operations platform designed to optimize technology spending and governance across cloud environments. The company offers automated policy management, AI-driven forecasting, and cost visibility across public cloud, private cloud, SaaS, and AI environments, enabling enterprises and regulated organizations to improve operational efficiency, strengthen financial oversight, and reduce unnecessary spend.</t>
  </si>
  <si>
    <t>10X Capital, Blu Venture Investors, Blue Heron Capital, Early Light Ventures, Gaingels, TDF Ventures, The Acacia Group (Maryland)</t>
  </si>
  <si>
    <t>www.kion.io</t>
  </si>
  <si>
    <t>499983-94</t>
  </si>
  <si>
    <t>Synonym (Consulting Services (B2B))</t>
  </si>
  <si>
    <t>Artificial Intelligence &amp; Machine Learning, Life Sciences, SaaS</t>
  </si>
  <si>
    <t>Developer of a biomanufacturing acceleration platform intended for accelerating production and market adoption of materials and ingredients made with biology. The company's platform offers bioproduct-related data services and facilitates production through its network of capacity partners, enabling industries to meet the growing population's increasing bioproduction needs.</t>
  </si>
  <si>
    <t>Andreessen Horowitz, Black Opal Ventures, Blue Horizon Corporation, Blue Horizon Eating Disorder Services, Cerberus Ventures, Clocktower Ventures, Earth Venture Capital, FJ Labs, GG 1978, Giant Ventures, Global Founders Capital, GS Futures, In-Q-Tel, Losa Group, QVIDTVM, Siddhi Capital, Solari Capital, Thia Ventures, WestTech Ventures, Zero Infinity Partners</t>
  </si>
  <si>
    <t>www.synonym.bio</t>
  </si>
  <si>
    <t>166993-21</t>
  </si>
  <si>
    <t>Flexiloans</t>
  </si>
  <si>
    <t>Developer of an online lending platform designed to offer loans and other financing options. The company's platform connects loan seekers with investors and helps in receiving customized business and seasonal inventory loans and equipment financing funds through crowdsourcing or an individual investments, enabling entrepreneurs to get initial funding and grow their businesses.</t>
  </si>
  <si>
    <t>Abhishek Kothari, Accion, Anil Jaggia, British International Investment, Falguni Nayar, Fasanara Capital, Gopal Srinivasan, Harry Banga, Mahansaria Group, Maj Invest, Narayan Seshadri, Nuveen, Sanjay Maliah, Sanjay Nayar, Siddharth Parekh, The Fundamentum Partnership, Vikram Sud, Zone Startups India</t>
  </si>
  <si>
    <t>www.flexiloans.com</t>
  </si>
  <si>
    <t>496538-56</t>
  </si>
  <si>
    <t>Pointsville</t>
  </si>
  <si>
    <t>Augmented Reality, Cryptocurrency/Blockchain, FinTech, Gaming</t>
  </si>
  <si>
    <t>Operator of digital asset platforms designed to bridge traditional financial systems with emerging technologies. The company offers tools for designing, issuing, and managing alternative digital assets alongside loyalty-based engagement systems, enabling financial institutions, consumer brands, and asset managers to digitize non-traditional investments and create personalized customer experiences that drive retention, regulatory alignment, and long-term value creation.</t>
  </si>
  <si>
    <t>Citrino Ventures, Credit Saison, Edward Wible, Itaú Unibanco Holding, K2 Integrity, Onigiri Capital, Ricardo Marino, SNZ, Superscrypt, TetherX, TNC Ventures, Valor Capital Group, Votorantim</t>
  </si>
  <si>
    <t>www.pointsville.com</t>
  </si>
  <si>
    <t>182952-82</t>
  </si>
  <si>
    <t>Previse</t>
  </si>
  <si>
    <t>Operator of a financial platform intended to reinvent business finance. The company's platform uses machine learning to analyze invoices to predict future revenues and turn financial transactions into smart insights with artificial intelligence automation, enabling businesses to transform the financial transactional data about their customers and suppliers into automated analytical resolutions to speed up invoice payments.</t>
  </si>
  <si>
    <t>Angel Investors Network, Augmentum Fintech, Banking Competition Remedies, Beat Capital Partners, Bessemer Venture Partners, Founders Factory, Image Frame Investment, John Gildersleeve, Rampart Capital, Reefknot Investments, Salica Investments, Scottish Enterprise, Start Path, Tech Nation Group, Tencent Holdings, Tide, VentureFounders</t>
  </si>
  <si>
    <t>www.previse.co/en-gb</t>
  </si>
  <si>
    <t>465098-77</t>
  </si>
  <si>
    <t>Caplight</t>
  </si>
  <si>
    <t>Developer of a financial product platform intended to facilitate derivative transactions in private company stock. The company's platform, market data, and price discovery tools help institutional investors, shareholders, and brokers trade call-and-put options and security-based swap contracts, enabling institutional trading counterparties to take long and short positions in private companies via synthetic and cash-settled derivatives.</t>
  </si>
  <si>
    <t>8090 Partners, Andrew Vigneault, Autopilot Fund, Better Tomorrow Ventures, BlackRock, Clocktower Ventures, Conor Gleeson, Dash Fund, DB1 Ventures, Deutsche Börse, Ethos VC, Fin Capital, Fox Ventures (United Arab Emirates), L'ATTITUDE Ventures, LEAP Global Partners, PLG Ventures, UBS Group</t>
  </si>
  <si>
    <t>www.caplight.com</t>
  </si>
  <si>
    <t>509495-14</t>
  </si>
  <si>
    <t>Dispatch</t>
  </si>
  <si>
    <t>Developer of a wealth-tech advisory platform designed to improve independent financial advisor capabilities. The company's platform allows independent advisors to build their ideal firm through strategic investments and tech-forward options, enabling financial advisors to spend less time on manual, repetitive tasks and improve performance reporting, billing, and investment management.</t>
  </si>
  <si>
    <t>Atomic (Private Equity), Brewer Lane Ventures, CoFound Partners, Expa, Fika Ventures, Fin Capital, Flyover Capital, F-Prime Capital, Great Oaks Venture Capital, ICONIQ Growth, MassMutual Ventures, New York Life Ventures, Perceptive Ventures, Ritholtz Wealth Management, Twelve Below, Valor Equity Partners</t>
  </si>
  <si>
    <t>www.dispatch.io</t>
  </si>
  <si>
    <t>729324-01</t>
  </si>
  <si>
    <t>Piston (Financial Software)</t>
  </si>
  <si>
    <t>Developer of a B2B payments platform intended to eliminate the need for intermediaries. The company specializes in providing cardless technology for fuel payments, offering discounts and incentives on every transaction, and features a fraud prevention engine to eliminate fraudulent spending, enabling clients to reduce their administrative burden by utilizing the company's dashboard to manage their fleet and drivers.</t>
  </si>
  <si>
    <t>BOND Capital (San Francisco), Marketplace Capital, Pear (California), Spark Capital</t>
  </si>
  <si>
    <t>www.usepiston.com</t>
  </si>
  <si>
    <t>52950-16</t>
  </si>
  <si>
    <t>PrimeRevenue</t>
  </si>
  <si>
    <t>Developer of a working capital and B2B payment platform designed to connect and manage financial supply chain activity through digital automation. The company offers automated payment processing, cross-border currency support, funding network integration, and supply chain finance capabilities, enabling global businesses to improve cash flow visibility, strengthen payment reliability, and manage financial operations with greater control.</t>
  </si>
  <si>
    <t>Brown Brothers Harriman Capital Partners, eRevenue, Escalate Capital Partners</t>
  </si>
  <si>
    <t>www.primerevenue.com</t>
  </si>
  <si>
    <t>171173-35</t>
  </si>
  <si>
    <t>Harness (Financial Software)</t>
  </si>
  <si>
    <t>Operator of a nonprofit fundraising platform intended to help organizations effectively engage with their donors. The company's platform focuses on helping organizations and political campaigns collect donations from users' everyday credit or debit card purchases, enabling clients to maximize the conversion of their supporters into donors with marketing tools.</t>
  </si>
  <si>
    <t>African-American Credit Union Coalition, Clay Biddinger, Daniel Jones, Florida Funders, Independent Community Bankers of America, MDC Accelerator, Revolution (Washington DC), Santosh Govindaraju, Silicon Road, Tampa Bay Wave, The Venture Center, Thomas Biddinger, TiE Oregon, TruStage Ventures, Vocap Partners, Zeal Capital Partners</t>
  </si>
  <si>
    <t>www.goharness.com</t>
  </si>
  <si>
    <t>164328-94</t>
  </si>
  <si>
    <t>Ignition (Financial Services)</t>
  </si>
  <si>
    <t>FinTech, Robotics and Drones, SaaS, TMT</t>
  </si>
  <si>
    <t>Operator of an online financial advisory platform intended to provide universal and scalable hybrid digital advice services. The company's platform offers a multi-language and multi-currency application that helps with digital financial advice and education, enabling advisers and customers to unite to complete a digital financial advice journey independently or together, to ensure appropriate help and compliant advice is available when needed.</t>
  </si>
  <si>
    <t>Barry Lambert, Jungle Capital, Millinium Capital Managers, Morgan Stanley</t>
  </si>
  <si>
    <t>www.discoverignition.com</t>
  </si>
  <si>
    <t>494960-14</t>
  </si>
  <si>
    <t>Bricks.co</t>
  </si>
  <si>
    <t>Developer of an investment platform designed to help investors invest in real estate and get a rental yield every month. The company helps to invest savings in real estate and select investment properties, enabling users to increase profitability from savings.</t>
  </si>
  <si>
    <t>Andrew Nutter, Business &amp; Innovation Center, Eduardo Ronzano, Fg Invest, HM Capital, La French Tech Est, Pineal Capital Management, Renaud Visage, Thibaud Elziere, Tony Parker</t>
  </si>
  <si>
    <t>www.bricks.co</t>
  </si>
  <si>
    <t>228952-72</t>
  </si>
  <si>
    <t>Cassini Systems</t>
  </si>
  <si>
    <t>Developer of a margin and collateral analytics platform designed to optimise risk, liquidity, and cost management for derivatives trading. The company's platform provides analytics for pre-trade, intra-day, and post-trade margin calculation, lifetime cost assessment, automation of reporting, and real-time monitoring of margin and collateral, enabling asset managers, hedge funds, and banks to achieve greater transparency, operational efficiency, and regulatory compliance in managing derivatives portfolios.</t>
  </si>
  <si>
    <t>Mosaik Partners, Ten Coves Capital</t>
  </si>
  <si>
    <t>www.cassini.com</t>
  </si>
  <si>
    <t>66130-57</t>
  </si>
  <si>
    <t>Groundfloor (Financial Software)</t>
  </si>
  <si>
    <t>Developer of an alternative investment platform designed to make private capital markets public. The company offers direct real estate debt investments via Regulation A, providing non-accredited and accredited investors with the ability to build fully customizable real estate debt portfolios for short-term, high-yield returns, enabling clients to access the diversification, risk-adjusted returns, and control available via private market investments.</t>
  </si>
  <si>
    <t>AAlchemy Ventures, Bandwidth, Cody Heisinger, David Sissman, MDO Holdings, Medipower Overseas, Nobska Point Capital, Occoquan Capital, Olive Tree Capital, Raleigh Founded, Rhapsody Ventures</t>
  </si>
  <si>
    <t>www.groundfloor.com</t>
  </si>
  <si>
    <t>169853-50</t>
  </si>
  <si>
    <t>Candidly (Financial Software)</t>
  </si>
  <si>
    <t>Developer of a student debt repayment platform designed to democratize access to debt repayment and refinancing as a new normal in employee benefits. The company's platform removes intermediaries, shifting value capture from headhunters into a vesting student debt repayment program, enabling employers to offer a standard percent of compensation in the form of student loan payments in turn increasing employee retention.</t>
  </si>
  <si>
    <t>Aflac Ventures, Altos Ventures, Boston Harbor Angels, Breton Capital Ventures, Cassis &amp; Cassis Capital, Cercano Management, Commerce.Innovated, DCU FinTech Innovation Center, Equal Opportunity Ventures, EQx Fund, Financial Health Network., First Data, Fiserv, G9 Ventures, Head &amp; Heart Capital, Hurt Family Investments, Impact Engine, MassChallenge, Reach Capital, Rethink Impact, Salesforce Ventures, Short List Capital, SixThirty Ventures, Stan Miroshnik, Techstars, Texas Venture Labs, UBS Group, Unum Group, XX Angels</t>
  </si>
  <si>
    <t>www.getcandidly.com</t>
  </si>
  <si>
    <t>503171-11</t>
  </si>
  <si>
    <t>Functional Finance</t>
  </si>
  <si>
    <t>Developer of a financial operations platform designed to automate back-office functions for the insurance industry. The company utilizes AI-driven workflows and seamless api integrations to manage billing, premium collection, and real-time reconciliation, enabling managing general agents, wholesalers, and carriers to eliminate manual data entry and enhance financial visibility through automated invoicing and reporting.</t>
  </si>
  <si>
    <t>Altai Ventures, AltaIR Capital, Crystal Venture Partners, Gold House Ventures, Hank Greenberg, Henry Kravis, Munich Re Ventures, New Enterprise Associates, Philip Edmundson, Steve Hauck, Stonecroft Management, Summit Peak Investments, The Starr Foundation, Walkabout Ventures</t>
  </si>
  <si>
    <t>www.functionalfi.com</t>
  </si>
  <si>
    <t>438130-81</t>
  </si>
  <si>
    <t>Anomaly (Enterprise Systems)</t>
  </si>
  <si>
    <t>Developer of an artificial intelligence-powered precision payments platform designed to streamline healthcare billing and improve payment accuracy. The company's platform helps to reduce the friction between payers and providers by ensuring the payment process is accurate, streamlined, and trusted, enabling payers to pay the right amount the first time by reducing provider abrasion and administrative burden.</t>
  </si>
  <si>
    <t>Alumni Ventures, Declaration Partners, Greycroft, HEPCO Capital Management, Link Ventures, Madrona Venture Group, Redesign Health, RRE Ventures, Sound Ventures, Upsher Management Company</t>
  </si>
  <si>
    <t>www.findanomaly.com</t>
  </si>
  <si>
    <t>489421-27</t>
  </si>
  <si>
    <t>ATM.com</t>
  </si>
  <si>
    <t>Operator of an embedded financial platform intended to make micro-investing more accessible. The company helps people generate micro-income by participating in rewards programs that assist in saving and investing in the stock market, enabling users to open their investment accounts and build investments.</t>
  </si>
  <si>
    <t>Core Innovation Capital, Franklin Venture Partners, Great Oaks Venture Capital, Okapi Venture Capital, PLG Ventures, Rx3 Growth Partners, SteelBridge Labs, Steelpoint Capital Partners, University Growth Fund, Walter Cruttenden</t>
  </si>
  <si>
    <t>www.atm.com</t>
  </si>
  <si>
    <t>279503-11</t>
  </si>
  <si>
    <t>Blooma</t>
  </si>
  <si>
    <t>Developer of a digital underwriting platform designed to simplify commercial loan processing decisions. The company's platform offers configurable workflows and risk settings, document management, underwriting management and deal pipeline management to streamline deal origination and portfolio monitoring, enabling banking firms to prioritize the right deals, reduce loan origination costs, and gain simplicity and productivity.</t>
  </si>
  <si>
    <t>Abstract Ventures, BankTech Ventures, Canapi Ventures, Castile Ventures, Crescent Ridge, FIS Fintech Accelerator, Floodgate, Nyca Partners, Serra Ventures</t>
  </si>
  <si>
    <t>www.blooma.ai</t>
  </si>
  <si>
    <t>496322-74</t>
  </si>
  <si>
    <t>Clarity (Wilmington)</t>
  </si>
  <si>
    <t>Developer of a financial aid platform designed to remove enrollment barriers for today's families. The company's platform eliminates the need to upload prior-year tax documents and stores historical information to streamline the process for returning families, enabling businesses to attract, enroll, and retain modern families.</t>
  </si>
  <si>
    <t>www.clarityschools.com</t>
  </si>
  <si>
    <t>221865-67</t>
  </si>
  <si>
    <t>Enin</t>
  </si>
  <si>
    <t>Developer of an automated analysis tool designed to monitor financial markets. The company's tool utilizes machine learning to analyze news, social media, and financial data and provide insights on investment opportunities and the financial markets in general, enabling credit analysts, anti-fraud specialists, and financial institutions to identify potential risks efficiently, improve assessment accuracy, and make well-informed operational decisions.</t>
  </si>
  <si>
    <t>Arkwright X, Christian Rokseth, Erling Astrup, Halvor Øgreid, Magnus Jepson, Sprettert, TheFactory, Trunkfish Capital</t>
  </si>
  <si>
    <t>www.enin.ai</t>
  </si>
  <si>
    <t>465209-20</t>
  </si>
  <si>
    <t>Fintor</t>
  </si>
  <si>
    <t>Artificial Intelligence &amp; Machine Learning, FinTech, Mobile, Real Estate Technology, SaaS</t>
  </si>
  <si>
    <t>Developer of an agentic AI platform intended to automate mortgage operations from application through closing. The company's platform offers autonomous loan processing, deep integration with existing loan origination systems, customer management tools, and contact centers, enabling mortgage lenders and operations teams to achieve closings, reduce errors, and lower manual effort.</t>
  </si>
  <si>
    <t>500 Global, Andrew Zalasin, Andy Madadian, Ankur Nagpal, Astir Ventures, Bias Capital, Bullock Capital, CapitalX, Cindy Bi, Graphene Ventures, Hustle Fund, John Fernandes, Jonathan Wasserstrum, Makai VC, Mana Ventures, Manny Khoshbin, Marcus Ridgway, Minal Hasan, Public, Safa Mahzari, Sonali Kalje, The Chicago Booth Angels Network of Silicon Valley, The Khoshbin Company, Vibe Capital, VU Venture Partners, Zedcrest Group</t>
  </si>
  <si>
    <t>www.fintor.com</t>
  </si>
  <si>
    <t>182816-11</t>
  </si>
  <si>
    <t>Future Family</t>
  </si>
  <si>
    <t>Digital Health, FemTech, FinTech, HealthTech</t>
  </si>
  <si>
    <t>Provider of healthcare financing services intended to help build the family by removing the barriers to accessing fertility treatment. The company offers fertility loan plans that are customized based on need and come with expert support for procedures like in vitro fertilization (IVF) and egg freezing, enabling women to have a stress-free fertility journey with complete financial support.</t>
  </si>
  <si>
    <t>2nd &amp; Fillmore, Acrew Capital, Aletta Angels, Alumni Ventures, ARC Innovation Center, Aspect Ventures, Atinc, Bridge Ventures (Chicago), Cliffbrake, Correlation Ventures, Duro Ventures, Evolution VC Partners, KSV Global Innovations, Mindset Ventures, MS&amp;AD Ventures, Munich Re Ventures, Muse Capital, ORIX (Tokyo), OurCrowd, Owl Capital, Rebel Fund, RiverPark Ventures, Rogue Women, Sand Hill Angels, Spring Ventures (USA), State Of Mind Ventures, T-Bird Capital, Triventures, Ulu Ventures</t>
  </si>
  <si>
    <t>www.futurefamily.com</t>
  </si>
  <si>
    <t>553140-10</t>
  </si>
  <si>
    <t>Hadi Finance</t>
  </si>
  <si>
    <t>Operator of a financial platform designed to make financial transactions and services easier. The company offers a market digitalization interface for services like investor financing, cashless payments, and more financing systems and information updates to interactions, enabling retailers and distributors to preserve cash for strategic investments and business growth.</t>
  </si>
  <si>
    <t>Baobab Network, Female Founders Growth Programme, Grant Park Ventures, Hindsight Ventures, Microtraction, MTN Cloud Accelerator</t>
  </si>
  <si>
    <t>www.hadifinance.com</t>
  </si>
  <si>
    <t>266155-30</t>
  </si>
  <si>
    <t>Informed</t>
  </si>
  <si>
    <t>Operator of a consumer auto financing platform intended to collect and analyze loan documents. The company's platform offers a digital assistant that collects tips directly from borrowers and uses machine learning and optical character recognition for advanced analysis, enabling auto lenders to automate loan origination.</t>
  </si>
  <si>
    <t>Ally Ventures, Aspect Ventures, Broadway Angels, Dan Romero, FIS Fintech Accelerator, Invictus Growth Partners, Manuel Bronstein, Nyca Partners, The Perkins Fund, The Venture Center, U.S. Venture Partners</t>
  </si>
  <si>
    <t>www.informediq.com</t>
  </si>
  <si>
    <t>549108-19</t>
  </si>
  <si>
    <t>Intellistocks</t>
  </si>
  <si>
    <t>Developer of an infrastructure designed to equip investors with certainty in chaos and operate where old models fail. The company's platform offers a hybrid agentic AI system, a decision engine, simplifying what to buy, when to sell, how to allocate, and how to stay in control, enabling both new traders and those managing billions to gain clarity, confidence, and compounded wisdom.</t>
  </si>
  <si>
    <t>www.intellistocks.com</t>
  </si>
  <si>
    <t>506793-43</t>
  </si>
  <si>
    <t>Link Money</t>
  </si>
  <si>
    <t>Provider of a direct bank payment infrastructure intended for merchant checkout integration. The company facilitates direct-from-bank payments, secure identity verification, embedded compliance checks, real-time transaction status updates, and tokenized data handling, enabling online merchants and platforms with faster settlement, reduced payment costs, bypassing card networks, and improving end-user checkout experiences.</t>
  </si>
  <si>
    <t>Amplo, Applied Philosophers, Jonathan Oringer, Pareto Holdings, Quiet Capital, Shutterstock, Start Path, Tiger Global Management, Unconquerable Ardor, Valar Ventures</t>
  </si>
  <si>
    <t>www.link.money</t>
  </si>
  <si>
    <t>435903-76</t>
  </si>
  <si>
    <t>Overflow</t>
  </si>
  <si>
    <t>Operator of a digital giving platform designed to simplify charitable donations and strengthen engagement between organizations and their supporters. The company's platform offers multi-asset donation processing, mobile and contactless giving tools, donor engagement features, financial education content, data migration support, and integrations with existing administrative systems, enabling churches, nonprofits, and mission-driven organizations to receive contributions easily, engage donors meaningfully, and manage giving with clarity and confidence.</t>
  </si>
  <si>
    <t>9Yards Capital Management, Able Partners, Awesome People Ventures, Burst Capital, Craft Ventures, Draft Ventures, Fidji Simo, GAN Ventures, Hustle Fund, Mark Goines, Michael Vaughan, R7, Realm Capital Ventures, Salesforce Ventures, The General Partnership, Uncork Capital, Village Global, Wesleyan Investment Foundation</t>
  </si>
  <si>
    <t>www.overflow.co</t>
  </si>
  <si>
    <t>470927-71</t>
  </si>
  <si>
    <t>Seis</t>
  </si>
  <si>
    <t>Developer of a banking services platform designed to help Spanish speakers in the United States. The company's platform offers savings accounts, prepaid cards for online/offline purchases, bill payments, money transfers, personalized cards, and video and chat-based customer support, enabling customers to get a better banking experience.</t>
  </si>
  <si>
    <t>Album VC, Arash Ferdowsi, Austen Allred, Broom Ventures, Dan Romero, Deepak Chhugani, Diogo Myrrha, Duro Ventures, Elad Gil, F-Prime Capital, Goodwater Capital, Harry Hurst, Immad Akhund, Jack Altman, Jason Garcia, Max Mullen, O'Reilly AlphaTech Ventures, Pareto Holdings, Peterson Partners, Pioneer Fund, Samuel Hodges, Shrug Capital, Spacestation (UK), Y Combinator</t>
  </si>
  <si>
    <t>www.seis.com</t>
  </si>
  <si>
    <t>497251-00</t>
  </si>
  <si>
    <t>zypl.ai</t>
  </si>
  <si>
    <t>Artificial Intelligence &amp; Machine Learning, EdTech, FinTech, SaaS</t>
  </si>
  <si>
    <t>Developer of proprietary generative artificial intelligence based designed to apply machine learning in fintech, telecommunications, and retail sectors. The company offers credit scoring software based on machine learning to generate accurate and antifragile forecasts of risk under uncertainty, enabling financial institutions to automate microloan decision-making.</t>
  </si>
  <si>
    <t>Accelerate Prosperity, Activat, Adil Nurgozhin, Ahli Fintech, AloqaVentures, Argoquest, Astana Hub, Battery Road Digital, Carbide Ventures, Commercial Bank International, Constructor University, DIFC Innovation Hub, Google Accelerator, Hemant Jodha, Hub71, MoreThan Capital, Olzhas Zhiyenkulov, Plug and Play Tech Center, Presight AI-Startup Accelerator, Presto Ventures, Prosus Ventures, Shukhrat Ibragimov, Sturgeon Capital, Suveer Arenja, UzVC, White Hill Capital</t>
  </si>
  <si>
    <t>www.zypl.ai</t>
  </si>
  <si>
    <t>435462-76</t>
  </si>
  <si>
    <t>Tabeo</t>
  </si>
  <si>
    <t>Developer of a payments and contact management system designed to serve the healthcare sector. The company's platform manages all steps of the loan lifecycle in-house, from scoring to collections, enabling medical professionals to make private healthcare accessible by reducing treatment costs or targeting new consumer segments.
.</t>
  </si>
  <si>
    <t>AB Segulah, Salica Investments</t>
  </si>
  <si>
    <t>tabeo.co.uk</t>
  </si>
  <si>
    <t>85872-07</t>
  </si>
  <si>
    <t>Lemonway</t>
  </si>
  <si>
    <t>Developer of a secured payment platform designed to manage cost accounting and export all payment transactions in real time. The company's platform specializes in collecting money for third parties as well as in holding funds in escrow accounts and also provides 3D Secure, innovative anti-fraud, anti-money-laundering services, and they are Pan-European Payment Institution, enabling clients to process their payments by bank checks, SEPA transfers, debit and credit cards.</t>
  </si>
  <si>
    <t>50 Partners, Breega, IMT Starter, Speedinvest, Toscafund Asset Management, UNIQA Ventures</t>
  </si>
  <si>
    <t>www.lemonway.com</t>
  </si>
  <si>
    <t>501898-96</t>
  </si>
  <si>
    <t>Lyte (Financial Software)</t>
  </si>
  <si>
    <t>Operator of a commission advance platform designed to help real estate agents access their earned income before standard payout timelines. The company's platform offers early commission payouts, automated repayment through agency deductions, transparent fee structures, and secure transfers under a license from the Monetary Authority of Singapore, enabling property agents to manage cash flow, fund business expenses, and plan investments with greater financial flexibility and control.</t>
  </si>
  <si>
    <t>Aaron Tan, Boon Koh, Chap Huat Lim, Chin Qui Hin, Great Noble International, Ho Hin Wah, MS&amp;AD Ventures, Singtel Innov8, Tan Hwee, Voveo Capital</t>
  </si>
  <si>
    <t>www.lyte.co</t>
  </si>
  <si>
    <t>495792-28</t>
  </si>
  <si>
    <t>Surfin</t>
  </si>
  <si>
    <t>Developer of a financial management and risk control platform designed to make people's lives easy with smart open finance. The company's platform offers AI-powered credit scoring, digital lending, remittances, payments, wealth management, credit card services, and accessible financial services to underserved middle-class populations, enabling individuals in emerging markets to access transparent financial services, reduce risk, and keep users' data safe.</t>
  </si>
  <si>
    <t>Insignia Ventures Partners, Phillip Private Equity, True Path Equity, Washington University in St. Louis, Woori Venture Partners, YIncubator</t>
  </si>
  <si>
    <t>www.surfinglobal.com</t>
  </si>
  <si>
    <t>513410-86</t>
  </si>
  <si>
    <t>Daylight Energy</t>
  </si>
  <si>
    <t>Artificial Intelligence &amp; Machine Learning, CleanTech, Climate Tech, FinTech, LOHAS &amp; Wellness</t>
  </si>
  <si>
    <t>Developer of decentralised energy systems designed for residential power generation and participation. The company connects homes equipped with solar panels and batteries into a shared energy network, provides tools for monitoring usage and upgrades, offers rewards for energy contributions, and manages installations and financing, enabling homeowners to reduce costs, earn incentives, and support a resilient grid through local clean energy production.</t>
  </si>
  <si>
    <t>1kx, Andreessen Horowitz, Chapter One, Climate Capital, Coinbase Ventures, CoinShares Ventures, Corbin Page, Crucible Capital, Cyan Ventures, Digital Currency Group, Escape Velocity (New York), Evgeny Yurtaev, Framework Ventures, FutureMoney Group, Gary Vaynerchuk, Ido Ben-Natan, Lattice Capital, Lerer Hippeau, M13, Not Boring, Raz Niv, Room40 Ventures, Shreyas Hariharan, Union Square Ventures, Vadim Koleoshkin, Vaynerfund</t>
  </si>
  <si>
    <t>www.godaylight.com</t>
  </si>
  <si>
    <t>498439-36</t>
  </si>
  <si>
    <t>Nue.io</t>
  </si>
  <si>
    <t>Developer of a revenue management platform designed to improve sell with innovative pricing. The company's platform offers an omnichannel software with a revenue lifecycle that delivers accurate analytics to finance teams in a single business cycle, enabling companies to accelerate sales and streamline sales processes.</t>
  </si>
  <si>
    <t>Bluefish Capital, Bluefish Ventures, Information Venture Partners, Inovia Capital, Next World Capital, NJP Ventures, Operator Stack, Penny Jar Capital, SV Tech Ventures, Venture Partners</t>
  </si>
  <si>
    <t>www.nue.io</t>
  </si>
  <si>
    <t>458610-49</t>
  </si>
  <si>
    <t>Pliant</t>
  </si>
  <si>
    <t>Developer of a business payment optimization platform designed for financial control and efficiency. The company's platform streamlines payment processes by offering customizable credit card management, automated transaction tracking, and real-time spending control, enabling businesses to enhance financial oversight, reduce administrative workload, and optimize cash flow while maintaining compliance with industry security standards.</t>
  </si>
  <si>
    <t>ALSTIN Capital, another.vc, CG Partners, Embedded / Capital, eNugget Ventures, Fadelia Invest, Felix Jahn Beteiligungen, FH Ventures (Planegg), Fin Capital, First Momentum Ventures, Grow London, Illuminate Financial, KI Capital, Lambda Alpha, Marcus Mosen, MGV, Molten Ventures, Motive Partners, MS&amp;AD Ventures, Neosfer, PayPal Ventures, PostFinance Ventures, Raffael Johnen, Ramin Niroumand, Saber (Family Office), Saber Consulting, SBI Investment, seed + speed Ventures, Speedinvest, The House of Finance and Tech Berlin, TX Ventures</t>
  </si>
  <si>
    <t>www.getpliant.com</t>
  </si>
  <si>
    <t>495035-29</t>
  </si>
  <si>
    <t>Atlar</t>
  </si>
  <si>
    <t>Developer of a modern treasury platform designed for efficient cash management and payment processing. The company's platform consolidates bank and ERP data, provides real-time financial visibility, automates payment workflows, and supports multiple currencies and payment schemes, enabling finance teams to optimize cash allocation, improve liquidity planning, and enhance overall financial decision-making.</t>
  </si>
  <si>
    <t>Cocoa Ventures, David Nothacker, Fabian Wesemann, Ferdinand Meyer, Index Ventures, Jan Kemper, La Famiglia, Mikko Salovaara, The Delta, Thijn Lamers</t>
  </si>
  <si>
    <t>www.atlar.com</t>
  </si>
  <si>
    <t>539897-68</t>
  </si>
  <si>
    <t>Tetrix</t>
  </si>
  <si>
    <t>Developer of an AI-driven insights digital platform designed for optimising alternative investment management. The company's platform automates data collection and analysis, providing AI-driven insights and ensuring data accuracy while significantly reducing report processing time, enabling investment providers to make informed decisions with greater efficiency and confidence in their financial strategies.</t>
  </si>
  <si>
    <t>BlackRock, Cooley, Happen Bank, Innovation Endeavors Management Company, Plaid, SoftBank Group, Stanford University, StartX (US), The 23 Fund, White Star Capital</t>
  </si>
  <si>
    <t>www.tetrix.co</t>
  </si>
  <si>
    <t>435360-88</t>
  </si>
  <si>
    <t>Zingeroo</t>
  </si>
  <si>
    <t>FinTech, Gaming</t>
  </si>
  <si>
    <t>Developer of an online trading platform designed to make investing competitive, social, and educational. The company's platform offers to learn about trading options in a social, fun, and interactive way, enabling investors to build their portfolios and measure performance against the competition.</t>
  </si>
  <si>
    <t>Anthemis, Ed Baker, Founders First, Gutbrain Ventures, Howard Lindzon, Joint Effects, Paul English, Predictive Venture Partners, Rackhouse Venture Capital, Raiz Capital, Rsquared, Social Leverage, SquareOne Capital, Streamlined Ventures Management, TBD Angels, Ullas Naik</t>
  </si>
  <si>
    <t>www.zingeroo.com</t>
  </si>
  <si>
    <t>327317-77</t>
  </si>
  <si>
    <t>First AML</t>
  </si>
  <si>
    <t>Developer of a regulatory platform intended for streamlining compliance with new anti-money laundering laws. The company's platform consolidates data sources, onboarding, case management, verifications, entity structure development, and workflow management in one easy-to-use location, enabling clients to have a structured and integrated onboarding experience and reduce complexity and administrative burden.</t>
  </si>
  <si>
    <t>Bedrock (Financial Services), Blackbird Ventures, Christopher Heaslip, Creative HQ, Eden Ventures (New Zealand), Eliot Crowther, Flux Accelerator, Foggy Valley Aotearoa, Headline, Icehouse Ventures</t>
  </si>
  <si>
    <t>www.firstaml.com</t>
  </si>
  <si>
    <t>707958-10</t>
  </si>
  <si>
    <t>Oolka</t>
  </si>
  <si>
    <t>Developer of an AI-powered credit management platform designed to democratise access to credit and enable long-term financial wellness. The company offers agentic AI tools that guide individuals to improve their credit health through personalized, actionable steps, enabling underserved and aspirational consumers in India to build stronger credit profiles and achieve financial inclusion.</t>
  </si>
  <si>
    <t>8i Ventures, Abhishek Goyal, Accel, Anil Goteti, Arnav Kumar, IIMA Ventures, Indian Silicon Valley, Lightspeed India Partners, Madhusudhanan R, Nitin Gupta, Rajesh Yabaji, Ramakant Sharma, Sanjeev Barnwal, Vidit Aatrey, Z47</t>
  </si>
  <si>
    <t>www.oolka.in</t>
  </si>
  <si>
    <t>498412-81</t>
  </si>
  <si>
    <t>Gynger</t>
  </si>
  <si>
    <t>Developer a sales acceleration platform intended to close deals by adding capital to the stack. The company's platform specializes in offering custom financing to pre-qualified leads and underwrites, approves, and issues each loan with EMI options, and combines software management and financial services, enabling businesses to improve sales and manage credit by improving the cash flow of financing.</t>
  </si>
  <si>
    <t>BAG Ventures, Ben Lang, Deciens Capital, Gradient Ventures, m]x[v Capital, PayPal Ventures, Quiet Capital, Upper90 Capital Management, Velvet Sea Ventures, Vine Ventures (New York)</t>
  </si>
  <si>
    <t>www.gynger.io</t>
  </si>
  <si>
    <t>91283-41</t>
  </si>
  <si>
    <t>Ignition</t>
  </si>
  <si>
    <t>Developer of a proposal management software designed to automate the elements of the accounting process. The company's software automates the creation and acceptance of legal engagement documents to offer real-time quotes by permitting customers to accept recurring and one-off payments directly on the proposal, enabling clients to automatically raise and reconcile the invoice, as well as send that invoice to the customers every single month.</t>
  </si>
  <si>
    <t>Adrian Di Marco, Advance Innovation Program, Aprill Allen, Black Sheep Capital, Courtney Going, Craig Winkler, Equity Venture Partners, JMI Equity, Matt Allen, Microequities Asset Management, Nicholas Muldoon, Real Ventures, Right Click Capital, Ron Lesh, Saad Shahzad, Shane Macfarlane, Software Holdings, Tiger Global Management, Trineo Inc</t>
  </si>
  <si>
    <t>www.ignitionapp.com</t>
  </si>
  <si>
    <t>459403-75</t>
  </si>
  <si>
    <t>Wint Wealth</t>
  </si>
  <si>
    <t>Developer of a digital investment platform designed to trade in high-yield asset-backed securitized debt instruments. The company's platform allows investment in assets that lie in between low-risk and low-return options like fixed deposits and debt mutual funds, enabling high net-worth and retail investors to earn higher returns than fixed deposits with asset-backed fixed income products.</t>
  </si>
  <si>
    <t>3one4 Capital, Aakrit Vaish, Abhinav Jain, Abhiraj Rajadhyaksha, Abhishek Kakkar, Adith Podhar, Akash Gehani, Akshat Shrivastava, Amit Choudhary, Ankur Warikoo, Anugrah Shrivastava, Arkam Ventures, Astir Ventures, Better Capital (California), Blume Venture Advisors, Deepak Abbot, Devashish Chakravarty, Eight Roads, First Cheque, Force Ventures (India), Ganesh Rao, Gemba Capital, Govind Rajan, Groww, Invest Aaj for Kal, James Beshara, Kalpak Chhajed, Kunal Shah, Kushal Bhagia, Lalit Kehsre, Lok Capital, Mandeep Gill, Mukul Malik, Nischal Shetty, Nithin Kamath, Nitin Gupta, Nitin Misra, Niyati Mavinakurve, Pranjal Kamra, Praveen Jadhav, Rachna Ranade, Rainmatter Capital, Raj Shamani, Ramakant Sharma, Rishabh Jain, Rohan Gupta, Sanat Rao, Sanjay Ramkrishan, Sayali Karanjkar, Sharique Samsudheen, Shashank Udupu, Sumit Maniyar, Tanmay Bhatt, Think School, Unitary Foundation, Unnikrishnan I, Vaibhav Domkundwar, Vaibhav Sisinty, Vasanth Kamath, Vertex Ventures Southeast Asia &amp; India, Vipul Goyal</t>
  </si>
  <si>
    <t>www.wintwealth.com</t>
  </si>
  <si>
    <t>491851-90</t>
  </si>
  <si>
    <t>OatFi</t>
  </si>
  <si>
    <t>Developer of an embedded working capital platform designed for business payments. The company offers a feature platform and a single set of application programming interfaces that power approvals, settlements, and reconciliation for accounts payable and accounts receivable workflows, enabling payment platforms to optimize working capital and capture non-card spend for their business clients.</t>
  </si>
  <si>
    <t>Cambrian Fintech, Cross River Digital Ventures, Dash Fund, Evolution (Venture Capital), Fin Capital, Lorimer Ventures, Picus Capital, Portage, QED Investors, Sagard, White Star Capital, Ziv Paz</t>
  </si>
  <si>
    <t>oatfi.com</t>
  </si>
  <si>
    <t>571548-79</t>
  </si>
  <si>
    <t>Lettuce</t>
  </si>
  <si>
    <t>Developer of an automated tax and accounting platform designed for solopreneurs, contractors, and freelancers. The company's tool features invoicing, online payments, expense, inventory, cash flow, and tax management, among others, enabling startups and small business owners to grow their businesses and manage their finances efficiently.</t>
  </si>
  <si>
    <t>Honey Stone VC, Mercer Ventures (New York), Zeev Ventures</t>
  </si>
  <si>
    <t>www.lettuce.co</t>
  </si>
  <si>
    <t>530965-27</t>
  </si>
  <si>
    <t>Lumber</t>
  </si>
  <si>
    <t>Artificial Intelligence &amp; Machine Learning, Construction Technology, FinTech</t>
  </si>
  <si>
    <t>Developer of a construction workforce management platform intended to automate workflow in the construction technology and finance sector. The company's platform allows for payroll, time tracking, job costing, and project management with artificial intelligence and automation, accounts payable, compliance, and onboarding simply, enabling contractors with more control over their firm and easy finance management.</t>
  </si>
  <si>
    <t>8VC, Arc180, Atul Khanzode, Carbide Ventures, Converge Venture Partners, Eric Brown, Escape Velocity (New York), FirsthandVC, Foundation Capital, John Case, Sure Ventures, Thiago Costa, Tishman Speyer Properties</t>
  </si>
  <si>
    <t>www.lumberfi.com</t>
  </si>
  <si>
    <t>495772-30</t>
  </si>
  <si>
    <t>Meadow (Financial Software)</t>
  </si>
  <si>
    <t>Developer of a financial engagement platform intended to streamline the entire student billing experience. The company's platform offers user-friendly tools that use personalization and modern consumer design to improve the financial experience for students and institutions, enabling higher-ed institutions to recover unpaid tuition balances and increase retention without punitive action, extra IT complexity, or additional burden on resource-constrained teams.</t>
  </si>
  <si>
    <t>Abhi Ranadive, AlleyCorp, Giant Ventures, GoGlobal Ventures, Koda Wang, Matrix, Richard Serna, Susa Ventures, The Arcview Group, Thomas Blomfield, Treble (San Francisco)</t>
  </si>
  <si>
    <t>www.meadowfi.com</t>
  </si>
  <si>
    <t>265155-40</t>
  </si>
  <si>
    <t>Skeps</t>
  </si>
  <si>
    <t>Developer of a blockchain-based marketplace designed to offer financing options to businesses. The company offers point-of-sale financing where consumers expect payment flexibility, and they will seek out the merchants that offer it, enabling clients to grow their business and keep pace in a fast-moving digital world.</t>
  </si>
  <si>
    <t>Accel, Bertelsmann India Investments, EuraTechnologies, QuinStreet, Spark Growth Ventures, U.S. Bancorp</t>
  </si>
  <si>
    <t>www.skeps.com</t>
  </si>
  <si>
    <t>118655-20</t>
  </si>
  <si>
    <t>Tesorio</t>
  </si>
  <si>
    <t>Developer of cash flow management software designed to predict a company's overall financial health. The company's software leverages machine learning to predict cash flows for proactive decision-making, enabling suppliers, vendors, and freelancers to get a smooth payment processing service.</t>
  </si>
  <si>
    <t>Alberto Gross, Anne Wojcicki, BAMCAP, Belltower Fund Group, Blank Ventures, Carao Ventures, David Eisenberg, Eudaimonia Capital, Fathom Capital, First Round Capital, Floodgate, Fuel Capital, FundersClub, G2C Ventures, Greg Henry, Haystack Management Company, Hillsven, Jeffrey Epstein, Joel Englander, Kelli Lampkin, Kube VC, Madrona Venture Group, Mango Capital, NKM Capital, Robert Hull, Ron Gill, Semil Shah, Slow Ventures, Startup PHL, Stonewater Ventures, Susan Wojcicki, Upshift Capital, Venture Initiation Program, Workday Ventures, Xplorer Capital, Y Combinator</t>
  </si>
  <si>
    <t>www.tesorio.com</t>
  </si>
  <si>
    <t>51074-38</t>
  </si>
  <si>
    <t>Union (Financial Software)</t>
  </si>
  <si>
    <t>FinTech, Mobile, Mobile Commerce, Restaurant Technology</t>
  </si>
  <si>
    <t>Developer of a mobile payment application designed to make payments at participating bars and restaurants. The company's application anonymously tracks customer baskets and behavior, creating comprehensive consumer databases that offer actionable insights into their customer's spending habits, enabling venue staff to process and close checks, increasing the table turnover and overall gratuity and ultimately bottom-line revenue.</t>
  </si>
  <si>
    <t>Andrew Busey, Angel Syndicates Central, Anthony Catalfano, Aquila Capital Partners, Beresford Ventures, Chaos Ventures (New York), Clerisy (USA), Corsa Ventures, Fiserv, Gaingels, Heartland Payment Systems, ID Fund, Kevin McKeand, Morgan Creek Capital Management, Raven Venture Partners, Residence Ventures, ROTH Capital Partners, Trellis Partners, Trog Hawley Capital, Union Grove Venture Partners, Wellington Management</t>
  </si>
  <si>
    <t>www.getunion.com</t>
  </si>
  <si>
    <t>292701-52</t>
  </si>
  <si>
    <t>Libeo</t>
  </si>
  <si>
    <t>Developer of a payments platform designed to centralize, monitor, and pay supplier invoices for simplified cash management. The company's platform offers invoice centralization, invoice history, and enhanced cash management services alongside prepared cash reports, enabling managers, financial directors, chartered accountants, and businesses to automate supplier payment management in a single click.</t>
  </si>
  <si>
    <t>10X Capital, Bpifrance, Breega, DST Global, EDHEC Entrepreneurs, Finance Innovation, Gaingels, Horizon 2020, Phoenix Court, platform58, Roosh Ventures, Serena, The Goldman Sachs Group, Wilco(Paris)</t>
  </si>
  <si>
    <t>www.libeo.io</t>
  </si>
  <si>
    <t>434616-76</t>
  </si>
  <si>
    <t>WealthPark</t>
  </si>
  <si>
    <t>Developer of a real estate management platform designed to democratize alternative investment for everyone. The company's platform helps to manage properties in all major cities of Japan and England, manage financials and store digitized documents, offers a real estate portfolio tracker, and is AI-powered
property valuation, enabling clients to gain access to capital sources and unique investment opportunities.</t>
  </si>
  <si>
    <t>Aozora Bank, Asahi Kasei Corporate Venture Capital, Asahi Kasei Homes, Chuo-Nittochi Group, DG Ventures, Ignition Point, J.Front Retailing, Japan Finance Corporation, Japan Post Capital, JFR MIRAI CREATORS Fund, JIC Venture Growth Investments, Kochi House, Kosugi Real Estate Holdings, Mark Everard, MCP Capital, Miyoshi Real Estate, Mizuho Capital, MJHome, Orchestra Investment, Sanwa Estate, SBI Investment, Seikatsu Produce, Senshu Ikeda Capital, Takuto, Tokio Marine Asset Management, Tokyu Fudosan Holdings, Varun Bery, Watanabe Juken, Water Cheung</t>
  </si>
  <si>
    <t>wealth-park.com</t>
  </si>
  <si>
    <t>126349-66</t>
  </si>
  <si>
    <t>Spriggy</t>
  </si>
  <si>
    <t>EdTech, FinTech, Mobile, SaaS</t>
  </si>
  <si>
    <t>Developer of a pocket money management platform designed to help parents and children manage their money together. The company's platform is a cloud-based, e-learning platform that lets parents allocate money to their child's prepaid debit card, encourage saving through savings goals, and track their expenditures, enabling parents to allow their children to have financial independence safely.</t>
  </si>
  <si>
    <t>Global Investors, Grok Ventures, H2 Ventures, KPMG mLabs, Lee Hatton, Marbruck Investments, Michael Cannon-Brookes, National Australia Bank, National Australian Bank Ventures, Perennial Partners (Funds and Trusts), Perle Ventures, Sandhurst Trustees, Saniel Ventures, Uday Sareen, Vaughn Richtor, Wunala Capital, YMF Investments</t>
  </si>
  <si>
    <t>www.spriggy.com.au</t>
  </si>
  <si>
    <t>267111-55</t>
  </si>
  <si>
    <t>EnKash</t>
  </si>
  <si>
    <t>Developer of a corporate spend management platform designed to connect the corporate sector, vendors, and credit providers. The company's platform offers seamless integrations, processing, settlement, and reconciliation of corporate credit cards and reduces business spending challenges, enabling users to have real-time control, visibility, and transparency in their business spending within a complete deployment environment.</t>
  </si>
  <si>
    <t>Ascent Capital, Axilor Ventures, Baring Private Equity Partners India, Mayfield Fund, White Venture Capital</t>
  </si>
  <si>
    <t>www.enkash.com</t>
  </si>
  <si>
    <t>339866-56</t>
  </si>
  <si>
    <t>MQube</t>
  </si>
  <si>
    <t>Developer of digital financial software designed to assist in the mortgage process. The company's platform allows for verification of the accuracy of customer data and to retrieval of data points relevant to an application as per the documents supplied by mortgage brokers, enabling customers to easily get mortgages and lenders to make faster lending decisions and deliver better customer outcomes.</t>
  </si>
  <si>
    <t>AV8 Ventures, Barclays, Future Fund (UK), Globespan Capital Partners, IQ Capital Partners, JamJar Investments, M&amp;G</t>
  </si>
  <si>
    <t>www.mqube.com</t>
  </si>
  <si>
    <t>436757-05</t>
  </si>
  <si>
    <t>indiagold</t>
  </si>
  <si>
    <t>Provider of gold-backed financial services intended for digitizing credit and investment through gold. The company provides a full suite of services, including instant gold loans with doorstep pick-up and delivery, and the ability to buy, sell, and invest, allowing customers in India to access convenient and secure financial products.</t>
  </si>
  <si>
    <t>3one4 Capital, Aarii Ventures, Alpha Wave Global, Amrish Rau, Ashneer Grover, Better Tomorrow Ventures, Bhavik Koladiya, Blume Venture Advisors, Kunal Bahl, Kunal Shah, Leo Capital, Leo Capital Holdings, Manish Vij, Miten Sampat, PayU, Prosus, Rainmatter Capital, Rajul Garg, Ramakant Sharma, Rohit Bansal, Sandeep Tandon, TDV Partners, Titan Capital</t>
  </si>
  <si>
    <t>www.indiagold.co</t>
  </si>
  <si>
    <t>459086-41</t>
  </si>
  <si>
    <t>Two.</t>
  </si>
  <si>
    <t>Developer of a B2B payments infrastructure designed to streamline credit purchasing and fraud prevention. The company offers AI-powered credit and fraud engines, automated order-to-cash workflows, and omnichannel net terms, enabling online merchants, in-store retailers, and direct sellers to increase sales, improve acceptance rates, and reduce financial risk.</t>
  </si>
  <si>
    <t>AirAngels, Alliance Venture Capital, Alumni Ventures, Antler, Arkwright X, Bring Ventures, Day One Ventures, Endeavor Greece, IdeKapital, Investinor, Mastercard Lighthouse, nFront Ventures, Nordstar Partners, Phoenix Court, Posten Bring, Sequoia Capital, Shine Capital, Sondo Capital, Visionaries Club, Zinal Growth</t>
  </si>
  <si>
    <t>www.two.inc</t>
  </si>
  <si>
    <t>342097-39</t>
  </si>
  <si>
    <t>Pngme</t>
  </si>
  <si>
    <t>Developer of a financial data platform designed to provide fast and cost-effective data processing. The company's platform offers tools for aggregating financial data from multiple sources, automated generation of predictive features, and machine learning-ready insights, enabling banks, fintech companies, and lenders in emerging markets to improve credit assessment, understand customer financial behavior, and expand access to financial products.</t>
  </si>
  <si>
    <t>Aruwa Capital Management, Beresford Ventures, Calanthia Mei, Consensys Mesh, Creative Destruction Lab, Dan Khan, DD Venture Capital, EchoVC Partners, Future Africa, Kyle Ellicott, Lateral Frontiers VC, Octopus Ventures, Pourdad Capital Partners, Radical Ventures, Rally Cap VC, Raptor Group, Ray Muzyka, Richard Talbot, Rising Tide Africa, The51 Ventures, Tomahawk.VC, Two Small Fish Ventures, Unbounded Capital, University of Toronto, University of Toronto Entrepreneurship, Unshackled Ventures, Village Capital, William Tunstall-Pedoe</t>
  </si>
  <si>
    <t>www.pngme.com</t>
  </si>
  <si>
    <t>534533-05</t>
  </si>
  <si>
    <t>Concourse Technologies</t>
  </si>
  <si>
    <t>Developer of an artificial intelligence-powered financial platform designed to offer treasury management services and automate manual treasury workflows. The company's platform offers cross-border money movement facilities and provides visibility, control, and reporting to manage liquidity and optimize cash flows, enabling clients to be better prepared by uncovering insights behind financial data and highlighting trends.</t>
  </si>
  <si>
    <t>Andreessen Horowitz, BoxGroup, Cambrian Fintech, Clocktower Ventures, CRV, Fog Ventures (San Francisco), Picus Capital, Precursor Ventures, Ritual Capital, Sequoia Capital, Standard Capital (California), SV Angel, Y Combinator</t>
  </si>
  <si>
    <t>www.concourse.ai</t>
  </si>
  <si>
    <t>466509-25</t>
  </si>
  <si>
    <t>Kinectify</t>
  </si>
  <si>
    <t>Artificial Intelligence &amp; Machine Learning, Cybersecurity, FinTech, Gaming, SaaS, TMT</t>
  </si>
  <si>
    <t>Developer of an AML risk management technology designed to serve gaming operators. The company's platform integrates all of the organization's data into a single view and workflow, empowering gaming companies to manage risk across their enterprise, and even provides outsourced services for the day-to-day administration of compliance programs, enabling regulatory compliance teams to ensure the protocols are maintained in a simplified way.</t>
  </si>
  <si>
    <t>Acies Investments, Aristocrat Leisure, Eastern Band of Cherokee Indians, Eilers &amp; Krejcik Gaming, Lauren Lemmer, Mark Frissora, OpenBet Technologies, Quinton Singleton, Seth Schorr, Seth Young, Stalwart Ventures</t>
  </si>
  <si>
    <t>www.kinectify.com</t>
  </si>
  <si>
    <t>539454-43</t>
  </si>
  <si>
    <t>Pillar (New York)</t>
  </si>
  <si>
    <t>Developer of a risk management platform designed to protect businesses from macroeconomic risks related to currency and commodity exposures. The company's platform utilizes relevant business information to create tailored hedging strategies that limit risks and safeguard businesses from financial losses, helping companies protect against unforeseen cost increases, increase revenue opportunities, and stabilize their margins.</t>
  </si>
  <si>
    <t>Analog Ventures, Andreessen Horowitz, Crucible Capital, Dara Khosrowshahi, Expansion Venture Capital, Gallery Ventures, Graph Ventures, Neo (Consulting Services (B2B)), NewBuild Venture Capital</t>
  </si>
  <si>
    <t>www.pillarhq.com</t>
  </si>
  <si>
    <t>115604-83</t>
  </si>
  <si>
    <t>Yomoni</t>
  </si>
  <si>
    <t>Developer of a fee-based automated portfolio management platform designed to assist in the wealth management of investors. The company's platform automatically manages an investor's portfolio by buying and selling stocks, bonds, and other instruments on the basis of their risk appetite and preferences, enabling investors to automate investment analysis and decision-making to save time and money.</t>
  </si>
  <si>
    <t>Altaroc Partners, Credit Mutuel Arkea, Iéna Venture, Weber Investissements</t>
  </si>
  <si>
    <t>www.yomoni.fr</t>
  </si>
  <si>
    <t>54071-65</t>
  </si>
  <si>
    <t>Sequent (Financial Software)</t>
  </si>
  <si>
    <t>Developer of an industrial manufacturing automation platform designed to improve production efficiency through process control and factory automation. The company's platform offers real-time process monitoring, machine control, production data analysis, predictive process optimization, and manufacturing intelligence capabilities, enabling manufacturers and industrial operators to automate production workflows, reduce process variation, and improve operational performance across factory environments.</t>
  </si>
  <si>
    <t>Chardon Group, Ivan Nikkhoo, TISI ( IT Consulting and Outsourcing)</t>
  </si>
  <si>
    <t>www.sequent.com</t>
  </si>
  <si>
    <t>589596-94</t>
  </si>
  <si>
    <t>Moment (Cape Town)</t>
  </si>
  <si>
    <t>Developer of a payment platform designed to simplify cross-border transactions across the continent. The company offers payment processing, billing management, recurring payment collection, voucher management, transaction monitoring, reporting tools, and application programming interface integration capabilities, enabling financial institutions, software providers, and utility companies to automate payment operations, improve transaction visibility, and manage collections.</t>
  </si>
  <si>
    <t>AlphaCode (South Africa), Canal+ (Broadcasting, Radio and Television), Entrée Capital, General Catalyst, Greycroft, Helios Investment Partners, MultiChoice Group, Rapyd Financial Network, The Raba Partnership</t>
  </si>
  <si>
    <t>www.momentco.net</t>
  </si>
  <si>
    <t>168010-21</t>
  </si>
  <si>
    <t>WealthKernel</t>
  </si>
  <si>
    <t>Operator of a wealth management platform intended to offer compliance and distribution as a service. The company's platform includes investment management and infrastructure support tools that help build adviser support, ranging from risk profiling to portfolio management, enabling institutions to distribute investment products digitally, develop their wealth management services, and expand beyond the traditional net worth market.</t>
  </si>
  <si>
    <t>www.wealthkernel.com</t>
  </si>
  <si>
    <t>465130-72</t>
  </si>
  <si>
    <t>HitPay</t>
  </si>
  <si>
    <t>Developer of a payment platform designed to unify online and offline transactions. The company's platform unifies e-commerce, point of sale, and business-to-business payments into a single dashboard, enabling SMEs and direct-to-customer sellers to get a mobile point of sale platform to make payments simpler.</t>
  </si>
  <si>
    <t>big_bets, Global Founders Capital, HOF Capital, PayPal Holdings, Tiger Global Management, Y Combinator</t>
  </si>
  <si>
    <t>www.hitpayapp.com</t>
  </si>
  <si>
    <t>517385-08</t>
  </si>
  <si>
    <t>EbisBank</t>
  </si>
  <si>
    <t>Developer of a digital genomic identity system designed for lifelong, sovereign identity management. The company's platform uses a decentralized architecture combining biometric, genomic, and blockchain-anchored components, with zero-knowledge proofs, patented genomic anchoring, and no reliance on third-party hosting, enabling individuals, enterprises, and governments to maintain full control over personal identity data while supporting multi-sector trust and interoperability.</t>
  </si>
  <si>
    <t>AI Venture Labs</t>
  </si>
  <si>
    <t>www.ebisbank.com</t>
  </si>
  <si>
    <t>225785-35</t>
  </si>
  <si>
    <t>Eduvanz Financing</t>
  </si>
  <si>
    <t>Working Capital</t>
  </si>
  <si>
    <t>Developer of an education loan platform designed for students seeking financial assistance. The company's platform collaborates with various educational institutes to offer unsecured loan products that can be availed through a quick and easy online process, providing pupils and academic aspirants with transparent and secure financial assistance to make education universally accessible.</t>
  </si>
  <si>
    <t>Aeroflex Enterprises, Capria Ventures, Juvo Ventures, Michael &amp; Susan Dell Foundation, Mumbai FinTech Hub, Orchard Ventures, Peak XV Partners, Pivot Ventures, QED Innovation Labs, Reddy Holdings (Hyderabad), Rethink Capital Partners, Vistra ITCL, Wharton India Economic Forum</t>
  </si>
  <si>
    <t>www.eduvanz.com</t>
  </si>
  <si>
    <t>533205-46</t>
  </si>
  <si>
    <t>TeamSec</t>
  </si>
  <si>
    <t>Developer of a securitization platform designed to enable banks, investment banks, and brokerage houses to navigate the world of structured finance. The company's platform offers services including assessing the viability and profitability of securitization structures, asset backing, and cloud hosting, enabling institutions to improve liquidity, mitigate risks, and drive sustainable growth.</t>
  </si>
  <si>
    <t>Deniz Ventures, Rasmal Ventures, Turcorn 100, YTU Startup House</t>
  </si>
  <si>
    <t>www.teamsecfin.com</t>
  </si>
  <si>
    <t>265974-94</t>
  </si>
  <si>
    <t>Freemud</t>
  </si>
  <si>
    <t>FinTech, FoodTech, Mobile Commerce, SaaS</t>
  </si>
  <si>
    <t>Provider of digital payment solutions designed for retails, restaurants and fast-moving consumer goods industry. The company operates a mobile payment platform and provides customized solutions for enterprises with different needs, allowing stores to quickly process payments, updates deals, connect to third-party takeout services and etc.</t>
  </si>
  <si>
    <t>China Soft Investment Group, Coco Capital, Furong Capital, GSR Ventures China, IDG Capital, Innoangel Fund, Prometheus Capital (Shanghai), Red Star Macalline, Suning Company, Tencent Investment, ZWC Partners</t>
  </si>
  <si>
    <t>www.freemud.com</t>
  </si>
  <si>
    <t>458203-06</t>
  </si>
  <si>
    <t>RapiPay Fintech</t>
  </si>
  <si>
    <t>Provider of retail financial services intended to help customers manage their money. The company's services include micro ATM, Aadhaar Enabled Payment System (AEPS), money transfer, insurance, utility bill payments, and other digital banking services, enabling clients to have comprehensive, secure, and assisted payment alternatives.</t>
  </si>
  <si>
    <t>ACME Solar Holdings, Dabur, DLF Family Office, Naresh Trehan, Puneet Dalmia, Rahul Gautam, Rohan Kumar, Sheela Foam, Varun Jaipuria</t>
  </si>
  <si>
    <t>in.rapipay.com</t>
  </si>
  <si>
    <t>459686-44</t>
  </si>
  <si>
    <t>Autopilot</t>
  </si>
  <si>
    <t>Developer of a social stock market platform designed to offer sharing and community collaboration. The company's platform shows the gains and investments without sharing personal information or balances and also follows friends, family and experts to learn about investments to strengthen intellectual capital amongst traders, enabling users to see their friends' investment choices, watch trades and understand the market appetite through transparency.</t>
  </si>
  <si>
    <t>Balaji Ventures, Blanck Capital, Craft Ventures, Evolution (Venture Capital), Incline Venture Capital, Jumpstart Ventures, Litquidity Capital, Nomad Ventures, Pari Passu Venture Partners, Path Ventures, Rinse and Repeat Atlantic Investment Group, Riverside Ventures, Toba Capital, TRNC Ventures, TTV Capital</t>
  </si>
  <si>
    <t>www.joinautopilot.com</t>
  </si>
  <si>
    <t>494886-61</t>
  </si>
  <si>
    <t>Backflip (Other Financial Services )</t>
  </si>
  <si>
    <t>Developer of property tech software intended to grow real estate entrepreneurs and real estate investment. The company's software helps real estate entrepreneurs improve local communities by rejuvenating housing, enabling investors to make investing in real estate more accessible and fun.</t>
  </si>
  <si>
    <t>Antler, Crow Holdings Capital, ECMC Group, Element Ventures (Utah), FirstMark Capital, Great Oaks Venture Capital, Gregg Freishtat, Gregory Waldorf, LiveOak Ventures, Revel Partners, Rob Barber, Vertical Venture Partners</t>
  </si>
  <si>
    <t>www.backflip.com</t>
  </si>
  <si>
    <t>280062-91</t>
  </si>
  <si>
    <t>Blackthorn.io</t>
  </si>
  <si>
    <t>Developer of event management and payment processing applications designed to manage everyday organization processes. The company's platform offers attendee lists, session lists, check-ins, social walls and direct messaging as well as payment processing functions, enabling businesses to execute events with ease and have effortless payment processes.</t>
  </si>
  <si>
    <t>LAUNCH Fund, Level Equity, RF Investment Partners</t>
  </si>
  <si>
    <t>www.blackthorn.io</t>
  </si>
  <si>
    <t>150600-25</t>
  </si>
  <si>
    <t>BondLink</t>
  </si>
  <si>
    <t>Developer of a debt management platform designed to connect municipal bond issuers with investors. The company's platform helps to reach and engage a broad pool of investors with IR websites and investor communication tools, streamline deal preparation and produce and distribute virtual roadshows and prospectuses, enabling clients to lower their costs.</t>
  </si>
  <si>
    <t>Accomplice VC, Coatue Management, FinTech Sandbox, Franklin Resources, Franklin Venture Partners, Intercontinental Exchange, Thomas Mahony</t>
  </si>
  <si>
    <t>www.bondlink.com</t>
  </si>
  <si>
    <t>588809-89</t>
  </si>
  <si>
    <t>Brightwave</t>
  </si>
  <si>
    <t>Developer of an artificial intelligence research platform designed to automate investment research and due diligence. The company specializes in processing large volumes of financial documents and data to generate structured insights and reports, enabling clients to uncover opportunities, assess risks, and make data-driven investment decisions.</t>
  </si>
  <si>
    <t>Decibel Partners, Maryland Energy Innovation Accelerator, Moonfire, OMERS Ventures, Point72 Ventures</t>
  </si>
  <si>
    <t>www.brightwave.io</t>
  </si>
  <si>
    <t>515855-89</t>
  </si>
  <si>
    <t>Carry</t>
  </si>
  <si>
    <t>Developer of a tax-advantaged investment platform designed to assist business owners and high-earning professionals in optimizing their financial strategies. The company's platform offers features such as alternative investment options, automated portfolio management, and built-in financial planning services, enabling investors to enhance their wealth management while minimizing tax liabilities and maximizing investment opportunities.</t>
  </si>
  <si>
    <t>Hustle Fund</t>
  </si>
  <si>
    <t>www.carry.com</t>
  </si>
  <si>
    <t>482643-55</t>
  </si>
  <si>
    <t>Glide (Financial Software)</t>
  </si>
  <si>
    <t>Developer of a digital banking platform designed to modernize member experiences for financial institutions. The company offers digital account interfaces, personalized member engagement features, and streamlined banking workflows, enabling financial institutions to enhance customer experiences and improve digital banking operations.</t>
  </si>
  <si>
    <t>186 Ventures, Acrew Capital, Arash Ferdowsi, Canonical (California), Casey Neistat, Claire Johnson, Jason Derulo, NextView Ventures, Niche Capital (San Francisco), NOMO Ventures, Pathlight Ventures, Paul Williamson, Pear (California), SaxeCap, Shine Capital, Sunflower Fund (Miami), Sunset Ventures (Los Angeles), Wedbush Ventures</t>
  </si>
  <si>
    <t>www.withglide.com</t>
  </si>
  <si>
    <t>186611-77</t>
  </si>
  <si>
    <t>Grid</t>
  </si>
  <si>
    <t>Developer of a financial application designed to provide online tax filing and advisory services. The company's application collects financial information from the clients and pairs each client with an in-house advisor and their team, enabling taxpayers to maximize deductions, prepare the annual return, and optimize finances at a flat fee.</t>
  </si>
  <si>
    <t>BoxGroup, Defy Partners Management, Fika Ventures, Goodwater Capital, Keith Coleman, Kindred Ventures, Launchpad Capital, Lux Capital, Maveron, Niklas Zennström, Obvious Ventures, Social Capital, Spring Ventures (USA), SVB Capital, Tectonic Ventures, Unusual Ventures</t>
  </si>
  <si>
    <t>www.getgrid.app</t>
  </si>
  <si>
    <t>179650-99</t>
  </si>
  <si>
    <t>Growers Edge Financial</t>
  </si>
  <si>
    <t>AgTech, FinTech</t>
  </si>
  <si>
    <t>Developer of an agricultural fintech platform designed to manage the financial risks associated with crop production. The company's platform leverages data analytics to facilitate financing for agricultural inputs and actionable insights into market trends, crop performance, and financial management, enabling farmers to safeguard their investments against uncertainties.</t>
  </si>
  <si>
    <t>Argonautic Ventures, Bunge Ventures, CHECK24 Impact, Cibus Capital, Cox Enterprises, Finistere Ventures, GuideOne Insurance, iSelect Fund, Jeffrey Ubben, Lagomaj Capital, Lowercarbon Capital, Otter Creek Investments, S2G Investments, Skyline Global Partners, The Nature Conservancy</t>
  </si>
  <si>
    <t>www.growersedge.com</t>
  </si>
  <si>
    <t>497327-23</t>
  </si>
  <si>
    <t>Keeta</t>
  </si>
  <si>
    <t>Developer of a next-generation blockchain system designed to serve as a common ground for all asset transfers. The company's platform facilitates cross-chain transactions by providing a direct transfer between any assets from any network with native tokenization and built-in compliance protocols, enabling financial institutions and enterprises to connect through a variety of networks and create an interconnected digital ecosystem.</t>
  </si>
  <si>
    <t>Eric Schmidt, Habitat Partners, Steel Perlot</t>
  </si>
  <si>
    <t>www.keeta.com</t>
  </si>
  <si>
    <t>226495-99</t>
  </si>
  <si>
    <t>PayAll</t>
  </si>
  <si>
    <t>Developer of a cross-border payments infrastructure platform designed for banks, financial institutions, and regulated entities. The company offers a multi-currency global shared platform with modular capabilities for counterparty risk management, multi-jurisdictional compliance, real-time surveillance, and intelligent routing to last-mile partners such as bank transfer networks, mobile money operators, and digital wallets, enabling institutions to deliver safe, transparent, low-cost, and immediate cross-border payment services.</t>
  </si>
  <si>
    <t>Andreessen Horowitz, BAT VC, Bridgeport Partners, Christopher Winship, Chuck Bernicker, Kabir Syed, Matthew Gillin, Motivate Venture Capital, MVB Financial, Nish Bhalla, PS27 Ventures, RRE Ventures, Stefan Happ, Sumitomo, Thomson Reuters Ventures, Transcard Payments, Ventura Capital</t>
  </si>
  <si>
    <t>www.payall.com</t>
  </si>
  <si>
    <t>482423-14</t>
  </si>
  <si>
    <t>Pomelo (Financial Services)</t>
  </si>
  <si>
    <t>Operator of a money transfer platform intended to make it easy to send money and stay up-to-date with family spending. The company's platform allows building credit while sending money to families overseas without any fees and also offers a card that helps deposit funds they would normally remit and be issued a secured credit line, enabling users to build their credit line and send money to their loved ones as per their convenience.</t>
  </si>
  <si>
    <t>www.pomelo.com</t>
  </si>
  <si>
    <t>399211-84</t>
  </si>
  <si>
    <t>Wingspan</t>
  </si>
  <si>
    <t>Developer of a cloud-based financial management platform designed to manage income, benefits, and taxes. The company's platform sends invoices with tools that make receiving payments easier, automatically handles bookkeeping and expenses, and finds tax deductions, enabling freelancers to manage money and automate their business.</t>
  </si>
  <si>
    <t>1/0 Capital, 186 Ventures, Andreessen Horowitz, Asymmetric Capital Partners, Awesome People Ventures, Bramalea Partners, Clark Valberg, Company Ventures, Distributed Ventures, Edward Lando, Good Friends, Long Journey Ventures, Ludlow Ventures, Nathaniel Turner, NFP Ventures, Pareto Holdings, Shorewind Capital, Signal Rank, Swift Ventures, Touring Capital, Zachary Weinberg</t>
  </si>
  <si>
    <t>www.wingspan.app</t>
  </si>
  <si>
    <t>223602-40</t>
  </si>
  <si>
    <t>mPokket</t>
  </si>
  <si>
    <t>Developer of a digital lending platform designed to provide instant financial assistance to underserved youth. The company's platform offers personal loans to college students, young working professionals, and self-employed individuals through a mobile application, enabling users to meet temporary cash needs, manage expenses, and access credit conveniently with minimal documentation.</t>
  </si>
  <si>
    <t>Subhkam Ventures</t>
  </si>
  <si>
    <t>www.mpokket.in</t>
  </si>
  <si>
    <t>470051-56</t>
  </si>
  <si>
    <t>Volopa</t>
  </si>
  <si>
    <t>Developer of a business expense management platform designed to change the way businesses manage and send their money. The company's platform lets clients streamline the management process of their business expenses while generating substantial savings, execute secure international payments across several countries in different currencies, and assume full control over their expenses with free prepaid business cards, enabling clients to have access to a one-stop-shop for all of their business expenses and international payments related issues.</t>
  </si>
  <si>
    <t>Quantum Financial Holdings</t>
  </si>
  <si>
    <t>www.volopa.com</t>
  </si>
  <si>
    <t>491718-07</t>
  </si>
  <si>
    <t>GenTwo</t>
  </si>
  <si>
    <t>Operator of a fintech company intended to expand the investment universe by making all assets investable. The company's platform aims at securitizing all bankable and non-bankable assets across an unrestricted public, private, and digital market investment universe for clients connecting the capital with investments, enabling clients to expand the investment universe and become innovators.</t>
  </si>
  <si>
    <t>CV VC, Inacta, Maverix Securities, Point72 Ventures</t>
  </si>
  <si>
    <t>www.gentwo.com</t>
  </si>
  <si>
    <t>539192-08</t>
  </si>
  <si>
    <t>Spiko</t>
  </si>
  <si>
    <t>Developer of open capital markets platforms designed to provide market participants with access to capital markets data and analytics. The company's platform provides a comprehensive suite of tools and resources for market participants, including access to real-time and historical data, market research and analytical tools, enabling the global financial industry to make more informed investment decisions.</t>
  </si>
  <si>
    <t>199 Ventures, Adrien Montfort, Blockwall Management, Bpifrance, Financière Saint James, Frédéric Montagnon, Frst Capital, Harsh Sinha, Index Ventures, Jean-Charles Samuelian-Werve, Jean-Luc Robert, Kima Ventures, Lionel Assant, Nicolas Bacca, Rerail, Snaw Ventures, Valentine Baudouin, White Star Capital, Zachary Abrams</t>
  </si>
  <si>
    <t>www.spiko.io</t>
  </si>
  <si>
    <t>493271-92</t>
  </si>
  <si>
    <t>Optty</t>
  </si>
  <si>
    <t>Developer of a financial software platform designed to integrate the buy now pay later facility. The company's platform ensures seamless integration with developer-friendly API integration for custom e-commerce sites and cartridges for online sites, enabling users to provide secure, hassle-free integration services.</t>
  </si>
  <si>
    <t>Andreessen Horowitz, Asyad Holding Group, Bolgheri, Bracha., CAFE LATTE PTY LTD, CJH Holdings, Cotton On, Debra Wittner Superfund, Gandel Invest, Hunter Investment Group, Innovation Fund, Manderray, OIF Ventures, Petstock, Sequoia Capital, Stafford Asset Management, Start Path, Van Diemens Land Finance, WINTERS PAT</t>
  </si>
  <si>
    <t>www.optty.com</t>
  </si>
  <si>
    <t>307789-48</t>
  </si>
  <si>
    <t>Afilio</t>
  </si>
  <si>
    <t>InsurTech, Mobile</t>
  </si>
  <si>
    <t>Operator of a retirement planning platform intended to create and manage pension and estate documents for a better future. The company's platform focuses on the automated creation and management of pension documents, including registrations of any kind in the Central Pension Register for third parties, as well as offering insurance management services, enabling users to protect themselves and their family members against emergencies and the potential consequences of aging, such as illness.</t>
  </si>
  <si>
    <t>Cherry Ventures, CommerzVentures, HW Capital, JPKE, NAP (Berlin), Pausder Ventures, Speedinvest, UNIQA Ventures</t>
  </si>
  <si>
    <t>www.afilio.de</t>
  </si>
  <si>
    <t>277121-80</t>
  </si>
  <si>
    <t>Gaviti</t>
  </si>
  <si>
    <t>Developer of a cloud-based financial platform designed to empower the receivable collection task of owners in enterprises. The company's platform assists in getting control over outstanding receivables, automates the debtor engagement task and optimizes the process altogether, enabling enterprises to bring down late payments for businesses that have to sell on credit and diminish fail rates due to poor cash flow.</t>
  </si>
  <si>
    <t>Flashpoint Venture Capital Group, Google Accelerator, Leta Capital, Moneta Venture Capital, North First Ventures, SigmaLabs Accelerator, Spinach Angels, Symetryx Corporation, TAU Ventures (Israel), The Chartered Group</t>
  </si>
  <si>
    <t>www.gaviti.com</t>
  </si>
  <si>
    <t>62131-69</t>
  </si>
  <si>
    <t>Waterfield</t>
  </si>
  <si>
    <t>Operator of a multi-family office advisory platform intended to deliver advice on wealth and investment management. The company offers include family office advisory, wealth management, corporate financial planning and alternative asset management services, enabling its clients to make informed decisions while transferring wealth and investing capital in real estate and related projects.</t>
  </si>
  <si>
    <t>Arihant Patni, Bandi Vamsikrishna, Bharat Shah, Gaja Capital, Gaurav Dalmia, Jungle Ventures, Kekoo Colah, Lakshmi Narayanan, Maheshwari Investors, Parthasaradhi Reddy, RAAY Global Investments, Smita Parekh, TVS Capital, Vernalis Capital, Vijay Singh, Zephyr Management</t>
  </si>
  <si>
    <t>www.waterfieldadvisors.com</t>
  </si>
  <si>
    <t>185371-39</t>
  </si>
  <si>
    <t>RecVue</t>
  </si>
  <si>
    <t>Developer of a recurring billing platform designed to facilitate the management of subscription contracts. The company's platform eliminates the use of spreadsheets and helps to book, bill, forecast, and manage new contracts, renewals, adjustments, and change requests, enabling clients to connect with their CRM, ERP, and fulfillment systems by automating their invoicing process through a single platform.</t>
  </si>
  <si>
    <t>Cota Capital, EPIC Ventures</t>
  </si>
  <si>
    <t>www.recvue.com</t>
  </si>
  <si>
    <t>184651-84</t>
  </si>
  <si>
    <t>Yaspa</t>
  </si>
  <si>
    <t>Developer of a cardless payments platform designed to provide instant bank payments and to help regulated businesses seamlessly verify customers and payments. The company's cardless payment technology streamlines every aspect of payment operations, including payment acceptance, payouts and reconciliation of funds, enabling clients with instant cardless payments that are easy to integrate and simple to use.</t>
  </si>
  <si>
    <t>Consellior, Discerning Capital, Fin Capital, Google Accelerator, Jason Manolopoulos, Metavallon VC, SGH Capital, Techstars</t>
  </si>
  <si>
    <t>www.yaspa.com</t>
  </si>
  <si>
    <t>468049-78</t>
  </si>
  <si>
    <t>Condor Software</t>
  </si>
  <si>
    <t>Developer of a clinical finance software intended to harness real-time clinical trial data for faster and more precise accounting. The company's software integrates real data to drive clinical accruals and strategically navigate forecasts and financial plans for clinical programs with ease, flexibility and transparency, enabling companies to streamline operations, reduce time spent in managing cash flow, make key business decisions and extend the runway.</t>
  </si>
  <si>
    <t>645 Ventures, Activant Capital, Bramalea Partners, Brightlane Ventures, CONNECT (San Diego), Felicis, Flybridge (New York), Insight Partners (New York), Labor Capital, Olima Ventures, Pamir Ventures, Pareto Holdings, Phoenix Investment Club (San Francisco), Plug and Play Tech Center, Prebys Ventures, SNR, Switch Ventures, The Graduate Syndicate, The MBA Fund, TL Foundation</t>
  </si>
  <si>
    <t>www.condorsoftware.com</t>
  </si>
  <si>
    <t>493161-22</t>
  </si>
  <si>
    <t>Salsa (Business/Productivity Software)</t>
  </si>
  <si>
    <t>Developer of a payroll infrastructure platform intended to offer API tools to build, create and launch payroll management products. The company's platform offers a payroll API that supports a range of payroll use cases without overloading frontend code with business logic and facilitates embedding of payroll workflows into the platform, enabling businesses to build a payroll platform that suits their customers' needs, where employees are paid and compliance is handled.</t>
  </si>
  <si>
    <t>Altos Ventures, Better Tomorrow Ventures, Cambrian Asset Management, Cambrian Fintech, Definition, Evolution (Venture Capital), Forum Ventures, Greycroft, SemperVirens Venture Capital</t>
  </si>
  <si>
    <t>www.salsa.dev</t>
  </si>
  <si>
    <t>234879-67</t>
  </si>
  <si>
    <t>Paper.id</t>
  </si>
  <si>
    <t>Developer of Software-as-a-service based invoicing, accounting, and inventory platform designed to provide entrepreneurs with access to payments and finance. The company's platform offers integration with digital payments, supply chain analysis driven by graph node analysis, as well and machine learning, to ease workflow, access to digital invoicing, seamless digital payment, co-branded business card with BRI, financing, and an accounting suite of services to alleviate the pain points around administrative work and business cash flow, enabling companies to create and send business invoices, manage their order-to-pay process, and generate reports instantly.</t>
  </si>
  <si>
    <t>Aldi Haryopratomo, Argor, Arkana Ventures, BM Prime Capital, DAAL, Endeavor Catalyst, Funding Societies, GK Accelerate, Golden Gate Ventures, Hyde Ventures, Incubate Fund Asia, Lim Jing XI, Living Lab Ventures, RedBadge Pacific, Sejahtera Group, Sinarmas Land, Skystar Capital, SMBC Asia Rising Fund, SMBC Venture Capital, Square Peg Capital, Xendit</t>
  </si>
  <si>
    <t>www.paper.id</t>
  </si>
  <si>
    <t>464235-76</t>
  </si>
  <si>
    <t>Paywatch</t>
  </si>
  <si>
    <t>Developer of an earned wage access platform designed to offer low-cost financing directly to employees. The company's platform connects employers and banking partners to let employees withdraw wages already earned before payday, without added interest, while providing identity verification, account safeguarding, and onboarding assistance for organizations of varying size, enabling employers across various industries to support workforce financial wellbeing and reduce reliance on short-term borrowing.</t>
  </si>
  <si>
    <t>Artem Ventures, FIO P.E, Fionet, Gobi Partners, Hana Ventures, Kakao Pay, Manbrook Capital, MSF Private Equity Fund, Octagon Venture Partners, Parkwood, Regent Partners (Seoul), Sunway iLabs, T&amp;G Ventures, TANZANITE HOLDINGS LIMITED, Third Prime, University of Illinois Foundation, Vanderbilt University, Won &amp; Partners, Wooshin Venture Investment</t>
  </si>
  <si>
    <t>www.paywatchglobal.com</t>
  </si>
  <si>
    <t>179355-52</t>
  </si>
  <si>
    <t>CASHe</t>
  </si>
  <si>
    <t>Developer of a consumer financing platform designed to help salaried millennials access affordable financial services. The company's platform offers immediate short-term personal loans to young professionals based on their social profile, merit, and earning potential, enabling customers to receive short-term financial support via a digital method with ease.</t>
  </si>
  <si>
    <t>ARI Holding, Finvolve, India Accelerator, Long Blockchain, Mathew Cyriac, Saroj Patnaik, Surendra Kedia Family Private Trust, The Social Loan Company, Zaggle</t>
  </si>
  <si>
    <t>www.cashe.co.in</t>
  </si>
  <si>
    <t>399446-29</t>
  </si>
  <si>
    <t>OLTA</t>
  </si>
  <si>
    <t>Artificial Intelligence &amp; Machine Learning, CloudTech &amp; DevOps, FinTech, Mobile, SaaS</t>
  </si>
  <si>
    <t>Developer of a financial platform designed to cater to immediate funding needs. The company's platform offers cloud-based factoring services for the procurement of funds that meet short-term funding needs rather than borrowing, enabling businesses to obtain easy funding for a reasonable price while improving profitability.</t>
  </si>
  <si>
    <t>AG Capital (Tokyo), Akimitsu, Aozora Corporate Investment, BEENEXT Capital Management, BIG Impact Co, Bonds Investment Group, Chikuho Bank, Delight Ventures, DG Ventures, Jafco, Japan Post Capital, JCB, MUFG Digital Accelerator, Nagoya Capital Partners, Nobuhiro Ariyasu, Nobunaga Capital Village, Okazaki Shinkin Bank, SBI Investment, SBI Shinsei Bank, Spiral Capital (Tokyo), Sumitomo Mitsui Trust Bank, TISI ( IT Consulting and Outsourcing), Tottori Capital, WingArc1st, Yamauchi-No.10</t>
  </si>
  <si>
    <t>corp.olta.co.jp</t>
  </si>
  <si>
    <t>530493-31</t>
  </si>
  <si>
    <t>BRM</t>
  </si>
  <si>
    <t>Developer of a vendor management and procurement platform designed to streamline and improve business processes. The company's platform lets users control the buying process from procurement to compliance and vendor management by understanding and managing tasks across finance, compliance, and legal, using AI-powered insights and workflow automation, enabling organizations to set the terms, drive sales conversations, and maximize value.</t>
  </si>
  <si>
    <t>Base10 Partners, Caffeinated Capital, Definition, Friends &amp; Family Capital, Original Capital, Sequoia Capital, Tokyo Black</t>
  </si>
  <si>
    <t>www.brm.ai</t>
  </si>
  <si>
    <t>464005-54</t>
  </si>
  <si>
    <t>Fuse</t>
  </si>
  <si>
    <t>Developer of a loan origination and account opening software platform designed for financial institutions to manage lending and customer onboarding processes. The company's platform provides application and applicant portals, internal workflow management tools, integration capabilities, automated document processing, fraud verification, decision engines, reporting functions, and AI-based automation, enabling banks, credit unions, and lenders to process loan applications, open accounts, and manage lending operations.</t>
  </si>
  <si>
    <t>Blue Trail Partners, Clocktower Ventures, Commerce Ventures, FJ Labs, Footwork, NextView Ventures, Primary Venture Partners, RiverPark Ventures, Siesta Ventures, SilverCircle</t>
  </si>
  <si>
    <t>www.fusefinance.com</t>
  </si>
  <si>
    <t>228068-11</t>
  </si>
  <si>
    <t>Kingfield</t>
  </si>
  <si>
    <t>Developer of a financial markets platform designed to improve the client and service provider experience. The company's platform defines basic query types and workflows that capture the common custody client service issues, and creates standard message schemas and business process flows to ensure consistent issue remediation and tracking, enabling banks and clients to connect and interact using a common format.</t>
  </si>
  <si>
    <t>Bain Capital Ventures, Bank of New York Mellon, Brewer Lane Ventures, Claridge Venture Partners, Contour Venture Partners, New York Life Ventures, State Street Bank (Illinois), Vestigo Ventures, Western &amp; Southern Financial Group</t>
  </si>
  <si>
    <t>www.kingfieldcorp.com</t>
  </si>
  <si>
    <t>115493-32</t>
  </si>
  <si>
    <t>CRX Markets</t>
  </si>
  <si>
    <t>Provider of multi-channel trading services intended to make short-term funding of companies less expensive. The company offers transparent pricing determination at significantly reduced rates and full process automation for all participating parties, enabling companies to have increased access to short-term capital.</t>
  </si>
  <si>
    <t>Philipp Schindler, Polar Light Ventures</t>
  </si>
  <si>
    <t>www.crxmarkets.com</t>
  </si>
  <si>
    <t>178444-54</t>
  </si>
  <si>
    <t>Bnext</t>
  </si>
  <si>
    <t>Developer of a mobile neobank platform designed for financial account and card management. The company's platform offers a marketplace for third-party financial products, including insurance, loans, and mortgages, alongside fee-free international transactions, enabling retail customers to manage checking accounts, savings accounts, debit cards, virtual cards, and peer-to-peer payments through a single interface.</t>
  </si>
  <si>
    <t>Albert Armengol, Algorand Technologies, Allegro Capital, Andreas Mihalovits, Borderless Capital, Buenavista Equity Partners, Citius, Cometa (Mexico), Conexo Ventures, CSP DAO, Decart Ventures, DN Capital, Founders Future, Google Accelerator, Kaya VC, Kreos Capital, Launchbay Capital, Love Capital, Orange DAO, Pipeline Capital Partners, Plug and Play Tech Center, Poligono Capital, PV Seed Fund, Rancilio Cube, Redalpine, Roosh Ventures, Socios Q, Speedinvest, Tekton Ventures, UNIQA Ventures, VARIV, Verso Holdings, XT Labs</t>
  </si>
  <si>
    <t>www.bnext.es</t>
  </si>
  <si>
    <t>433675-00</t>
  </si>
  <si>
    <t>Rupifi</t>
  </si>
  <si>
    <t>Developer of a payment platform designed to simplify and expedite business transactions. The company's platform offers features such as embedded credit, quick integrations, split payments, and automatic reconciliation, enabling small and medium-sized enterprises and marketplaces to access flexible payment terms, enhance operational efficiency, and drive growth.</t>
  </si>
  <si>
    <t>Accion, Alteria Capital, Ankur Capital, Ashneer Grover, Astir Ventures, Bessemer Venture Partners, Better Capital (California), BharatPe, Binny Bansal, Cloud Capital (India), Gokul Rajaram, Google Accelerator, Graycell Ventures, GREAT MEERA, Hustle Hard Ventures, Kashish Sharma, Kishore Ganji, Kunal Shah, LiquiLoans, Livspace, Midhun Dandamudi, Muthoot Finance, MyAsiaVC, Quona Capital, Ramakant Sharma, Sajid Rehman, Superb Capital, Tiger Global Management, Vaibhav Domkundwar, Western Capital Advisors, Xoogler.co</t>
  </si>
  <si>
    <t>www.rupifi.com</t>
  </si>
  <si>
    <t>264599-65</t>
  </si>
  <si>
    <t>Tellus (Financial Software)</t>
  </si>
  <si>
    <t>Developer of a smart savings platform designed to give consumers yields while shielding them from the volatility of the stock and crypto markets. The company's platform is powered by single-family home loans where savers can budget smarter, and save faster through their actions on the platform, enabling everyone to become homeowners and reach their financial goals with simplicity, transparency, and trust.</t>
  </si>
  <si>
    <t>All-Stars Investment, Alumni Ventures, Andreessen Horowitz, Decent Capital, Gregory Back, Neutron Holdings, Root and Shoot Ventures, Sereno Group, UpHonest Capital, Vectr Ventures, Westwick-Farrow Media, Zhoujia Bao</t>
  </si>
  <si>
    <t>www.tellusapp.com</t>
  </si>
  <si>
    <t>172620-91</t>
  </si>
  <si>
    <t>Shieldpay</t>
  </si>
  <si>
    <t>B2B Payments, CloudTech &amp; DevOps, FinTech, Mobile</t>
  </si>
  <si>
    <t>Developer of a cloud-based financial platform designed to provide simple and transparent payment services. The company's platform offers a combined virtual escrow account functionality, rules engine, and regulatory status for any platform or network that requires a digital solution to hold and disburse funds for both payers and payees, enabling legal and professional services industries, marketplaces, and e-commerce platforms to securely transact with each other in total confidence.</t>
  </si>
  <si>
    <t>ADG Prefcap, CE Innovation Capital, Chris Adelsbach, CreditEase, David Christie, Elliott Investment Management, Endeavour Ventures, Force Over Mass Capital, Global Millennial Capital, Hard Yaka, HexGn, High Tech XL, Innovate UK, Marqeta, MBU Capital, Pier 88 Investment Partners, Renaissance Capital Partners, Sevanlab Nominees, Start Path, Techstars, Theo Osborne, UK FF Nominees, Visa Ventures</t>
  </si>
  <si>
    <t>www.shieldpay.com</t>
  </si>
  <si>
    <t>266140-18</t>
  </si>
  <si>
    <t>Jai Kisan</t>
  </si>
  <si>
    <t>Developer of a financing platform designed to mitigate the risk in the flow of capital to rural emerging markets. The company's platform facilitates loans at low rates with minimal paperwork for the borrower through its physical access points and generates a risk-adjusted required rate of returns for the lender, enabling clients to access the company's widespread distribution network to raise cheap loans.</t>
  </si>
  <si>
    <t>Alarko Ventures, Alteria Capital, Arkam Ventures, Astarc Ventures, Astir Ventures, Better Capital, Better Capital (California), Bharat Inclusion Seed Fund, Blume Venture Advisors, British International Investment, Cephalopod Teknik, D Labs, DG Daiwa Ventures, ESAS Ventures, GMO Venture Partners, Government of Maharashtra, Harshbeena Zaveri, IIMA Ventures, Kishore Ganji, Mirae Asset Global Investments, Mumbai FinTech Hub, NABVENTURES, Northern Arc Investments, PitchRight Ventures, Rajiv Sahney, Sanjaya Mariwala, SAP, Snow Leopard Ventures, Stride Ventures, Superb Capital, Syngenta Group Ventures, TCG Real Estate, thinQbate, Unitary Foundation, Village Capital, Yara Growth Ventures</t>
  </si>
  <si>
    <t>www.jai-kisan.com</t>
  </si>
  <si>
    <t>515995-30</t>
  </si>
  <si>
    <t>Affiniti Finance ( New York)</t>
  </si>
  <si>
    <t>Developer of a finance platform designed to advance banking infrastructure by providing financial benefits for members. The company's platform offers cash-back reward programs to help save on margins and vendor discounts, control user permissions, manage spend limits across teams, and increase accountability by tracking expenses, memos, and receipts, enabling businesses with industry-specific features, rewards, and support.</t>
  </si>
  <si>
    <t>Aneel Ranadive, Austin Rief, Caballeros Capital, Cadenza Capital, CCIX Global, Contrarian Thinking Capital, Day One Ventures, Emigrant Bancorp, Eniac Ventures, Evolution (Venture Capital), Gilgamesh Ventures, Global Founders Capital, Indicator Ventures, LD Capital, LightShed Ventures, Matthew Bellamy, Montage Ventures, Odell Beckham, Orange DAO, RiverPark Ventures, SignalFire, Soma Capital, Spice Capital, The House Fund, Varsha Rao, Y Combinator, Yahya Mokhtarzada</t>
  </si>
  <si>
    <t>affiniti.com</t>
  </si>
  <si>
    <t>493530-49</t>
  </si>
  <si>
    <t>Ansa</t>
  </si>
  <si>
    <t>Developer of a closed-loop payment platform designed to help brands create customer balance, load funds and retain and reward loyal customers. The company's platform helps to drive customer loyalty by funding their balances and providing insights on their spending behavior, enabling clients to lower payment costs, increase transaction value and drive repeat purchases.</t>
  </si>
  <si>
    <t>www.ansa.dev</t>
  </si>
  <si>
    <t>499877-74</t>
  </si>
  <si>
    <t>Fazeshift</t>
  </si>
  <si>
    <t>Developer of an artificial intelligence-powered accounts receivable software designed to eliminate manual tasks. The company's tool uses artificial intelligence to automate invoicing, cash applications, accounts receivable, and collections processes and to provide visibility across the entire invoicing process, helping businesses improve cash flow and scale efficiently.</t>
  </si>
  <si>
    <t>2048 Ventures, AMEX Ventures, Flybridge (New York), F-Prime Capital, Gradient Ventures, Kulveer Taggar, Phoenix Investment Club (San Francisco), Phosphor Capital, Pioneer Fund, Richard Aberman, Ritual Capital, Terrence Rohan, The Graduate Syndicate, Wayfinder Ventures, Y Combinator</t>
  </si>
  <si>
    <t>www.fazeshift.com</t>
  </si>
  <si>
    <t>521435-17</t>
  </si>
  <si>
    <t>Mesa (Financial Software)</t>
  </si>
  <si>
    <t>Developer of a payments platform designed to help businesses get paid sooner and easily with their embedded payment technology. The company specializes in submitting invoices, getting paid on accelerated terms, free for payers of invoices, with no compounding interest, and predictable payment receivables, helping businesses provide a safe and automated accelerated payment solution to suppliers and vendors across the vertical.</t>
  </si>
  <si>
    <t>Matrix, Tishman Speyer Properties</t>
  </si>
  <si>
    <t>www.joinmesa.com</t>
  </si>
  <si>
    <t>436576-51</t>
  </si>
  <si>
    <t>Yingmi Fund</t>
  </si>
  <si>
    <t>Provider of fund-distribution and investment-advisory services intended for regulated asset-management purposes. The company incorporates licensed fund-sales operations, investment-advisory workflows, compliance and risk-control mechanisms, data-processing systems, multi-location service capabilities, internet-based financial-technology tools, portfolio-management procedures, and client-interaction frameworks, enabling retail and institutional markets to access regulated investment products, implement advisory-driven asset allocation, maintain transparency, and support diversified wealth-management activities across the broader asset-management ecosystem.</t>
  </si>
  <si>
    <t>Dewu Capital, Eight Roads, Fidelity International Strategic Ventures, Gaocheng Capital, GF Qianhe, Hengqin Financial Investment, Jiangsu Huaxicun, Koala Fund, Vered Holdings</t>
  </si>
  <si>
    <t>www.yingmi.cn</t>
  </si>
  <si>
    <t>494435-62</t>
  </si>
  <si>
    <t>InvestEngine</t>
  </si>
  <si>
    <t>Developer of an exchange-traded fund investment platform designed for an investor to build a portfolio at a low cost. The company's platform lets an investor take control, customize their allocations, and buy and sell commission-free with smart top-ups and one-click rebalancing, enabling investors to stick to 
their investment strategy.</t>
  </si>
  <si>
    <t>Tobin Capital</t>
  </si>
  <si>
    <t>www.investengine.com</t>
  </si>
  <si>
    <t>279391-69</t>
  </si>
  <si>
    <t>LEO1</t>
  </si>
  <si>
    <t>Mobile, SaaS</t>
  </si>
  <si>
    <t>Developer of a campus and financial technology platform designed to simplify student life and financial management within educational institutions. The company's platform offers smart ID cards, automated fee collection, education and personal loans, digital gold investments, fixed deposits, attendance management, alumni networking, healthcare bookings, and reward-based commerce features, enabling students and educational institutions to manage campus operations and financial activities through a unified digital ecosystem.</t>
  </si>
  <si>
    <t>100Unicorns, Aar Em Ventures, Aavishkaar Capital, Ameya Chandavarkar, AngelBay, Appyhigh, Ardent Venture Partners, Capri Global Capital, Cornell Maha60 Accelerator Program, DevX (Ahmedabad), Earlsfield Capital, FMO Entrepreneurial Development Bank, Google Accelerator, JITO Incubation &amp; Innovation Foundation, Kaizen VC, LC Nueva AIF, Lotus Eduservices, Manish Shah, Maxar.vc, Milan Ganatra Ventures, MS Fincap, Nandan Chandavarkar, National Securities Depository, PitchRight Ventures, QED Investors, Qi Ventures, Ravi Sanghvi, Rohit Sharma, Sparkle Fund, Spectrum Impact, Sprint VC, T-Hub, Transcorp (Specialized Finance), Unity Small Finance Bank</t>
  </si>
  <si>
    <t>www.leo1.in</t>
  </si>
  <si>
    <t>494246-62</t>
  </si>
  <si>
    <t>Adaptive (Business/Productivity Software)</t>
  </si>
  <si>
    <t>Developer of financial software designed to help automate construction financial management. The company's software eliminates manual data entry, approves bills from the field, keeps track of budgets and dues to their vendors, and automates workflow tools to ingest and reconcile spending, enabling businesses to keep a check on project profitability, streamline their invoicing process, and manage cash flow.</t>
  </si>
  <si>
    <t>AICPA and CPA.com Startup Accelerator, Airbase Holdings, Andreessen Horowitz, BoxGroup, Brex, Definition, Emergence Equity Management, Exponent Labs, Foundamental, Gokul Rajaram, Pathlight Ventures, Pear (California), Ramp, Roach Capital, The Box Group, Third Kind Venture Capital</t>
  </si>
  <si>
    <t>www.adaptive.build</t>
  </si>
  <si>
    <t>533354-14</t>
  </si>
  <si>
    <t>Anatomy</t>
  </si>
  <si>
    <t>Developer of a Financial automation platform intended to operate financial workflow for healthcare. The company's platform offers an AI-powered financial automation system for medical, dental, digital health, and healthcare billing companies by linking bank, claims, and accounting data to provide real-time financial insights and automated reconciliation, enabling healthcare providers to focus on quality patient care.</t>
  </si>
  <si>
    <t>Cambrian Fintech, Canapi Ventures, DoubleMint Ventures, Lightspeed Venture Partners, Live Oak Ventures, Meridian Street Capital, Optum Ventures, Peterson Partners</t>
  </si>
  <si>
    <t>www.anatomy.com</t>
  </si>
  <si>
    <t>496519-57</t>
  </si>
  <si>
    <t>Copia Wealth Studios</t>
  </si>
  <si>
    <t>Operator of a financial intelligence platform intended to streamline portfolio management. The company's platform uses modern design and machine learning to bring all investments into one view with real-time updates, enabling modern wealth owners to manage their finances efficiently by providing the data they need with custom and tailored lenses.</t>
  </si>
  <si>
    <t>Alfred Bsharah, Interlock Capital, Longley Capital, Sky and Ray, Victorum Capital Club</t>
  </si>
  <si>
    <t>www.copiawealthstudios.com</t>
  </si>
  <si>
    <t>151068-34</t>
  </si>
  <si>
    <t>Eltropy</t>
  </si>
  <si>
    <t>Dividend Recapitalization</t>
  </si>
  <si>
    <t>Developer of artificial intelligence-powered digital conversations platform designed to engage and market financial products. The company's platform offers a comprehensive suite including voice, text messaging, secure chat, video banking, co-browsing, and more to engage communities, enabling banking and financial companies to increase sales and grow businesses.</t>
  </si>
  <si>
    <t>BITS Spark, Curql, K1 Investment Management, Next Level Ventures, Plug and Play Tech Center, Silicon Valley Quad, TruStage Ventures</t>
  </si>
  <si>
    <t>www.eltropy.com</t>
  </si>
  <si>
    <t>458627-59</t>
  </si>
  <si>
    <t>EMTECH</t>
  </si>
  <si>
    <t>Developer of a software-as-a-service platform designed to connect central banks and financial service providers for regulatory and financial operations. The company's platform offers integrated tools for compliance management, sandbox environments, digital cash experimentation, supervision workflows, secure transaction processing, and configurable dashboards with robust APIs for payments, remittances, and lending, enabling central banks, financial institutions, and fintech companies to streamline operations, reduce manual processes, and enhance collaboration and decision making.</t>
  </si>
  <si>
    <t>500 Global, 500 Startups LatAm, Accenture Ventures, Alumni Ventures, Black Tech Nation Ventures, Canaan Partners, Claes-Henrik Julander, Collide Capital, Consonance (Lagos), Flybridge (New York), Gilgamesh Ventures, Jasco Venture, Level Up Ventures, LoftyInc Capital Management, NetX (New Zealand), Noemis Ventures, Octerra Capital, Realm Capital Ventures, Resilience17, Serac Ventures, Starttech Ventures, The Equity Alliance, VestedWorld, XFactor Ventures, Z47</t>
  </si>
  <si>
    <t>www.emtech.com</t>
  </si>
  <si>
    <t>482742-73</t>
  </si>
  <si>
    <t>Highline Technologies</t>
  </si>
  <si>
    <t>Operator of a payroll-linked payment network designed to automate bill payments directly from paychecks. The company offers direct payroll integrations, automated payment routing, and paycheck-based bill payment capabilities, enabling consumers, lenders, and billers to reduce missed payments and improve payment reliability.</t>
  </si>
  <si>
    <t>Costanoa Ventures, Fin Capital, Foundation Capital, Jump Capital, Plug and Play Tech Center, Upper90 Capital Management</t>
  </si>
  <si>
    <t>www.highline.co</t>
  </si>
  <si>
    <t>117083-26</t>
  </si>
  <si>
    <t>Juvo</t>
  </si>
  <si>
    <t>Developer of mobile identity scoring software designed to establish financial identities who are creditworthy, yet financially excluded. The company's software uses sophisticated data science-based credit algorithms and transforms subscriber consumption with real-time credit, enabling mobile operators to deepen relationships with subscribers and provide access to life-changing financial services.</t>
  </si>
  <si>
    <t>Antonio Viana-Baptista, Arun Sarin, Docomo Intertouch, Duncan Niederauer, Ericsson Ventures, Eugene Park, Frank Yeary, Freestyle Capital, Gr8 Ventures, Intercept Ventures, Jim Calhoun, Judd Morgenstern, Mohan Gyani, New Enterprise Associates, NGP Capital, Portfolia, Ron Suber, Samsung NEXT Ventures, Section Partners, Seed-Resolute, SignalFire, SRM Ventures, Start Path, William Esrey, Wing Venture Capital</t>
  </si>
  <si>
    <t>www.juvo.com</t>
  </si>
  <si>
    <t>463172-05</t>
  </si>
  <si>
    <t>RV SG</t>
  </si>
  <si>
    <t>Developer of an investment platform intended to invest and own real estate in small investment amounts. The company's platform offers investors access to cross-border real estate at lower investment, along with competitive returns and inflation hedging with low-volatility investment opportunities that can be fully managed, enabling investors to safely invest and avail the desired returns.</t>
  </si>
  <si>
    <t>Acorn Holdings, Bond Capital Partners (Singapore), Haryanto Tanjo</t>
  </si>
  <si>
    <t>www.realvantage.co</t>
  </si>
  <si>
    <t>443266-75</t>
  </si>
  <si>
    <t>Sorbet (Financial Software)</t>
  </si>
  <si>
    <t>Developer of an online financial platform designed to convert employees' unused paid time off into cash. The company's platform integrates and syncs with the employer's existing calendars and payroll systems to identify habits and analyze time management patterns, enabling clients to proactively suggest personalized and pre-approved micro-breaks and vacations that fit the employee's personal preferences.</t>
  </si>
  <si>
    <t>www.getsorbet.com</t>
  </si>
  <si>
    <t>232067-98</t>
  </si>
  <si>
    <t>Traive</t>
  </si>
  <si>
    <t>AgTech, Artificial Intelligence &amp; Machine Learning, FinTech, InsurTech</t>
  </si>
  <si>
    <t>Developer of a data intelligence platform designed to connect agribusinesses with the financial market through technology-driven agricultural credit analysis and asset qualification. The company's platform offers proprietary artificial intelligence models, credit asset traceability, and automated risk assessment processes, enabling agricultural producers and financial institutions to access financing with greater transparency, efficiency, and decision-making reliability.</t>
  </si>
  <si>
    <t>Banco do Brasil, BASF Venture Capital, BRDE Labs, Bread &amp; Butter Ventures, CSN Inova Ventures, Experian Ventures, FMC Ventures, Founders First, Kamay Ventures, Marcelo Escorel Filho, MassChallenge, Minerva Foods, Overboost, ScaleUP Ventures, Serasa Experian, SP Ventures, SparkLabs Group, Spectra Investments, SV Pacific Ventures, Swiss Pampa, Syngenta Group Ventures, Techstars, Tiger Global Management, Torq (Brazil), Vox Capital, Yellow Rocks!, YellowRockets.vc</t>
  </si>
  <si>
    <t>www.traive.com.br</t>
  </si>
  <si>
    <t>498043-99</t>
  </si>
  <si>
    <t>Two Dots</t>
  </si>
  <si>
    <t>Developer of an income verification platform designed to help clients through work automation. The company's platform provides universal income and employment verification services using fully automated processes and artificial intelligence, enabling managers to spend less on leasing fraud while fostering operational efficiency through automation and artificial intelligence.</t>
  </si>
  <si>
    <t>Amino Capital, Cathexis Ventures, Liquid 2 Ventures, N47, Twenty Two Ventures, Y Combinator</t>
  </si>
  <si>
    <t>twodots.com</t>
  </si>
  <si>
    <t>591529-33</t>
  </si>
  <si>
    <t>Penguin Securities</t>
  </si>
  <si>
    <t>Developer of an institutional-grade cryptocurrency derivative platform designed to provide secure and compliant investment products. The company's platform offers advanced digital asset management tools, including wallet management, trade management, transaction screening, and API integration, enabling institutional investors to efficiently manage digital assets while ensuring high security and regulatory compliance.</t>
  </si>
  <si>
    <t>Daiwa Securities Group, Mint (Business/Productivity Software), Mint (Japan), Mint Venture Partners, Nakashimato, Thirdwave Financial, Tokyo University of Science Investment Management, United</t>
  </si>
  <si>
    <t>www.penguinsecurities.sg</t>
  </si>
  <si>
    <t>607977-01</t>
  </si>
  <si>
    <t>Ambak</t>
  </si>
  <si>
    <t>Developer of a digital platform designed to streamline loan processes. The company's platform offers home loans and loans against property with transparency, efficiency, and security, enabling customers to access flexible financing options.</t>
  </si>
  <si>
    <t>Aditya Rao, AdvantEdge Founders, Akshay Verma, AL Trust (India), Atrium Advisory, DeVC, Peak XV Partners, Quona Capital, Realtime (India), Surge (Accelerator), Surge Ventures, Umang Kumar, Z47</t>
  </si>
  <si>
    <t>www.ambak.com</t>
  </si>
  <si>
    <t>222621-40</t>
  </si>
  <si>
    <t>Apexx</t>
  </si>
  <si>
    <t>Developer of a unified global payment platform designed to offer a marketplace for global payments. The company's platform provides holistic and economic services such as VAT calculation tools, AML management services, and other banking services, enabling merchant partners to compare costs as well as get expert advice on payment providers.</t>
  </si>
  <si>
    <t>Alliance Venture Capital, Alliance Ventures, Finch Capital, Forward Partners Group, Innovate UK, Kashyap Shah, MMC Ventures, Molten Ventures, Plug and Play Tech Center, Robert Atkin, SyndicateRoom, Tech Nation Group</t>
  </si>
  <si>
    <t>www.apexx.global</t>
  </si>
  <si>
    <t>98979-85</t>
  </si>
  <si>
    <t>inKind</t>
  </si>
  <si>
    <t>FinTech, Restaurant Technology</t>
  </si>
  <si>
    <t>Developer of a two-sided network intended to connect consumers with high-quality restaurants while providing alternative growth funding. The company offers an upfront funding model in exchange for food and beverage credits redeemable on its platform, enabling independent restaurants and hospitality operators to access non-dilutive capital while attracting new customers and increasing guest spend.</t>
  </si>
  <si>
    <t>Birchaven Group, Brad Juneau, Charlie Engelhart, Chris Fabio, Firebrand Ventures, FJ Labs, Hammerstone Capital, Jennifer Rho, Jerry Yang, K Stratton Kirton, Liberty Mutual Investments, Magnetar Capital, MarcyPen Capital Partners, Puget Sound Venture Club, Ricky Chung, Rosalyn Kumar, Sagard, StartOut Growth Lab, Techstars, Trinity Capital (Phoenix), Varadero Capital, Zach Amann</t>
  </si>
  <si>
    <t>www.inkind.com</t>
  </si>
  <si>
    <t>223003-81</t>
  </si>
  <si>
    <t>Brankas</t>
  </si>
  <si>
    <t>Developer of an open finance platform designed to bridge access to modern financial services for all consumers and businesses around the world. The company's platform offers facilities including the transfer of payments, paying bills, and disbursement of funds by custom integration in multiple bank accounts and management of cash systems for e-commerce, small and medium enterprises, and other companies, enabling clients to avail of online banking services through smartphones.</t>
  </si>
  <si>
    <t>AFG Partners, Ashish Mehta, BEENEXT Capital Management, BnkToTheFuture, Felix Romer, Fidelity National Information Services, Guy Richard Taylor, Insignia Ventures Partners, Integra Partners (Singapore), Plug and Play Tech Center, Srini Chakwal, Stefan Oosterwaal, Treasury (New York), Treasury International, Visa Accelerator, Visa Ventures</t>
  </si>
  <si>
    <t>www.brankas.com</t>
  </si>
  <si>
    <t>108438-94</t>
  </si>
  <si>
    <t>LibertyX</t>
  </si>
  <si>
    <t>Developer of a financial software platform designed to help consumers buy and sell Bitcoin in-person or via mobile application. The company's platform provides cashiers and virtual automatic teller machines to purchase bitcoin at their local stores' checkout, enabling users to easily buy bitcoin online or offline from any location.</t>
  </si>
  <si>
    <t>Sora Ventures, Waterdrip Capital</t>
  </si>
  <si>
    <t>www.libertyx.com</t>
  </si>
  <si>
    <t>279656-74</t>
  </si>
  <si>
    <t>Penfold</t>
  </si>
  <si>
    <t>Developer of a digital workplace and personal pension platform designed to help people save more effectively for retirement by making pension saving accessible and engaging. The company's platform offers real-time pension tracking, clear retirement-planning explanations, and transparent account management, enabling employees of small and growing businesses, self-employed workers, freelancers, and contractors to manage their pension savings with flexibility and clarity.</t>
  </si>
  <si>
    <t>Adfisco, Adyen, Alan Morgan, Andreas Raffel, Bridford Group, Dropbox, Elkstone, FinTech Innovation Lab, Force Over Mass Capital, Funding Circle Holdings, Future Fund (UK), Gresham House Ventures, Hermann Mohaupt, Jeremy Coller, Jorg Mohaput, MMC Ventures, Plug and Play Tech Center, Spotify, Tim Morgan</t>
  </si>
  <si>
    <t>www.getpenfold.com</t>
  </si>
  <si>
    <t>432450-19</t>
  </si>
  <si>
    <t>Treyd</t>
  </si>
  <si>
    <t>Developer of a digital trade contract platform and trade finance designed to simplify the trade finance contract and offer working capital. The company's tool provides a digital payment service where the client pays after receiving the goods, and the supplier gets paid when they ship the goods, and only if the quality meets the client's standards, enabling companies to conduct international business easily.</t>
  </si>
  <si>
    <t>Acacia Asset Management, Antler, Bust (Sweden), Charles Songhurst, Deliberate Ventures (San Francisco), DHS Venture Partners, Further Than Capital, J12 Ventures, Kapita Investment Group, Magnus Rausing, Nineyards Equity, Njord Ventures, Red Dawn Ventures, Zenith Group</t>
  </si>
  <si>
    <t>www.treyd.io</t>
  </si>
  <si>
    <t>520606-36</t>
  </si>
  <si>
    <t>Leap Financial</t>
  </si>
  <si>
    <t>Operator of a financial technology platform intended to serve various businesses. The company's platform offers a cloud-based modular system covering a biometric wallet for instant issuing, cross-border payments, and payment facilitation, enabling financial and non-financial institutions to leverage fintech services without the pain at a fraction of the cost and time, leveraging AI for true conversational banking and Web3 integrations.</t>
  </si>
  <si>
    <t>Ascendo Venture Capital, Canaan Partners, Fuel Venture Capital</t>
  </si>
  <si>
    <t>www.leapfinancial.com</t>
  </si>
  <si>
    <t>279548-38</t>
  </si>
  <si>
    <t>Proof Trading</t>
  </si>
  <si>
    <t>Developer of an institutional equities brokerage platform designed to offer investors better prices. The company's platform provides enhanced data, visualization, and statistically robust algorithm design, enabling traders to understand and quickly assess the market.</t>
  </si>
  <si>
    <t>BoxGroup, Correlation Ventures, Francis Duong, Green Visor Capital, Hither Creek Ventures, Magic Fund, Moxxie Ventures, Ride Ventures, The Gramercy Fund, Y Combinator</t>
  </si>
  <si>
    <t>www.prooftrading.com</t>
  </si>
  <si>
    <t>221959-90</t>
  </si>
  <si>
    <t>Electronica Finance</t>
  </si>
  <si>
    <t>Provider of non-banking financial services intended to give shape to ideas and execution capabilities. The company provides loans for business, working capital, industrial property and machinery as well as doorstep finance and assessment-based financing, providing clients with a wide range of services and processes.</t>
  </si>
  <si>
    <t>Aavishkaar Capital, Encourage Capital, LeapFrog Investments</t>
  </si>
  <si>
    <t>www.electronicafinance.com</t>
  </si>
  <si>
    <t>179341-12</t>
  </si>
  <si>
    <t>WheelsEMI</t>
  </si>
  <si>
    <t>Provider of financing services intended to help in the purchase of pre-owned two-wheelers. The company uses proprietary underwriting tools to sanction loans with bare minimum documentation and offers financing to purchase new and pre-owned two-wheelers, access to green bikes, insurance and a transparent marketplace for buying and selling preowned two-wheelers, enabling customers to get their loans sanctioned quickly and at an affordable equated monthly installment.</t>
  </si>
  <si>
    <t>DEG, Elevar Equity, Faering Capital, UC Impower, Women's World Banking</t>
  </si>
  <si>
    <t>www.bikebazaar.com</t>
  </si>
  <si>
    <t>521726-86</t>
  </si>
  <si>
    <t>Hyperline (Financial Software)</t>
  </si>
  <si>
    <t>Developer of revenue management and billing software designed for automating quote-to-cash processes. The company's software centralizes configuration of pricing and plans, manages subscriptions across multiple models including flat fees and complex usage-based tiers, automates invoicing and payment collection with smart retries and real-time alerts, supports compliance-ready e-invoicing in numerous countries, and connects with existing CRMs, ERPs, payment providers, analytics tools, and data warehouses, enabling SaaS companies to scale billing operations while maintaining reliability, unified visibility, and accurate, timely revenue recognition</t>
  </si>
  <si>
    <t>Adelie Capital, Alexandre Berriche, Cocoa Ventures, Eduardo Ronzano, Guilhem Bellion, Index Ventures, Kima Ventures, Nico Rosberg, Quentin Nickmans, Rodolphe Ardant, Steve Avani, Thibaud Elziere</t>
  </si>
  <si>
    <t>www.hyperline.co</t>
  </si>
  <si>
    <t>343484-47</t>
  </si>
  <si>
    <t>Komunal</t>
  </si>
  <si>
    <t>Operator of a peer-to-peer lending platform intended to connect borrowers and lenders directly. The company's platform facilitates as a medium for members to lend to and fund selected loan projects by providing a funding alternative for competitive interest providers with minimal risk, enabling micro small medium enterprises to access unsecured business loans.</t>
  </si>
  <si>
    <t>AlphaTrio Capital, Alvin Witirto, Boby Dores, East Ventures, Gobi Partners, JIF Capital, Lukas Lieviant, Ozora Yatrapaktaja, Skystar Capital, Sovereign's Capital, Sumitomo Corporation Equity Asia</t>
  </si>
  <si>
    <t>www.komunalgroup.com</t>
  </si>
  <si>
    <t>232312-87</t>
  </si>
  <si>
    <t>HQLAx</t>
  </si>
  <si>
    <t>Developer of a financial technology platform designed to bring efficiencies to the securities finance and repurchase agreement industry. The company's platform leverages distributed ledger technology to facilitate real-time transfer of securities ownership, enabling banks and asset managers to improve collateral mobility and avoid costly intraday liquidity.</t>
  </si>
  <si>
    <t>Bank of New York Mellon, BNP Paribas Securities Services, Broadridge Financial Solutions, Citigroup, DB1 Ventures, Deutsche Börse, Digital Asset, Fuse Incubator, GLQ GP, HSBC Holdings, ING Group, ING Ventures, JP Morgan Chase, JP Morgan Chase Strategic Investments, R3, The Goldman Sachs Group</t>
  </si>
  <si>
    <t>www.hqla-x.com</t>
  </si>
  <si>
    <t>226161-19</t>
  </si>
  <si>
    <t>Goalsetter</t>
  </si>
  <si>
    <t>Operator of a goal-based savings and gifting platform intended to help kids and teens finance through games, memes, and pop culture. The company's platform facilitates the automatic deposit of a set amount every week or every month and offers debit cards with parental controls, and financial literacy quizzes, enabling younger teenagers and kids to make informed decisions and create their saving goals early in life and achieve them.</t>
  </si>
  <si>
    <t>AARP Innovation Labs, AgeTech Collaborative from AARP, Amber Sabathia, Andre Drummond, Anthony Anderson, Astia, Backstage Capital, Baron Davis, Captain Partners, Carmelo Anthony, CC Sabathia, Chris Paul, Citizens Financial Group, Edward Jones, Edward Jones Ventures, Elevate Capital, Entrepreneurs Roundtable Accelerator, Fearless Fund, Financial Health Network, Financial Health Network., FinTech Innovation Lab, Fintech Next, Fiserv, Kevin Durant, Lance Gross, Massachusetts Mutual Life Insurance, MassChallenge, MassMutual Impact Investing, MasterCard, Morgan Stanley Inclusive &amp; Sustainable Ventures, Northwestern Mutual Future Ventures, Partnership Fund for New York City, Pipeline Angels, Portfolia, Quesnay, Remarkable Ventures, Reseda Group, Robert Smith, Ryan Bathe, Seae Ventures, Start Path, StartX (US), Sterling Brown, Sterling National Bank, The Players Impact, The PNC Financial Services Group, Thirty Five Ventures, TruStage, TruStage Ventures, U.S. Bancorp, Webster Financial</t>
  </si>
  <si>
    <t>www.goalsetter.co</t>
  </si>
  <si>
    <t>267757-48</t>
  </si>
  <si>
    <t>Symmetrical</t>
  </si>
  <si>
    <t>Developer of a cloud computing platform designed to empower the payroll of the future. The company's platform provides ethical financial products such as salary-on-demand, zero-interest employee loans and an automated financial advisor with automated compliance, instant integration and asset-light, enabling employees to gain flexible access to their salaries.</t>
  </si>
  <si>
    <t>Angel Invest, Ataraxy Ventures, Elevate Innovation Partners, Finch Capital, FinTech Capital, Global Founders Capital, Inovo VC, Market One Capital, Partech, PFR Ventures, Plug and Play Tech Center, Robert Ditrych, Space3ac, StartSmart CEE, Target Global</t>
  </si>
  <si>
    <t>www.symmetrical.ai</t>
  </si>
  <si>
    <t>439434-55</t>
  </si>
  <si>
    <t>Altro Vercel</t>
  </si>
  <si>
    <t>Developer of an online credit-building platform designed to help users convert their subscription payments into credit history. The company's platform allows members to link their recurring payments, such as rent and subscription payments, to leverage unseen and uncounted payments to build their credit scores, enabling individuals to improve their credit scores.</t>
  </si>
  <si>
    <t>Alumni Ventures, Backstage Capital, Black Capital (VC), Blackstone LaunchPad, Chris Paul, Citigroup Alternative Investments, Deborah Quazzo, Dick Parsons, Emles Venture Partners, Evolution VC Partners, General Catalyst, Incite Ventures (San Francisco), Joanna Rees, Lombardstreet Ventures, MarcyPen Capital Partners, Marshawn Lynch, Ossian Capital, PayPal Holdings, Pendulum Holdings, Quain Investments, Quavo, Riverside Ventures, Sahin Boydas, Sequoia Capital, SoftBank Group, Spacestation (UK), Techstars, The Equity Alliance, Think +, TigerLaunch, Tinashe Tinashe, Todd Gurley, True Capital Management, Underdog Labs, USC Education Technology Accelerator, VentureSouq, Village Capital, Westbound Equity Partners, Wonder Ventures, Y Combinator</t>
  </si>
  <si>
    <t>altro.vercel.app</t>
  </si>
  <si>
    <t>184286-26</t>
  </si>
  <si>
    <t>KnowLeGene</t>
  </si>
  <si>
    <t>Developer of financial risk management software. The company's software offers enterprise users a financial and credit relationship map between various enterprises, enabling users to evaluate business decisions with more information.</t>
  </si>
  <si>
    <t>China Zhongji Investment, JC Capital, Lingfeng Capital, Marathon Venture Partners, Plug and Play Tech Center, Shanghe Capital, Source Code Capital</t>
  </si>
  <si>
    <t>www.knowlegene.com</t>
  </si>
  <si>
    <t>187684-84</t>
  </si>
  <si>
    <t>Swipesum</t>
  </si>
  <si>
    <t>Artificial Intelligence &amp; Machine Learning, B2B Payments, FinTech, TMT</t>
  </si>
  <si>
    <t>Developer of a payment processing management platform designed to optimize merchant services and reduce costs. The company offers a proprietary tool that audits merchant statements and provides a white-glove approach to technology integration, enabling businesses to simplify payment infrastructure and transform payment processes into a seamless, revenue-driving component.</t>
  </si>
  <si>
    <t>1ST50K, Andy Love, Arch Grants, Cequel III, Greenway Family Office, Inv FinTech, Laurence Schiffer</t>
  </si>
  <si>
    <t>www.swipesum.com</t>
  </si>
  <si>
    <t>183029-86</t>
  </si>
  <si>
    <t>Propelld</t>
  </si>
  <si>
    <t>Developer of an educational financing tool designed for students to get access to funding for completing their education. The company's platform connects students with willful investors and offers income-dependent education loans on verifying their liabilities, earning potential and academic documents, enabling students and freshers to find and finance educational opportunities with a return on investment.</t>
  </si>
  <si>
    <t>Brightlane Ventures, IAN Fund, India Quotient, Indian Angel Network, Raghunandan Gangappa, Ramakant Sharma, Startupbootcamp Holding, Stellaris Venture Partners, Survam Partners, WestBridge Capital (San Mateo)</t>
  </si>
  <si>
    <t>www.propelld.com</t>
  </si>
  <si>
    <t>62590-96</t>
  </si>
  <si>
    <t>ApplePie Capital</t>
  </si>
  <si>
    <t>Provider of online franchise financing and lending services intended to increase financial efficiencies and help entrepreneurs start and expand businesses. The company offers loans such as growth capital, conventional loans, and loans coupled with financing for equipment, opening new units, remodeling existing units, refinancing existing debt, and acquiring existing units, enabling franchise owners to meet capital needs and achieve growth and financial rewards.</t>
  </si>
  <si>
    <t>Bankers Healthcare Group, Camp One Ventures, Cendana Capital, Colchis Capital Management, DHVC, Fifth Era Blockchain Coinvestors Fund Manager, Fifth Third, Freestyle Capital, JM Family Enterprises, Matthew Le Merle, QED Investors, Ron Suber, Signia Venture Partners, Social Leverage, Story Ventures</t>
  </si>
  <si>
    <t>www.applepiecapital.com</t>
  </si>
  <si>
    <t>416511-19</t>
  </si>
  <si>
    <t>Strike Acceptance</t>
  </si>
  <si>
    <t>Operator of an automotive lending services company intended to help customers establish or rebuild their credit. The company offers residents to secure auto financing through their network of approved dealers, providing dealers and customers with a platform that connects them for lending purposes.</t>
  </si>
  <si>
    <t>LL Funds</t>
  </si>
  <si>
    <t>www.strikeacceptance.com</t>
  </si>
  <si>
    <t>181297-99</t>
  </si>
  <si>
    <t>GraniteShares</t>
  </si>
  <si>
    <t>Developer of a financial platform designed to provide diversified investment exposure across multiple asset classes. The company's platform provides commodity exchange-traded funds with physically backed commodities, leveraged and inverse single-stock exposures, and income-focused strategies through option writing, enabling institutional and retail investors to access a range of investment approaches with transparent structures and cost-efficient management.</t>
  </si>
  <si>
    <t>graniteshares.com</t>
  </si>
  <si>
    <t>1168919-83</t>
  </si>
  <si>
    <t>Speed (Financial Software)</t>
  </si>
  <si>
    <t>Developer of crypto payment infrastructure designed for businesses and enterprises operating globally. The company offers services such as onramp and off-ramp services, multi-chain crypto payments, instant global payouts, compliance services, hosted payment pages, and more.</t>
  </si>
  <si>
    <t>ego death capital, Tether Investments</t>
  </si>
  <si>
    <t>www.tryspeed.com</t>
  </si>
  <si>
    <t>115557-22</t>
  </si>
  <si>
    <t>Aescuvest</t>
  </si>
  <si>
    <t>Operator of a healthcare-focused venture capital investment platform intended to facilitate investments in healthtech startups. The company sources and evaluates health technology investment opportunities and structures financing rounds, enabling investors to participate in healthcare startup investments through direct investments via special purpose vehicle structures.</t>
  </si>
  <si>
    <t>BMH Beteiligungs-Managementgesellschaft Hessen, Gunter Dunkel, Hessen Kapital, Klaus Eckstein KG, Michael Beckert, Mutschler Ventures, Nanz medico, Thomas Wiederspahn</t>
  </si>
  <si>
    <t>www.aescuvest.vc</t>
  </si>
  <si>
    <t>55684-81</t>
  </si>
  <si>
    <t>Wefunder</t>
  </si>
  <si>
    <t>Operator of an equity crowdfunding platform designed to connect startups with a diverse range of investors for capital raising purposes. The company's platform facilitates various investment contract types and regulatory offerings, enabling investors to participate in funding early-stage companies, providing startups with access to capital and investor engagement.</t>
  </si>
  <si>
    <t>Amjad Masad, Ben Littauer, Bill Warner, Click Ventures, D3VC, Daft Capital, David Nikzad, EndeavorLAB, Founders First, Human Capital Development, ICBM Venture Capital, Immad Akhund, Invicta Ventures, IOVC, Jordan Fliegel, Keter Point, Knockout Capital, Mohammed Seyfi, Moneyus Capital, Orthogonal Thinker, Patrick Spaulding-Ryan, Pioneer Fund, Plug and Play Tech Center, Relumin, Reynolds and Company Venture Partners, Scalable Ventures, Segal Ventures, Thomas Lix, TSV Capital (Los Altos), Turning Point Brands, Visary Capital, Y Combinator</t>
  </si>
  <si>
    <t>www.wefunder.com</t>
  </si>
  <si>
    <t>231601-78</t>
  </si>
  <si>
    <t>Smartr365</t>
  </si>
  <si>
    <t>Artificial Intelligence &amp; Machine Learning, FinTech, InsurTech, Mortgage Tech, SaaS</t>
  </si>
  <si>
    <t>Developer of a cloud-based mortgage and protection platform designed to connect advisors, estate agents, and home buyers. The company's platform offers features such as built-in sourcing, task automation, CRM, digital fact find, and real-time lead tracking, as well as digital referral links, open banking, and credit reports, enabling companies to access all of their financial data, such as mortgages, insurance, pensions, and investments, and make better financial decisions.</t>
  </si>
  <si>
    <t>Calculus Capital, Experian Ventures, Legal &amp; General Group, Pembroke Venture Capital Trust, Smart Currency Business</t>
  </si>
  <si>
    <t>www.smartr365.com</t>
  </si>
  <si>
    <t>469852-75</t>
  </si>
  <si>
    <t>Buenbit</t>
  </si>
  <si>
    <t>Operator of a crypto exchange platform intended for buying and selling cryptocurrencies. The company's platform offers trade history, live prices, market data, crypto investment, and brokerage services, enabling investors to easily buy, sell, spend, and protect their money with cryptocurrency.</t>
  </si>
  <si>
    <t>www.buenbit.com</t>
  </si>
  <si>
    <t>228052-72</t>
  </si>
  <si>
    <t>Neon (Financial Services)</t>
  </si>
  <si>
    <t>Operator of a neo-bank application intended to offer control over all banking transactions. The company offers a mobile application and a card that can be used to make financial transactions and is independent of existing banks that offer banking services without the bureaucracy to facilitate secure payments, enabling users with transaction accounts for their everyday finances in an affordable manner.</t>
  </si>
  <si>
    <t>500 Global, Adrian Bührer, b2venture, BackBone Ventures, Bettina Hein, BlueLion Incubator, Dominik Grolimund, Helvetia Holding, Helvetia Venture Fund, Innovationsstiftung der SZKB, Luzius Meisser, QoQa, Roland Brack, Schwyzer Kantonalbank, SICTIC, TX Ventures, Ziano Ventures</t>
  </si>
  <si>
    <t>www.neon-free.ch</t>
  </si>
  <si>
    <t>509267-71</t>
  </si>
  <si>
    <t>Univest</t>
  </si>
  <si>
    <t>Developer of a fintech platform designed to solve daily stock investment needs and make the investment journey easy. The company's platform addresses the challenges of community-based investing globally, also solves a critical problem faced by millions of retailers when exiting a stock investment to ensure maximum return on investment, enabling people to join an online community of investors and influencers, sharing information, research, and investing to grow their wealth together.</t>
  </si>
  <si>
    <t>Aakash Anand, Ajay Pawah, Amaze, Bertelsmann India Investments, Chetan Nigam, Deep Bajaj, Envision Learning, First Step ventures, Google Accelerator, Himanshu Anand, InnoVen Capital, Jaideep Kumar, Jaspreet Batra, McKinsey &amp; Company, Mohit Bajaj, Neeraj Goswami, Oyo, Pritesh Talwar, Raheja Group, Rahul Gambhir, Rajat Khullar, Rashi Arora, Reliance Industries, Saahil Nayar, Samiullah Shaik, Sandeep Dongre, Tata AIA Life Insurance, Trinity Media Group, Vijay Rathi</t>
  </si>
  <si>
    <t>www.univest.in</t>
  </si>
  <si>
    <t>466045-66</t>
  </si>
  <si>
    <t>Fondo</t>
  </si>
  <si>
    <t>Developer of an all-in-one accounting platform designed to help new startups with their finances. The company's platform offers bookkeeping, tax filing, and other financial administrative operations like valuations, loans, and grants, enabling clients with financial support for their businesses and saving time.</t>
  </si>
  <si>
    <t>1121.vc, Advisors.Fund, Ali Ghanimati, Andreessen Horowitz, Brian Dixon, Capchase, Carlos Gotlib, Cheng Hu, DG Daiwa Ventures, Firstrock Capital, GMO Venture Partners, Greg Castle, Index Ventures, James Bernieri, Jeffrey Phillips, Jesse Sung, Jingru Ren, Juha Paananen, Kevin Wang, Keyvan Firouzi, Kush Patel, Liquid 2 Ventures, Mandela Dixon, Money Forward, Motley Fool Ventures, Muggle Ventures, NewDo Venture, Next Coast Ventures, Paria Rajai, Parth Bhakta, Pi Campus, Piyush Patel, Premlata Desai, Renn Ventures, Robert Trencheny, Stefan Gomez, Tibor Mozes, Topline Ventures, Transmedia Capital, Twenty Two Ventures, Y Combinator</t>
  </si>
  <si>
    <t>www.fondo.com</t>
  </si>
  <si>
    <t>458665-30</t>
  </si>
  <si>
    <t>PingLend</t>
  </si>
  <si>
    <t>Provider of asset-backed credit services intended for financial accessibility. The company provides secure credit using valuables as collateral, offering a digital card for immediate use and a physical card later, enabling individuals with limited credit history to build credit and access financial services without selling their assets.</t>
  </si>
  <si>
    <t>Activant Capital, Commerce Ventures, Core Innovation Capital, Great Oaks Venture Capital, Human Capital, NJF Capital, NOMO Ventures, OEL Ventures, OVO Fund, Plural (England), Soma Capital, Sozo Ventures, TruStage Ventures, Y Combinator</t>
  </si>
  <si>
    <t>www.getpesto.com</t>
  </si>
  <si>
    <t>489781-00</t>
  </si>
  <si>
    <t>Prism Data</t>
  </si>
  <si>
    <t>Developer of a cash flow underwriting and data analytics platform designed to provide essential open banking infrastructure. The company's platform takes raw transaction data from financial providers and transforms it into actionable insights to understand a consumer's credit risk, identity and income and provides advantages in a variety of contexts including payments, lending, insurance, personal financial management, fraud mitigation and real estate, enabling businesses to derive new insights from consumer-permission deposit account transaction data.</t>
  </si>
  <si>
    <t>10X Capital, Afore Capital, Brooklyn Bridge Ventures, Citigroup Alternative Investments, Core Innovation Capital, Gaingels, Noemis Ventures, Obvious Ventures, Plaid, RiverPark Ventures, Samsung NEXT Ventures, Story Ventures, Synchrony Ventures, The Social Entrepreneurs Fund, Third Prime, TruStage, Valar Ventures, Wormhole Capital</t>
  </si>
  <si>
    <t>www.prismdata.com</t>
  </si>
  <si>
    <t>466451-29</t>
  </si>
  <si>
    <t>RDC.AI</t>
  </si>
  <si>
    <t>Developer of a decision-making platform designed to power innovation, growth, efficiency, and uplifted experiences across the credit lifecycle. The company's platform generates advanced credit predictions and projections for businesses by leveraging transaction data and algorithms, enabling firms to have end-to-end visibility of the data and decision logic through self-describing decisions.</t>
  </si>
  <si>
    <t>Acorn Capital, Boman Group, nCino, Octava (Singapore), Westpac Banking</t>
  </si>
  <si>
    <t>www.rdc.ai</t>
  </si>
  <si>
    <t>267161-23</t>
  </si>
  <si>
    <t>Teylor</t>
  </si>
  <si>
    <t>Developer of an online lending platform designed to digitize credit processes. The company's platform helps to automate, reduce bureaucracy, and speed up the small and medium enterprises (SME) lending process, enabling businesses to borrow and get financing tailored to their needs.</t>
  </si>
  <si>
    <t>Barclays, Cedar Mundi Ventures, Didier Denat, Fasanara Capital, Ilavska Vuillermoz Capital, M&amp;G, Patrick Zbinden, PG3, Steinbeis (Stuttgart), TechQuartier, Weisshorn Asset Management, WENVEST Capital, zayex</t>
  </si>
  <si>
    <t>www.teylor.com</t>
  </si>
  <si>
    <t>465600-97</t>
  </si>
  <si>
    <t>Driva</t>
  </si>
  <si>
    <t>Operator of an online car finance platform intended to offer personalized car loan rates. The company's platform is an online marketplace for car loans where personalized, pre-qualified offers from a large panel of lenders are available, and it also navigates existing lenders in the market and obtains finance for new or used vehicles and other large life expenses, enabling customers to compare fees and loan terms and apply for loans.</t>
  </si>
  <si>
    <t>Carthona Capital, Invictus Ventures, Nicolas Scudamore-Smith, Stephen Dash</t>
  </si>
  <si>
    <t>www.driva.com.au</t>
  </si>
  <si>
    <t>557128-90</t>
  </si>
  <si>
    <t>AUDD (Financial Services)</t>
  </si>
  <si>
    <t>Developer of a regulated stablecoin infrastructure designed to issue, redeem, exchange, and distribute fully collateralised digital currencies pegged to national currencies. The company offers institutionally licensed stablecoin issuance, proprietary transaction infrastructure, and cross-border digital currency capabilities, enabling financial institutions, digital asset platforms, and enterprise users to transact with regulated digital currencies and access compliant blockchain-based settlement services.</t>
  </si>
  <si>
    <t>Hephzibah Financial, inWelt Holdings, Novatti Group</t>
  </si>
  <si>
    <t>www.audd.digital</t>
  </si>
  <si>
    <t>492766-12</t>
  </si>
  <si>
    <t>Augment Markets</t>
  </si>
  <si>
    <t>Developer of a trading platform designed to enable fast transactions in pre-initial public offering (pre-IPO) tech company shares. The company offers seamless buy and sell capabilities with live order access, enabling accredited investors, startup shareholders, venture capital firms, family offices, hedge funds, mutual funds, and sovereign wealth funds to trade private equity with speed, accessibility, and transparency.</t>
  </si>
  <si>
    <t>1121.vc, Accel, Bipul Sinha, Builders VC, CD Capital Advisory, Corp Capital, E1 Ventures, Golden Section, Michael Rosengarten, MSA Capital (Family Office), Neo (Consulting Services (B2B)), New Enterprise Associates, OPCO Ventures, Roger Dickey, Soham Mazumder, Veridical Ventures</t>
  </si>
  <si>
    <t>www.augment.market</t>
  </si>
  <si>
    <t>117287-56</t>
  </si>
  <si>
    <t>Filld</t>
  </si>
  <si>
    <t>Developer of a loan payment platform intended to offer fast and convenient lending services to customers. The company's platform offers online customer support, safe operations, and fast payments, and also tracks credit conditions with bad credit history, enabling clients to easily pay their loans online with no credit check and with instant approval.</t>
  </si>
  <si>
    <t>Parkland</t>
  </si>
  <si>
    <t>www.filld.org</t>
  </si>
  <si>
    <t>169830-46</t>
  </si>
  <si>
    <t>Jacobi</t>
  </si>
  <si>
    <t>Developer of a cloud-based multi-asset portfolio design and analytics platform designed to scale and customize institutional investment processes. The company's platform offers open architecture integration, portfolio optimization and risk analytics tools, customizable reporting, and a unified data engine, enabling asset managers, investment consultants, wealth managers, and asset owners to industrialize portfolio construction and enhance client engagement with greater efficiency and transparency.</t>
  </si>
  <si>
    <t>8VC, CE Innovation Capital, Credit Ease Venture Fund, Engine (Accelerator), Illuminate Ventures, LeFrak, Main Post Partners, PLG Ventures, Plug and Play Tech Center, QIC, Western Technology Investment</t>
  </si>
  <si>
    <t>www.jacobistrategies.com</t>
  </si>
  <si>
    <t>489030-76</t>
  </si>
  <si>
    <t>Koverly</t>
  </si>
  <si>
    <t>Developer of a financial technology platform designed to provide cross-border payments and trade financing. The company provides a financial technology platform that combines foreign exchange and credit into a single online payment tool, enabling small- to medium-sized businesses to manage global payments and split transactions into fixed weekly installments to improve cash flow.</t>
  </si>
  <si>
    <t>Accomplice VC, Framework Venture Partners, One Way Ventures, Vinyl Capital, Viola FinTech</t>
  </si>
  <si>
    <t>www.koverly.com</t>
  </si>
  <si>
    <t>117387-82</t>
  </si>
  <si>
    <t>LearnLux</t>
  </si>
  <si>
    <t>Developer of a financial and benefits education platform designed to help employees take control of their finances. The company blends digital lessons, interactive tools, and resources with on-demand access to financial advisors, enabling workforce mangers to ensure independent holistic financial well-being and decision-making.</t>
  </si>
  <si>
    <t>3Rodeo, Adam Nash, Big Loud Capital, Climate Investment, Crosslink Capital, David Brown, DCU FinTech Innovation Center, Dorm Room Fund, Entrepreneurs Roundtable Accelerator, Female Founders Fund, Fine Day Ventures, GC Venture Fellows, Good For Her, Impellent Ventures, J4.Ventures, January Ventures, Jennifer Keiser, Marc Benioff, MassChallenge, Maveron, Moai Capital, Scott Weller, Sorenson Capital, Sound Ventures, Techstars, Underscore VC</t>
  </si>
  <si>
    <t>www.learnlux.com</t>
  </si>
  <si>
    <t>231497-38</t>
  </si>
  <si>
    <t>Lenderwize</t>
  </si>
  <si>
    <t>Developer of a fintech platform designed to fund the digital economy. The company's platform validates the underlying assets and renders a full range of risk-mitigating services, enabling lenders to earn interest in the global digital industry.</t>
  </si>
  <si>
    <t>Fasanara Capital, FinTech Circle, Level39, Marcello Silvestri, Oliver Rothschild</t>
  </si>
  <si>
    <t>www.lenderwize.com</t>
  </si>
  <si>
    <t>469107-19</t>
  </si>
  <si>
    <t>Omniretail</t>
  </si>
  <si>
    <t>E-Commerce, FinTech, SaaS, Supply Chain Tech</t>
  </si>
  <si>
    <t>Developer of a unified distribution platform designed to optimize retail processes through supply chain visibility. The company's technology provides real-time sales tracking, automated inventory management, integrated payment processing, AI-powered sales tools, a logistics partner network, and digital credit assessment, enabling local businesses to manage trade transactions and restock inventory through a digital framework.</t>
  </si>
  <si>
    <t>Alitheia Capital, Aruwa Capital Management, Chandaria Capital, Chapel Hill Denham, Constant Ventures, Flour Mills of Nigeria, Full Circle Africa, Goodwell Investments, Hindsight Ventures, Launch Africa Ventures, LoftyInc Capital Management, Musha Ventures, Norfund, Pierre Bi, Rising Tide Africa, Seedstars International Ventures, Silverbacks Holdings, Start Path, Sunu Capital, Tangerine Life Insurance, Timon Capital, Tremis Capital, TVC Labs, V&amp;R Africa, Ventures Platform</t>
  </si>
  <si>
    <t>www.omniretail.africa</t>
  </si>
  <si>
    <t>416650-51</t>
  </si>
  <si>
    <t>Siteline</t>
  </si>
  <si>
    <t>Developer of billing and payment management software designed to facilitate efficient billing for busy contractors. The company's billing and payment management software helps clients to compile and submit billing paperwork in every format and allows finance and project management teams to put payment applications on autopilot by collaborating across invoice editing, compliance, lien waivers, pending and approved change orders, vendor management and more, enabling the clients to grow their business and build a better future for all of us.</t>
  </si>
  <si>
    <t>Brick &amp; Mortar Ventures, Designer Fund, First Round Capital, Menlo Ventures, South Park Commons</t>
  </si>
  <si>
    <t>www.siteline.com</t>
  </si>
  <si>
    <t>228919-33</t>
  </si>
  <si>
    <t>Vola Finance</t>
  </si>
  <si>
    <t>Operator of a neo-banking platform providing cash advances and credit-building tools to users. The company offers a secured credit card, rent reporting tools, and credit health dashboards, enabling users to build credit and improve financial stability.</t>
  </si>
  <si>
    <t>Credika, NextView Ventures, Node Ventures (Miami)</t>
  </si>
  <si>
    <t>www.volafinance.com</t>
  </si>
  <si>
    <t>537050-26</t>
  </si>
  <si>
    <t>Vega (London)</t>
  </si>
  <si>
    <t>Developer of wealth creation platform intended for the portfolio construction spectrum. The company's platform offers technology for allocating capital across the entire portfolio for diversified investing and high-yield cash accounts to bridge the gap between the institutional and private wealth management worlds, enabling investors to manage capital complemented by sophisticated liquidity and financial planning technologies.</t>
  </si>
  <si>
    <t>Apollo Global Management, Citi Ventures, Fuel Ventures, Gfc, Motive Partners, No Label Ventures, Odin Investments, Picus Capital, Scout Fund, VentureCEO</t>
  </si>
  <si>
    <t>www.vega-alts.com</t>
  </si>
  <si>
    <t>438808-42</t>
  </si>
  <si>
    <t>Alex.Bank</t>
  </si>
  <si>
    <t>Artificial Intelligence &amp; Machine Learning, FinTech, Mobile, Mortgage Tech, TMT</t>
  </si>
  <si>
    <t>Operator of a fully licensed digital challenger bank intended to focus on profitable markets and personal lending funds via deposits, creating a wide margin. The company is a holder of a full banking license and has a proprietary technology that is scalable and provides a friction-free straight-through process with future product releases involving small businesses and specialized mortgage markets, enabling customers with personalized experiences and fast onboarding.</t>
  </si>
  <si>
    <t>Alium Capital Management, Alvia Asset Partners, Classique Capital, Clinton Capital Partners, Findex Group, Regal Partners, SG Hiscock &amp; Company, Soul Patts, Wunala Capital</t>
  </si>
  <si>
    <t>www.alex.bank</t>
  </si>
  <si>
    <t>109385-74</t>
  </si>
  <si>
    <t>CloudMargin</t>
  </si>
  <si>
    <t>Developer of a cloud-based collateral and risk management platform designed to drive efficiency and reduce risk and costs for the world's banks, buy-side institutions, outsourcers, and corporates. The company's platform offers real-time reports on all collateral positions in order to facilitate straight-through processing through settlement and provides a single view of collateral, automates workflows, and helps institutions meet regulatory requirements, enabling financial institutions to meet time-critical regulatory deadlines and reduce costs associated with collateral requirements.</t>
  </si>
  <si>
    <t>Citigroup, DB1 Ventures, Deutsche Bank, Deutsche Bank Ventures, Deutsche Börse, IHS Markit, Illuminate Financial, Jefferies Financial Group</t>
  </si>
  <si>
    <t>www.cloudmargin.com</t>
  </si>
  <si>
    <t>88772-59</t>
  </si>
  <si>
    <t>RavenPack</t>
  </si>
  <si>
    <t>Operator of an alternative analytics platform intended to collect data and conduct financial analysis for actionable insights. The company's platform converts unstructured content into structured data that helps in the analysis and deployment of financial applications, enabling clients to enhance returns, manage risk, and increase efficiency by systematically incorporating the effects of public information in their models and workflows.</t>
  </si>
  <si>
    <t>European Investment Bank, FT Ventures, GP Bullhound, Linq Capital Sweden, Molten Ventures, Plug and Play Tech Center</t>
  </si>
  <si>
    <t>www.ravenpack.com</t>
  </si>
  <si>
    <t>163211-23</t>
  </si>
  <si>
    <t>NextMarkets</t>
  </si>
  <si>
    <t>Operator of trading software designed to help private investors to operate in a sustainable and educated manner on the stock exchange. The company's platform is easy-to-use and helps to invest in stocks including equities, foreign exchange, and other asset classes, as well as provides training and strategies for trading to new private investors, enabling users to understand the stock market and trade in an enhanced way.</t>
  </si>
  <si>
    <t>Alan Howard, Apeiron Investment Group, Axel Springer, Deutsche Effecten- und Wechsel-Beteiligungsgesellschaft, Extorel, Founders Fund, Growth Box Ventures, Heliad, Peter Thiel, Samara Asset Group</t>
  </si>
  <si>
    <t>www.nextmarkets.com</t>
  </si>
  <si>
    <t>501489-19</t>
  </si>
  <si>
    <t>AiPrise</t>
  </si>
  <si>
    <t>Operator of a global identity verification and know customer and business orchestration platform intended to help businesses manage their identity stack. The company's platform replaces complex and fragmented systems with a single, customizable solution that allows for the design of the ideal onboarding experience, an all-in-one platform for fraud prevention, risk mitigation, and compliance, providing access to business data points, enabling businesses to reliably expand into new markets while maintaining the highest security and compliance standards.</t>
  </si>
  <si>
    <t>Correlation Ventures, Greyhill Capital Partners, Hard Yaka, Headline, Hiro Capital, Immad Akhund, Liquid 2 Ventures, Mitesh Shah, Okta Ventures, Restive Ventures, Samvit Ramadurgam, Seth Weinstein, SixThirty Ventures, Trey Benedict, Twenty Two Ventures, Vijay Krishnan, Wedbush Ventures, Y Combinator</t>
  </si>
  <si>
    <t>www.aiprise.com</t>
  </si>
  <si>
    <t>234730-45</t>
  </si>
  <si>
    <t>Billd</t>
  </si>
  <si>
    <t>Developer of a construction financial system designed to address cash flow gaps caused by long payment cycles in construction projects. The company offers project-based credit limits and material financing, enabling contractors to cover upfront material costs and manage payments according to construction timelines.</t>
  </si>
  <si>
    <t>G8 Capital, HighSage Ventures, LL Funds, MissionOG, RJT Credit, Ulysses Capital, Ulysses Management</t>
  </si>
  <si>
    <t>www.billd.com</t>
  </si>
  <si>
    <t>438678-10</t>
  </si>
  <si>
    <t>iServeU Technology</t>
  </si>
  <si>
    <t>Operator of a B2B banking service infrastructure intended for full-stack payment, banking, and other financial services to enterprises. The company's services include payment acquiring, issuing, accounts, lending, withdrawal, deposit, remittance, insurance, and customer KYC, enabling clients to utilize banking facilities through an online platform.</t>
  </si>
  <si>
    <t>www.iserveu.in</t>
  </si>
  <si>
    <t>528822-55</t>
  </si>
  <si>
    <t>Nominal (Financial Software)</t>
  </si>
  <si>
    <t>Developer of a financial operation platform designed to automate accounting and financial management. The company's platform leverages artificial intelligence to standardize the chart of accounts, inter-entity transactions and centralize GAAP and non-GAAP financial data, enabling finance professionals to streamline workflow and reduce accounting errors.</t>
  </si>
  <si>
    <t>Bling Capital, Deloitte Launchpad, Fundamental Ventures, Growth Enjin Partners, Hyperwise Ventures, Mercer Ventures (New York), N47, Vela Partners, Workday Ventures</t>
  </si>
  <si>
    <t>www.nominal.so</t>
  </si>
  <si>
    <t>267861-97</t>
  </si>
  <si>
    <t>Sleek (Legal Services)</t>
  </si>
  <si>
    <t>FinTech, Legal Tech</t>
  </si>
  <si>
    <t>Provider of online corporate services intended to ease the process of company governance for entrepreneurs. The company's services include handling everything from incorporation, government, accounting, and taxes, to visas and regulatory compliance, enabling clients to manage their compliance online.</t>
  </si>
  <si>
    <t>Chandrima Das, Damien Alain, Damson Capital, David Sebastien Bachelier, EDBI, Ellerston Capital, Eric Barbier, Fabio Blom, Fintech Nation, Jungle Ventures, Martin Crawford, MI8 (Asia), Money Forward, Nikaia Ventures, Olivier Gerhardt, Olivier Legrand, Pierre Lorinet, Plug and Play Tech Center, SEEDS Capital, Sprouts Investments, Varun Mittal, White Star Capital</t>
  </si>
  <si>
    <t>www.sleek.com</t>
  </si>
  <si>
    <t>185190-13</t>
  </si>
  <si>
    <t>Haus (Real Estate Services (B2C))</t>
  </si>
  <si>
    <t>Developer of a real estate co-investing platform intended to bring flexibility and affordability to homeownership. The company's platform helps to invest alongside the owner, in exchange, homeowners get instant access to equity and discounted monthly payments, and also provide customized dashboards that track the value of the property, enabling real estate buyers to have an affordable and flexible way to own a home.</t>
  </si>
  <si>
    <t>Assurant Ventures, Correlation Ventures, Expa, H. Barton Asset Management, LEAP Global Partners, Montage Ventures, RIT Capital Partners, Timothy Ferriss</t>
  </si>
  <si>
    <t>www.haus.com</t>
  </si>
  <si>
    <t>466625-08</t>
  </si>
  <si>
    <t>Redswan Digital Real Estate</t>
  </si>
  <si>
    <t>Cryptocurrency/Blockchain, FinTech, Real Estate Technology</t>
  </si>
  <si>
    <t>Developer of a commercial real estate tokenization platform designed to transform the nature of capital markets tied to the commercial real estate industry. The company's platform is a private client catering to those interested in quality, commercial real estate investment opportunities, enabling owners and investors to receive early liquidity on high-quality, off-market real estate.</t>
  </si>
  <si>
    <t>Chloe Capital, StartAD</t>
  </si>
  <si>
    <t>www.redswan.io</t>
  </si>
  <si>
    <t>264990-25</t>
  </si>
  <si>
    <t>WeRize</t>
  </si>
  <si>
    <t>Developer of a full-stack financial services platform intended to serve underserved customers and traditional players in small towns. The company's freelancer social distribution technology platform uses data points to design customized credit, insurance, and savings products, helping customers get loans with ease, and better high-touch sales and after-sales.</t>
  </si>
  <si>
    <t>3one4 Capital, Alteria Capital, British International Investment, Kalaari Capital, Orios Venture Partners, Picus Capital, Sony Innovation Fund</t>
  </si>
  <si>
    <t>www.werize.com</t>
  </si>
  <si>
    <t>137746-36</t>
  </si>
  <si>
    <t>Altafid</t>
  </si>
  <si>
    <t>Operator of a financial advisor technology platform intended to streamline operations and improve the economic well-being of individuals through affordable access to global finance. The company's platform merges industry-leading asset management and dedicated wealth consultants to provide investors with wealth management and offers an investment product marketplace, enabling financial professionals to optimize efficiency and drive success.</t>
  </si>
  <si>
    <t>www.altafid.com</t>
  </si>
  <si>
    <t>897220-09</t>
  </si>
  <si>
    <t>Clearing Co of San Francisco</t>
  </si>
  <si>
    <t>Provider of decentralized market infrastructure intended to facilitate decentralized contractual trading based on real-world outcomes. The company offers an on-chain, permissionless architecture with composable APIs for accessing and executing a wide range of outcome-linked contracts, integrates cross-market payout mechanisms and liquidity protocols, and is built to handle diverse market categories from sports to politics and culture, enabling property managers to streamline financial operations, improve transparency, and maintain accurate bookkeeping across multiple properties efficiently.</t>
  </si>
  <si>
    <t>Asylum Ventures, Compound (New York), Cursor Capital, Earl Grey Capital, Frederick Wilson, Haun Ventures Management, Rubik Ventures (New York), Union Square Ventures, Variant (Brooklyn)</t>
  </si>
  <si>
    <t>www.clearing.co</t>
  </si>
  <si>
    <t>516132-46</t>
  </si>
  <si>
    <t>Clerq</t>
  </si>
  <si>
    <t>Developer of a bank payment platform designed to facilitate direct payments from customer bank accounts. The company offers features such as guaranteed payment processing, configurable account verification, branded invoicing, real-time payment tracking, automated payouts, and risk elimination for merchants, enabling businesses in retail, automotive, and travel sectors to reduce payment costs and improve payment experience while maintaining compliance and security standards.</t>
  </si>
  <si>
    <t>645 Ventures, Coalition Operators, Commerce Ventures, Dash Fund, Fika Ventures, FirstMark Capital, Friedkin Automotive, Yossi Levi</t>
  </si>
  <si>
    <t>www.clerq.io</t>
  </si>
  <si>
    <t>529067-62</t>
  </si>
  <si>
    <t>PayAmigo</t>
  </si>
  <si>
    <t>Developer of a modern payment platform intended to instantly accept payments in emerging markets. The company's platform offers services such as local payments to the treasury, customer support, tax payments, and cross-border remittance, enabling digital merchants to make secure payments.</t>
  </si>
  <si>
    <t>Commerce Ventures, Frank Mastrangelo, SUM Ventures</t>
  </si>
  <si>
    <t>www.payamigo.com</t>
  </si>
  <si>
    <t>720594-91</t>
  </si>
  <si>
    <t>RedotPay</t>
  </si>
  <si>
    <t>Developer of a digital asset payment infrastructure designed to transform the way individuals and businesses transact using cryptocurrencies. The company offers blockchain-based payment products that facilitate spending and transferring digital assets, thereby serving unbanked populations and crypto users to access fast, cost-efficient financial services.</t>
  </si>
  <si>
    <t>Accel, Blockchain Capital, Circle Ventures, Coinbase Ventures, DST Global, Galaxy Ventures (New York), Goodwater Capital, HSG (Hong Kong), Lightspeed Venture Partners, Pantera Capital, Vertex Ventures China</t>
  </si>
  <si>
    <t>www.redotpay.com</t>
  </si>
  <si>
    <t>438224-59</t>
  </si>
  <si>
    <t>Yotta (Financial Software)</t>
  </si>
  <si>
    <t>Developer of a digital banking platform designed to encourage individuals to save more. The company's platform uses behavioral psychology to help users build savings habits by offering a chance to win prizes just by saving in the form of a lottery and managing finances, enabling users to save more money and win prizes.</t>
  </si>
  <si>
    <t>Astir Ventures, Base10 Partners, Browder Capital, Calm Ventures, CapitalX, Chapter One, Clifford Asness, Core Innovation Capital, Founders First, FundersClub, Graham Stephan, Greg Lerner, Jeremy Levine, Jerod Mayo, Jordan Fliegel, Karen Karniol-Tambour, Kenneth Moelis, Kishore Ganji, Kube VC, Makai VC, Matt Hooker, Nat Turner, Nathaniel Turner, Night Ventures, Nullah Sarker, Oleg Naydonov, Ramanan Raghavendran, Realm Capital Ventures, Slow Ventures, Twenty Two Ventures, William de Wulf, Witz Ventures, Y Combinator, Zachary Weinberg</t>
  </si>
  <si>
    <t>www.withyotta.com</t>
  </si>
  <si>
    <t>489884-95</t>
  </si>
  <si>
    <t>BKN301</t>
  </si>
  <si>
    <t>Developer of a financial technology platform designed to give full access to trade and development opportunities. The company provides payment services, e-money issuing, acquiring and banking-as-a-service (BaaS) functionality, enabling fintech companies to create a high-quality customized product; improve financial services and being able to generate new revenue streams.</t>
  </si>
  <si>
    <t>Abalone Group, Aldo Fumagalli, Alisei Forinvestment, Azimut Libera Impresa, Banca Agricola Commerciale, Cassa di Risparmio di San Marino, CDP Venture Capital (Rome), CRIF, Fabio Nalucci, Federico Ghizzoni, FNDX, Gellify, GNB Swiss Investments, Gregorio Napoleone, PayU, Prosus, Simest, SM Capital (San Marino)</t>
  </si>
  <si>
    <t>www.bkn301.com</t>
  </si>
  <si>
    <t>590829-22</t>
  </si>
  <si>
    <t>Farsight</t>
  </si>
  <si>
    <t>Artificial Intelligence &amp; Machine Learning, FinTech, InsurTech</t>
  </si>
  <si>
    <t>Developer of an artificial intelligence-based automation platform designed to automate financial deliverables. The company's platform analyzes a firm's historical work, proprietary data, and client relationship records to generate complete presentations, financial models, and written memoranda that reflect established formatting, tone, and analytical style, enabling investment banking, private equity, wealth management, and hedge fund teams to produce finished materials faster while maintaining consistency.</t>
  </si>
  <si>
    <t>Bank of America, Blackstone, Gaingels, K5 Global, K5 Ventures, Link Ventures, Massachusetts Institute of Technology, Oaktree Solutions (Public Affairs), RRE Ventures, S&amp;P Global, Searchlight Resources, SignalFire</t>
  </si>
  <si>
    <t>www.farsight-ai.com</t>
  </si>
  <si>
    <t>512955-91</t>
  </si>
  <si>
    <t>Macellan SuperApp</t>
  </si>
  <si>
    <t>Developer of a digital wallet platform designed to let customers take advantage of the campaigns and pay securely. The company's platform collects wallets and campaigns of brands from different sectors and facilitates users to access the wallets of the brands for payments, enabling customers to share their wallet balance to purchase products and increase customer loyalty to the businesses.</t>
  </si>
  <si>
    <t>APY Ventures, Fonangels, İstinye Garage Incubation, QInvest Portföy, Turcorn 100, Visa Innovation Program</t>
  </si>
  <si>
    <t>www.macellan.app</t>
  </si>
  <si>
    <t>279628-66</t>
  </si>
  <si>
    <t>Zeal (San Francisco)</t>
  </si>
  <si>
    <t>Developer of a campaign tracking platform designed to automate payroll for hourly workers. The company's platform eliminates needless complexity and extraneous details to provide robust, scalable, and flexible integrations, enabling companies to integrate and automate hours of operational overhead and reduce opportunities for human error.</t>
  </si>
  <si>
    <t>Bob Manne, BoxGroup, Charley Ma, Cohen Circle, Commerce Ventures, Cyan Banister, Form Capital, Helen Min, Jason Gardner, Kevin Moore, Long Journey Ventures, Lorimer Ventures, Matt Straz, Mitchell Dauerman, Nico Chinot, Omri Dahan, Patrick Gannon, Portage, Robert Manne, Scott Banister, Spark Capital, Vlad Tenev, Y Combinator</t>
  </si>
  <si>
    <t>www.zeal.com</t>
  </si>
  <si>
    <t>470561-59</t>
  </si>
  <si>
    <t>Majoo</t>
  </si>
  <si>
    <t>Developer of a software-as-a-service platform designed to help digitize small and medium-sized enterprise businesses. The company's platform allows connecting the largest digital ecosystem for small businesses to grow their sales and reach customers with the help of digital applications, enabling small and medium businesses to improve and grow their business, creating more entrepreneurs to accelerate the digital economy.</t>
  </si>
  <si>
    <t>ACV Capital, Alpha Protocol Ventures, Beacon Venture Capital, BRI Ventures, Divine Blessings Investments Ltd, Djemi Suhenda, Hedosophia, HS Investments, Quona Capital, Xendit</t>
  </si>
  <si>
    <t>www.majoo.id</t>
  </si>
  <si>
    <t>459998-74</t>
  </si>
  <si>
    <t>OpenEnvoy</t>
  </si>
  <si>
    <t>Artificial Intelligence &amp; Machine Learning, B2B Payments, FinTech, Supply Chain Tech</t>
  </si>
  <si>
    <t>Developer of financial software designed to solve fraud through accounts payable automation. The company's software provides invoice auditing without intervention, focusing on safeguarding businesses against excessive vendor charges, enabling companies to achieve an immediate ROI and maintain real-time visibility throughout their supplier network at a predictable monthly cost.</t>
  </si>
  <si>
    <t>01 Advisors, Adapt Ventures, Allen Chang, Ammar Amdani, Ben Rubinstein, Cherian Mathew, Coelius Capital, Daniel Mathon, Ed Roman, Fernando Pontaza, Firebolt Ventures, Glen Bailey, Gokul Rajaram, Hack VC, Hands On Angel, John-Paul Gallo, Kevin Moore, Lawrence Chu, Mango.vc, Mihir Nanavati, Natural Bridge Ventures, Naval Ravikant, Pirque, Richard Boutin, Riot Ventures, Risto Lahdesmaki, RRE Ventures, Salil Deshpande, Sameed Musvee, Samir Pathak, Stephen Walsh, Stonewater Ventures, Uncorrelated Ventures, Vineet Buch, Visa, Zachery Coelius, ZEBOX</t>
  </si>
  <si>
    <t>www.openenvoy.com</t>
  </si>
  <si>
    <t>357421-78</t>
  </si>
  <si>
    <t>Routefusion</t>
  </si>
  <si>
    <t>Developer of cross-border payments software designed to connect with multiple banking and local payout partners around the globe. The company's software automates the manual back-and-forth banking processes through centralized application programming interfaces, speeds up the transaction process, and saves end-users money, enabling financial clients to begin offering cross-border payments.</t>
  </si>
  <si>
    <t>Aldrin Clement, Canvas Prime, Forum Ventures, Haymaker Ventures, Initialized Capital, Next World Capital, PeakSpan Capital, Right Side Capital Management, Sherwin Gandi, Silverton Partners, William Hockey</t>
  </si>
  <si>
    <t>www.routefusion.com</t>
  </si>
  <si>
    <t>501689-89</t>
  </si>
  <si>
    <t>Sunbound</t>
  </si>
  <si>
    <t>Developer of a financial workflow and claims management software designed to streamline payment operations for senior living care providers. The company's platform manages private payments and Medicare and Medicaid claims in a unified environment, offering tools for accounts receivable tracking, reimbursement processing, and cash flow monitoring, enabling senior living facility operators and administrative staff to simplify the business side of care, reduce manual back-office effort, and achieve more predictable, timely revenue collection.</t>
  </si>
  <si>
    <t>Bling Capital, Cambrian Fintech, Fika Ventures, Fundamental Ventures, Greg Arrese, Liquid 2 Ventures, Live Oak Ventures, Max Ventures, Mu Ventures, Not Boring, Omega Healthcare Investors, Ride Ventures, TTV Capital, Upper90 Capital Management</t>
  </si>
  <si>
    <t>www.sunbound.ai</t>
  </si>
  <si>
    <t>435271-60</t>
  </si>
  <si>
    <t>Dengta Financial</t>
  </si>
  <si>
    <t>Big Data, FinTech, TMT</t>
  </si>
  <si>
    <t>Developer of an intelligent financial platform designed to provide investment and financial services. The company's platform aims to provide convenient investment and financial advises to investors and enables them to invest in securities with more confidence and potential opportunities.</t>
  </si>
  <si>
    <t>Kaitai Capital, Kincang Capital</t>
  </si>
  <si>
    <t>www.dengtacj.com</t>
  </si>
  <si>
    <t>233541-46</t>
  </si>
  <si>
    <t>AkinovA</t>
  </si>
  <si>
    <t>Developer of an electronic marketplace designed to transfer and trade the risk of insurance. The company's platform offers to assist in bringing together all parts of the insurance value chain where insurance and reinsurance-related risk can be traded, enabling customers to minimize frictional costs and speed up the execution of insurance.</t>
  </si>
  <si>
    <t>FinTLV Ventures, FJ Labs, Hiscox, Jack Klinck, MS&amp;AD Ventures, Plug and Play Tech Center, XTX Ventures</t>
  </si>
  <si>
    <t>www.akinova.com</t>
  </si>
  <si>
    <t>57932-65</t>
  </si>
  <si>
    <t>Meniga</t>
  </si>
  <si>
    <t>Developer of a digital banking platform designed to improve the online and mobile digital banking environment. The company's digital banking platform provides a framework for next-generation digital banking around advanced data consolidation and enrichment, meaningful customer engagement and new revenue opportunities, enabling financial institutions to dramatically improve and strengthen their customers' relationships.</t>
  </si>
  <si>
    <t>British Business Bank, Chris Skinner, Crealogix, Credit Agricole, Credito Agricola, Frumtak Ventures, Government of UK, Groupe BPCE, Industrifonden, Investa (Iceland), Íslandsbanki, Kjolfesta, NFT Ventures, Nordea Bank, Northzone Ventures, Nýsköpunarsjóður, Omega ehf, Swedbank Robur, UK FF Nominees, UniCredit, UniCredit EVO, Velocity Capital Fintech Ventures</t>
  </si>
  <si>
    <t>www.meniga.com</t>
  </si>
  <si>
    <t>512821-81</t>
  </si>
  <si>
    <t>Ease Capital</t>
  </si>
  <si>
    <t>Operator of a lending platform intended to help people to get pre-approved, reliable loan offers. The company's platform aims at getting borrowers approved for a loan, with competitive loan terms and it uses a human-centric, technology-driven approach to finance multifamily properties, enabling borrowers to match with a loan officer that is suited to their needs.</t>
  </si>
  <si>
    <t>Brewer Lane Ventures, Cambrian Capital, Cambrian Fintech, Evolution (Venture Capital), Laconia Capital Group, Mischief, Nine Four Ventures, Vera Equity</t>
  </si>
  <si>
    <t>www.easecapital.com</t>
  </si>
  <si>
    <t>865679-14</t>
  </si>
  <si>
    <t>Ubyx</t>
  </si>
  <si>
    <t>Developer of a stablecoin clearing system designed to transform stablecoins into digital cash equivalents. The company offers a clearing system that enables financial providers to offer redemption at face value by collecting the full amount from many issuers in multiple currencies through a rulebook agreed upon by all parties, enabling customers to accept and redeem stablecoins as seamlessly as fiat currency into their existing financial services accounts, receiving stablecoins from many issuers, on many blockchains, in many currencies.</t>
  </si>
  <si>
    <t>AB Xelerate, Barclays, Boku, Coinbase Ventures, Founders Fund, Fuse Incubator, Galaxy Interactive, Galaxy Ventures (New York), LayerZero, Mirana Ventures, Monerium, Paxos, Payoneer, VanEck</t>
  </si>
  <si>
    <t>www.ubyx.xyz</t>
  </si>
  <si>
    <t>454278-52</t>
  </si>
  <si>
    <t>Lendflow</t>
  </si>
  <si>
    <t>Developer of an embedded lending infrastructure platform designed for institutions to integrate financial products into their platforms. The company's platform enables users to embed credit offerings, automate loan decision workflows, and access a lender marketplace, incorporating real-time data analysis and customizable credit models, enabling financial institutions to improve customer engagement, streamline financing processes, and expand access to capital through efficient and scalable lending operations.</t>
  </si>
  <si>
    <t>2048 Ventures, Ardent Venture Partners, Derive Ventures, Eagle Point Trinity Senior Secured Lending Company, Frontier Ventures, GTMfund, Hack VC, I2BF Global Ventures, Knoll Ventures, Navitas Capital, Plug and Play Tech Center, Quint Capital, The Finger Group, Trajectory Ventures, Trinity Capital (Phoenix), Uncorrelated Ventures, Underscore VC, Y Combinator</t>
  </si>
  <si>
    <t>www.lendflow.com</t>
  </si>
  <si>
    <t>226680-67</t>
  </si>
  <si>
    <t>Incomlend</t>
  </si>
  <si>
    <t>Developer of an invoice financing platform designed to connect businesses and private funders. The company's platform serves as a marketplace where suppliers can sell their invoices online to individuals or to companies willing to purchase them, enabling suppliers to obtain cash in exchange for a discount rate paid to the funders of the invoices.</t>
  </si>
  <si>
    <t>CMA CGM, International Finance Corporation, Olivier Hamy, Peak XV Partners, Scaler8, Sequoia Capital</t>
  </si>
  <si>
    <t>www.incomlend.com</t>
  </si>
  <si>
    <t>500906-53</t>
  </si>
  <si>
    <t>Finanex</t>
  </si>
  <si>
    <t>Operator of a finance platform intended to offer digital trade finance support to underserved food exporters shipping worldwide. The company's platform offers finance solutions for food exports, navigating the ups and downs of agriculture, production, and same-day funding with personalized service, enabling food exporters to support the export potential and volume of small and medium-sized agribusiness by generating a sustainable impact in vulnerable rural communities.</t>
  </si>
  <si>
    <t>4UM Investimentos, ASCVC, Carao Ventures, Draft Ventures, Enlaces, Flori Ventures, G2 Momentum Capital, GLOCAL (Argentina), Honey Island Capital, Innogen Capital Ventures, Latitud, Nazca, Newlin</t>
  </si>
  <si>
    <t>www.finanex.io</t>
  </si>
  <si>
    <t>118147-15</t>
  </si>
  <si>
    <t>Perpay</t>
  </si>
  <si>
    <t>Developer of a lending and payment platform designed to make purchases more accessible and affordable. The company's platform extends an income-based spending limit supported by automated direct deposit payments, enabling individuals to have stable repayment behavior, significant credit score increases, and high rates of engagement.</t>
  </si>
  <si>
    <t>First Round Capital</t>
  </si>
  <si>
    <t>www.perpay.com</t>
  </si>
  <si>
    <t>437037-58</t>
  </si>
  <si>
    <t>Doorvest</t>
  </si>
  <si>
    <t>Provider of real estate investing services intended to help produce income through private real estate. The company's platform provides complete transparency via a comprehensive breakdown of monthly cash flow, property activity, legal documents, and reports through an investor dashboard, enabling users to unlock homeownership, passive income, and equity by investing in properties online.</t>
  </si>
  <si>
    <t>1121.vc, Adam Nash, Ajay Yadav, Albert Cheng, Alumni Ventures, Andrew Wynn, Beyond (Greenwich), Cody Heisinger, Dorm Room Fund, Ethos Fund, Gaingels, Hike Ventures, Honey Stone VC, Invicta Ventures, Kyle Tibbitts, M13, Makai VC, Marcus Ridgway, Markus Ridgeway, Matthew Romaine, Michael Jue, Mucker Capital, Paradox Capital (United States), Relumin, Socially Financed, Sprint VC, SuperAngel.Fund, Titan Holdings, Tom Willerer, Twenty40 Ventures, Uncharted Ventures (San Francisco), Visary Capital</t>
  </si>
  <si>
    <t>www.doorvest.com</t>
  </si>
  <si>
    <t>235241-38</t>
  </si>
  <si>
    <t>Osome</t>
  </si>
  <si>
    <t>Developer of an enterprise management software designed for the business automation of administrative services. The company's software uses artificial intelligence to offer business registration, company record keeping, accounting, filing of annual returns, corporate secretary services and payroll management, enabling small and medium firms to focus and grow their business without hassle.</t>
  </si>
  <si>
    <t>500 Global, ACE Ventures (Geneva), AdFirst, AFG Partners, Alexander Gavrilov, Alpha Protocol Ventures, AltaClub, AltaIR Capital, Bennett Holmes, Constructor Capital, Cyberport Hong Kong, Enterprise Singapore, Expansion Capital, Florian Hoppe, Giant Steps Capital, Hustle Fund, Illuminate Financial, LVL1 Group, Mark Shmulevich, Masik Enterprises, Maya Hari, Pagil, Peng Ong, Phystech Ventures, Ross Veitch, S16VC, Samuel Jeanblanc, Target Global, Terra.VC, Thanesphongse Charusadhirakul, XA Network</t>
  </si>
  <si>
    <t>www.osome.com</t>
  </si>
  <si>
    <t>222818-77</t>
  </si>
  <si>
    <t>XmeBank</t>
  </si>
  <si>
    <t>Operator of a financial services platform intended to serve the people in China. The company's platform utilizes big data collection and analytics to offer services on loans, credit, and other financial support for restaurants, enabling them to secure financing in a more transparent and efficient way.</t>
  </si>
  <si>
    <t>100Partner Capital, Albatross Venture, Linkage Software (Financial Software), Meridian Capital China, New Access Capital, Plug and Play Tech Center, QS Capital</t>
  </si>
  <si>
    <t>www.xmebank.com</t>
  </si>
  <si>
    <t>146932-84</t>
  </si>
  <si>
    <t>Mypinpad</t>
  </si>
  <si>
    <t>Provider of software-based payment acceptance technology designed to enable secure card and cardless transactions on commercial mobile devices.
The company's platform uses SoftPOS to turn NFC-enabled smartphones and tablets into payment acceptance terminals, supports contact and contactless card payments and authentication, integrates with existing payment infrastructure, complies with, PCI-DSS, PCI-PIN and PCI MPoC standards, enabling banks, acquirers, payment service providers and merchants to accept in-person digital payments with reduced hardware dependency and enhanced security.</t>
  </si>
  <si>
    <t>Crossfin Holdings, Future Fund Ventures, Marbruck Investments, RAW Capital Partners, Tech Nation Group, Various (Acquired)</t>
  </si>
  <si>
    <t>www.mypinpad.com</t>
  </si>
  <si>
    <t>113290-84</t>
  </si>
  <si>
    <t>Climb (Consumer Finance)</t>
  </si>
  <si>
    <t>Operator of a student lending and payment platform designed to make career creation and transformation accessible, affordable, and accountable. The company's platform identifies programs and schools with a demonstrated ability to improve the earnings of their graduates, enabling learners with financing options that are priced and structured to meet their needs, and empowering students to unlock their career potential irrespective of their credit profile.</t>
  </si>
  <si>
    <t>1/0 Capital, Acumen America, Acumen Fund, Chaos Ventures (New York), Corazon Capital, Elizabeth Tse, Financial Health Network., Gaingels, GingerBread Capital, Impact Engine, JFFVentures, Learn Capital, Michael Sidgmore, Montage Ventures, New Markets Venture Partners, Newfund Management, Scott Hartley, Seer Capital, Sprint VC, The Social Entrepreneurs Fund, Third Prime, TruStage Ventures, Two Culture Capital</t>
  </si>
  <si>
    <t>www.climbcredit.com</t>
  </si>
  <si>
    <t>183671-29</t>
  </si>
  <si>
    <t>Qichacha</t>
  </si>
  <si>
    <t>Developer of a corporate inquiry tool designed to provide users with quick access to business information. The company's platform provides business information, corporate shareholders information, lawsuit dishonesty information and annual reports, enabling enterprises and investors to better understand the businesses they are interested in.</t>
  </si>
  <si>
    <t>Beijing Cultural Investment Development Group, Business Big Data, Citic Securities Investment, Granview Investment, K2VC, Ningbo Junan Holdings, Pengyuan Credit, Ren Capital, Shanghai Guofang Fund of Funds Equity Investment Management, Shenzhen CDF Capital, Suda Tiangong, Wind Information, Xingfu Investment Management</t>
  </si>
  <si>
    <t>www.qcc.com</t>
  </si>
  <si>
    <t>460207-45</t>
  </si>
  <si>
    <t>Nudge</t>
  </si>
  <si>
    <t>Provider of prepaid credit cards intended to realize financial inclusion in Japan through the challenger bank business. The company's credit cards help users to complete applications, issuance procedures, and various inquiries with a smartphone application without the need to deposit in advance, enabling consumers to have meaningful financial experiences and make a cashless life more enjoyable through overuse prevention functions and club functions.</t>
  </si>
  <si>
    <t>Apricot Ventures, Bellsystem24 Holdings, D4V, DG Daiwa Ventures, FINOLAB, Genesia Ventures, Hakuhodo DY Ventures, Headline, Insignia Ventures Partners, Itochu, KDDI Ventures Program, Mint (Japan), Mitsubishi, Morgan Stanley, MUFG Innovation Partners, Nobunaga Capital Village, One Capital (Tokyo), Open Network Lab, Resona Bank, Saison Ventures, Seven Bank, Skiyaki, SMBC Venture Capital, Sony Innovation Fund, Spiral Capital (Tokyo), Sumisho Venture Partners, TISI ( IT Consulting and Outsourcing), Toppan Holdings</t>
  </si>
  <si>
    <t>www.nudge.works</t>
  </si>
  <si>
    <t>157441-51</t>
  </si>
  <si>
    <t>Adroit Trading Technologies</t>
  </si>
  <si>
    <t>Developer of an over-the-counter trading platform designed to eliminate inefficiencies in the investment process. The company's platform helps in trading through aggregating liquidity, evaluating securities, supporting regulatory requirements, and providing industry-leading transaction cost analysis, enabling investment professionals to make quick and actionable decisions, and the systematic, algorithmic approach to trading that investors demand.</t>
  </si>
  <si>
    <t>Centana Management</t>
  </si>
  <si>
    <t>www.adroit-tt.com</t>
  </si>
  <si>
    <t>438219-10</t>
  </si>
  <si>
    <t>Afriex</t>
  </si>
  <si>
    <t>Developer of a digital wallet application designed to facilitate cross-border money transfers. The company's application helps to send, receive and make payments overseas at current exchange rates coupled with withdrawal alternatives to assist users, enabling customers to streamline payments and transactions.</t>
  </si>
  <si>
    <t>10X Capital, A$AP Capital, Adaverse, Andrea Vaccari, Andreessen Horowitz, Brightstone Venture Capital, Circle Ventures (Boston), Dragonfly Capital (San Francisco), EMURGO Ventures, Founders, Inc, Furqan Rydhan, Future Africa, Gaingels, GoldenTree Asset Management, Goodwater Capital, Gravity Fund, HSG (Hong Kong), IverNet Holdings, Launch Africa Ventures, Mandela Dixon, Michael Sidgmore, Mount Auburn Venture Partners, Open Opportunity Fund, Precursor Ventures, Processus Capital, Russell Smith, R-Ventures, Silverbacks Holdings, SoftBank Group, Stellar (Financial Software), Uncommon Ventures, Vibe Capital, Y Combinator</t>
  </si>
  <si>
    <t>www.afriex.com</t>
  </si>
  <si>
    <t>170019-10</t>
  </si>
  <si>
    <t>Agent IQ</t>
  </si>
  <si>
    <t>Developer of a relationship banking platform designed to enhance digital relationships between financial institutions and their account holders. The company's platform offers AI-powered self-service chatbots for instant answers and assists internal staff with AI-powered guidance, supporting various communication channels like SMS, social media, and web chat, enabling banks and credit unions to strengthen customer relationships, increase satisfaction, and drive growth.</t>
  </si>
  <si>
    <t>7BC Venture Capital, Acronym Venture Capital, Bankers Helping Bankers Fund, First National Bank of Omaha, GrowthX Capital, Hunt Technology Ventures, Joshua Siegel, Mat Kaliski, Matthew Lee, Mendon Venture Partners, Ori Sasson, Plug and Play Tech Center, Rubicon Venture Capital, Sierra Ventures, The Founders Arena, The Venture Center</t>
  </si>
  <si>
    <t>www.agentiq.com</t>
  </si>
  <si>
    <t>139725-10</t>
  </si>
  <si>
    <t>Aliaswire</t>
  </si>
  <si>
    <t>Developer of payment and receivables technology designed to enable digital transaction management for enterprises and financial platforms. The company's platform offers embedded payment integration, receivables management, and flexible API-based capabilities, enabling enterprises, software platforms, and financial institutions to process and manage payments within their systems.</t>
  </si>
  <si>
    <t>Bigfoot Capital, Stage 1 Ventures</t>
  </si>
  <si>
    <t>www.aliaswire.com</t>
  </si>
  <si>
    <t>468973-09</t>
  </si>
  <si>
    <t>Bankuish</t>
  </si>
  <si>
    <t>Developer of credit scoring software designed for simplified access to pre-approved loans and financial services. The company's platform offers AI-enabled tools for assigning alternative credit scores to individuals based on data from marketplace-app work histories to provide loans, insurance, and a digital wallet for making online payments, as well as tools to grow their credit score, enabling gig workers and freelancers leverage their work history data to demonstrate their creditworthiness and banks gain new customers, manage risk and improve customer relationships.</t>
  </si>
  <si>
    <t>4YFN, Adrian Garcia-Aranyos, Alejandro Ponce, Amarena, Ariel Lambrecht, Daniel Bilbao, Diego Libanio, Endeavor Miami, Endless Frontier Labs, GIFT International Fintech Innovation Hub, Global Founders Capital, Google Accelerator, Grupo Bolívar, Guilherme Bonifácio, Intuit, Intuit Canada, Joao Costa, Latitud, Lightspeed Venture Partners, Plug and Play Tech Center, Proximity Angels, Recharge Capital, SantanderX, Spectra Investments, Tomas Braun, Wayra, Wollef</t>
  </si>
  <si>
    <t>www.bankuish.com</t>
  </si>
  <si>
    <t>266565-79</t>
  </si>
  <si>
    <t>MBI</t>
  </si>
  <si>
    <t>Cybersecurity, FinTech, SaaS</t>
  </si>
  <si>
    <t>Developer of a modular banking infrastructure designed to streamline customer engagements and core business operations. The company's platform provides a customizable middleware layer, allowing teams to view and action information across vendors, systems, and products, and offers automated reporting, fraud detection systems, and risk management frameworks, enabling financial institutions to drive growth, boost cross-sell, and win more customers.</t>
  </si>
  <si>
    <t>Accomplice VC, Acrew Capital, Andrew Wilkinson, Atacama Ventures, Castle Creek Capital, HVF Labs, Index Ventures, Jonathan Soberg, Launchpad Capital, Max Levchin, Mucker Capital, Pelion Venture Partners, Rajesh Patel, Slow Ventures, Walkabout Ventures, Westbound Equity Partners</t>
  </si>
  <si>
    <t>www.getmbi.com</t>
  </si>
  <si>
    <t>109037-53</t>
  </si>
  <si>
    <t>Plum Lending</t>
  </si>
  <si>
    <t>Developer of an artificial intelligence-driven commercial lending platform and sales automation software designed to transform the commercial real estate ownership experience. The company's platform automated prospect reactivation workflows, multi-channel outreach tools for LinkedIn and SMS, and data enrichment modules that automatically update lead contact information, enabling commercial lenders and brokerage firms to scale their pipeline growth and improve conversion rates.</t>
  </si>
  <si>
    <t>Douglas Atkin, Elliott Investment Management, Mac Hofeditz, QED Investors, Renren Lianhe, Reshape Ventures, Resolute Capital Partners, SenaHill Partners, SoftBank Group, Tiburon</t>
  </si>
  <si>
    <t>www.plumlending.com</t>
  </si>
  <si>
    <t>235216-63</t>
  </si>
  <si>
    <t>Productfy</t>
  </si>
  <si>
    <t>Developer of an embedded finance platform designed to help organizations launch financial products in a safe, compliant, and efficient manner. The company's platform offers a white-label, zero-code tool that helps to integrate financial products into their own applications, websites, and platforms, without the need for extensive technical expertise, enabling financial institutions, fintech startups, and enterprises to bring secure financial products to market quickly and efficiently.</t>
  </si>
  <si>
    <t>500 Global, Binh Tran, CM Ventures, Doon Capital, Miles Mulcare, Plug and Play Tech Center, Point72 Ventures, Thomson Nguyen, Yodlee</t>
  </si>
  <si>
    <t>www.productfy.io</t>
  </si>
  <si>
    <t>897309-73</t>
  </si>
  <si>
    <t>Synervest</t>
  </si>
  <si>
    <t>Developer of a global fintech infrastructure platform designed to deliver scalable, compliance-led solutions for institutional trading, payments and financial technology. The company offers a unified and highly interconnected ecosystem across regulated trading, payments and fintech services, enabling customers to access scalable, cross-border financial infrastructure that meets the highest regulatory standards.</t>
  </si>
  <si>
    <t>CMT Digital Holdings, Jura Investment Group</t>
  </si>
  <si>
    <t>www.synervest.group</t>
  </si>
  <si>
    <t>185956-30</t>
  </si>
  <si>
    <t>Moshpit Technologies</t>
  </si>
  <si>
    <t>Developer of personal finance management application designed to make it seamless for any business to provide tailored credit products to customers and partners. The company's application absorbs all the complexity from lending, builds a state-of-the-art credit infrastructure and risk intelligence suite that makes business easy and allows companies to focus on building the business while taking care of the credit, developed cutting-edge products have power millions of credit assessments a month through proprietary alternative credit scoring algorithm, enabling lenders to take back control of their financial life through engaging analysis of their spending and recommendations when they need them.</t>
  </si>
  <si>
    <t>A91 Partners, Anup Pai, Arali Ventures, Flipkart Ventures, Microsoft for Startups, Start Tank Incubator, Startup Haryana, TMRW (Aditya Birla Digital Fashion Ventures), Village Capital, WestBridge Capital (San Mateo)</t>
  </si>
  <si>
    <t>www.finbox.in</t>
  </si>
  <si>
    <t>268163-38</t>
  </si>
  <si>
    <t>BlueX</t>
  </si>
  <si>
    <t>Artificial Intelligence &amp; Machine Learning, FinTech, Mobility Tech</t>
  </si>
  <si>
    <t>Developer of one-stop trade fintech platform designed to provide a trade financing network, democratizing access to capital through technology, data and (Artificial Intelligence) AI-trained trade expertise. The company's platform digitizes logistic workflows, verifies global buyers and sellers and amplifies global trade by providing cash flow management for buyers and sellers, enabling the clients to get access to competitive rates, priority space and end-to-end efficient bookings.</t>
  </si>
  <si>
    <t>Alumni Ventures, Blue Moon (San Francisco), Calm Ventures, Chestnut Street Ventures, Gaingels, Greycroft, Natural Bridge Ventures, Navigate Ventures, Ryan Gilbert</t>
  </si>
  <si>
    <t>www.bluextrade.com</t>
  </si>
  <si>
    <t>267221-08</t>
  </si>
  <si>
    <t>Dvara Kshetriya Gramin Financial Services</t>
  </si>
  <si>
    <t>Operator of financial services intended for rural economic inclusion. The company facilitates access to banking, credit, insurance, and investment through a branch-based and digital network, incorporating customer-centric assessments, omnichannel strategies, and business correspondent partnerships, enabling rural communities to achieve financial well-being and economic stability.</t>
  </si>
  <si>
    <t>Abler Nordic, Accion, Alteria Capital, Dvara, LeapFrog Investments, Sparkassenstiftung, Stakeboat Capital</t>
  </si>
  <si>
    <t>www.dvarakgfs.com</t>
  </si>
  <si>
    <t>268313-05</t>
  </si>
  <si>
    <t>Monthio</t>
  </si>
  <si>
    <t>Developer of financing management platform intended to manage personal finances and money smartly. The company's platform automatically connects people to their banks and analyzes income and expenses, thus putting finances on autopilot and making digitizing the loan approval journey seamless, enabling clients to achieve a healthier financial situation.</t>
  </si>
  <si>
    <t>Denmark's Export and Investment Fund, Harmar, North Ventures, PSV (Denmark), SEED Capital (Copenhagen)</t>
  </si>
  <si>
    <t>www.monthio.com</t>
  </si>
  <si>
    <t>117466-93</t>
  </si>
  <si>
    <t>PawnHero</t>
  </si>
  <si>
    <t>Operator of an online banking platform intended to provide short-term loans to small business owners and unbanked people. The company offers a convenient alternative to traditional brick-and-mortar pawnshops by lending money against collateral, enabling clients to get financial assistance without opening bank accounts.</t>
  </si>
  <si>
    <t>500 Southeast Asia, Reapra, Softbank China &amp; India Holdings, Spiral Ventures</t>
  </si>
  <si>
    <t>www.pawnhero.ph</t>
  </si>
  <si>
    <t>510459-58</t>
  </si>
  <si>
    <t>Murong Technology</t>
  </si>
  <si>
    <t>Developer and provider of digital IT (information technology) solutions specialized in financial industry. With a comprehensive developer system and service delivery system, the company provides software products and solutions for commercial banks, non-bank financial institutions and other financial customers, providing users with safe, stable and efficient business IT systems.</t>
  </si>
  <si>
    <t>Bairong, Inc.</t>
  </si>
  <si>
    <t>www.murongtech.com</t>
  </si>
  <si>
    <t>484529-77</t>
  </si>
  <si>
    <t>Anchor (New York)</t>
  </si>
  <si>
    <t>Developer of a cloud-based autonomous billing system designed to redefine B2B billing, collections and payments. The company's platform automates the billing process from client proposals to invoicing and payment processing, integrates with accounting software, manages invoicing and payment and eliminates the risks of fraud and human error in B2B payments, enabling accountants, bookkeepers and tax firms to handle their billing cycles and facilitate payments.</t>
  </si>
  <si>
    <t>8200 EISP, ACL Ventures Partner, Activant Capital, Amy Banse, Deloitte Launchpad, Entrée Capital, Google Accelerator, Mosaic General Partnership, Rapyd Ventures, Tal Ventures, Tien Tzuo, Zeev Ventures</t>
  </si>
  <si>
    <t>www.sayanchor.com</t>
  </si>
  <si>
    <t>323049-07</t>
  </si>
  <si>
    <t>InvestNext</t>
  </si>
  <si>
    <t>Developer of investment management platform designed to share documents, send updates, and capture investment intent in a centralized hub. The company's platform features the ability to streamline administrative processes and manage customer relationship management and offers risk assessment, reporting, fundraising, digitizing client onboarding services, and real-time insights for optimized decision-making, enabling businesses to operate provide transparency to their investors, and reduce administrative overheads.</t>
  </si>
  <si>
    <t>Beringea, Detroit Venture Partners, Grand Ventures, Hyde Park Venture Partners, iD Ventures America, Invest Detroit Ventures, Jordan Wolfe, Ludlow Ventures, Rock Ventures (Detroit), Venture For Good, Whitecap Venture Partners</t>
  </si>
  <si>
    <t>www.investnext.com</t>
  </si>
  <si>
    <t>438545-80</t>
  </si>
  <si>
    <t>Marco</t>
  </si>
  <si>
    <t>Developer of a trade financing platform designed to improve cash flow by offering immediate payment to sellers and deferred payment options for buyers. The company's platform offers paperless financing services, with flexible terms to support different trade needs, enabling businesses to mitigate cash flow delays, reduce credit risk, and sustain growth.</t>
  </si>
  <si>
    <t>342 Capital, A.GAIN, Antler, Arcadia Funds, Argonautic Ventures, Arpegio, Astralabs, Ayawas Group, Barn Investimentos, Dhuna Ventures, Flexport, Florida Funders, Fox Ventures, GoodLight Capital, IDB Lab, Jedar Capital, Kayyak Ventures, Miami Angels, Naman Budhdeo, Neer Venture Partners, Phil Bentley, SquareOne Capital, Struck Capital, Trajectory Ventures, Tresalia Capital, Veridical Ventures, Village Global</t>
  </si>
  <si>
    <t>www.marcofi.com</t>
  </si>
  <si>
    <t>507236-50</t>
  </si>
  <si>
    <t>Tallied</t>
  </si>
  <si>
    <t>Developer of an autoscaling platform designed to provide end-to-end infrastructure for building, launching, and scaling consumer and corporate credit card programs. The company's platform offers application processing, credit underwriting, issuance processing, and digital programmable rewards to cardholder servicing, tallied provides a fully integrated, single infrastructure and program management, enabling brands, fintech, vertical SaaS, marketplaces, and financial institutions with secure credit card launching and building platforms.</t>
  </si>
  <si>
    <t>www.tallied.io</t>
  </si>
  <si>
    <t>277310-44</t>
  </si>
  <si>
    <t>Stableton</t>
  </si>
  <si>
    <t>Developer of a growth equity fintech investment platform designed to empower investors and shapers of tomorrow to achieve their full potential. The company offers access to growth equity and pre-IPO deals with a focus on secondaries, enabling investors to access institutional-quality investments, product innovation, and improved liquidity with low minimums.</t>
  </si>
  <si>
    <t>Alpha Founders Capital (Bangkok), Aperture, C3 Venture Capital, Deutsche Effecten- und Wechsel-Beteiligungsgesellschaft, Loric Ventures, Minimal VC, SICTIC, Tenity, TX Ventures, Venture (Switzerland)</t>
  </si>
  <si>
    <t>www.stableton.com</t>
  </si>
  <si>
    <t>740591-20</t>
  </si>
  <si>
    <t>Outpost</t>
  </si>
  <si>
    <t>Operator of a global payment and compliance platform designed for businesses expanding internationally. The company's platform manages payments, fraud prevention, tax obligations, and regulatory compliance, offering features such as automated tax registration and filing, country-specific sales toggles, and workflow integrations, enabling businesses to sell products and services worldwide efficiently while reducing operational complexities and costs.</t>
  </si>
  <si>
    <t>Better Tomorrow Ventures, Ribbit Capital</t>
  </si>
  <si>
    <t>www.outpost.ai</t>
  </si>
  <si>
    <t>233773-30</t>
  </si>
  <si>
    <t>Docyt</t>
  </si>
  <si>
    <t>Developer of an artificial intelligence(AI)-based bookkeeping software designed to automate financial and accounting processes. The company's software uses an AI engine that automates processes like accounts payable, bookkeeping, and cash-flow management while keeping all document exchanges secure and conversations well-organized, enabling small businesses and accountants to reduce the cost and technical complexity of bookkeeping and back-office tasks.</t>
  </si>
  <si>
    <t>AME Cloud Ventures, Dallas Venture Capital, First Rays Venture Partners, Lobby Capital, Morado Ventures, Page One Ventures, Pivot Investment Partners, Tuesday Capital, Vishwanath Ramarao, WestWave Capital, Xplorer Capital</t>
  </si>
  <si>
    <t>www.docyt.com</t>
  </si>
  <si>
    <t>539588-98</t>
  </si>
  <si>
    <t>Inscope</t>
  </si>
  <si>
    <t>Developer of a financial statement automation platform designed to provide audited financials. The company's platform offers US GAAP financial statements, footnotes, and disclosure checklists that can be generated with the click of a button, enabling companies to maintain accurate financial records.</t>
  </si>
  <si>
    <t>Better Tomorrow Ventures, Debbie Clifford, Jake Heller, Justin Coulombe, Kearny Jackson, Lightspeed Venture Partners, Nadia Asoyan, Norwest, Refract Ventures, Storm Ventures, The Mint (San Francisco), Vipul Ved Prakash</t>
  </si>
  <si>
    <t>www.inscopehq.com</t>
  </si>
  <si>
    <t>529674-04</t>
  </si>
  <si>
    <t>KortValuta</t>
  </si>
  <si>
    <t>Operator of a hybrid employee card and cashless payment platform intended to provide a secure way to make payments. The platform offers a variety of features, including a prepaid card that can be used to make purchases, a mobile application that allows employees to track their spending and payment options, enabling businesses to improve employee satisfaction and reduce administrative costs.</t>
  </si>
  <si>
    <t>Buzzle (Japan), Emerald Cave, Plug and Play Tech Center</t>
  </si>
  <si>
    <t>www.kortvaluta.com</t>
  </si>
  <si>
    <t>185840-29</t>
  </si>
  <si>
    <t>PictureWealth</t>
  </si>
  <si>
    <t>Developer of a financial platform designed for personal wealth planning and management. The company's platform offers access to licensed financial advisers, integrates tools for retirement planning, investment guidance, insurance advice, and estate planning, supports users across various life stages with tailored financial strategies, and delivers technology-enabled insights and education, enabling individuals and households to manage, plan, and improve their financial well-being with clarity and confidence.</t>
  </si>
  <si>
    <t>Franklin Resources, Scalare Partners, Super-Advice Corporate Services</t>
  </si>
  <si>
    <t>www.picturewealth.com</t>
  </si>
  <si>
    <t>65300-23</t>
  </si>
  <si>
    <t>Thinknum Alternative Data</t>
  </si>
  <si>
    <t>Developer of a financial analysis platform designed to help junior bankers read and analyze corporate financial data. The company's platform aggregates data from the web that offers insights into business drivers and offers pre-configured maps, charts, word clouds, and visualizations to understand the data, providing investors with critical data points.</t>
  </si>
  <si>
    <t>500 Global, 645 Ventures, Babak Yazdani, David McClure, Green Visor Capital, Hamid Barkhordar, HKB Capital, Michael Walsh, NEXT Investors, Nnamdi Okike, Parker Thompson, Pear (California), Pejman Nozad, Sean Percival, Signatures Capital, Simon Yoo</t>
  </si>
  <si>
    <t>www.thinknum.com</t>
  </si>
  <si>
    <t>439807-78</t>
  </si>
  <si>
    <t>Verify4</t>
  </si>
  <si>
    <t>Developer of a financial accessibility platform designed to expand credit access and promote financial inclusion. The company's platform increases credit access and inclusion by giving people greater control over and access to their information, and includes real-time third-party identity verification, with a particular capability in reducing fraudulent transactions, enabling clients to promote financial inclusion and economic justice.</t>
  </si>
  <si>
    <t>Experian Ventures</t>
  </si>
  <si>
    <t>www.verify4.com</t>
  </si>
  <si>
    <t>467179-84</t>
  </si>
  <si>
    <t>FairPlay (Business Productivity Software)</t>
  </si>
  <si>
    <t>Artificial Intelligence &amp; Machine Learning</t>
  </si>
  <si>
    <t>Developer of a fairness consideration platform designed for fair lending compliance. The company's platform automates fair lending analysis and decision-making systems, optimizing the decision model to embed fairness by reducing algorithmic bias, enabling businesses to increase fairness and profits.</t>
  </si>
  <si>
    <t>Arise Ventures., Bloodhound Partners, Cross River Digital Ventures, Fin Capital, Infinity Ventures (San Francisco), Jonathan Weiner, JP Morgan Chase, Nevcaut Ventures, Nyca Partners, Nykaa, Restive Ventures, Start Path, Third Prime, TTV Capital, WillowTree Investments</t>
  </si>
  <si>
    <t>www.fairplay.ai</t>
  </si>
  <si>
    <t>471756-43</t>
  </si>
  <si>
    <t>Mine (Consumer Finance)</t>
  </si>
  <si>
    <t>Developer of a debit card application designed to build credit and earn cash back around campus. The company offers tools that support credit-building and reward tracking, enabling college students to manage finances independently, improve their credit profiles, and gain financial stability.</t>
  </si>
  <si>
    <t>A*, Cherry Ventures, FJ Labs, Gaingels, Harvard Undergraduate Capital Partners, Kleiner Perkins, L2 Ventures, Mana Ventures, New Era Ventures, Niche Capital (San Francisco), Rogue Capital, Sunset Ventures (Los Angeles), SV Angel, U.S. News &amp; World Report, Witz Ventures, Y Combinator</t>
  </si>
  <si>
    <t>www.usemine.com</t>
  </si>
  <si>
    <t>227650-60</t>
  </si>
  <si>
    <t>Payslip</t>
  </si>
  <si>
    <t>Developer of automation and integration technology software designed to deliver standardized global payroll operations to fuel growth and efficiency. The company's software manages data and workflows, internally across functions and externally with compensation providers, on a centralized cloud platform, delivering general data protection regulation, consolidated reporting, and transparent processes, enabling businesses to expand to new regions and countries while still having a complete choice of in-country payroll providers and full control of service level agreement terms.</t>
  </si>
  <si>
    <t>Brian Williamson, David Clarke, Enterprise Ireland, Frontline Ventures, Halo Business Angel Network, MiddleGame Ventures, Mouro Capital, Phillip Chambers, Salica Investments, Tribal.vc</t>
  </si>
  <si>
    <t>www.payslip.com</t>
  </si>
  <si>
    <t>454651-57</t>
  </si>
  <si>
    <t>Softpay</t>
  </si>
  <si>
    <t>Developer of an online payment application designed to provide an affordable and secure way for online transactions. The company's payment application facilitates users to accept payments and make commercial trades, enabling businesses to accept, process, and disburse money with its product suite.</t>
  </si>
  <si>
    <t>Anders Povlsen, Brightfolk, Jan Lehrmann, Jeppe Christiansen, Love Mondays Denmark, Mastercard Lighthouse, Start Path</t>
  </si>
  <si>
    <t>www.softpay.io</t>
  </si>
  <si>
    <t>123800-14</t>
  </si>
  <si>
    <t>Estateguru</t>
  </si>
  <si>
    <t>Operator of an online real estate investment marketplace designed to bridge the gap in short-term asset-backed property finance. The company's marketplace helps to diversify investment portfolios and manage funds and payouts to connect individual investors with mortgages--secured property loans, enabling businesses to have access to short-term property loans and secured investments for investors.</t>
  </si>
  <si>
    <t>CEED Tech, Helmes, J&amp;T IB &amp; Capital Markets, João Monteiro, Out Of This World Investments, Pinto Ventures, Speedinvest, Startup Wise Guys, TMT Investments, UNIQA Ventures</t>
  </si>
  <si>
    <t>www.estateguru.co</t>
  </si>
  <si>
    <t>431380-00</t>
  </si>
  <si>
    <t>Wholesail</t>
  </si>
  <si>
    <t>FinTech, Marketing Tech, SaaS</t>
  </si>
  <si>
    <t>Operator of a payment and communication platform intended to modernize payment and connect wholesalers and their buyers. The company's platform integrates with the accounting systems of wholesale sellers to allow them to get paid faster and decrease losses with automated invoicing, payment, and communication systems and build a network effect-driven payment business, enabling clients to automate their accounts payable process and save their time and money.</t>
  </si>
  <si>
    <t>9Yards Capital Management, Anthony Kline, Bowery Capital, Bradly Feld, Burst Capital, Cosmin Nicolaescu, Fin Capital, Flexport, Foundry Group, Gokul Rajaram, High Alpha, Rose Park Advisors, Ryan McIntyre, Scott Dorsey, Sweat Equity Ventures, Ten Coves Capital, The General Partnership, Thomvest Ventures, Ulu Ventures, WndrCo, Xtripe Angels</t>
  </si>
  <si>
    <t>www.paywholesail.com</t>
  </si>
  <si>
    <t>469921-51</t>
  </si>
  <si>
    <t>Cross</t>
  </si>
  <si>
    <t>Developer of a global remittance software designed to make it easier and more affordable for people to send money abroad. The company's platform leverages blockchain technology for making global remittances and supports real-time transactions, enabling users to make payments at a low cost.</t>
  </si>
  <si>
    <t>Alpen Route Asset Management, KB Innovation HUB, KB Investment</t>
  </si>
  <si>
    <t>www.crossenf.com</t>
  </si>
  <si>
    <t>437665-42</t>
  </si>
  <si>
    <t>Soraban</t>
  </si>
  <si>
    <t>Developer of a client data collection platform designed to help accounting professionals deliver administrative services efficiently. The company's platform tracks all missing client information all year round, enabling tax firms to access high-quality tax expertise and safe and compliant services at an affordable cost.</t>
  </si>
  <si>
    <t>Altos Ventures, Copper Sky Capital, Friale, Immeasurable, PHX Ventures, Village Global, Y Combinator</t>
  </si>
  <si>
    <t>www.soraban.com</t>
  </si>
  <si>
    <t>438943-06</t>
  </si>
  <si>
    <t>LemonEdge</t>
  </si>
  <si>
    <t>Developer of a low/auto-code accounting platform designed to automate and digitize end-to-end complex accounting processes for private capital firms. The company's platform combines a modern, purpose-built financial engine with a suite of advanced reporting and scenario tools for managing private markets fund and portfolio accounting, enabling the private capital industry to achieve operational efficiencies, improved decision-making, unrestricted financial control, and data transparency.</t>
  </si>
  <si>
    <t>Bank of New York Mellon, Blackstone, Blackstone Innovations Investments, Broadhaven Capital Partners, Crystal Towers, Grow London, Lauren Laslovits, Sidekick Partners, Tikhon Bernstam</t>
  </si>
  <si>
    <t>www.lemonedge.com</t>
  </si>
  <si>
    <t>181901-08</t>
  </si>
  <si>
    <t>OnlinePajak</t>
  </si>
  <si>
    <t>Developer of a web-based tax and payment management platform designed to handle taxes and administration in an enhanced way. The company's platform allows taxpayers to manage taxes, perform calculations, deposit payments and report corporate taxes, enabling businesses to meet their payment cycle and tax obligations to improve performance and productivity.</t>
  </si>
  <si>
    <t>Alpha JWC Ventures, Altos Ventures, Endeavor Catalyst, Evialia France, Global Innovation Fund, Image Frame Investment, Peak XV Partners, Petalite Gem Investments, PRIMEdge, Tencent Holdings, Visa Ventures, Warburg Pincus</t>
  </si>
  <si>
    <t>www.online-pajak.com</t>
  </si>
  <si>
    <t>646989-13</t>
  </si>
  <si>
    <t>Unico Housing Finance</t>
  </si>
  <si>
    <t>Operator of a housing finance company intended to provide affordable home loans to underserved and middle-income segments in India. The company offers simplified, digitally enabled housing loan solutions with quick approvals and minimal documentation, enabling customers from lower and middle-income groups to access affordable financing and realize their dream of homeownership.</t>
  </si>
  <si>
    <t>Anicut Capital, UC Impower</t>
  </si>
  <si>
    <t>www.unicohousingfinance.com</t>
  </si>
  <si>
    <t>234533-17</t>
  </si>
  <si>
    <t>AwanTunai</t>
  </si>
  <si>
    <t>Developer of a financial application designed to digitize the Indonesian cash economy. The company's application offers mobile-based credit to access banking products for working capital, as well as accept payment from consumer credit, and connect anyone who needs a loan with the lender, enabling Indonesian banks and multi-finance companies to access affordable and safe financing for consumers' welfare.</t>
  </si>
  <si>
    <t>AMTD Group Company, Battery Road Digital, Benchmark Group, BRI Ventures, Finnish Fund for Industrial Cooperation, Five Stones Investment Group, Global Brain, Golden Summit International, Ho Swee Chun, Insignia Ventures Partners, International Finance Corporation, Ion Pacific, John Pangilinan, Kembangan Holdings, Krungsri Finnovate, MUFG Innovation Partners, Norfund, NTT Startup Challenge, OCBC Ventura, OP Pohjola, Paypal X Startup Accelerator, Pegasus Tech Ventures, Tembusu Partners</t>
  </si>
  <si>
    <t>www.awantunai.co.id</t>
  </si>
  <si>
    <t>267943-33</t>
  </si>
  <si>
    <t>Snapmint</t>
  </si>
  <si>
    <t>Developer of an online shopping platform and a checkout financing product intended to eliminate the dependency on credit cards and the hassle of physical documentation during buyers' loan applications. The company's platform offers no-cost EMI plans and provides a range of products, including mobiles, laptops, televisions and fashion, enabling buyers to purchase their desired products and pay in flexible, affordable and simple installments.</t>
  </si>
  <si>
    <t>100Unicorns, AG Ventures., Anicut Capital, Claris Capital, Elev8 Venture Partners, General Atlantic, Kae Capital, Kalysta Capital, Merisis Venture Partners Fund, Pegasus FinInvest Advisory, Perpetuity Ventures, Prashasta Seth, Prudent Investment Managers, Prudential Investment, Ramakant Sharma, Secocha Ventures, Usama Fayyad, Venture Gurukool, Village Capital</t>
  </si>
  <si>
    <t>www.snapmint.com</t>
  </si>
  <si>
    <t>434424-52</t>
  </si>
  <si>
    <t>Auxilius</t>
  </si>
  <si>
    <t>Developer of a clinical trial financial management platform designed to help sponsors track contract terms, budgets, and milestones. The company augments manual clinical business operations and accounting processes with intuitive software that scales, enabling sponsors to take control over trial costs and clinical vendors, manage financial risk, and optimize spending in pursuit of trial targets.</t>
  </si>
  <si>
    <t>Andrew Palmer, Bain Capital Ventures, CP Overture, David Gilbert, Koa Labs, Renegade Partners, Samuel Whitaker, SignalFire, Valspring Capital, XYZ Venture Capital</t>
  </si>
  <si>
    <t>www.auxilius.co</t>
  </si>
  <si>
    <t>481711-33</t>
  </si>
  <si>
    <t>dub</t>
  </si>
  <si>
    <t>Developer of a copy trading platform intended to enable individuals to invest by automatically replicating the strategies of experienced investors. The company offers investor selection, automated portfolio mirroring, and social investing features, enabling everyday investors to access experienced strategies and participate in the market with greater confidence.</t>
  </si>
  <si>
    <t>Alastair Rampell, Alumni Ventures, Amjad Massad, Andreessen Horowitz, Annelies Gamble, Anthony Kontoleon, Charles Johnston, Chris Zarou, Correlation Ventures, Daniel Nathan, Dara Khosrowshahi, Detroit Venture Partners, Dorm Room Fund, Emilie Choi, Graph Ventures, Kathryn Haun, KS Global Advisors, Lachy Groom, Maria Zhang, Michael Acheson, Nathan Rodland, Neo (Consulting Services (B2B)), Notable Capital, PEAK6 Strategic Capital, Roger Ferguson, Ryan Sarver, Sandberg Bernthal Venture Partners, Scribble Ventures, Sequoia Capital, Shiva Rajaraman, Slow Ventures, Stephanie Zhan, Tusk Venture Partners, William Capuzzi</t>
  </si>
  <si>
    <t>www.dubapp.com</t>
  </si>
  <si>
    <t>515846-08</t>
  </si>
  <si>
    <t>Onshore</t>
  </si>
  <si>
    <t>Developer of a credit automation tool designed to simplify the research and development tax credit. The company's tool uses intelligent imports and payroll connect technologies to ingest data directly from any source and validate it for artificial intelligence-based predictions, enabling tax professionals to prepare any research and development credit claim in half the time and at half the cost.</t>
  </si>
  <si>
    <t>ADP Ventures, Burst Capital, Counterpart Ventures, Decacorn Capital, FPV Ventures, K20 Fund, NextEquity Partners, Pioneer Fund, Pruven Capital, Rebel Fund, Restive Ventures, Vertex Ventures US, Y Combinator</t>
  </si>
  <si>
    <t>www.onshore.com</t>
  </si>
  <si>
    <t>458191-90</t>
  </si>
  <si>
    <t>Tifin Give</t>
  </si>
  <si>
    <t>Developer of a digital philanthropic platform designed to empower clients to identify charities, distribute donations, and even collect contributions. The company's platform leverages data-driven insights, streamlines donation strategies, aligns contributions with personal values, and maximizes the impact of charitable gifts, enabling individuals, families, and financial professionals to simplify charitable giving.</t>
  </si>
  <si>
    <t>Tifin</t>
  </si>
  <si>
    <t>tifingive.com</t>
  </si>
  <si>
    <t>518002-48</t>
  </si>
  <si>
    <t>Tokenovate</t>
  </si>
  <si>
    <t>Climate Tech, Cryptocurrency/Blockchain, FinTech</t>
  </si>
  <si>
    <t>Developer of a post-trade automation platform intended to enable programmatic lifecycle event management for derivatives trading. The company's platform turns legal and trade data into executable logic, creating auditable, automated workflows for efficient collateral and post-trade lifecycle management and contracts into code, leveraging blockchain, composability and tokenisation to bring precision, automation and scalability to every step of the post-trade process, enabling financial institutions to simplify and automate the entire post-trade and collateral lifecycle, reducing costs and risk and unlocking growth.</t>
  </si>
  <si>
    <t>Ayre Group, Engine (Accelerator), Grow London, Indigo IP Holdings</t>
  </si>
  <si>
    <t>www.tokenovate.com</t>
  </si>
  <si>
    <t>158922-55</t>
  </si>
  <si>
    <t>Funding Xchange</t>
  </si>
  <si>
    <t>Operator of an enterprise funding platform designed to transform customer engagement and insight throughout the lending process. The company's platform helps with a funding space to receive funding offers from a panel of lenders and also offers tools for credit decisions and monitoring, enabling small and medium-sized companies to access funding.</t>
  </si>
  <si>
    <t>Banking Competition Remedies, Barclays, BitRock Capital (SG), Calibrate Management, Enterprise Investment Scheme, Foresight Group, Green Shores Capital, Gresham House Ventures, Hambleden Capital, Kimera (investor), Tech Nation Group</t>
  </si>
  <si>
    <t>www.fundingxchange.co.uk</t>
  </si>
  <si>
    <t>268363-63</t>
  </si>
  <si>
    <t>Gen H</t>
  </si>
  <si>
    <t>Provider of mortgage lending services intended to empower people to buy a home. The company's services include integrated conveyancing, a dynamic ledger with floating ownership, group payments and housing prenup contracts, enabling customers to benefit from the application with legal and accounting support.</t>
  </si>
  <si>
    <t>Entrée Capital, Expansion Capital, Firstminute Capital, JamJar Investments, Joe Cross, Julia Hartz, Kevin Hartz, La Famiglia, Legal &amp; General Group, Mithril Capital Management, MS&amp;AD Ventures, Pi Labs, Stemar Capital, Tech Nation Group, Third Kind Venture Capital, Thomas Blomfield</t>
  </si>
  <si>
    <t>www.generationhome.com</t>
  </si>
  <si>
    <t>454975-21</t>
  </si>
  <si>
    <t>Banxware</t>
  </si>
  <si>
    <t>Developer of an embedded finance orchestration platform designed to provide seamless access to financing for small and medium-sized enterprises through digital platforms. The company offers a single integration layer connecting platforms with multiple lenders, real-time matching of enterprises to appropriate financing products, and an asset-light model without balance sheet exposure, enabling digital platforms and small and medium-sized enterprises to access tailored lending options with reduced complexity and streamlined funding processes.</t>
  </si>
  <si>
    <t>13books Capital, 6 Degrees Capital, Alex Urdea, Ascory Bank, Banca Sella, Carl Zitscher, D4 Ventures, Fabrick, Fin Capital, Force Over Mass Capital, High-Tech Gründerfonds, HypoVereinsbank, Paula Blazquez, Redstone VC, Six Ventures, The House of Finance and Tech Berlin, UniCredit, VR Ventures</t>
  </si>
  <si>
    <t>www.banxware.com</t>
  </si>
  <si>
    <t>590720-95</t>
  </si>
  <si>
    <t>Optimo Capital</t>
  </si>
  <si>
    <t>Developer of a financial lending platform intended to provide collateral-free loans to small and medium businesses in rural India. The company's platform offers working capital, expansion, and long-term and short-term loan options, enabling clients to invest in new technologies, increase liquidity, and ensure business continuity and expansion.</t>
  </si>
  <si>
    <t>Blume Venture Advisors, Omnivore (Mumbai), Prashant Pitti</t>
  </si>
  <si>
    <t>www.optimocapital.in</t>
  </si>
  <si>
    <t>179846-02</t>
  </si>
  <si>
    <t>Scratch (Consumer Finance)</t>
  </si>
  <si>
    <t>FinTech, Real Estate Technology, SaaS, TMT</t>
  </si>
  <si>
    <t>Provider of financial services intended to manage loan payments. The company's services deliver a borrower-first service by leveraging technology to offer personalized control over loans and payment flexibility that helps them to choose a monthly payment date, enabling borrowers to get a transparent, flexible, and reliable way to manage mortgages.</t>
  </si>
  <si>
    <t>Acequia Capital, Arrive Opportunities Management, Catapult VC, Citi Ventures, Financial Health Network, Financial Health Network., Founders Fund, Four Cities Capital, Index Ventures, JP Morgan Chase, Restive Ventures, Ribbit Capital</t>
  </si>
  <si>
    <t>www.scratch.fi</t>
  </si>
  <si>
    <t>89636-77</t>
  </si>
  <si>
    <t>HelloAsso</t>
  </si>
  <si>
    <t>Operator of an online charity funding platform intended for the development of activities and associative projects in France. The company offers a web-based crowdfunding platform, an online payment facility to pay and receive payments, enabling all associations and charitable organizations to manage their online fundraising activities.</t>
  </si>
  <si>
    <t>Crédit Mutuel, François Paulus, Idenergie, Incoplex Sud, Investisseurs &amp; Partenaires, Microsoft for Startups, Paris&amp;Co Incubateurs, Ring Capital</t>
  </si>
  <si>
    <t>www.helloasso.com</t>
  </si>
  <si>
    <t>87783-13</t>
  </si>
  <si>
    <t>Moocho</t>
  </si>
  <si>
    <t>Developer of a mobile payment application designed to facilitate easy transactions and reward-based shopping experiences. The company offers a broad selection of leading national and local merchants, secure transactions, and customer service, enabling college students to conveniently pay for purchases and earn rewards at stores on and around their campus.</t>
  </si>
  <si>
    <t>Amtecx, Capital Union Investments, Jim Horowitz, MC Capital, PLG Ventures, Sandiip Bhammer, The Continent Venture Partners, Venture Hive</t>
  </si>
  <si>
    <t>www.moocho.com</t>
  </si>
  <si>
    <t>235255-33</t>
  </si>
  <si>
    <t>Accountable( Financial Software)</t>
  </si>
  <si>
    <t>Developer of accounting software designed to save time and simplify taxes. The company's software offers real-time tax optimization recommendations as well as banking, accounting and tax advisory services for freelancers and consultants, enabling clients to streamline accounting procedures, increase business productivity and optimize financial and operational efficiency.</t>
  </si>
  <si>
    <t>2100 Ventures, Christian Grobe, Connect Ventures (UK), George Pallis, Jeremy Le Van, Mandeep Singh, Matthias Knecht, SambrInvest, Stride.VC, Visionaries Club, Visma Software International, welovefounders</t>
  </si>
  <si>
    <t>www.accountable.eu</t>
  </si>
  <si>
    <t>489966-58</t>
  </si>
  <si>
    <t>FlexPoint</t>
  </si>
  <si>
    <t>Developer of vertical payments software designed to simplify financial management and ensure transaction security. The company's software offers invoicing, payment processing, and point-of-sale financing to enhance payments and cash flow processes for managed service providers through automation and integrations, enabling clients to provide customer payment services to improve operational efficiency, ensure data security and enhance client satisfaction..</t>
  </si>
  <si>
    <t>Cascade Seed Fund, ConnectWise, Empath Cyber (), Foundry Group, FOVC, Garuda, Haymaker Ventures, Lifecycle Insights, Lorimer Ventures, NinjaOne, PasswordBoss, Rewst, Techstars</t>
  </si>
  <si>
    <t>www.getflexpoint.com</t>
  </si>
  <si>
    <t>492688-27</t>
  </si>
  <si>
    <t>Unbox the Universe</t>
  </si>
  <si>
    <t>Developer of a programmable digital asset infrastructure designed for the distribution and management of fungible and non-fungible tokens. The company's platform facilitates the creation of smart tokens and customized reward rule sets that integrate into existing payment networks, while offering automated conditional grant distribution, real-time transaction traceability, and secure digital product passports, enabling government entities and businesses to ensure that financial resources or physical assets reach intended recipients while eliminating financial leakage or fraudulent activity.</t>
  </si>
  <si>
    <t>HSBC Venture &amp; Growth Investments, KBC Bank</t>
  </si>
  <si>
    <t>www.unboxuniverse.com</t>
  </si>
  <si>
    <t>167100-58</t>
  </si>
  <si>
    <t>BondbloX</t>
  </si>
  <si>
    <t>Developer of a financial platform designed to track bond prices digitally. The company's platform is a blockchain-based digital bond exchange that allows investors to buy and sell in smaller denominations create and manage their portfolio and monitor daily performance by tracking real-time gains or losses, enabling investors to trade with greater transparency and easily manage their fixed-income assets.</t>
  </si>
  <si>
    <t>Anand Kumar, Beacon Venture Capital, Citigroup, Crane Venture Partners, Fuse Incubator, MassMutual Ventures, Nitin Jain, Octava (Singapore), Oriental Pearl Group, Potato Productions, Rahul Garg, SMU Institute of Innovation &amp; Entrepreneurship, Suncoast Investments</t>
  </si>
  <si>
    <t>www.bondblox.com</t>
  </si>
  <si>
    <t>169881-31</t>
  </si>
  <si>
    <t>Jirav</t>
  </si>
  <si>
    <t>Developer of a cloud-based financial reporting and analysis platform designed to simplify the corporate reporting process. The company's platform helps to analyze financial data, explore historical operations, and accurately forecast bookings, revenues, workforce, expenses, and cash flows, enabling small businesses to build new models, integrate data sources, and eliminate error-prone spreadsheets.</t>
  </si>
  <si>
    <t>Alchemist Accelerator, Alumni Ventures, Band of Angels, Born Capital (California), Charlie Carter, Cota Capital, CPA.com, Dave Krauthamer, Depth Ventures, Half Dome Ventures, Information Venture Partners, Jonathan Abelmann, Jude Gomila, Next World Capital, Seven Peaks Ventures, Spencer Markel, Steve King, TMD Ventures</t>
  </si>
  <si>
    <t>www.jirav.com</t>
  </si>
  <si>
    <t>458427-07</t>
  </si>
  <si>
    <t>Karus</t>
  </si>
  <si>
    <t>Operator of a financial technology and data analytics company intended for consumer auto finance. The company's platform assists lenders in identifying and enhancing areas of underperformance, as well as empowering established lenders to leverage their strengths, through its expertise in AI-powered risk-based pricing, cash flow forecasting, and predictive modeling, enabling firms to have access to artificial intelligence-based, data-driven systems to improve profitability and growth.</t>
  </si>
  <si>
    <t>Forum Markets, Oak's Lab, Plug and Play Tech Center, StageDotO Ventures, Tacoma Venture Fund</t>
  </si>
  <si>
    <t>www.karus.ai</t>
  </si>
  <si>
    <t>459039-34</t>
  </si>
  <si>
    <t>Konzortia Capital</t>
  </si>
  <si>
    <t>Developer of a digital private markets platform designed to streamline how investors and founders discover, evaluate, and transact private capital opportunities. The company offers AI-powered deal sourcing and matching, end-to-end transaction workflows, and integrated lifecycle tools from execution to exit, enabling private investors, family offices, and founders to move faster, improve transparency, and access trusted deal opportunities.</t>
  </si>
  <si>
    <t>www.konzortiacapital.com</t>
  </si>
  <si>
    <t>742421-44</t>
  </si>
  <si>
    <t>Phoenix Ecommerce Technologies</t>
  </si>
  <si>
    <t>Artificial Intelligence &amp; Machine Learning, E-Commerce, FinTech, SaaS</t>
  </si>
  <si>
    <t>Provider of a technology platform for digital consumer memberships designed to streamline subscription management and enhance customer retention. The company engages in subscription management, payment processing, and customizable checkout systems, enabling direct-to-consumer (D2C) merchants to efficiently manage recurring payments and scale recurring revenue streams in the digital marketplace.</t>
  </si>
  <si>
    <t>Subodha Capital</t>
  </si>
  <si>
    <t>www.phoenixtechnologies.io</t>
  </si>
  <si>
    <t>268099-12</t>
  </si>
  <si>
    <t>Rightfoot</t>
  </si>
  <si>
    <t>Developer of a passwordless, consumer-permissioned financial data platform intended for banks and lenders. The company's platform provides full banking and credit data to any application, without requiring a customer to log in, enabling banking institutions to make confident, data-driven decisions about lending to their customers.</t>
  </si>
  <si>
    <t>1871, Abbey Road Investment Group, Annie Hockey, Avinash Karnani, Bain Capital Ventures, Blue Lion Global, BoxGroup, Emily Chiu, FinTech Innovation Lab, Honey Stone VC, Jackson Gates, Julia Hartz, Kevin Hartz, Louis Beryl, Michael Vaughan, NFX, Omri Dahan, ONEVC, PeopleTech Partners, Renegade Partners, Rosecliff Venture Partners, SemperVirens Venture Capital, Stephany Kirkpatrick, Tapestry VC, Team Builder Ventures, The MBA Fund, Thirdbase Capital, Triton Capital (San Francisco), William Hockey</t>
  </si>
  <si>
    <t>www.rightfoot.com</t>
  </si>
  <si>
    <t>268727-59</t>
  </si>
  <si>
    <t>Acuminor</t>
  </si>
  <si>
    <t>Cybersecurity, FinTech</t>
  </si>
  <si>
    <t>Developer of a risk management platform designed to manage risks from money laundering, counter-terrorist financing, and sanctions. The company's platform collects information online for risk assessments and actions against money laundering and distributes its analysis digitally, enabling banks, attorneys, real estate, gaming organizations, and the government to remain protected from financial crime and save money and time.</t>
  </si>
  <si>
    <t>Brightly Ventures, Edastra Venture Capital, Mastercard Lighthouse, Zenith Group</t>
  </si>
  <si>
    <t>www.acuminor.com</t>
  </si>
  <si>
    <t>186236-56</t>
  </si>
  <si>
    <t>Inyova</t>
  </si>
  <si>
    <t>FinTech, Impact Investing, Mobile, SaaS, TMT</t>
  </si>
  <si>
    <t>Operator of a digital investment platform intended to offer investment strategies that match values and lifestyles for reaching financial goals. The company's platform continuously controls risk, annual rebalancing, and adjustment of investment strategy, and formulates savings plans, enabling customers to plan and develop investment strategies while saving time and money.</t>
  </si>
  <si>
    <t>AENU, Andreas Reinhardt, BlueLion Incubator, Carole Ackermann, Christoph Sutter, Eva Richterich, Kickstart Innovation, kopa ventures, Pascal Grieder, SICTIC, Technology Fund, Tenity</t>
  </si>
  <si>
    <t>www.inyova.ch</t>
  </si>
  <si>
    <t>483743-98</t>
  </si>
  <si>
    <t>General Index</t>
  </si>
  <si>
    <t>AgTech, Artificial Intelligence &amp; Machine Learning, Climate Tech, FinTech, SaaS, Supply Chain Tech, TMT</t>
  </si>
  <si>
    <t>Developer of a pricing platform intended to deliver future-proof commodity benchmarks through algorithmically generated spot prices and forward curves based on extensive daily trade data. The company offers transparent methodologies, broad coverage in energy and related commodities, and simple integrations with clear licensing, enabling traders, analysts, and energy market participants to access reliable benchmark data for informed decision-making.</t>
  </si>
  <si>
    <t>20VC, Chalfen Ventures, Molten Ventures</t>
  </si>
  <si>
    <t>www.general-index.com</t>
  </si>
  <si>
    <t>154444-42</t>
  </si>
  <si>
    <t>Namma Yatri</t>
  </si>
  <si>
    <t>Mobile, Mobility Tech, Ridesharing, SaaS</t>
  </si>
  <si>
    <t>Developer of an open network mobility platform intended to provide multi-modal service to commuters without the involvement of any middlemen. The company's platform facilitates multiple mobility services in one place and is built on the common network standards built on the protocol, providing customers with interoperability and drivers with a direct payment structure.</t>
  </si>
  <si>
    <t>Antler, Better Capital (California), Blume Venture Advisors, Google Accelerator, Guindy Alumni Angels, GV, Navin Dalmia, Phi Investment Limited Partnership, Plutus Investment Group, SoftBank Investment Advisers, Vimal Kumar</t>
  </si>
  <si>
    <t>www.nammayatri.in</t>
  </si>
  <si>
    <t>431309-62</t>
  </si>
  <si>
    <t>Landytech</t>
  </si>
  <si>
    <t>Developer of financial reporting technology designed to provide analysis to asset managers, family offices, and fiduciaries. The company's technology covers all asset classes from private assets and alternatives to complex derivatives and offers sophisticated risk and regulatory reporting by developing financial databases, reporting capabilities, risk analysis, and software applications, enabling investors to use a large-scale database for financial positions and data processing.</t>
  </si>
  <si>
    <t>Adelie Capital, Aquiline Capital Partners, Equitis Gestion</t>
  </si>
  <si>
    <t>www.landytech.com</t>
  </si>
  <si>
    <t>235032-85</t>
  </si>
  <si>
    <t>Enfuce</t>
  </si>
  <si>
    <t>B2B Payments, Climate Tech, FinTech, SaaS</t>
  </si>
  <si>
    <t>Developer of a cloud-based payment platform designed to help clients in their business financial expansions. The company's platform offers open banking, issuing and acquiring services, carbon footprint tracker, strong customer authentication, and back-office service to both incumbent players and newcomers, enabling consumer finance industries to conduct stable investments as per the regulation and constant change securely.</t>
  </si>
  <si>
    <t>Finnvera, LocalTapiola, Maki.vc, Mastercard Lighthouse, Nordea Bank, Tencent Holdings, Visa, Vitruvian Partners</t>
  </si>
  <si>
    <t>www.enfuce.com</t>
  </si>
  <si>
    <t>434832-58</t>
  </si>
  <si>
    <t>Cultivo</t>
  </si>
  <si>
    <t>CleanTech, Climate Tech, FinTech, Impact Investing</t>
  </si>
  <si>
    <t>Developer of a natural capital investment platform designed to enable large-scale investment in environmental assets and land regeneration. The company's platform offers AI-driven project origination, integration of environmental science with investment capabilities, and portfolio management of natural assets, enabling financial institutions and corporations to invest in projects that enhance biodiversity, carbon removal, and water resources.</t>
  </si>
  <si>
    <t>Corbites, MassMutual Ventures, Octopus Energy Generation, Pena Verde, Rumbo Ventures, Salkantay Ventures, Unreasonable Impact</t>
  </si>
  <si>
    <t>www.cultivo.land</t>
  </si>
  <si>
    <t>489154-87</t>
  </si>
  <si>
    <t>HomeOptions</t>
  </si>
  <si>
    <t>Operator of a real estate brokerage platform intended for homeowners to capitalize on homeownership. The company's platform offers access to elite agents and service providers and options contracts for real estate transactions, enabling customers and clients to sell their houses without any extra cost.</t>
  </si>
  <si>
    <t>Atit Jariwala, BBQ Capital, Earl Grey Capital, Expansion Venture Capital, FJ Labs, Great Oaks Venture Capital, Martin Phan, Monte Carlo Capital, Night Ventures, Pareto Holdings, Sprint VC</t>
  </si>
  <si>
    <t>www.homeoptions.com</t>
  </si>
  <si>
    <t>57037-42</t>
  </si>
  <si>
    <t>kubo.financiero</t>
  </si>
  <si>
    <t>Developer of a digitally regulated finance platform designed to offer multi-product financial services. The company's platform offers digital savings accounts, personal loans, term deposits, lending opportunities, debit cards, and a wallet application, as well as offers a lean mode that ensures lower interest rates for borrowers and higher return rates for depositors and investors, enabling users to gain the benefits of financial freedom.</t>
  </si>
  <si>
    <t>Alta Global Ventures, Alta Ventures Mexico, Antonio Osio, Atua Ventures, Axia Ventures, Bamboo Capital Partners, Capital Emprendedor, Capital Invent, Dalus Capital, Endeavor Catalyst, Fondo de Fondos, G2 Momentum Capital, Google Accelerator, Grupo Financiero Monex, Guadalajara Angel Investor Network, IDB Invest, Invariantes Fund, Israel Cerda, Javier Horcasitas, Jorge Gasque, KuE Capital, Monex Ventures, Oikos Venture Capital, Paul Ahlstrom, Sun Mountain Capital, Tanant Capital, Wayra</t>
  </si>
  <si>
    <t>www.kubofinanciero.com</t>
  </si>
  <si>
    <t>454519-00</t>
  </si>
  <si>
    <t>LiveFlow</t>
  </si>
  <si>
    <t>Developer of a financial reporting platform designed to automate tedious accounting tasks. The company offers seamless integration with popular spreadsheet tools and advanced data consolidation and eliminates the endless hours of manual financial reporting that keep CFOs and their teams stuck instead of driving strategic value, enabling finance professionals to save time and enhance accuracy, all while delivering service to drive the economy forward.</t>
  </si>
  <si>
    <t>Ann Bordetsky, Avra, Bjarke Staun-Olsen, Bradley Horowitz, Conor Walsh, Don Hoang, Moonfire, Oliver Jung, Phillip Chambers, Seedcamp, Valar Ventures, Victor Jacobsson, WndrCo, Y Combinator</t>
  </si>
  <si>
    <t>www.liveflow.com</t>
  </si>
  <si>
    <t>432495-64</t>
  </si>
  <si>
    <t>Torpago</t>
  </si>
  <si>
    <t>Developer of a corporate card and expense management platform designed for banks to deliver modern and industry-leading credit experiences to their customers. The company provides corporate cards equipped with spend management software and offers virtual cards with expense automation services, enabling enterprises to simplify corporate expenses and manage corporate spending efficiently.</t>
  </si>
  <si>
    <t>Assurant Ventures, BankTech Ventures, EJF Ventures, First Northwest, Index Ventures, Kortschak Investments, Operate Ventures, Priority Technology Holdings, Walter Kortschak</t>
  </si>
  <si>
    <t>www.torpago.com</t>
  </si>
  <si>
    <t>338521-78</t>
  </si>
  <si>
    <t>Timeline</t>
  </si>
  <si>
    <t>Developer of a financial planning technology and portfolio management platform designed to help financial advisers and institutions with investment model portfolio management services. The company's platform provides advisers with investment portfolio management options via low-cost, evidence-based, discretionary model portfolio services, enabling clients to make the right financial decisions for their future.</t>
  </si>
  <si>
    <t>Adam Seale, BlackFin Capital Partners, Darren Carter, FNZ Group, Jason Butler, Michael Kitces, Money20/20, MTech Capital, Timothy Wright</t>
  </si>
  <si>
    <t>www.timeline.co</t>
  </si>
  <si>
    <t>464113-99</t>
  </si>
  <si>
    <t>ShopSe</t>
  </si>
  <si>
    <t>Operator of an end-to-end payment platform intended to make consumer financing accessible and transparent. The company's application offers no-cost EMI or pay-later services to consumers at the point of purchase and instant digital credit services to consumers by digitally examining real-time credit eligibility, enabling businesses to increase their sales by providing an EMI facility and to achieve zero drop-offs and maximize conversions.</t>
  </si>
  <si>
    <t>Abhishant Pant, BEENEXT Capital Management, Chiratae Ventures, Opus Capital, Pentathlon Ventures, The Fintech Meetup, White Venture Capital, Yatra Angel Network</t>
  </si>
  <si>
    <t>www.getshopse.com</t>
  </si>
  <si>
    <t>500764-24</t>
  </si>
  <si>
    <t>CheQ (Financial Software)</t>
  </si>
  <si>
    <t>Developer of a credit management platform designed to simplify the discovery and management of credit products. The company's tool simplifies the creation and management of all credit products, such as playing cards and buy-now-pay-later, enabling credit card users to improve their credit health by making it easier to track, manage, and securely make all their credit payments on a single platform.</t>
  </si>
  <si>
    <t>3one4 Capital, Amit Lakhotia, Astir Ventures, Hitesh Gupta, Lloyd Dizon, LVX, Marquee Angels, Mars Shot Ventures, Multiply Ventures, Naveen Kukreja, Redbrook, Shailaz Nag, Shastra VC, Sherpalo Ventures, Venture Highway, Zenaida Balajadia</t>
  </si>
  <si>
    <t>www.cheq.one</t>
  </si>
  <si>
    <t>223766-11</t>
  </si>
  <si>
    <t>FundingPartner</t>
  </si>
  <si>
    <t>Provider of loan crowdfunding services intended to receive investment opportunities. The company's platform permits investors across Scandinavia to achieve enhanced returns on their investments by borrowing money directly from creditworthy companies and businesses that can offer inexpensive and flexible financing, enabling businesses to avail of loans easily.</t>
  </si>
  <si>
    <t>DNB Bank, DNB NXT Accelerator, Mastercard Lighthouse, Schibsted Ventures, Stratel (Norway), TRK Group, VRTKL (Oslo)</t>
  </si>
  <si>
    <t>www.fundingpartner.no</t>
  </si>
  <si>
    <t>265089-52</t>
  </si>
  <si>
    <t>StockViva</t>
  </si>
  <si>
    <t>Operator of a financial technology platform intended to provide real-time investment analysis. The company's platform connects retail investors with financial experts through live streaming, chat groups, and interactive question sessions, providing financial education, investment analysis, trading connectivity, community building, sentiment analysis, and data streaming, enabling users to access professional market insights and expert trading strategies during active market hours.</t>
  </si>
  <si>
    <t>Alibaba Entrepreneurs Fund, AngelHub, Cyberport Hong Kong, Farquhar Venture Capital, Gobi Partners, HHG Capital, Hong Huan Group, Hong Kong Science &amp; Technology Parks, K3 Ventures, Kharis Capital, Plug and Play Tech Center</t>
  </si>
  <si>
    <t>www.stockviva.com</t>
  </si>
  <si>
    <t>489353-59</t>
  </si>
  <si>
    <t>Credix (Financial Services)</t>
  </si>
  <si>
    <t>Developer of a credit infrastructure business-to-business platform designed for wholesalers and marketplaces to connect investors globally with credit fintech in emerging markets. The company's platform offers lending, underwriting, debt collection, payout to offer diverse credit options to their buyers while being instantly paid upfront and helps to generate revenue from merchant networks, and through virtual card networks, among others, enabling borrowers to connect in a more open, transparent, and efficient way.</t>
  </si>
  <si>
    <t>Abra, Arca (Asset Management), BTG Pactual, Circle Ventures, Claure Group, Cumberland, Fuse Capital, Fuse Capital (Brokerage), Fuse Capital (Private Equity), Meteora, MGG Investment Group, Motive Partners, Mudrex, ParaFi Capital, Parrot Drones, Patria Investments, PetRock Capital, Polígono Capital, Ricardo Villa Marina, Rockaway Capital, RockawayX, Solana Ventures, Solar Eco Fund, Transfero, Valor Capital Group, Victory Park Capital Advisors</t>
  </si>
  <si>
    <t>www.credix.finance</t>
  </si>
  <si>
    <t>490898-71</t>
  </si>
  <si>
    <t>MONEI</t>
  </si>
  <si>
    <t>Developer of an omnichannel payment processing platform designed to enable merchants to accept and manage multiple payment methods across online and in-store channels. The company offers a regulated payment infrastructure, payment orchestration capabilities, and serverless architecture for high transaction processing, enabling retailers and merchants to streamline payment acceptance and improve transaction management efficiency.</t>
  </si>
  <si>
    <t>Visa Innovation Program</t>
  </si>
  <si>
    <t>www.monei.com</t>
  </si>
  <si>
    <t>531370-72</t>
  </si>
  <si>
    <t>CredCore</t>
  </si>
  <si>
    <t>Developer of a credit management tool designed to modernize repayment for asset managers and enterprise borrowers. The company's platform manages the credit stack and capital deployment and provides features such as workflow automation, cross-portfolio analysis, ecosystem collaboration, summarizing dense financing documents, smart checklists, and more, enabling businesses to reduce costs, time-to-execute, and the incidence of contract breaches.</t>
  </si>
  <si>
    <t>Avataar Venture Partners, BellTower Partners, Fitch Group (Other Financial Services), Fitch Ventures, Inspired Capital (New York)</t>
  </si>
  <si>
    <t>www.credcore.com</t>
  </si>
  <si>
    <t>500841-10</t>
  </si>
  <si>
    <t>Nickel (Financial Software)</t>
  </si>
  <si>
    <t>Developer of a payments and credit platform designed to help businesses manage their cash flow across receivables and payables. The company's platform offers capabilities such as processing card, check payments, vendor and contractor payouts, credit assessments, and net-term management, enabling industrial-small businesses that distribute, manufacture, or build to optimise their working capital and accelerate their growth.</t>
  </si>
  <si>
    <t>AirAngels, Brick &amp; Mortar Ventures, Conversion Capital, Formwork Labs, Great Wave Ventures, Nichole Wischoff, Nine Four Ventures, Stage 2 Capital, Stanley Black &amp; Decker, Stanley Ventures, Wischoff Ventures</t>
  </si>
  <si>
    <t>www.nickel.com</t>
  </si>
  <si>
    <t>268811-20</t>
  </si>
  <si>
    <t>Stake (New York)</t>
  </si>
  <si>
    <t>Developer of a rental rewards platform designed to incentivize renters through financial benefits linked to lease agreements. The company's platform features cash back on lease signing, rewards for on-time rent payments, an integrated Visa debit card for earning on spending, early paycheck access, comprehensive banking services and positive rent payment reporting to credit bureaus, enabling renters and property operators to benefit from financial incentives that improve rent affordability, credit building, and cash flow management.</t>
  </si>
  <si>
    <t>Acronym Venture Capital, Adapt Ventures, Blue Field Capital, Ellen Levy, Enterprise Community Partners, Five Points Family Ventures, FOVC, Gaingels, Hamilton Ventures (Washington DC), HEPCO Capital Management, Hometeam Ventures, Hub Angels Investment Group, Lago Innovation Fund, Maine Venture Fund, Operator Stack, REACH, Real Company, RET Ventures, Room &amp; Pillar, Rosecliff Venture Partners, Second Century Ventures, Shadow Ventures, Zain Ventures</t>
  </si>
  <si>
    <t>www.getyourstake.com</t>
  </si>
  <si>
    <t>181273-87</t>
  </si>
  <si>
    <t>CapitalRise</t>
  </si>
  <si>
    <t>Developer of an online property investment platform designed for people to invest directly in loans secured against prime real estate. The company's platform offers flexible finance for prime property developers, and individual investors with the opportunity to invest, enabling investors to earn returns on investments per year.</t>
  </si>
  <si>
    <t>Government of UK, Revolt Ventures, Robin Ashley Architects, Seedrs</t>
  </si>
  <si>
    <t>www.capitalrise.com</t>
  </si>
  <si>
    <t>495456-67</t>
  </si>
  <si>
    <t>Native Teams</t>
  </si>
  <si>
    <t>Developer of a global work payments platform designed to empower freelancers, remote workers, and global businesses. The company offers work payments, employment, tax management, and mobility services across multiple countries, enabling professionals and businesses to manage hiring, payments, and compliance effortlessly while focusing on growth.</t>
  </si>
  <si>
    <t>Begin Capital, Eleven Ventures, Fil Rouge Capital, Inveready Asset Management, MFG Invest, Quake Capital, Visa Innovation Program</t>
  </si>
  <si>
    <t>www.nativeteams.com</t>
  </si>
  <si>
    <t>179868-16</t>
  </si>
  <si>
    <t>Weel</t>
  </si>
  <si>
    <t>Developer of a corporate card and spend management platform designed to empower teams to manage, control, and streamline company spending. The company's virtual card can be used for online purchases, protects the user from exposing personal bank card details to online merchants, and provides security from online fraud, enabling users to make purchases without paying any foreign transaction fees.</t>
  </si>
  <si>
    <t>1835i, Alpha Protocol Ventures, Global Founders Capital, Global Investors, Guy Pearson, H2 Ventures, Hedosophia, Patrick Tuttle, Raffael Johnen, Rapyd Ventures, Seed Space Venture Capital, UNSW Founders</t>
  </si>
  <si>
    <t>www.letsweel.com</t>
  </si>
  <si>
    <t>66014-38</t>
  </si>
  <si>
    <t>Neema</t>
  </si>
  <si>
    <t>Developer of a digital banking platform designed to provide comprehensive financial remedies to workers without bank accounts. The company's platform is designed to assist the global overseas worker population with its unique financial needs, like sending money to their families, shopping and paying bills online, and purchasing cellular services, enabling migrants and workers to conduct financial transactions with ease without any complexities.</t>
  </si>
  <si>
    <t>Bank Hapoalim, Cyprus Entrepreneurship Competition, Discount Capital, Leron Kattan, Michael Blattner, Oliver Jung, Parker Conrad, Poalim Equity</t>
  </si>
  <si>
    <t>www.getneema.com</t>
  </si>
  <si>
    <t>168373-90</t>
  </si>
  <si>
    <t>Soldo</t>
  </si>
  <si>
    <t>Developer of a spend management platform designed to streamline the entire business expense cycle from spending to reconciliation. The company's platform provides unprecedented visibility and control over company spending, is compatible with all major accounting software, and automates tedious tasks, enabling businesses to have efficient company and employee spending without compromising control.</t>
  </si>
  <si>
    <t>Accel, Andrea Dusi, Battery Ventures, Citi Ventures, Connect Ventures (UK), Dawn Capital, Giorgio Valaguzza, H-Farm, InReach Ventures, Khaled Helioui, Marco Valta, Neurone, R301 Capital, Sunley House Capital Management, Temasek Holdings, Teodoro D'Ambrosio, U-Start, Vintage (Private Equity)</t>
  </si>
  <si>
    <t>www.soldo.com</t>
  </si>
  <si>
    <t>182051-02</t>
  </si>
  <si>
    <t>Baton (Financial Software)</t>
  </si>
  <si>
    <t>Developer of a payments technology platform designed to revolutionize the entire post-trade process with interoperable, friction-free, flexible and transparent digital market infrastructures. The company's platform offers riskless settlement of both cash and securities and also assists with asset movement and settlements across financial markets, enabling firms to move from a server-based, hard-wired inflexible world to fully digital market infrastructures.</t>
  </si>
  <si>
    <t>Alsop Louie Partners, Commerce Ventures, Illuminate Financial, Lewis Kaden, Trinity Ventures</t>
  </si>
  <si>
    <t>www.batonsystems.com</t>
  </si>
  <si>
    <t>433883-26</t>
  </si>
  <si>
    <t>Capitalize (Financial Software)</t>
  </si>
  <si>
    <t>Developer of a retirement account rollover technology platform designed to facilitate seamless consolidation for financial institutions. The company's platform offers proprietary account discovery tools, automated rollover initiation capabilities, comprehensive recordkeeper mapping covering virtually all participants and exceptions, embeddable rollover experiences, API integration with detailed documentation and pair programming support, and access to dedicated rollover specialists equipped with proprietary tooling, enabling financial institutions, advisors, and recordkeepers to grow retirement assets digitally, efficiently, and at scale while delivering consistently high customer satisfaction.</t>
  </si>
  <si>
    <t>Atento Capital, Bling Capital, Canapi Ventures, Greycroft, Industry Ventures, RRE Ventures, Summit Peak Investments, TIAA Ventures, Walkabout Ventures</t>
  </si>
  <si>
    <t>www.hicapitalize.com</t>
  </si>
  <si>
    <t>1157666-59</t>
  </si>
  <si>
    <t>Uno (Financial Software)</t>
  </si>
  <si>
    <t>Developer of a payments application intended to help families send money internationally for free. The company's application offers a one-stop shop where people can send cross-border payments, or remittances, and also access U.S. dollars through stablecoins, enabling users to transfer money easily across borders.</t>
  </si>
  <si>
    <t>Firestreak Ventures, Lightspeed Venture Partners, Paradigm</t>
  </si>
  <si>
    <t>www.uno.global</t>
  </si>
  <si>
    <t>165911-05</t>
  </si>
  <si>
    <t>LoanTap</t>
  </si>
  <si>
    <t>Developer of an online lending platform designed to deliver flexible loan products to salaried professionals. The company's platform lets users choose custom-made loan products from an array of offerings, enabling users to access hassle-free and need-based financial products on one user interface.</t>
  </si>
  <si>
    <t>3one4 Capital, Abhishek Pandey, Anand Lunia, Ashish Goenka, Avaana Capital, Devansh Sanghavi, Elev8 Venture Partners, Jaysukh Sapra, July Ventures, Kae Capital, Lighthouse Canton, Shunwei Capital, Tuscan Ventures</t>
  </si>
  <si>
    <t>www.loantap.in</t>
  </si>
  <si>
    <t>459708-22</t>
  </si>
  <si>
    <t>iink Payments</t>
  </si>
  <si>
    <t>Developer of endorsing technology designed to help contractors automate their customers' insurance proceeds verification and disbursement. The company's technology provides fast and easy access to property insurance payments for restoration professionals, enabling payees to endorse and disburse funds electronically.</t>
  </si>
  <si>
    <t>CFV Ventures, Chartline Capital Partners, Creative Destruction Lab, Grand Ventures, Green Egg Ventures, Headline, IU Ventures, Kbb Capital, Motivate Venture Capital, Motley Fool Ventures, RevTech Labs Capital, Service Provider Capital, SilverCircle, Simplex Ventures, SpringTime Ventures</t>
  </si>
  <si>
    <t>iink.com</t>
  </si>
  <si>
    <t>490001-68</t>
  </si>
  <si>
    <t>Billfold</t>
  </si>
  <si>
    <t>FinTech, Internet of Things, SaaS</t>
  </si>
  <si>
    <t>Developer of a customer intelligence platform designed to streamline contactless payment flow for the events industry. The company's platform allows event businesses to accept payment from customers through RFID payment technology and users to link radio frequency identification (RFID) bracelets to bank cards to make contactless payments at point-of-sale terminals, enabling the event industry to obtain payment and cashless systems.</t>
  </si>
  <si>
    <t>Bambu Capital, Elektron Ventures, FMS Capital Partners, Fourward Ventures, Fran Tarkenton, Inertia Ventures</t>
  </si>
  <si>
    <t>www.billfold.tech</t>
  </si>
  <si>
    <t>503679-16</t>
  </si>
  <si>
    <t>Gelt</t>
  </si>
  <si>
    <t>Developer of an artificial intelligence-based tax management platform designed to help optimize taxes. The company's platform analyzes, structures, and files taxes to maximize savings, and provides tax-optimized recommendations and strategies specific to personal and business financial goals, enabling clients to save money by maximizing deductions and minimizing tax liability.</t>
  </si>
  <si>
    <t>Chris Hutchins, David Hauser, Kenny Tucker, Operator Partners, TLV Partners, Verissimo Ventures, Vintage (Private Equity), Zvi Limon</t>
  </si>
  <si>
    <t>www.joingelt.com</t>
  </si>
  <si>
    <t>494187-22</t>
  </si>
  <si>
    <t>Viably</t>
  </si>
  <si>
    <t>Developer of a financial platform designed to support clients in managing their daily finances. The company's application offers integration with the financial toolset and provides real-time information and tips for financial and banking management, enabling users to have simplified money management and easy access to finance.</t>
  </si>
  <si>
    <t>Anamcara Capital, Angular Ventures, Bull City Venture Partners, NC Tweener Fund, Salesforce Ventures, VentureSouq, Viola Ventures</t>
  </si>
  <si>
    <t>www.runviably.com</t>
  </si>
  <si>
    <t>762920-20</t>
  </si>
  <si>
    <t>Warren (Business/Productivity Software)</t>
  </si>
  <si>
    <t>Developer of an artificial intelligence-driven wealth enablement platform designed for employees to become financially stronger. The company's platform uses transparent tools, personalized coaching, and human expertise to offer insights and expert guidance, enabling employers to reduce stress, boost retention, and avail financially secure teams.</t>
  </si>
  <si>
    <t>100IN, 1105 (Belgium), Entourage Capital, Entourage Ventures, F Capital, Motive Partners, Pitchdrive, Syndicate One</t>
  </si>
  <si>
    <t>www.warren.eu</t>
  </si>
  <si>
    <t>616083-31</t>
  </si>
  <si>
    <t>Collective Liquidity</t>
  </si>
  <si>
    <t>Developer of a private-market exchange fund platform designed to enable portfolio diversification for pre-IPO shareholders. The company offers an exchange fund for contributing private company shares in a tax-deferred structure along with liquidity programs for near-term exits, enabling founders, executives, and early employees to reduce single-stock risk while maintaining exposure to late-stage private growth opportunities.</t>
  </si>
  <si>
    <t>Aliya Capital Partners, Intercept Ventures, Koa Labs, Lampros Capital Partners, Medalist Partners (New York), WebBank</t>
  </si>
  <si>
    <t>www.collectiveliquidity.com</t>
  </si>
  <si>
    <t>465325-93</t>
  </si>
  <si>
    <t>Hozah</t>
  </si>
  <si>
    <t>Artificial Intelligence &amp; Machine Learning, FinTech, Mobile, Mobility Tech</t>
  </si>
  <si>
    <t>Developer of a parking management system application designed to automate payments. The company's application offers zero-touch parking which automatically scans the license plate and automatically deducts the amount, enabling users with a fully automated parking payment system.</t>
  </si>
  <si>
    <t>DCD Trustees, Gozs Trading, LEFA Enterprises, Norland Capital, Octofelix, Saffron Saunders, Suss Ventures, Westerby</t>
  </si>
  <si>
    <t>www.hozah.com</t>
  </si>
  <si>
    <t>510759-46</t>
  </si>
  <si>
    <t>Dash (Australia)</t>
  </si>
  <si>
    <t>Operator of an advice technology company focused on solving problems across the end-to-end advice process. The company's financial platform allows integration of advice services across the streams, allowing advisers to deliver advice with increased efficiencies, lower cost of advice, and flexible portfolio management, managed accounts, and a transparent low-cost superannuation product.</t>
  </si>
  <si>
    <t>Bailador Technology Investments, Co:Act, Ord Minnett</t>
  </si>
  <si>
    <t>www.dash.com.au</t>
  </si>
  <si>
    <t>160808-32</t>
  </si>
  <si>
    <t>WiseAlpha</t>
  </si>
  <si>
    <t>Developer of a web-based digital bonds investment platform intended to make corporate bonds available to small-scale investors. The company's investment platform allows investors to invest their funds in corporate loans, bonds, and secured promissory notes through fractionalization, enabling retail investors to earn attractive returns by diversifying their portfolio of investments.</t>
  </si>
  <si>
    <t>Claude Waddington, Daniel Vieira, Deeptech Ventures, Enabling Future, Evinvest, Gruppo Bertoldi Holding, Joshua Senior, Michael Sauerbrey, Robin Grant, Sam Ettelaie</t>
  </si>
  <si>
    <t>www.wisealpha.com</t>
  </si>
  <si>
    <t>229667-86</t>
  </si>
  <si>
    <t>Earlytrade</t>
  </si>
  <si>
    <t>Developer of a cloud-based network platform designed to help manage cash flow and relationships. The company's platform allows to securely upload of approved invoices and facilitates early payment negotiations between general contractors and subs, enabling construction businesses to strengthen relationships, improve project outcomes, and contribute to the construction economy.</t>
  </si>
  <si>
    <t>Antler, Brick &amp; Mortar Ventures, Foundamental, Power Invest, S3 Ventures, Slingshot Accelerator</t>
  </si>
  <si>
    <t>www.earlytrade.com</t>
  </si>
  <si>
    <t>470569-78</t>
  </si>
  <si>
    <t>Rally</t>
  </si>
  <si>
    <t>Developer of a checkout payment software designed to bridge the eCommerce front and backend platforms. The company's platform combines headless commerce with a Web3 token approach that allows a merchant to own a piece of the network with personalized offers and technology, enabling clients to boost their conversions and increase revenue.</t>
  </si>
  <si>
    <t>1Indicator, Afore Capital, Alumni Ventures, Andrew Bialecki, Commerce Ventures, Felix Capital, Joshua Buckley, Long Journey Ventures, March Capital, Rainfall Ventures, Triton Capital (San Francisco), Zeno Ventures</t>
  </si>
  <si>
    <t>www.rallyon.com</t>
  </si>
  <si>
    <t>228786-76</t>
  </si>
  <si>
    <t>vestr</t>
  </si>
  <si>
    <t>Developer of a digital management platform designed for the end-to-end administration of structured investment products. The company's platform manages the entire product lifecycle, facilitates portfolio rebalancing with detailed audit trails, calculates net asset value and various tiered fees, and ensures continuous compliance oversight through pre- and post-trade validations, enabling banks and issuers to increase operational efficiency and minimize manual errors associated with complex financial instruments.</t>
  </si>
  <si>
    <t>BlueLion Incubator, Diventures Management, Elevator Ventures, EquityPitcher Ventures, European Investment Fund, Raiffeisen Bank International, SIX FinTech Ventures, Tenity, Venture Kick, Zürcher Kantonalbank</t>
  </si>
  <si>
    <t>www.vestr.com</t>
  </si>
  <si>
    <t>466216-75</t>
  </si>
  <si>
    <t>Opensee</t>
  </si>
  <si>
    <t>Operator of a fintech company intended to offer self-service analytics to financial institutions. The company helps respond better to regulatory and business requirements and turn their big data challenges into a competitive advantage, enabling financial institutions to manage their data efficiently and perform numerous extraction, aggregation, simulations, and analysis.</t>
  </si>
  <si>
    <t>Business France(Education and Training Services), Capgemini Ventures, ISAI, Kepler Cheuvreux, Laurion Capital Management, Omnes Capital, Societe Generale Ventures</t>
  </si>
  <si>
    <t>www.opensee.io</t>
  </si>
  <si>
    <t>471667-60</t>
  </si>
  <si>
    <t>PayEngine</t>
  </si>
  <si>
    <t>Developer of a payment platform designed to help vertical market software vendors increase their payment revenue. The company's platform allows setting rates over interchange, controlling margins, helping to eliminate MOR liability and dispute management, and providing data security to integrate with APIs, drop-in widgets, and customize UI, enabling businesses to reduce complexity and improve customer experience.</t>
  </si>
  <si>
    <t>BAM Ventures, Hive Ventures, I2BF Global Ventures, K5 Global, Mucker Capital, Point72 Ventures</t>
  </si>
  <si>
    <t>www.payengine.co</t>
  </si>
  <si>
    <t>472336-12</t>
  </si>
  <si>
    <t>Zevoy</t>
  </si>
  <si>
    <t>Developer of an expense management technology designed to provide companies with simple financial services so that they have more time for their business. The company offers business payment cards and fast software with a receipt scanning application and administration hub which automates all company expenses in real-time, enabling organizations to save time and money while increasing employee satisfaction.</t>
  </si>
  <si>
    <t>Blossom Capital, Brightly Ventures, Kurt Björklund, Maki.vc</t>
  </si>
  <si>
    <t>www.zevoy.com</t>
  </si>
  <si>
    <t>229134-97</t>
  </si>
  <si>
    <t>CrowdProperty</t>
  </si>
  <si>
    <t>Developer of a peer-to-peer lending platform designed to facilitate short-term loans to small, medium, and micro enterprises, and property professionals. The company's platform matches the demand of the property professionals undertaking projects and the supply that involves retail investors of capital for value-creating, enabling clients to get a better deal for all borrowers, lenders, the undersupplied housing environment, and increased spending in the economy.</t>
  </si>
  <si>
    <t>Alex Retzlaff, British Business Bank, Flow Capital, Jeff Lewis, Oscar Done</t>
  </si>
  <si>
    <t>www.crowdproperty.com</t>
  </si>
  <si>
    <t>459382-60</t>
  </si>
  <si>
    <t>TeamFeePay</t>
  </si>
  <si>
    <t>Developer of a football club management platform designed to help sports clubs with the management and coordination of their club. The company's SaaS-based platform accepts virtual registration and member sign-up, annual registration payments, and procedures, and also provides formal communication, advice, and guidance on public funding and related other things, enabling sports clubs to collect all forms of payment and donations from their members and supporters.</t>
  </si>
  <si>
    <t>Clarendon Fund Managers, Invest Northern Ireland, Techstart Ventures, YFM Equity Partners</t>
  </si>
  <si>
    <t>www.teamfeepay.com</t>
  </si>
  <si>
    <t>522755-92</t>
  </si>
  <si>
    <t>EleStyle</t>
  </si>
  <si>
    <t>Developer of a multi-mobile payment platform designed to support multiple transaction options. The company develops SaaS type of payment service that unifies multiple mobile payment methods and a cashless payment service that can handle multiple mobile payments with a single QR code, enabling businesses to reduce opportunity loss in customers.</t>
  </si>
  <si>
    <t>Chiba Dojo, SIG, SIG China, Sumitomo Mitsui Card</t>
  </si>
  <si>
    <t>www.elestyle.jp</t>
  </si>
  <si>
    <t>497460-34</t>
  </si>
  <si>
    <t>Labrys</t>
  </si>
  <si>
    <t>Advanced Manufacturing, Artificial Intelligence &amp; Machine Learning, Big Data, Cryptocurrency/Blockchain, FinTech, SaaS</t>
  </si>
  <si>
    <t>Developer of an enterprise management platform designed to streamline tasks such as onboarding, compliance, and payments. The company's platform offers tools to manage individuals and teams of any type or size, in any environment, securely, and combines geospatial data with integrated task management software, encrypted communications, and digital payments in a cloud environment, enabling clients to visualize their people and networks globally in real-time.</t>
  </si>
  <si>
    <t>3Ventures, AlbionVC, Expeditions Fund, Marque Ventures, MD ONE Ventures, Offset Ventures (London), Plural (England), Project A Ventures, Superangel</t>
  </si>
  <si>
    <t>www.labrys.tech</t>
  </si>
  <si>
    <t>234258-04</t>
  </si>
  <si>
    <t>Ondato</t>
  </si>
  <si>
    <t>Developer of a KYC tool designed to make banks and fintech companies worldwide stay compliant. The company uses artificial intelligence and machine learning to offer digital ID verification services to next-generation businesses, and society can be tailored to the demanding industry agenda and is applicable mostly in banking, fintech, blockchain, sharing economy, and online trading enterprises worldwide, enabling firms to simplify the KYC process and protect their data and privacy.</t>
  </si>
  <si>
    <t>365.fintech, Alesco Ventures, Black Pearls VC, LitCapital, OTB Ventures, QUAY Acceleration, Smart Partnership Capital, Startup Wise Guys</t>
  </si>
  <si>
    <t>www.ondato.com</t>
  </si>
  <si>
    <t>343267-48</t>
  </si>
  <si>
    <t>Alinea</t>
  </si>
  <si>
    <t>Developer of a wealth management platform designed to invest money and get better returns. The company specializes in building a social trading platform to buy and sell stocks, exchange-traded funds, and cryptocurrencies, enabling investors to make correct investment decisions.</t>
  </si>
  <si>
    <t>Arash Ferdowsi, B5 Capital, Calm Ventures, Columbia Lab-to-Market Accelerator Network, Diaspora Ventures, Dragon Capital (California), Evolution (Venture Capital), F7 Ventures, FoundersX Ventures, Gaingels, GFR Fund, Goodwater Capital, Harvard Management Company, Jemison Alexander, Jonathan Cherki, Kima Ventures, Leonis Investissement, Makai VC, Mozza Angels, Odenn Ventures, Philippe Suchet, Play Ventures, PvX Partners, Saanvi Ventures, Super Capital, Swizzle Ventures, VentureSouq, Visible Ventures, Worklife Ventures, Y Combinator</t>
  </si>
  <si>
    <t>www.alinea-invest.com</t>
  </si>
  <si>
    <t>494207-74</t>
  </si>
  <si>
    <t>Alternative Payments</t>
  </si>
  <si>
    <t>Developer of a payment platform designed to offer white-labeled B2B checkout infrastructure with embedded buy now pay later technology. The company's platform offers small, medium business and enterprise companies a fully integrated web-based software to get paid faster, enabling clients and businesses to get all payment options, including net terms, credit cards, and wire transfers.</t>
  </si>
  <si>
    <t>AGE Crypto, Albany Green Energy, Company Ventures, Cumberland Partners, FinTech Collective, MissionOG, Sidekick Partners, Third Prime</t>
  </si>
  <si>
    <t>www.alternativepayments.io</t>
  </si>
  <si>
    <t>547947-55</t>
  </si>
  <si>
    <t>Finster AI</t>
  </si>
  <si>
    <t>Developer of an artificial intelligence-based financial research platform designed to automate manual and repetitive tasks for asset managers and investment banks. The company's platform analyzes and integrates financial data from sources such as earnings calls, filings, and investor presentations, providing data synthesis, analysis, and research capabilities, enabling analysts to process information efficiently, identify relevant findings, and focus on analytical work.</t>
  </si>
  <si>
    <t>Aidan Gomez, Alexander Lorenz, Dorothy Chou, Engine (Accelerator), FactSet, FinTech Collective, Global Founders Capital, Hoxton Ventures, Ivan Zhang, Jacob Menick, Keith Grose, Laura Modiano, Luke Oliveira, Michele Attisani, Mili Sanwalka, Panos Papadopolous, Peak XV Partners, Sondo Capital, Surge (Accelerator), UBS Group</t>
  </si>
  <si>
    <t>www.finster.ai</t>
  </si>
  <si>
    <t>484526-26</t>
  </si>
  <si>
    <t>Futr.</t>
  </si>
  <si>
    <t>Climate Tech, FinTech, Mobile</t>
  </si>
  <si>
    <t>Developer of payment network designed to decarbonize the economy and facilitate the transition to a green lifestyle. The company offers a debit card to get cashback on public transport, electric charging, bikes, a proprietary rewards engine and a checkout integration for sustainable brands, enabling users to pay in the fast-growing sustainable economy.</t>
  </si>
  <si>
    <t>www.future.green</t>
  </si>
  <si>
    <t>432567-10</t>
  </si>
  <si>
    <t>Immediate</t>
  </si>
  <si>
    <t>Developer of a financial wellness and pay access platform designed to provide employees with faster and more flexible access to earned wages. The company offers on-demand pay, off-cycle payments, digital tips, and employee pay cards integrated with payroll and time tracking systems, enabling employers and hourly workforces to access earned wages with reduced administrative burden and improved payroll flexibility.</t>
  </si>
  <si>
    <t>Alabama Launchpad, BankTech Ventures, Bryan Statham, Castle Creek Capital, Cynthia Johnson, Innovation Depot, Launchpad Capital, Rockledge Capital, Tech Alpharetta</t>
  </si>
  <si>
    <t>www.joinimmediate.com</t>
  </si>
  <si>
    <t>484708-24</t>
  </si>
  <si>
    <t>Monnai</t>
  </si>
  <si>
    <t>Developer of a financial platform designed to let businesses access financial services at an affordable rate. The company's platform offers financial data application programming interfaces to offer financial services such as real-time credit decisions, aggregated financial and digital insights, and streamlined onboarding and processes, enabling businesses to grow their assets and revenue.</t>
  </si>
  <si>
    <t>2ndF, 500 Global, 500 Southeast Asia, 9Yards Capital Management, Better Tomorrow Ventures, Carriage House Rock, Commerce Ventures, Emphasis Ventures (EMVC), Ginkgo Ventures, Kearny Jackson, Motive Partners, Tiger Global Management</t>
  </si>
  <si>
    <t>www.monnai.com</t>
  </si>
  <si>
    <t>434852-11</t>
  </si>
  <si>
    <t>Copilot Money</t>
  </si>
  <si>
    <t>Developer of financial software designed to manage recurring expenses. The company's software uses machine learning to deliver powerful, hyper-personalized insights that can manage how to spend, save, and invest money, enabling users to plan their finances by automatically detecting their bills and subscriptions and linking them to their budgets.</t>
  </si>
  <si>
    <t>Adjacent (New York), Autopilot Fund, BBQ Capital, Factorial Capital, Kamco Invest, Ludlow Ventures, Path Ventures, Pathlight Ventures, Restive Ventures, Shrug Capital, Siesta Ventures</t>
  </si>
  <si>
    <t>www.copilot.money</t>
  </si>
  <si>
    <t>268039-27</t>
  </si>
  <si>
    <t>ABCash</t>
  </si>
  <si>
    <t>Developer of an online financial platform designed to offer advice on financial products such as insurance, mortgages, and investment products. The company's platform offers various courses for money management, enabling client, especially women to effectively manage their savings.</t>
  </si>
  <si>
    <t>Able &amp; Partners, Aflac Ventures Japan, ANOBAKA, Carta Holdings, CELM, Credit Saison, DG Ventures, FFG Venture Business Partners, iSG Investment Works, Itochu, Japan Post Capital, Lead Capital Management, Mitsubishi UFJ Capital, Mitsubishi UFJ Securities Holdings, Mizuho Capital, Monex Group, MUFG Innovation Partners, Persol Venture Partners, Saison Ventures, SBI Investment, SMBC Venture Capital, SV Frontier, SV-FINTECH Fund</t>
  </si>
  <si>
    <t>www.abcash.co.jp</t>
  </si>
  <si>
    <t>489591-19</t>
  </si>
  <si>
    <t>Yunzhang Finance</t>
  </si>
  <si>
    <t>Developer of financial platforms designed for investment education. The company develops an intelligent investment education platform and an intelligent data analysis platform, enabling investors to obtain high-quality financial information and realize value investing.</t>
  </si>
  <si>
    <t>Beijing Cultural Investment Development Group, Meridian Capital China</t>
  </si>
  <si>
    <t>www.123.com.cn</t>
  </si>
  <si>
    <t>439194-97</t>
  </si>
  <si>
    <t>Wagely</t>
  </si>
  <si>
    <t>Developer of a financial wellness platform intended to reduce employees' monetary stress. The company's platform helps to access already earned but unpaid wages, eliminating the need for cash advances and offering real financial benefits, helping firms and employees to have flexibility in paying bills on time, avoiding late fees, covering unexpected expenses, reducing turnover, increasing savings, and building employee financial health.</t>
  </si>
  <si>
    <t>1982 Ventures, ADB Ventures, Alexander Krefft, Blauwpark Partners, Blue7, Capria Ventures, East Ventures, Feedback Ventures, Global Founders Capital, Golden Imperial Ventures, Integra Partners (Singapore), Resolution Ventures, Trihill Capital, Triputra Group, Village Capital, Willy Dharma</t>
  </si>
  <si>
    <t>www.wagely.app</t>
  </si>
  <si>
    <t>338607-82</t>
  </si>
  <si>
    <t>AppBrilliance</t>
  </si>
  <si>
    <t>Developer of an open payment technology designed to build non-custodial payment experiences. The company's technology offers login payment experiences that are customized for mobile, web, and in-store, and a secure, real-time way to pay with multiple checkout experiences to choose from, along with seamless processing flows of payments, enabling businesses to eliminate payment processing costs.</t>
  </si>
  <si>
    <t>Fanjul Capital, Spark Legacy, Studio VC, Truist Ventures</t>
  </si>
  <si>
    <t>www.appbrilliance.com</t>
  </si>
  <si>
    <t>436328-29</t>
  </si>
  <si>
    <t>Canopy (Financial Software)</t>
  </si>
  <si>
    <t>Developer of a loan management platform designed for managing and automating the lifecycle of credit products. The company's platform supports configurable workflows, real-time data access, dynamic account management, payment processing, and compliance management, enabling financial institutions and fintech companies to build, launch, and scale credit programs while maintaining operational control and adaptability to evolving lending requirements.</t>
  </si>
  <si>
    <t>Aunkur Arya, BoxGroup, Canaan Partners, Charley Ma, Checkout.com, Commerce Ventures, Dwolla, Fin (Business/Productivity Software), Foundation Capital, Galileo Ventures, Homebrew Management, Infinity Ventures (San Francisco), Louis Beryl</t>
  </si>
  <si>
    <t>www.canopyservicing.com</t>
  </si>
  <si>
    <t>483173-29</t>
  </si>
  <si>
    <t>Stackwell</t>
  </si>
  <si>
    <t>Developer of a fintech investment application designed to close the racial wealth gap by offering a digital investment space for the Black community. The company's investment platform provides automated portfolio construction and in-app educational content to reduce social and emotional barriers to participation in owning financial assets and partners with higher education institutions, large financial services firms, community and professional organizations, corporate employee resources groups and professional sports teams, enabling the Black community to access financial investment tools and guidance necessary to build lasting wealth, equity and equal opportunity.</t>
  </si>
  <si>
    <t>Corey Thomas, Damian Wilmot, Financial Health Network, Financial Health Network., Flintlock Capital, Jeremy Sclar, John Plansky, Louis Maiuri, Michael Fricklas, Michael Gordon, Sam Kennedy, Service Provider Capital, Shea Ventures, ShoreHaven Wealth Partners, SSC Venture Partners, Terence Rozier-Byrd, The Kraft Family Foundation, Theo Epstein, TruStage Ventures, William Cowan</t>
  </si>
  <si>
    <t>www.stackwellcapital.com</t>
  </si>
  <si>
    <t>561455-74</t>
  </si>
  <si>
    <t>Fonepay Payment Service</t>
  </si>
  <si>
    <t>Developer of a digital payments platform designed to facilitate electronic transactions for individuals and businesses. The company's platform features QR-based payments, peer-to-peer fund transfers, bill payment services, and virtual card functionality, enabling merchants and consumers in Nepal to access secure, convenient, and integrated digital financial services for everyday transactions and business operations.</t>
  </si>
  <si>
    <t>Global Equity Fund (Nepal)</t>
  </si>
  <si>
    <t>www.fonepay.com</t>
  </si>
  <si>
    <t>459756-46</t>
  </si>
  <si>
    <t>Doc2Doc</t>
  </si>
  <si>
    <t>Developer of a doctor-led lending platform designed to access capital and help to fuel their professional and personal success. The company's platform capitalizes on a proprietary lending algorithm, near-immediate loan processing, and a software platform for credit card debt consolidation and relocation expenses, enabling doctors to access funding whenever and for whatever purpose, typically at interest rates lower than traditional lenders.</t>
  </si>
  <si>
    <t>Advanced Technology Development Center, Atlanta Tech Village, Professional Solutions Insurance Company</t>
  </si>
  <si>
    <t>www.doc2doclending.com</t>
  </si>
  <si>
    <t>607753-99</t>
  </si>
  <si>
    <t>MCQ Markets</t>
  </si>
  <si>
    <t>Developer of an investment platform designed to provide access to shares in collectible luxury automobiles. The company's platform offers fractional ownership of investment-grade collector cars, professional asset curation, secure storage, and ongoing maintenance, enabling individual and institutional investors to diversify portfolios and participate in the collector car market.</t>
  </si>
  <si>
    <t>Consilium Ventures, Joseph Gunnar &amp; Co., Sol Global Investments</t>
  </si>
  <si>
    <t>www.mcqmarkets.com</t>
  </si>
  <si>
    <t>223427-89</t>
  </si>
  <si>
    <t>Alviere</t>
  </si>
  <si>
    <t>Developer of an embedded finance platform designed to empower brands to offer financial services to their customers. The company's software and services give businesses a flexible framework to launch new financial service lines of business, increasing profits, enabling businesses to drive customer engagement, generate new revenue streams, and improve existing financial flows.</t>
  </si>
  <si>
    <t>Alumni Ventures, Cerca Partners, CommerzVentures, Cross River Digital Ventures, Deel, Draper Associates, Draper Triangle Ventures, Eastward Capital Partners, Jumpstart Ventures, Mitsubishi UFJ Capital, North Coast Ventures, Ohio Innovation Fund, Opera Tech Ventures, Revolution 9 Ventures, SVB Financial Group, Viola FinTech, Viola Ventures, Wix Ventures</t>
  </si>
  <si>
    <t>www.alviere.com</t>
  </si>
  <si>
    <t>471566-44</t>
  </si>
  <si>
    <t>Asante</t>
  </si>
  <si>
    <t>Provider of digital financial services intended to focus on micro, small, and medium-sized enterprises (MSMEs). The company offers loans, payments, deposits, investments, and insurance-related products, along with asset management products and services that cater to the needs of African businesses and individuals, enabling growing businesses to avail themselves of a wide range of credit financing services to gain financial independence.</t>
  </si>
  <si>
    <t>DIFC Innovation Hub, Forsage Holdings, SandMartin Impact Capital, Sorenson Impact Foundation, Start Path</t>
  </si>
  <si>
    <t>www.asantefinancegroup.com</t>
  </si>
  <si>
    <t>92788-66</t>
  </si>
  <si>
    <t>Boldin</t>
  </si>
  <si>
    <t>Developer of a retirement planning platform designed to help individuals plan and manage their long-term finances. The company's platform provides financial planning tools for retirement income planning, healthcare cost planning, tax optimization, and fee analysis, enabling users to model scenarios and collaborate on financial plans to support long-term decision-making.</t>
  </si>
  <si>
    <t>Allegis Capital, AllegisCyber, Alumni Ventures, Cameron Ventures, Evolution (Venture Capital), Fin Capital, Frontier Venture Capital, Gaingels, Guggenheim Partners, Intercept Ventures, Madison Paige Capital, Mana Ventures, Marin Sonoma Impact Ventures, Motley Fool Ventures, Nationwide Ventures, Northwestern Mutual Future Ventures, Plug and Play Tech Center, Temperance Partners, Ulu Ventures</t>
  </si>
  <si>
    <t>www.boldin.com</t>
  </si>
  <si>
    <t>532822-24</t>
  </si>
  <si>
    <t>Caruso</t>
  </si>
  <si>
    <t>Developer of fund management software designed to offer automated tools to fund managers across asset classes to handle fund operations. The company's platform allows users to onboard investors, manage compliance, raise capital, issue distributions, and everything in between, and provides powerful, modern, and automated tools to fund managers across asset classes, enabling clients to manage all the fund operations effortlessly in one place.</t>
  </si>
  <si>
    <t>Balmain Investment Management, Centuria Capital, Christopher Heaslip, Fantail Ventures, GD1, Gull Petroleum, Icehouse Ventures, Rae Capital</t>
  </si>
  <si>
    <t>www.getcaruso.com</t>
  </si>
  <si>
    <t>501647-14</t>
  </si>
  <si>
    <t>Chariot (Financial Services)</t>
  </si>
  <si>
    <t>Developer of an AI-powered giving and gift-processing platform intended to simplify donor-advised fund contributions and grant payments. The company's platform transforms gift processing with a unified workflow and modernizes grant payments through one flexible process that streamlines DAF giving and reduces operational strain, enabling nonprofit fundraising and operations teams and institutional grantmakers to raise more from donor-advised funds, improve and streamline giving, and save time processing gifts.</t>
  </si>
  <si>
    <t>Adam Grant, Adam Nash, Angela Duckworth, Blackbaud Social Good Startup Program, Hawktail, Maveron, Michael Massaro, Quint Capital, Ripple Impact Investments, Spark Capital, SV Angel, Y Combinator</t>
  </si>
  <si>
    <t>www.givechariot.com</t>
  </si>
  <si>
    <t>442895-59</t>
  </si>
  <si>
    <t>Connected Processing Services</t>
  </si>
  <si>
    <t>Operator of a payment technology company intended to offer a variety of payment processing solutions. The company offers dynamic currency conversion, cloud-based processing, settlement services, terminal monitoring, mobile payments, technical support and other related services, enabling companies with security and increasing cost-efficiency.</t>
  </si>
  <si>
    <t>www.connectedps.com</t>
  </si>
  <si>
    <t>470063-62</t>
  </si>
  <si>
    <t>CrediLinq</t>
  </si>
  <si>
    <t>Operator of a technology infrastructure company intended to offer white-labeled embedded finance to its customers. The company seamlessly digitally assimilates data into the client's self-help application to help understand their customers' businesses and create credit scores for each of their borrowers, enabling small and medium enterprises to have hassle-free and fair access to capital and business growth.</t>
  </si>
  <si>
    <t>1982 Ventures, 500 Global, Aerion Technologies (IT consulting and outsourcing), Arkana Ventures, B7, Baksh Capital, Big Sky Capital, Boleh Ventures, Brandon Tee, Citigroup, Epic Angels, FinTech Sandbox, Invertidos (Spain), MS&amp;AD Ventures, OMVC, Plug and Play Tech Center, Sandeep Uberoi, Sketchnote Partners, Vectr Ventures, Venturra Capital, White Venture Capital</t>
  </si>
  <si>
    <t>www.credilinq.ai</t>
  </si>
  <si>
    <t>267736-06</t>
  </si>
  <si>
    <t>Elucidate</t>
  </si>
  <si>
    <t>Developer of a financial crime risk management platform designed to make it simple to store, manage, and price financial crime through the financial crime index. The company's platform performs comprehensive data analysis for the measurement, assessment, standardization, and reporting of a financial crime risk, enabling clients to define acceptable levels of risk exposure and to automatically monitor that exposure on an ongoing basis.</t>
  </si>
  <si>
    <t>11.2 Capital, APEX Ventures, AV8 Ventures, Elevator Ventures, Frontline Ventures, Investitionsbank Berlin, Plug and Play Tech Center, Seed X Liechtenstein, SixThirty Ventures, Start Ventures, Thomas Nicholas</t>
  </si>
  <si>
    <t>www.elucidate.co</t>
  </si>
  <si>
    <t>338532-04</t>
  </si>
  <si>
    <t>Figopara</t>
  </si>
  <si>
    <t>Developer of a supplier finance platform designed to facilitate customers in meeting their financing needs in the short term. The company's platform helps buyers to stretch their payment terms with a single click and suppliers to immediately collect their post-paid receivables early, enabling clients to increase their working capital to be profitable in their business.</t>
  </si>
  <si>
    <t>4Minds Capital, Abdul Latif Jameel (Conglomerates), Ahmet Bilgen, ComposeVC, Core Finance, DeBa Ventures, Eczacıbaşı Momentum, Endeavor Catalyst, Finberg, Hasan Davci, International Finance Corporation, Jameel Investment Management Company, Kalkinma Yatirim Bankasi, Kerim Sengir, Koray Bahar, L2G Ventures, Lima Ventures, Logo Ventures (Turkey), Logo Yazilim Sanayi ve Ticaret, Maxis (Istanbul), Orhan Ayanlar, Oyak Yatirim Ortakligi, Sabancı Ventures, ScaleX Ventures, TechOne Venture Capital, Turkey Development Fund, Yağız Sözmen</t>
  </si>
  <si>
    <t>figopara.com</t>
  </si>
  <si>
    <t>168228-28</t>
  </si>
  <si>
    <t>FlexM</t>
  </si>
  <si>
    <t>Developer of cashless payment software designed to facilitate digital transactions. The company offers an e-wallet payment that allows payment of bills to the home country, recharge of prepaid mobile as well as provides reward points on transactions of a certain limit, enabling users to get acquainted with an easy alternative for daily shopping and payments.</t>
  </si>
  <si>
    <t>6G Digital, Agorize, Eight Mercatus, Flex-I Partners, Matchmove, Monetary Authority of Singapore, Torkey Times Technology</t>
  </si>
  <si>
    <t>www.flexm.com</t>
  </si>
  <si>
    <t>437342-05</t>
  </si>
  <si>
    <t>FLX Networks</t>
  </si>
  <si>
    <t>Developer of a membership-based network platform designed to connect asset management and wealth management firms through integrated workflow tools, investment insights, and professional services. The company offers an integrated platform with workflow management tools, shared agreements, and consolidated billing processes, enabling asset and wealth management firms to simplify collaboration and streamline engagement across fragmented operational processes.</t>
  </si>
  <si>
    <t>Allianz Life Ventures, Althea Group (New York), Barings, Broadridge Financial Solutions, Daybreak Partners, Plug and Play Tech Center, RiverNorth Capital Management, Temperance Partners</t>
  </si>
  <si>
    <t>www.flxnetworks.com</t>
  </si>
  <si>
    <t>509673-88</t>
  </si>
  <si>
    <t>Goldtag</t>
  </si>
  <si>
    <t>Operator of an online gold transaction and savings platform intended to buy, sell, and store gold with a secure partner. The company's platform works with a customer-oriented approach that can send and receive gold, create special events, share them with friends, and support donation campaigns, enabling buyers to explore options of transferring this gold to an event, friend, or save.</t>
  </si>
  <si>
    <t>Colendi Ventures, Finberg, Fomo Ventures (Istanbul), Lonca Entrepreneurship Center, RePie Yatırım Holding, Turkcell Iletisim Hizmetleri</t>
  </si>
  <si>
    <t>www.goldtag.org</t>
  </si>
  <si>
    <t>319864-96</t>
  </si>
  <si>
    <t>Grifin</t>
  </si>
  <si>
    <t>Developer of a financial platform designed to spread literacy and responsibility through simplified investment strategies. The company's platform is based on micro shares that generally operate with an arbitrage mechanism to keep trading close to its net asset value and solve the problem of an exchange-traded fund, enabling users to purchase directly from public companies.</t>
  </si>
  <si>
    <t>Alloy Labs, Correlation Ventures, Draper Associates, Draper University, Embarc Collective, Evolution VC Partners, Gaingels, Makai VC, Mana Ventures, Miami Angels, Nava Ventures (California), Nevcaut Ventures, OTA Ventures, Revolution (Washington DC), Sand Hill Angels, Sidecut Ventures, Tampa Bay Ventures, Tappan Hill Ventures, TTV Capital, Witz Ventures</t>
  </si>
  <si>
    <t>www.grifin.com</t>
  </si>
  <si>
    <t>453419-02</t>
  </si>
  <si>
    <t>Happay (China)</t>
  </si>
  <si>
    <t>E-Commerce, FinTech, Mobile, Mobile Commerce</t>
  </si>
  <si>
    <t>Developer of a BNPL(Buy Now Pay Later) mobile application. The company's mobile application allows users to delay payment with no additional charges and interests, enabling customers to make more affordable purchases.</t>
  </si>
  <si>
    <t>Afterpay, Forward Fashion International, Longgoal, Touch Ventures</t>
  </si>
  <si>
    <t>www.happay.cn</t>
  </si>
  <si>
    <t>528924-97</t>
  </si>
  <si>
    <t>HIFI</t>
  </si>
  <si>
    <t>Operator of an infrastructure platform intended for businesses and developers to build money movement flows with stable-coins. The company's platform connects user wallets, supports several digital assets that can be converted to local currencies, and provides privacy and security, enabling users to manage purchases, request refunds, and send money.</t>
  </si>
  <si>
    <t>Antler, Arcanum Capital, Blockchain Founders Fund, Exitfund, Fabric Ventures, Hub71, Ocular VC, Plug and Play Tech Center, Predictive Venture Partners, Presidio Ventures, Side Door Ventures, Vast Ventures, Wave Digital Assets</t>
  </si>
  <si>
    <t>www.hifi.com</t>
  </si>
  <si>
    <t>535921-48</t>
  </si>
  <si>
    <t>Ironlight</t>
  </si>
  <si>
    <t>Developer of a blockchain finance platform designed to provide decentralized financial services through tokenized securities. The company's platform specializes in tokenization, which assists in transparency, security, privacy protection, settlement, liquidity, compliance, and record keeping, and helps to lower risk and transaction fees, enabling public and private fund managers to create efficient and compliant product offerings and customized smart contracts.</t>
  </si>
  <si>
    <t>Gregory Braca, Laidlaw &amp; Company, Sei Development Foundation, Service Provider Capital</t>
  </si>
  <si>
    <t>www.ironlight.io</t>
  </si>
  <si>
    <t>264352-60</t>
  </si>
  <si>
    <t>Kickfin</t>
  </si>
  <si>
    <t>FinTech, Restaurant Technology, SaaS</t>
  </si>
  <si>
    <t>Developer of a gratuity management software designed to provide closed-loop cash management services. The company's software helps in sending tips directly to employees' bank accounts without waiting or detours, automates tip distributions, enabling businesses to tip out their entire team instantly and eliminate bank runs, cut the risk of theft and reduce labor costs.</t>
  </si>
  <si>
    <t>Acronym Venture Capital, Almanac Insights, Connexa Capital, Loomis Armored US, Silverton Partners, Wild Basin Investments</t>
  </si>
  <si>
    <t>www.kickfin.com</t>
  </si>
  <si>
    <t>862970-77</t>
  </si>
  <si>
    <t>Monato</t>
  </si>
  <si>
    <t>Operator of a modular financial infrastructure platform intended to create modular and versatile financial systems. The company's platform specializes in offering a unified payment network, automated transfers via SPEI, and embedded B2B lending services, enabling fintechs, retailers, and SMEs with automated payments, deposits, transfers, credit needs, and BI through a single API.</t>
  </si>
  <si>
    <t>Angel Ventures Mexico, Clocktower Ventures, Eric Rosenthal, Fernando Casares, FinTech Collective, IGNIA, Itai Damti, Jesús Lanza, Kuiper (Mexico), Monashees, NOA Capital</t>
  </si>
  <si>
    <t>www.monato.com</t>
  </si>
  <si>
    <t>482414-86</t>
  </si>
  <si>
    <t>Nomod</t>
  </si>
  <si>
    <t>Developer of a financial operating system designed to help forward-thinking businesses in emerging markets. The company's payment tools and financial services handle business financial transactions and make it easy to sign up and start accepting card payments both in-person and online, enabling entrepreneurs and startups to start and grow their businesses by handling their money.</t>
  </si>
  <si>
    <t>Ash Park Capital, DST Global, Global Founders Capital, Goodwater Capital, Inspire Us, Kube VC, Spade Ventures, VentureSouq, Y Combinator</t>
  </si>
  <si>
    <t>www.nomod.com</t>
  </si>
  <si>
    <t>606410-20</t>
  </si>
  <si>
    <t>Payman</t>
  </si>
  <si>
    <t>Developer of an AI-driven banking infrastructure designed to securely orchestrate money movement between automated agents and financial systems. The company offers human oversight, spending limits, payee protection, and seamless integration with existing banking cores, enabling banks to safely adopt agentic capabilities and maintain compliance and brand control.</t>
  </si>
  <si>
    <t>Alumni Ventures, Ambush Capital, Boost VC, Coinbase Ventures, Deepwater Asset Management, Eden Block, Freestyle Capital, Independent Community Bankers of America, Protofund, Spartan Group, Systemic Ventures, The Spartan Group, Theory Forge Ventures, Untapped Capital, Visa</t>
  </si>
  <si>
    <t>www.paymanai.com</t>
  </si>
  <si>
    <t>232094-17</t>
  </si>
  <si>
    <t>Prodigal</t>
  </si>
  <si>
    <t>Developer of consumer finance intelligence software designed to reduce content center operating costs. The company's platform offers a real-time virtual agent assistant, a post-conversation note generator, and an automatic call quality assurance analyzer, enabling lenders, collection agencies, and healthcare revenue cycle management to maximize revenue, optimize operations, and minimize compliance risk for its customers while increasing payments, customer experience, and compliance.</t>
  </si>
  <si>
    <t>Accel, Anand Joshi, Eric Sager, Menlo Ventures, MGV, Nicholas Hinrichsen, Seaborne Capital, Y Combinator</t>
  </si>
  <si>
    <t>www.prodigaltech.com</t>
  </si>
  <si>
    <t>339855-22</t>
  </si>
  <si>
    <t>Qashier</t>
  </si>
  <si>
    <t>Developer of a point-of-sale system designed to combine integrated payment acceptance with a diverse app store of both in-house and third-party business applications. The company's system is a connected multi-purpose device that merges POS software, a payments hub, and an open platform for third-party application integration at an affordable monthly subscription rate, enabling merchants to start, run, and enhance the growth of stores with ease.</t>
  </si>
  <si>
    <t>Antler, BlackSoil Global (Singapore), Cocoon Capital, Delivery Hero Ventures, EXOR Seeds, HCVC, Independent Financial Partners</t>
  </si>
  <si>
    <t>qashier.com</t>
  </si>
  <si>
    <t>467002-90</t>
  </si>
  <si>
    <t>RIBBIT</t>
  </si>
  <si>
    <t>Developer of an artificial intelligence suite intended to provide adaptive bank behavior analytics for instant credit decisions and payments from a single connection. The company offers predictive power of open banking and payment data to promote financial inclusion, qualify credit applicants, and onboard bank accounts, enabling clients to get data and real-time insights to improve access to quality financial products and services.</t>
  </si>
  <si>
    <t>ABS Capital Partners</t>
  </si>
  <si>
    <t>www.ribbit.ai</t>
  </si>
  <si>
    <t>443212-12</t>
  </si>
  <si>
    <t>Speedchain</t>
  </si>
  <si>
    <t>Developer of a payments optimization platform designed to build secure ecosystems and provide custom ledger designs. The company's platform provides product customization, strategic insight, technical implementation and ongoing project execution and management to improve their purchasing and payment processes, enabling clients to reduce the cost of manual processing, increase revenue, power communication and capture enterprise data.</t>
  </si>
  <si>
    <t>Emigrant Bancorp, GTMfund, K5 Global, Tandem Ventures (Utah), TTV Capital, Village Global</t>
  </si>
  <si>
    <t>www.speedchain.com</t>
  </si>
  <si>
    <t>471236-86</t>
  </si>
  <si>
    <t>Treasury4</t>
  </si>
  <si>
    <t>Developer of a cloud-based data analytics platform designed to improve treasury and finance processes for corporates worldwide. The company's platform includes complementary and interconnected tools for legal entity management, global cash management, secure payments management, forecast management, and foreign exchange management, enabling corporate finance and treasury professionals to perform effective real-time analyses and provide meaningful, accurate inputs for decision-making.</t>
  </si>
  <si>
    <t>Christopher Growney, Cowles Ventures, Fortson VC, Jim DuBois, Kick-Start, Kickstart (US), Spokane Angel Alliance, Voyager Capital, Washington Trust Bank Wealth Management &amp; Advisory Services, WestCap (New York)</t>
  </si>
  <si>
    <t>www.treasury4.com</t>
  </si>
  <si>
    <t>267438-16</t>
  </si>
  <si>
    <t>Dintero</t>
  </si>
  <si>
    <t>Developer of a digital financial platform designed to remove the complexity within the payment space. The company's platform integrates and streamlines processes related to payment, loyalty programs, and sales through omnichannel, and customer insight management includes all relevant payment methods, making it possible for several parties to receive money from the same payment, enabling users to make seamless mobile payments from cards, bank accounts, and digital credit, among others.</t>
  </si>
  <si>
    <t>Bring Ventures, CoFounder, Harding Invest, Harper (Fetsund), Mastercard Lighthouse, Schibsted Ventures, Startuplab Ventures</t>
  </si>
  <si>
    <t>www.dintero.com</t>
  </si>
  <si>
    <t>528314-50</t>
  </si>
  <si>
    <t>HeyMax</t>
  </si>
  <si>
    <t>Developer of an open-loop loyalty platform designed to let users earn and redeem a single universal currency for travel rewards from everyday spending. The company's platform offers easy integration with multiple merchants, credit card tracking, in-app campaigns, an eSIM purchase option, and flexible redemption across flights and partner hotel or airline programs, enabling frequent shoppers and travelers the freedom to turn routine expenses into valuable travel benefits.</t>
  </si>
  <si>
    <t>AppWorks, Ascend Angels, Ayush Goyal, Betatron Venture Group, Chua Chien, David Lee, Evan Heng, Jake Kiat, January Capital, Jeffry Wu, Jian Wei Chuah, Jimmy Gambier, JJ Chai, John Xiao, Junxiong Ho, Junyang Ng, Kum Hong Siew, Lee Guan, Monk's Hill Ventures, Ned Lowe, Nino Ulsamer, Peak XV Partners, Plug and Play Tech Center, Projjal Ghatak, Robert Rosenstein, Ronak Banka, Royston Chan, Sandeep Krishnamani, Shiyan Koh, Sky Tsoi, SMU Institute of Innovation &amp; Entrepreneurship, Tenity, Vanessa Ho, Verne Point Capital, XA Network, Zach Tan</t>
  </si>
  <si>
    <t>www.heymax.ai</t>
  </si>
  <si>
    <t>484854-67</t>
  </si>
  <si>
    <t>Block Earner</t>
  </si>
  <si>
    <t>Developer of a blockchain-powered fintech platform designed to offer seamless access to blockchain finance. The company's platform provides crypto users with an all-in-one wealth management system that enables users to secure loans using their crypto assets as collateral, it also provides spot trading, over-the-trading, and access to decentralized finance (DeFi) yield products to earn annual returns, enabling investors to get consistent returns in a low-interest-rate environment and a full spectrum of blockchain finance products.</t>
  </si>
  <si>
    <t>Alliance (Other Capital Markets/Institutions), Blizzard Avalanche Fund, Coinbase Global, Coinbase Ventures, DCG Expeditions, Divergence Ventures, Emin Sirer, Fernando Martinelli, Framework Ventures, Humla Ventures, Kain Warwick, King River Capital, LongHash Ventures, Luno, Stani Kulechov, Titan Fund, Upside (Melbourne), XBTO Group</t>
  </si>
  <si>
    <t>www.blockearner.com.au</t>
  </si>
  <si>
    <t>222944-14</t>
  </si>
  <si>
    <t>WeInvest</t>
  </si>
  <si>
    <t>Operator of a digital wealth management platform intended to make investing accessible, transparent, and hassle-free for all. The company's platform offers an aggregation as a service, a business-to-customer, robo-advisory, and a goal-based and thematic investing platform, enabling banks, wealth and asset managers, insurance companies, enabling independent financial advisors to engage their clients, plan and monitor investment, and analyze portfolio performance.</t>
  </si>
  <si>
    <t>Acero International, DIFC Innovation Hub, Integrated Asset Management (UK), Lighthouse1, Plug and Play Tech Center, Schroders, Shilpi Chowdhary, TH Capital (Malaysia)</t>
  </si>
  <si>
    <t>www.weinvest.net</t>
  </si>
  <si>
    <t>593235-91</t>
  </si>
  <si>
    <t>HubiFi</t>
  </si>
  <si>
    <t>Developer of a finance intelligence and accounting automation platform designed for financial data management. The company's platform connects directly to the client's ERP and operational data sources so their financial analysis, accounting, and intelligence can be automated and customized without compromising the integrity of core financials, enabling clients to improve dynamic financial reporting.</t>
  </si>
  <si>
    <t>Anthemis, Motivate Venture Capital, R1 Capital (Columbus)</t>
  </si>
  <si>
    <t>www.hubifi.com</t>
  </si>
  <si>
    <t>490803-67</t>
  </si>
  <si>
    <t>Rise Works</t>
  </si>
  <si>
    <t>Artificial Intelligence &amp; Machine Learning, B2B Payments, Cryptocurrency/Blockchain, FinTech, HR Tech, SaaS</t>
  </si>
  <si>
    <t>Developer of a contractor payment management platform designed for managing international teams. The company's platform supports payments in fiat and cryptocurrencies, automates onboarding and compliance checks, generates compliant agreements, handles tax forms, and offers flexible pay schedules, enabling businesses to streamline payments, ensure compliance, and provide benefits to international contractors.</t>
  </si>
  <si>
    <t>Alan Herskowich, Cosmo Capital, Cyber.Fund, David Luttway, Digital Currency Group, Draper Associates, Frog Ventures, Hashkey Capital, JAM Fund, Lex Sokolin, P2P, Paradigm Shift Capital, Polymorphic Capital, Ryze Labs, Talent Resources Ventures, Treedom House, WWVentures</t>
  </si>
  <si>
    <t>www.riseworks.io</t>
  </si>
  <si>
    <t>472086-55</t>
  </si>
  <si>
    <t>FV Bank</t>
  </si>
  <si>
    <t>Operator of a dual-licensed challenger bank intended to provide business and individual accounts globally. The company's platform supports multiple currencies, international payments and investment accounts and is an online-only banking platform that meets the need for more open access to banking for FinTech, blockchain and cryptocurrency companies, enabling clients to participate in cross-border money transfers and convert their digital assets to fiat currency.</t>
  </si>
  <si>
    <t>BnkToTheFuture, CCIX Global, Digital Finance Group, Jsquare Capital, NFG Fund, NGC Ventures(Singapore), Satvat, Zenrain Technology</t>
  </si>
  <si>
    <t>www.fvbank.us</t>
  </si>
  <si>
    <t>94709-44</t>
  </si>
  <si>
    <t>Pulsate</t>
  </si>
  <si>
    <t>Artificial Intelligence &amp; Machine Learning, Marketing Tech</t>
  </si>
  <si>
    <t>Developer of marketing communication software designed for financial institutions. The company's platform facilitates sending personalized campaigns, increases user engagement, and delivers experiences to build brand loyalty, enabling clients to communicate with their customers based on their location, context, interests, and behaviors, driving.</t>
  </si>
  <si>
    <t>Bank of Ireland Group, Conviction Investment Partners, Curql, Delta Partners, dunnhumby Ventures, Enterprise Ireland, KCP, Kevin Greene, Next Level Ventures, Novacies Capital, Startlab, TruStage Ventures</t>
  </si>
  <si>
    <t>www.pulsatehq.com</t>
  </si>
  <si>
    <t>483065-02</t>
  </si>
  <si>
    <t>Ayekart</t>
  </si>
  <si>
    <t>AgTech, FinTech, SaaS</t>
  </si>
  <si>
    <t>Developer of a supply chain and finance platform designed to simplify business operations by linking them with prospective customers. The company's platform maintains and tracks stocks, credit receivables, and payables, and offers staff and attendance management, also offers supply chain services, including quality assurance, logistics, payment settlement, and traceability, enabling businesses to increase revenues, gain market share, and deepen relationships with their customers.</t>
  </si>
  <si>
    <t>Alteria Capital, AngelBay, Caspian, Enchant Packaging, Marquee Angels, Narasima Ram Rumar Charl, Omnivore (Mumbai), Praveen Kumar, Qi Ventures, Siana Capital Management, Siply, Sprint VC, T-Hub, UNLEASH Capital Partners, Vihu Hospitality</t>
  </si>
  <si>
    <t>www.ayekart.com</t>
  </si>
  <si>
    <t>615893-68</t>
  </si>
  <si>
    <t>Sapien AI</t>
  </si>
  <si>
    <t>Developer of an enterprise data intelligence platform designed for finance and operations purposes. The company's platform offers customizable AI agents that automate financial processes, enable real-time forecasting, conduct variance analysis, and generate dashboards using natural language queries, enabling organizations in sectors such as manufacturing, retail, and private equity to unify data, monitor key metrics, and make faster, more informed decisions while minimizing manual work and IT bottlenecks.</t>
  </si>
  <si>
    <t>Bryan Baum, Claire Johnson, Firestreak Ventures, General Catalyst, K5 Global, Lightscape Partners, Neo (Consulting Services (B2B)), Russell Kaplan, Sabrina Hahn, Scott Belskey</t>
  </si>
  <si>
    <t>www.sapien.ai</t>
  </si>
  <si>
    <t>459284-86</t>
  </si>
  <si>
    <t>400F</t>
  </si>
  <si>
    <t>Developer of an application-based investment advisory platform designed to resolve financial issues. The company's platform allows individuals to consult with experts about their money problems for free after registering basic information such as household budget and family structure to diagnose the degree of the problem, while the media platform provides knowledge and know-how on the theme of money, from savings and saving techniques to asset management, enabling investors to improve their financial well-being.</t>
  </si>
  <si>
    <t>Aflac Ventures Japan, DIMENSION (Japan), Dream Incubator, Goodpatch, Japan Post Bank, Japan Post Spiral Regional Innovation No. 1 Investment, JP Life Next Fund, Loyalty Marketing, Mitsui Sumitomo Kaijo Capital, Money Forward, SBI Investment, Skyland Ventures, Spiral Capital (Tokyo), Sumisei Innovation Fund, THE CREATIVE FUND</t>
  </si>
  <si>
    <t>400f.jp</t>
  </si>
  <si>
    <t>503623-81</t>
  </si>
  <si>
    <t>Infinant</t>
  </si>
  <si>
    <t>Developer of technology software designed to help brands offer financial services in ways that are secure, compliant, and bring value to their core businesses. The company's platform facilitates the collaboration between institutions and Fintech providers in delivering differentiating services for leading financial and non-financial brands, enabling bank clients to build embedded finance tools and products.</t>
  </si>
  <si>
    <t>Bankers Helping Bankers Fund, BankTech Ventures, FINTOP (US), JAM FINTOP, Raido Venture Management, Woodforest National Bank</t>
  </si>
  <si>
    <t>www.infinant.com</t>
  </si>
  <si>
    <t>434098-00</t>
  </si>
  <si>
    <t>Ding Xiang</t>
  </si>
  <si>
    <t>Developer of business fraud protection software. The company's technology uses artificial intelligence to detect potential user manipulation in online transactions, enabling users to reduce losses due to payment, crawling and credit fraud.</t>
  </si>
  <si>
    <t>5Y Capital, Harvest Global Investments, HSG (Hong Kong), Orient Securities Capital Investment Company</t>
  </si>
  <si>
    <t>www.dingxiang-inc.com</t>
  </si>
  <si>
    <t>167575-24</t>
  </si>
  <si>
    <t>Cardinfolink</t>
  </si>
  <si>
    <t>Provider of a digital platform used for third-party payment services. The company manages domestic and overseas online payment processing and data services. Its services include credit and debit card payment processing and international card issuance.</t>
  </si>
  <si>
    <t>Easit Capital, HSG (Hong Kong), KT Investment, TISI ( IT Consulting and Outsourcing)</t>
  </si>
  <si>
    <t>www.cardinfolink.com</t>
  </si>
  <si>
    <t>110851-66</t>
  </si>
  <si>
    <t>Capitalmind</t>
  </si>
  <si>
    <t>Operator of a portfolio management firm intended to offer in-house technology for algorithm-based quantitative strategies, and digital onboarding. The company's platform leverages technology to have low fees in the market and is profit-positive post-tax, providing insights on portfolio management, analytics, equities, fixed-income, macros and personal finance, enabling clients to get actionable financial data.</t>
  </si>
  <si>
    <t>Blackstone Valley Group, Rainmatter Capital</t>
  </si>
  <si>
    <t>www.capitalmind.in</t>
  </si>
  <si>
    <t>230557-51</t>
  </si>
  <si>
    <t>Quant Insight</t>
  </si>
  <si>
    <t>Developer of a quantitative analytics platform designed to analyze macroeconomic factors affecting financial markets. The company offers macro analytics services to identify the main drivers of securities, analyze relationships between securities, and assess macro factors, enabling users to visualize sensitivities and valuation gaps and identify patterns between asset prices and macroeconomic factors.</t>
  </si>
  <si>
    <t>7RIDGE</t>
  </si>
  <si>
    <t>www.quant-insight.com</t>
  </si>
  <si>
    <t>462738-79</t>
  </si>
  <si>
    <t>Caption</t>
  </si>
  <si>
    <t>Developer of a start-up share exchange platform designed to offer liquidity in startup investments. The company's platform provides a private and secure secondary market for shareholders of firms to sell their shares to investors that are qualified by specific startup founders adhering to principles similar to the listed market, enabling employees to exercise their stock options and materialize their added value.</t>
  </si>
  <si>
    <t>Founders Future, Wilco(Paris)</t>
  </si>
  <si>
    <t>www.caption.market</t>
  </si>
  <si>
    <t>435205-63</t>
  </si>
  <si>
    <t>Notable Finance</t>
  </si>
  <si>
    <t>Developer of a home improvement financing platform designed to assist in providing easy and hassle-free credit facilities. The company's platform facilitates wealth creation more equitably and offers an all-in-one closed-end line of credit facility for lending and borrowing, enabling homeowners to use the funds to make necessary repairs or upgrades, repaying the loan plus interest at closing.</t>
  </si>
  <si>
    <t>1/0 Capital, REACH, Second Century Ventures, W.R. Berkley</t>
  </si>
  <si>
    <t>www.notablehome.com</t>
  </si>
  <si>
    <t>437108-86</t>
  </si>
  <si>
    <t>Pontoro</t>
  </si>
  <si>
    <t>Operator of a digital asset securitization and liquidity platform intended to address the shortfall in infrastructure debt financing and limited investor access. The company's platform integrates technical, legal, and regulatory protocols to convert traditionally illiquid fund interests into liquid investments, thereby increasing capital flows and participation, enabling investors with liquidity, transparency and customization to private fund participants, access, and customization for limited partners while increasing efficiency and creating new distribution opportunities.</t>
  </si>
  <si>
    <t>A100x Ventures, ADIT Ventures, Alumni Ventures, Ashby Monk, Bloccelerate, Chestnut Street Ventures, Engine (Accelerator), EvoNexus, Fin Capital, Franklin Resources, Gary Melzter, Illuminate Financial, Intesa Sanpaolo, Intesa Sanpaolo Banka, NEVA SGR, Nevcaut Ventures, Quest Venture Partners, R3, Ulu Ventures, Viking Maccabee Ventures, W11 Capital Management</t>
  </si>
  <si>
    <t>www.pontoro.com</t>
  </si>
  <si>
    <t>230107-42</t>
  </si>
  <si>
    <t>FarmTogether</t>
  </si>
  <si>
    <t>Operator of an investment platform intended to democratize farmland investing. The company's platform offers vetted farmland investments, a review of due diligence materials, investment in properties, and legal document signing services, enabling investors to have direct access to farmlands as an asset class.</t>
  </si>
  <si>
    <t>Blue Collective, Climate Venture Partners, Duro VC, EvoNexus, Franklin Resources, Global Black Syndicate, Jeannie Sabaroff, Mpactful Ventures, Natural Bridge Ventures, Pescadero Pacific Ventures, Pirque, Venture Initiation Program, VentureSouq</t>
  </si>
  <si>
    <t>www.farmtogether.com</t>
  </si>
  <si>
    <t>171280-63</t>
  </si>
  <si>
    <t>Gappify</t>
  </si>
  <si>
    <t>Developer of a cloud-based accounting platform designed to automate accrual processes. The company's platform offers rule-based workflows, system integrations, task scheduling, and audit tracking to automate routine and complex accounting processes, driving productivity, engagement, and lower costs from corporate accounting, enabling corporate finance teams to reduce manual effort and maintain consistency in financial reporting.</t>
  </si>
  <si>
    <t>AICPA and CPA.com Startup Accelerator, Armando Biondi, Emerging Ventures, FINTOP (US), Founders AI, Gomberg Fredrikson &amp; Associates, Jeffrey Epstein, Manila Angel Investors Network, Morgan Stanley Inclusive &amp; Sustainable Ventures, Pasudeco, Plug and Play Tech Center, Rally Ventures, SaaS Ventures, Stage 2 Capital</t>
  </si>
  <si>
    <t>www.gappify.com</t>
  </si>
  <si>
    <t>167831-65</t>
  </si>
  <si>
    <t>Kuangke Technology</t>
  </si>
  <si>
    <t>Developer of an asset allocation service platform designed for financial institutions. The company's fintech platform provides financial institutions with asset allocation, fund selection and portfolio management services, enabling users to obtain professional asset management services.</t>
  </si>
  <si>
    <t>Huatai Securities, Vangoo Capital Partners, Yunfeng Financial Group</t>
  </si>
  <si>
    <t>www.qutke.com</t>
  </si>
  <si>
    <t>181750-06</t>
  </si>
  <si>
    <t>Zact</t>
  </si>
  <si>
    <t>Developer of an expense and payment management platform designed to integrate directly with payment networks and accounting systems. The company's platform aligns the spending employee with finance and accounting while providing inherent guardrails and continuous reconciliation with financial systems, enabling companies to automate the transaction procedure.</t>
  </si>
  <si>
    <t>Alpana Ventures, Ecosystem Ventures, Junson Capital, Plug and Play Tech Center, Polytech Ventures Holding, S-Cubed Capital, SV Tech Ventures, Yu Galaxy</t>
  </si>
  <si>
    <t>www.zact.com</t>
  </si>
  <si>
    <t>61977-79</t>
  </si>
  <si>
    <t>North Capital</t>
  </si>
  <si>
    <t>Provider of investment advisory services intended to offer financial planning and discretionary management. The company's services include general advisory, consultation services, financial planning, portfolio management, regulatory compliance process management, and asset management among others, enabling organizations and investors to manage investments and get advice for their best interests.</t>
  </si>
  <si>
    <t>AICPA and CPA.com Startup Accelerator, Consensys Mesh, Green Visor Capital, JFO Group, Karlani Capital</t>
  </si>
  <si>
    <t>www.northcapital.com</t>
  </si>
  <si>
    <t>521907-04</t>
  </si>
  <si>
    <t>ALT DRX</t>
  </si>
  <si>
    <t>E-Commerce, FinTech, Real Estate Technology, SaaS</t>
  </si>
  <si>
    <t>Developer of a digital marketplace designed for Indians to buy and sell residential properties. The company offers safe real estate investments, professionally managed by trusted partners, with a buy-and-sell digital square footage and all necessary information, enabling individuals to invest in real estate assets with as little as one square foot at a time.</t>
  </si>
  <si>
    <t>Brand Capital, GIFT International Fintech Innovation Hub, Harsha Bhogle, John Rekhy, Nila Spaces, nX Capital Partners, Parthasarathy N. S., Qatar Development Bank, Qatar FinTech Hub Wave, WeFounderCircle, Zee Group</t>
  </si>
  <si>
    <t>www.altdrx.com</t>
  </si>
  <si>
    <t>55668-97</t>
  </si>
  <si>
    <t>Clutch (Business/Productivity Software)</t>
  </si>
  <si>
    <t>Marketing Tech</t>
  </si>
  <si>
    <t>Developer of a customer management and marketing analytics platform designed to offer ways to centralize information. The company's platform works with marketers' existing data sources, deployment channels, and identity resolution services to establish a unified customer record, enabling marketers to identify, understand, and motivate their customers.</t>
  </si>
  <si>
    <t>Backswing Ventures, Ben Franklin Technology Partners of Southeastern Pennsylvania, Empactful Capital, NewSpring Capital, Safeguard Scientifics, Salesforce Accelerate</t>
  </si>
  <si>
    <t>www.clutch.com</t>
  </si>
  <si>
    <t>482435-29</t>
  </si>
  <si>
    <t>Almond Fintech</t>
  </si>
  <si>
    <t>Developer of a cross-border payment platform designed to make remittances and payments across providers and borders possible. The company's platform provides currency exchange services interoperability between mobile wallets and services and near-instant settlements across all corridors globally, enabling individuals and businesses to send and receive money using their existing wallets.</t>
  </si>
  <si>
    <t>DELTA Wealth Partners, Harvard Innovation Launch Lab, Harvard Undergraduate Capital Partners, MIT Delta V, MIT IDEAS Social Innovation Challenge, MIT Sandbox, Morningside Group, Qubic Labs, SantanderX, SBXi, Valhalla Investment Network</t>
  </si>
  <si>
    <t>www.almondfintech.com</t>
  </si>
  <si>
    <t>540000-37</t>
  </si>
  <si>
    <t>Cynch AI</t>
  </si>
  <si>
    <t>Developer of a tax and financial automation platform designed for the modernization of accounting workflows and client service management. The company's platform uses reasoning, machine learning, and generative AI to extract, analyze, and simplify financial information, organize and interpret accounting and tax-related data, offer insight into trends and opportunities, integrate with existing workflows, and deliver customizable outputs that streamline decision-making and clarify financial situations, enabling accountants and businesses to reduce manual workload, improve clarity and accuracy, and focus on advisory and growth activities</t>
  </si>
  <si>
    <t>AI Capital, Alpha Intelligence Capital, Alumni Ventures, Clear Ventures, FactoryHQ, Permanent Capital, True Global Ventures</t>
  </si>
  <si>
    <t>www.cynch.ai</t>
  </si>
  <si>
    <t>592947-91</t>
  </si>
  <si>
    <t>Discern (Business/Productivity Software)</t>
  </si>
  <si>
    <t>FinTech, Legal Tech, SaaS</t>
  </si>
  <si>
    <t>Developer of a digital-first registered agent platform designed to automate state filings and entity management. The company's platform offers automated annual reports and tax filings, real-time registration monitoring, and digital entity formations, enabling startups, funds, healthcare providers, and financial institutions to stay compliant with minimal effort.</t>
  </si>
  <si>
    <t>100 Ventures, Artiman Ventures, Bungalow Capital, Walkabout Ventures</t>
  </si>
  <si>
    <t>www.discern.com</t>
  </si>
  <si>
    <t>712328-50</t>
  </si>
  <si>
    <t>Keabank</t>
  </si>
  <si>
    <t>Developer of a cross-border digital banking and crypto payment platform designed to simplify global financial operations for businesses through seamless fiat and crypto transactions. The company offers a remote-first, multi-currency financial infrastructure combining traditional banking tools with advanced crypto payment capabilities, enabling customers to open accounts, manage payments, and process crypto transactions globally with transparent fees, fast onboarding, and personalized support all through a secure, multifunctional dashboard.</t>
  </si>
  <si>
    <t>Mark Carnegie</t>
  </si>
  <si>
    <t>www.keabank.com</t>
  </si>
  <si>
    <t>226214-20</t>
  </si>
  <si>
    <t>Vimvest</t>
  </si>
  <si>
    <t>Developer of a technology-driven financial platform intended to provide individuals with a wide range of financial services. The company leverages innovative digital technologies that provide services including trades of stock, exchange-traded funds (ETFs), retirement accounts, and Crypto, artificial intelligence (AI), and blockchain, enabling users to divide their finances according to their priorities, save money, and in turn gain financial objectives.</t>
  </si>
  <si>
    <t>vimvest.com</t>
  </si>
  <si>
    <t>495912-52</t>
  </si>
  <si>
    <t>Monicle</t>
  </si>
  <si>
    <t>Provider of financial asset management services intended to solve money issues. The company offers services such as payments and remittances with technology, enabling customers to determine the amount of money they need to build their assets.</t>
  </si>
  <si>
    <t>Coral Capital., Globe Advisors Ventures, Jafco, Lotte Ventures Japan, Mizuho Capital, Monex Ventures, The Chugoku Electric Power</t>
  </si>
  <si>
    <t>www.monicle.co.jp</t>
  </si>
  <si>
    <t>467669-53</t>
  </si>
  <si>
    <t>Gibobs Allbanks</t>
  </si>
  <si>
    <t>Provider of a financial management service intended to help clients manage their financial health. The company offers a dashboard that shows asset allocations and bank balance statements that provides real-time wealth status, loans, and mortgages status, document organizer, and more, and also provides financial consulting in mortgage and loan processing, financial risk appetite, personalized financial advice and more, enabling clients to make decisions that take care of their financial goals.</t>
  </si>
  <si>
    <t>A.GAIN, Global PayTech Ventures, Ignacio Pareja, Juan Lluis</t>
  </si>
  <si>
    <t>www.gibobs.com</t>
  </si>
  <si>
    <t>773214-13</t>
  </si>
  <si>
    <t>Damisa</t>
  </si>
  <si>
    <t>Developer of a stablecoin-based cross-border payment system designed for global business-to-business treasury and settlement. The company's platform integrates programmable smart wallets and blockchain-based infrastructure for multi-currency collections, automated escrow services, and localized payouts that bypass traditional intermediary banking networks, enabling enterprises to reduce foreign exchange fees and multi-day transaction delays and maintain institutional-grade regulatory compliance.</t>
  </si>
  <si>
    <t>EWOR, Fuel Ventures, Greyhound Capital, Mark Ransford</t>
  </si>
  <si>
    <t>www.damisa.xyz</t>
  </si>
  <si>
    <t>233003-53</t>
  </si>
  <si>
    <t>Lokyata</t>
  </si>
  <si>
    <t>Developer of a digital credit scoring platform designed to promote financial inclusion. The company's platform uses mathematical and machine learning technology to process all data and relationships to develop and continuously evolve a customized scoring model, permitting automated, real-time and objective digital lending, enabling lenders to get early warning signs of deteriorating credit risk based on active financial and repayment history and make real-time credit decisions which decrease operational costs and increase efficiency.</t>
  </si>
  <si>
    <t>www.lokyata.com</t>
  </si>
  <si>
    <t>167073-76</t>
  </si>
  <si>
    <t>ZipLoan</t>
  </si>
  <si>
    <t>Developer of an online lending application designed to give loans to small and medium enterprises. The company's platform uses an automated credit engine or risk assessment tool to assess the creditworthiness of prospective customers within a few minutes for offering unsecured business loans, enabling small business owners to get a limited scale of operations to apply for and get loans.</t>
  </si>
  <si>
    <t>Arun Venkatachalam, Ashish Taneja, Badal Malick, Elevation Capital (India), growX Ventures, Kapil Bhushan, Matrix Bioscience, Ravi Kaushik, Sandeep Tandon, Sarbvir Singh, Shailesh Kumar, StrideOne, Sunil Kalra, Vistra ITCL, Whiteboard Capital, Z47</t>
  </si>
  <si>
    <t>www.ziploan.in</t>
  </si>
  <si>
    <t>491129-20</t>
  </si>
  <si>
    <t>Guangzhou Digital Magic Cube</t>
  </si>
  <si>
    <t>CloudTech &amp; DevOps, FinTech</t>
  </si>
  <si>
    <t>Provider of bank digital solutions. The company provides digital upgrade technology solution and product including credit history reporting system and cloud service for regional banks, enabling financial institutions with technology and localized customer strategy.</t>
  </si>
  <si>
    <t>Longyuan Capital</t>
  </si>
  <si>
    <t>www.dm-cube.com</t>
  </si>
  <si>
    <t>168401-53</t>
  </si>
  <si>
    <t>Look&amp;Fin</t>
  </si>
  <si>
    <t>Operator of an online crowdlending platform intended to help entrepreneurs finance small and medium enterprises. The company's platform connects investors with small and medium-sized enterprises looking for financing by organizing fundraising and particularly promotes financing in the form of a loan, limiting the risk of the investor and leaving the entrepreneur the full possession of their project, enabling companies to raise short to medium-term financing at a lower cost.</t>
  </si>
  <si>
    <t>4Ventures, Akiles Investment Company, EEBIC, Finance&amp;Invest.Brussels, Hexa</t>
  </si>
  <si>
    <t>www.lookandfin.com</t>
  </si>
  <si>
    <t>472217-14</t>
  </si>
  <si>
    <t>Groundswell</t>
  </si>
  <si>
    <t>Developer of a corporate philanthropy platform designed to turn donor-advised funds into employee benefits. The company's platform allows businesses to create personal foundations for their employees and match employee contributions straight from payroll, and offers users access to all of the tools available to philanthropists, enabling firms to manage corporate charity and empowering them to create worldwide impact.</t>
  </si>
  <si>
    <t>ANIMO Ventures, Berg Capital Group, Core Innovation Capital, Equable Capital, Felicis, Green Hasson Janks, GV, Human Ventures, Lowercase Capital, Moonshots Capital, PeopleTech Partners, Precursor Ventures, Quiet Ventures, Treasury (New York), XYZ Venture Capital</t>
  </si>
  <si>
    <t>www.groundswell.io</t>
  </si>
  <si>
    <t>121922-20</t>
  </si>
  <si>
    <t>Scripbox Advisors</t>
  </si>
  <si>
    <t>Developer of a digital wealth management platform designed to offer a medium for mutual fund investments. The company's platform offers financial advice and buying and selling services in mutual funds and other equity shares, enabling users to get proper financial assistance and earn better returns on investments.</t>
  </si>
  <si>
    <t>Accel, Alok Ohrie, Balakrishna Adiga, Deep Kalra, Faiz Mayalakkara, Flourish Ventures, Girish Matrubootham, H. Nagaraja, InnoVen Capital, KPB Family Trust, Kube VC, Kubera Venture Capital, LVX, Mukesh Singh, Nippon Life Global Investors Americas, Omidyar Network, Shanmugam Krishnasamy, Sparkle Fund, Transpose Platform Management, Trifecta Capital, YY Capital Partners (NY)</t>
  </si>
  <si>
    <t>www.scripbox.com</t>
  </si>
  <si>
    <t>523232-65</t>
  </si>
  <si>
    <t>Bloomo</t>
  </si>
  <si>
    <t>Developer of an asset-building platform designed for overseas stock investment. The company's platform focuses on creating an original portfolio by selecting stocks and exchange-traded funds and setting investment allocations, enabling users to refer to and copy portfolios of others and trade and exchange from a pre-configured portfolio.</t>
  </si>
  <si>
    <t>Angel Bridge, ANRI, Global Brain, Insignia Ventures Partners, Mizuho Capital, MUFG Innovation Partners, Nobuhiro Ariyasu, Portage, Scrum Ventures, SMBC Venture Capital, Spiral Capital (Tokyo), Sumisho Venture Partners, Sumitomo</t>
  </si>
  <si>
    <t>www.bloomo.co.jp</t>
  </si>
  <si>
    <t>89197-39</t>
  </si>
  <si>
    <t>Jirnexu</t>
  </si>
  <si>
    <t>Developer of a customer acquisition and lifecycle management system designed to help clients achieve targets. The company's system delivers end-to-end digital acquisition tools for FSIs and service providers, simplifying the application fulfillment processes, enabling banks, insurance companies and service providers to generate leads online, turn those leads into customers and handle their queries and keep them loyal.</t>
  </si>
  <si>
    <t>www.jirnexu.com</t>
  </si>
  <si>
    <t>232454-98</t>
  </si>
  <si>
    <t>Asset-Map</t>
  </si>
  <si>
    <t>Developer of a financial planning platform designed to offer an interactive view of a household's finances and help make financial decisions. The company's platform maps financial products by building a singular landscape on paper or a digital experience that is easy to understand and provides various planning indicators, enabling clients and advisors with transparency in decisions and strategies.</t>
  </si>
  <si>
    <t>Ben Franklin Technology Partners of Northeastern Pennsylvania, MassChallenge, SixThirty Ventures, Village Capital</t>
  </si>
  <si>
    <t>www.asset-map.com</t>
  </si>
  <si>
    <t>227201-23</t>
  </si>
  <si>
    <t>Community Capital</t>
  </si>
  <si>
    <t>Artificial Intelligence &amp; Machine Learning, E-Commerce, FinTech, TMT</t>
  </si>
  <si>
    <t>Developer of a loan marketplace platform designed to streamline loan origination, trading, and balance sheet management. The company offers partner-branded marketplaces, secondary loan trading, primary loan origination, and asset-agnostic transaction infrastructure, enabling financial institutions, wealth advisors, and non-bank lenders to execute credit transactions and improve liquidity management.</t>
  </si>
  <si>
    <t>412 Venture Fund, Allegheny Financial Group, Bankers Helping Bankers Fund, Cambrian Associates, Naples Technology Ventures, SteelBridge Labs</t>
  </si>
  <si>
    <t>www.communityct.com</t>
  </si>
  <si>
    <t>460055-08</t>
  </si>
  <si>
    <t>RightRev</t>
  </si>
  <si>
    <t>Developer of a revenue recognition management platform designed to facilitate accurate and compliant financial reporting. The company's platform integrates customer relationship management, configure, price, quote (CPQ) tools, revenue accounting processes, a general ledger, a reporting system, and dashboards that help in tracking the entire revenue contracts, enabling finance professionals to reduce the risk of misstatements and ensure transparency.</t>
  </si>
  <si>
    <t>Cheyenne Partners, Correlation Ventures, Deviation Capital, GoBig.ai, IDEA Fund Partners, Innovius Capital Management, Norwest, Salesforce Ventures, Snowflake Ventures, Top Corner Capital</t>
  </si>
  <si>
    <t>www.rightrev.com</t>
  </si>
  <si>
    <t>529029-10</t>
  </si>
  <si>
    <t>Namane</t>
  </si>
  <si>
    <t>Developer of a prepaid payment card designed to provide a convenient, secure way for citizens and tourists alike to make payments in Korea. The company's platform allows users to create their custom payment cards with their desired design, and to easily top up their cards using a variety of methods, including debit and credit cards, overseas cards, and simple payment methods, enabling customers to use the card for both offline and online payments, and public transportation.</t>
  </si>
  <si>
    <t>Better Ground, Cento Ventures, Industrial Bank of Korea, IntroMedic, Kiwoom Investment, MyMusicTaste, YG Plus, Yuanta Securities Korea</t>
  </si>
  <si>
    <t>en.namanecard.com</t>
  </si>
  <si>
    <t>518439-70</t>
  </si>
  <si>
    <t>Finvari</t>
  </si>
  <si>
    <t>Developer of corporate cards and an expense management platform intended to eliminate expense reports for the construction industry. The company's platform automatically sends smart mobile alerts, emails, and texts when expenses are overdue or incorrect and can be merged directly into the enterprise resource planning system, providing clients with real-time visibility and control over expenses.</t>
  </si>
  <si>
    <t>Founders' Co-op, University of Washington, UW CoMotion</t>
  </si>
  <si>
    <t>www.finvari.com</t>
  </si>
  <si>
    <t>102027-25</t>
  </si>
  <si>
    <t>PrimaHealth Credit</t>
  </si>
  <si>
    <t>FinTech, HealthTech, SaaS, TMT</t>
  </si>
  <si>
    <t>Developer of a patient financing platform designed to help healthcare providers care for more patients across the income and credit spectrum. The company's proprietary platform allows credit-challenged and underbanked patients to pay for out-of-pocket healthcare expenses with affordable monthly payments, enabling healthcare providers to serve patients and solve the challenges of assessing a patient's ability to pay, collecting recurring payments, and managing accounts receivable.</t>
  </si>
  <si>
    <t>GPL Enterprises, Hersz Capital, Kensel &amp; Co., Kli Capital, Loeb.nyc, Red Door Capital Partners, Two Bridge Capital</t>
  </si>
  <si>
    <t>www.primahealthcredit.com</t>
  </si>
  <si>
    <t>265520-08</t>
  </si>
  <si>
    <t>nsKnox</t>
  </si>
  <si>
    <t>Developer of fraud prevention technology designed to secure corporate payments from fraud. The company's technology detects fraud, inside attacks, external scams, social engineering, and any data manipulation attempted in real-time, enabling corporations and banks to prevent fraud and ensure compliance in B2B payments effectively and increase protection throughout all of their systems and ensure that every payment reaches the intended beneficiary hassle-free.</t>
  </si>
  <si>
    <t>Discount Capital, GUTS, Harel Insurance Investments &amp; Financial Services, Israel Discount Bank, Link Ventures, M12, Plug and Play Tech Center, Viola Ventures</t>
  </si>
  <si>
    <t>www.nsknox.net</t>
  </si>
  <si>
    <t>491793-22</t>
  </si>
  <si>
    <t>Oro Money</t>
  </si>
  <si>
    <t>Operator of a financing platform intended to facilitate instant gold loans. The company's platform offers loans by using gold jewelry, coins, or bars as collateral, with locker facilities, and also allows individuals to track current statements and bank account details, enabling individuals with immediate financial assistance.</t>
  </si>
  <si>
    <t>3State Ventures, Amit Nanavati, Girish Mathrubootham, Mithun Sacheti, Mridual Sahuwala, Premji Invest, Prerna Sahuwala, Siddhartha Sacheti, Singularity AMC, Singularity Ventures, Venu Srinivasan, Xeed Ventures</t>
  </si>
  <si>
    <t>www.oromoney.in</t>
  </si>
  <si>
    <t>398900-17</t>
  </si>
  <si>
    <t>Next Gate Tech</t>
  </si>
  <si>
    <t>Developer of a cloud-based fintech platform designed for creating new technologies for the asset management industry. The company's platform provides extensive data harmonization and analytics capabilities to its clients from which they can get meaningful insights to optimize their operations, comply with regulatory requirements, and advance their customer experience, enabling users to enhance and optimize middle and back-office processes.</t>
  </si>
  <si>
    <t>Be Angels, DB1 Ventures, Engine (Accelerator), Expon Capital, FundSeeder, MiddleGame Ventures, NewAlpha Asset Management, Seed X Liechtenstein, Seeder Fund, Seed-X, Volta Ventures, Yeast (France)</t>
  </si>
  <si>
    <t>www.nextgatetech.com</t>
  </si>
  <si>
    <t>517071-34</t>
  </si>
  <si>
    <t>Aviva</t>
  </si>
  <si>
    <t>Operator of an artificial intelligence-powered digital bank intended to provide credit and access to financial services. The company combines AI and video technology by building a bridge to those living in remote communities with its physical onboarding kiosks to reduce costs and offer affordable interest rates, enabling customers to access loans and credits as per their needs.</t>
  </si>
  <si>
    <t>500 Global, 500 Startups LatAm, Alive Ventures, Carao Ventures, Caravela Capital, DCG Expeditions, Digital Currency Group, Endeavor Forward, IDB Lab, IGNIA, Krealo, Newtopia VC, RainForest Capital, Seedstars International Ventures, Valor Capital Group, Wollef</t>
  </si>
  <si>
    <t>www.avivacredito.com</t>
  </si>
  <si>
    <t>465708-79</t>
  </si>
  <si>
    <t>GrailPay</t>
  </si>
  <si>
    <t>Developer of prepayment systems designed to deploy on existing loyalty applications, bypassing the card networks and their associated costs. The company's embedded machine-learning risk analytics infrastructure safeguards ACH payments to manage and secure bank payment processing workflows, enabling financial institutions, payment processors, and fintech companies to process bank transactions with improved accuracy and reduced payment risk.</t>
  </si>
  <si>
    <t>Alexander LoVerde, Broadhaven Capital Partners, Charles &amp; Potomac Capital, Commerce Ventures, Construct Capital, Counterpart Ventures, EJF Ventures, Grasshopper Bank, MissionOG, Nantucket Ventures, Noemis Ventures, Soma Capital, SSC Venture Partners</t>
  </si>
  <si>
    <t>www.grailpay.com</t>
  </si>
  <si>
    <t>184807-63</t>
  </si>
  <si>
    <t>SingX</t>
  </si>
  <si>
    <t>Developer of global banking technology designed to simplify international payments and currency management. The company offers multi-currency wallets for collecting, holding, converting, and transferring funds worldwide, enabling consumers, businesses, and financial institutions to manage cross-border payables and receivables with seamless global and local payment capabilities.</t>
  </si>
  <si>
    <t>Acero International, Fidelity, Monetary Authority of Singapore</t>
  </si>
  <si>
    <t>www.singx.co</t>
  </si>
  <si>
    <t>221932-81</t>
  </si>
  <si>
    <t>Capitalise (Financial Services)</t>
  </si>
  <si>
    <t>Provider of financial information services intended to help accounting firms raise, recover, and protect capital. The company offers in-house technology and data analytics to identify the best financing options available for UK businesses and permits lenders to offer a variety of funding products, enabling accountants to serve and help their clients by demystifying and streamlining the funding process and bolstering their position as trusted advisors.</t>
  </si>
  <si>
    <t>Digital Space Ventures, Experian Ventures, Gauss Ventures, Innovate UK, Microsoft for Startups, Salica Investments</t>
  </si>
  <si>
    <t>www.capitalise.com</t>
  </si>
  <si>
    <t>121886-29</t>
  </si>
  <si>
    <t>Froda</t>
  </si>
  <si>
    <t>Developer of an online lending platform designed to provide business loans. The company offers a data-driven and digital financial product built specifically for entrepreneurs and a web-based platform for small businesses to borrow money online without backing any asset, enabling small firms to make an impact and grow their business.</t>
  </si>
  <si>
    <t>CNI (Stockholm), Incore Invest, Michael Walther, Nicklas Storåkers, Stockholm School of Economics</t>
  </si>
  <si>
    <t>www.froda.se</t>
  </si>
  <si>
    <t>597706-84</t>
  </si>
  <si>
    <t>MARS (NEOBANK)</t>
  </si>
  <si>
    <t>Provider of a new-generation banking services that centralizes all services under a single app and card. The company's approach is to digital finance emphasizes user empowerment and a premium experience, offering membership tiers such as Prime, Platinum, and Titanium Metal, enabling customers to manage their spending, money transfers and ATM transactions all from one place.</t>
  </si>
  <si>
    <t>ICU Venture Capital Trust, Kultura Capital Management, Sina Afra, Startupfon</t>
  </si>
  <si>
    <t>www.marsneo.com</t>
  </si>
  <si>
    <t>520643-26</t>
  </si>
  <si>
    <t>Revology (Financial Software)</t>
  </si>
  <si>
    <t>Developer of a cloud-based data software designed for managing the healthcare revenue cycle. The company offers attended and unattended cloud automation which can run in the background or be initiated at a revenue cycle representative's direction, enabling clients with data analytics, and insights and bringing efficiency to the revenue cycle.</t>
  </si>
  <si>
    <t>www.revologyhealth.com</t>
  </si>
  <si>
    <t>469937-71</t>
  </si>
  <si>
    <t>Dots</t>
  </si>
  <si>
    <t>Developer of a payment infrastructure platform designed to simplify and streamline the process of accepting transactions, sending payouts, and onboarding sellers. The company's platform integrates and automates payment processes, offers control over funds movement, and utilizes a staggered know your customer process to onboard users, enabling businesses to deliver an efficient payment experience to customers and partners.</t>
  </si>
  <si>
    <t>BoxGroup, Clocktower Ventures, DCM Ventures, Global Founders Capital, Soma Capital, Twenty Two Ventures, Y Combinator</t>
  </si>
  <si>
    <t>www.usedots.com</t>
  </si>
  <si>
    <t>507449-71</t>
  </si>
  <si>
    <t>EFEX (Financial Software)</t>
  </si>
  <si>
    <t>Developer of payment software designed to facilitate international payments. The company's platform offers facilities such as cross-border transactions, currency exchange rate transactions, automated collection, real-time invoice reconciliation, fast international transfers, and integrates easily into existing systems to streamline payments, reduce operational time, and automate financial processes with secure infrastructure, enabling businesses to make international payments affordably.</t>
  </si>
  <si>
    <t>500 Startups LatAm, 99 Startups, Blockchain Builders Fund, Contour Venture Partners, FinAccelerate, Floodgate, Franklin Resources, Iluminar Ventures, Nazca, NFX, Nido Management, PayPal Ventures, Stanford Blockchain Accelerator, StartX (US)</t>
  </si>
  <si>
    <t>www.efex.com</t>
  </si>
  <si>
    <t>501565-51</t>
  </si>
  <si>
    <t>Efficient Capital Labs</t>
  </si>
  <si>
    <t>Operator of a non-dilutive capital platform intended to fund SaaS and AI companies with recurring revenue. The company's platform leverages a proprietary AI-powered underwriting engine that analyzes banking data, financials, contracts and counterparties to deliver cross-border funding decisions within days and disburse capital through a transparent, monthly-repayment structure, enabling SaaS and AI founders to scale globally while retaining full equity ownership without the lengthy timelines and opacity of traditional fundraising.</t>
  </si>
  <si>
    <t>645 Ventures, Eudemian Ventures, Everywhere Ventures, FJ Labs, Lorimer Ventures, Operator Partners, QED Investors, Riverside Ventures, Singh Capital Partners, The Generalist, Two Culture Capital</t>
  </si>
  <si>
    <t>www.ecaplabs.com</t>
  </si>
  <si>
    <t>235424-08</t>
  </si>
  <si>
    <t>Harness Wealth</t>
  </si>
  <si>
    <t>Developer of a wealth management platform designed to support and manage financial well-being. The company's platform uses proprietary technology to create a personalized balance sheet and financial opportunity profile that facilitates advisory services from financial advisors, estate lawyers, and tax professionals, enabling clients to monitor their financial activity and identify opportunities to build the life and legacy they seek to create.</t>
  </si>
  <si>
    <t>Activant Capital, AlleyCorp, Allon Ventures, Bain Capital Ventures, Day One Ventures, Distributed Ventures, Edith Cooper, Firstminute Capital, FJ Labs, GingerBread Capital, I2BF Global Ventures, Jackson Square Ventures, Kevin Ryan, Liquid 2 Ventures, Luxor Group, Marc Benioff, NFP Ventures, Northwestern Mutual Future Ventures, Oisin Hanrahan, Ori Allon, Paul Billington, Paul Edgerley, PeopleTech Partners, Three Fish Capital, Torch Capital</t>
  </si>
  <si>
    <t>www.harness.co</t>
  </si>
  <si>
    <t>596229-04</t>
  </si>
  <si>
    <t>OLarry</t>
  </si>
  <si>
    <t>Provider of financial services intended to make strategies and tax planning transparent for people and businesses. The company offers services to privately held businesses, families and individuals, trusts, and estates such as us tax compliance and planning, foreign tax reporting and compliance, tax planning, consulting and compliance, emerging wealth, and many more, enabling businesses to file taxes to continue growing wealth and remain compliant and make it more accessible and efficient for all.</t>
  </si>
  <si>
    <t>Marin Sonoma Impact Ventures, Point72 Ventures, TTV Capital, Walkabout Ventures</t>
  </si>
  <si>
    <t>www.olarry.com</t>
  </si>
  <si>
    <t>498129-49</t>
  </si>
  <si>
    <t>Raenest</t>
  </si>
  <si>
    <t>Operator of a financial tool management system designed to remove the pain around contracting, invoicing, and payments. The company specializes in automated onboarding, verification, and salary disbursement in multiple currencies by creating virtual cards, enabling businesses to coordinate payments, sort out compliance and taxes, and control team expenses easily.</t>
  </si>
  <si>
    <t>Adamantium Fund, Ajim Capital, Google Accelerator, HoaQ, Levare Ventures, Norrsken22, Odunayo Eweniyi, Olumide Ogunsanwo, P1 Ventures, QED Investors, Seedstars International Ventures, Seni Sulyman, Techstars, TEN13, The Continent Venture Partners, Ventures Platform, Visa Accelerator, Voltron Capital</t>
  </si>
  <si>
    <t>www.raenest.com</t>
  </si>
  <si>
    <t>498164-68</t>
  </si>
  <si>
    <t>Ratio (Financial Software)</t>
  </si>
  <si>
    <t>Developer of financial software designed to offer non-dilutive and flexible funding options. The company's platform facilitates cash upfront for a contract's value based on future, secured bookings, helping companies leverage their recurring revenues as a strategic asset for fueling growth, optimizing cash flow, and improving sales conversion.</t>
  </si>
  <si>
    <t>8-Bit Capital, Cervin Ventures, Evolution VC Partners, Honey Stone VC, Ligo Partners, Monte Carlo Capital, Streamlined Ventures Management</t>
  </si>
  <si>
    <t>www.ratiotech.com</t>
  </si>
  <si>
    <t>520602-40</t>
  </si>
  <si>
    <t>Truewind</t>
  </si>
  <si>
    <t>Developer of an artificial intelligence-based platform designed to power bookkeeping and finance. The company's platform delivers a financial back office experience through AI and concierge service, enabling startups with a financial model, reliable bookkeeping, and detailed financial models for smooth operations.</t>
  </si>
  <si>
    <t>AICPA and CPA.com Startup Accelerator, Beat Ventures, Fellows Fund, Fin Capital, Hike Ventures, MyAsiaVC, Pathlight Ventures, Peninsula Ventures, Rho Capital Partners, Scrum Ventures, Soma Capital, SV Tech Ventures, Thomson Reuters Ventures, Y Combinator</t>
  </si>
  <si>
    <t>www.truewind.ai</t>
  </si>
  <si>
    <t>232405-48</t>
  </si>
  <si>
    <t>Trustap</t>
  </si>
  <si>
    <t>Developer of a commerce infrastructure platform designed to manage secure and efficient online transactions. The company offers payment processing, fulfilment management, dispute handling, reporting tools, and agentic commerce capabilities that surface product listings to AI agents, enabling marketplaces, e-commerce businesses, and online sellers to streamline transactions and expand product discoverability.</t>
  </si>
  <si>
    <t>Act Venture Capital, Aperture, Aperture (Other Commercial Services), Aperture Venture Capital, Atlantic Bridge Capital, CAV Investment Group, Digital Irish Ventures, Enterprise Ireland, Furthr VC, Irrus Investments, Liam Casey, MiddleGame Ventures, Resolute Partners, Seed X Liechtenstein, Seed-X, TX Ventures</t>
  </si>
  <si>
    <t>www.trustap.com</t>
  </si>
  <si>
    <t>454566-88</t>
  </si>
  <si>
    <t>Veuu</t>
  </si>
  <si>
    <t>Developer of an inclusive and sustainable fintech ecosystem designed for the healthcare industry to adjudicate claims. The company's platform aggregates and models healthcare claims and payment information of patients and also provides information about behavior patterns, traits, statistics, and trends, enabling hospitals to maintain and track claims, associated risks, and adjudications.</t>
  </si>
  <si>
    <t>Huntington Bancshares</t>
  </si>
  <si>
    <t>veuu.com</t>
  </si>
  <si>
    <t>233903-62</t>
  </si>
  <si>
    <t>Alasco</t>
  </si>
  <si>
    <t>CloudTech &amp; DevOps, Construction Technology, FinTech, Real Estate Technology, SaaS</t>
  </si>
  <si>
    <t>Provider of an AI-powered financial and ESG management platform designed specifically for real estate projects and property portfolios. The company's cloud-based software unifies cost tracking, CapEx budgeting, cash flow forecasting, and ESG compliance into a single source of truth, enabling real estate developers, asset managers, and project controllers to automate financial workflows, reduce sustainability risks, protect profit margins, and manage multiple complex projects simultaneously without expanding their headcount.</t>
  </si>
  <si>
    <t>André Schwämmlein, Anyon Holding, Center for Digital Technology and Management, Daniel Krauss, Flix (Munich), Global Founders Capital, Hanno Renner, HV (Germany), Insight Partners (New York), Jochen Engert, Lightrock, Picus Capital</t>
  </si>
  <si>
    <t>www.alasco.com</t>
  </si>
  <si>
    <t>223791-67</t>
  </si>
  <si>
    <t>Aprila Bank</t>
  </si>
  <si>
    <t>Provider of credit lines and down-payment loans designed for small and medium-sized enterprises (SMEs). The company's platform utilizes in-house machine learning models to predict outcomes, assess risk, and make credit decisions in real-time, employing both conventional and real-time data sources, enabling businesses to access financing quickly and efficiently.</t>
  </si>
  <si>
    <t>ACIER(-), Aksel Svindal, Alliance Venture Capital, Amesto Group, AREPO AS, Arts Alliance, Assured Investment Management, ASTEROIDEBAKKEN, COSIMO AS, DISRUPTOR AS, Eligere Investments, ENIMAE, FJ Labs, INCHOATE, KLØVNINGEN, Kolle Invest, Kvantia, Mastercard Lighthouse, Mp Pensjon, NORUS AS, ØSD FINANS AS, OSMANI VENTURE CAPITAL, Pareto Securities, PRIMERA AS, REDIVIVUS., SANDSOLO HOLDING, SES AS, SIDEKICK INVEST, SIRKELBUE AS, SIX Group Services, Sportsmagasinet, STRIGEN, Strømstangen, UNIVERSAL PRESENTKORT AS, Visma Software International</t>
  </si>
  <si>
    <t>www.aprila.no</t>
  </si>
  <si>
    <t>326339-65</t>
  </si>
  <si>
    <t>MySky</t>
  </si>
  <si>
    <t>Operator of a cloud-based financial management platform intended to make the private aviation industry more agile. The company's platform provides more control and visibility on how money is spent while optimizing time by automating essential tasks including data administration, benchmarking, budgeting, and reporting, enabling businesses to save and efficiently manage their finances in a standardized and transparent manner.</t>
  </si>
  <si>
    <t>Global Trading Group, GMF Capital, Somersault Ventures, TLF Ventures</t>
  </si>
  <si>
    <t>www.mysky.com</t>
  </si>
  <si>
    <t>463322-89</t>
  </si>
  <si>
    <t>CondoConta</t>
  </si>
  <si>
    <t>Developer of a digital financial platform designed to offer transparency in the financial management of condominiums. The company's platform works through its application available for iOS and Android devices and includes services like deposit accounts, money transfers, bill payments, and tracking of revenues, enabling customers to manage their bank accounts from their mobiles in the comfort of their homes made for property managers and residents.</t>
  </si>
  <si>
    <t>BoostLAB, Catarinense Technology Association, Darwin Startups, Elie Horn, Endeavor Promessas, EXT Capital, Galapagos Capital, Headline, Igah Ventures, Redpoint eventures, Stone Pagamentos, SYN Prop, SYN Prop E Tech, Terracotta Ventures, Torq (Brazil)</t>
  </si>
  <si>
    <t>www.condoconta.com.br</t>
  </si>
  <si>
    <t>226550-62</t>
  </si>
  <si>
    <t>Cuenca</t>
  </si>
  <si>
    <t>Developer of an online banking application designed to provide financial services digitally. The company's application facilitates sending and receiving money, as well as paying for different services, providing loans in real time, digitally, or with a physical card, enabling users to securely deposit or borrow money and pay it back conveniently.</t>
  </si>
  <si>
    <t>Andreessen Horowitz, Base Ventures, Canary (Brazil), FJ Labs, Hard Yaka, Investo (San Francisco), Plexo Capital, Precursor Ventures, Spectra Investments, Stripe, WndrCo</t>
  </si>
  <si>
    <t>www.cuenca.com</t>
  </si>
  <si>
    <t>490056-04</t>
  </si>
  <si>
    <t>Vero Technologies</t>
  </si>
  <si>
    <t>Developer of an asset-based lending platform designed to manage wholesale lending operations. The company provides software for loan origination, funding, servicing, risk management, title management, audits, collections, and portfolio monitoring, enabling banks, captive finance companies, and specialty lenders to automate and scale wholesale lending programs.</t>
  </si>
  <si>
    <t>AAF Group, AAF Management, Antler, Arcadia Funds, BankTech Ventures, FinTech Ventures Fund, Independent Community Bankers of America, Lancaster Investments, Magic Fund, Mana Ventures, RevTech Labs Capital, Sopra Steria Group, The Venture Center</t>
  </si>
  <si>
    <t>www.vero-technologies.com</t>
  </si>
  <si>
    <t>438200-83</t>
  </si>
  <si>
    <t>Ideahub Research Corporation</t>
  </si>
  <si>
    <t>Operator of a patent monetization platform designed to help inventors and companies in their invention activities. The company's platform offers patent licensing for intellectual property, IoT and automation, augmented reality, Moving Picture Experts Group, and video entertainment technology and operating revenue generation analysis services, enabling investors and companies to receive sufficient compensation for their patents.</t>
  </si>
  <si>
    <t>BNK Venture Capital, Brave New Investment, Groom Investment, ID Ventures (South Korea), InterValue Partners, Laguna Investment, Magellan Technology Investment, Paratus Investment, Premier Partners, Quad Asset Management, Quantum Ventures Korea, SGC Partners (South Korea), Shinhan Venture Investment, Stonebridge Capital, Stonebridge Ventures (Seoul), Trust Venture Investment, Tyche Investment, UTC Investment, Widwin Investment</t>
  </si>
  <si>
    <t>www.ideahub.co.kr</t>
  </si>
  <si>
    <t>507278-44</t>
  </si>
  <si>
    <t>PortX</t>
  </si>
  <si>
    <t>Developer of financial services integration software designed to unlock access to banking core data. The company provides digital transformation, banking core integration and enterprise integration that eliminates vendor dependencies, enabling financial institutions to empower teams to connect to fintech partners and payment networks.</t>
  </si>
  <si>
    <t>Allied Solutions, American Bankers Association, American Capital Partners, BankTech Ventures, Choice Bank, Curql, EJF Ventures, Fuse (Seattle), GrowthX Capital, Next Level Ventures, Patamar Capital, Praxis (New York), Strandview</t>
  </si>
  <si>
    <t>www.portx.io</t>
  </si>
  <si>
    <t>159906-52</t>
  </si>
  <si>
    <t>Waya Finance &amp; Technology</t>
  </si>
  <si>
    <t>Developer of a business SaaS platform designed for debt collection management through analytical insights. The company's platform provides an analytics dashboard by bringing cutting-edge technology that helps in financial management, invoice management, cash flow management, and more with the tools to claim management and debt collection management, enabling small and medium-sized companies to get an overview of invoice flows while maintaining liquidity efficiently.</t>
  </si>
  <si>
    <t>Community, FBTC Invest, Mastercard Lighthouse, Spintop Ventures</t>
  </si>
  <si>
    <t>www.waya.se</t>
  </si>
  <si>
    <t>279421-12</t>
  </si>
  <si>
    <t>ZSuite Tech</t>
  </si>
  <si>
    <t>Developer of a digital commercial escrow and sub-accounting platform designed to solve real problems for specific industry verticals to grow their businesses. The company's application streamlines commercial escrow which became digital, digitizes security deposit account opening, and ensures state-specific security deposit compliance, enabling financial institutions to grow commercial deposits and expand business relationships.</t>
  </si>
  <si>
    <t>BankTech Ventures, JAM FINTOP, S3 Ventures, The Venture Center</t>
  </si>
  <si>
    <t>www.zsuitetech.com</t>
  </si>
  <si>
    <t>439523-47</t>
  </si>
  <si>
    <t>Volopay</t>
  </si>
  <si>
    <t>Developer of artificial intelligence-based real-time expense management software designed to help employers take control of business expenses and organize financial transactions. The company's platform controls expense requests and approvals, makes bill payments, manages company cards, and reconciles all accounting on one platform, enabling clients to save time and money by giving visibility and control to every aspect of business spending.</t>
  </si>
  <si>
    <t>Access Ventures, Access Ventures (Asia), Accial Capital, Alexander Lazovsky, Amrish Rau, Antler, Bolt (AI), Brand Capital International, Bytez Ventures, Cassis &amp; Cassis Capital, CP Ventures, Harshil Mathur, Inversa Prime Socimi, JAM Fund, Jeffrey Cruttenden, Jitendra Gupta, Justin Mateen, Kube VC, Mars Shot Ventures, Nordstar Partners, Rapyd Ventures, Shashank Kumar, Smile Group, Soma Capital, Sprint VC, Stonewater Ventures, Sweta Rau, VentureSouq, VII Ventures, Winklevoss Capital Management, Y Combinator, Zentani Capital</t>
  </si>
  <si>
    <t>www.volopay.com</t>
  </si>
  <si>
    <t>160971-67</t>
  </si>
  <si>
    <t>ePayLater</t>
  </si>
  <si>
    <t>Developer of an online payment platform designed to separate the experience of shopping from the hassles of the payment process. The company's platform uses advanced machine learning techniques to do a real-time credit assessment using data such as buying patterns, digital footprints, social media information, and device information to provide frequent online purchasers with a credit term to buy items in bulk and settle their payments, enabling customers to buy now and pay later through their online portal.</t>
  </si>
  <si>
    <t>Blue Ashva Capital, GMO Venture Partners, ICICI Bank, Parekh Family Office, Pravega Ventures, RAAY Global Investments, responsAbility Investments, Secocha Ventures</t>
  </si>
  <si>
    <t>www.epaylater.in</t>
  </si>
  <si>
    <t>267333-85</t>
  </si>
  <si>
    <t>Foxstone</t>
  </si>
  <si>
    <t>Developer of a real estate investment platform designed to democratize real estate investment and make it accessible to everybody. The company's platform offers sourcing, opportunity assessment, underwriting, transaction management, and asset management services, enabling retail and qualified investors to invest in the real estate sector by lowering the entry ticket and creating a secondary market.</t>
  </si>
  <si>
    <t>Investis Holding, Naef Immobilier, Rosablanche Ventures, SICTIC, Vaudoise Assurances Holding, Virtual Network</t>
  </si>
  <si>
    <t>www.foxstone.ch</t>
  </si>
  <si>
    <t>223734-43</t>
  </si>
  <si>
    <t>Corridor Platforms</t>
  </si>
  <si>
    <t>Operator of a decision management platform intended to leapfrog institutions of all sizes to real-time decision-making capabilities and advanced analytics. The company's platform provides big data credit risk management, analytics, and diverse loan sourcing services that permit instantaneous evaluation of changes and support execution into production, enabling banks and financial services clients to create and evaluate credit strategies, execute credit decisions in real-time and at scale, track performance, and automate alerts to enforce a disciplined end-to-end credit decision-making process.</t>
  </si>
  <si>
    <t>ExlService Holdings, JAM FINTOP, Oliver Wyman</t>
  </si>
  <si>
    <t>www.corridorplatforms.com</t>
  </si>
  <si>
    <t>435943-36</t>
  </si>
  <si>
    <t>Grow Credit</t>
  </si>
  <si>
    <t>Developer of a credit-building platform intended to establish or build credit for free using their existing subscription accounts. The company's platform extends a loan to expand its subscription services and uses a virtual card to pay for online subscriptions, offers paid premium plans that help with a larger card limit and additional features, enabling cardholders to boost credit scores for free and enjoy a large number of financial services.</t>
  </si>
  <si>
    <t>Baron Davis, BayView Capital, BillGO, Blue Ridge Bankshares, Carl Tremblay, Commerce Ventures, Florida Funders, Haroon Mokhtarzada, Husam Nazer, Jason Gardner, Jason Robins, Matthew Higgins, Minal Hasan, MRV Banks, Mucker Capital, NorthBay (Database Software), Omar Soliman, Peter Kight, PG Ventures, Princeton Taylor, Progression Fund, Ronald Lott, Sébastien Deguy, Tamim Mourad, Theodore Koenig, TriplePoint Capital, USAA Corporate Development, Will Kassoy, Yahya Mokhtarzada</t>
  </si>
  <si>
    <t>marketing.growcredit.com</t>
  </si>
  <si>
    <t>550458-91</t>
  </si>
  <si>
    <t>Rove Miles</t>
  </si>
  <si>
    <t>Provider of no-annual-fee travel credit card services intended to redefine the credit card industry. The company's credit card utilizes a cash-flow algorithm for underwriting through an integrated travel portal for points travel, where average spenders can earn a free trip each year, enabling young adults and individuals to get financial products that make travel accessible.</t>
  </si>
  <si>
    <t>Atland Ventures, Data Tech Fund, Evolution (Venture Capital), Harvard Ventures, MyAsiaVC, Peak XV Partners, Pear (California), Soma Capital, Y Combinator</t>
  </si>
  <si>
    <t>www.rove.com</t>
  </si>
  <si>
    <t>568752-49</t>
  </si>
  <si>
    <t>Option Circle</t>
  </si>
  <si>
    <t>Operator of an options trading platform intended to facilitate trading for new customers. The platform offers AI tools, information on active options, volume change, open interest change, and bullish and bearish option flows, and provides bot trading strategies, educational tools, and resources for traders of all levels, enabling customers to optimize their strategies and enhance their trading experience.</t>
  </si>
  <si>
    <t>Savoie Capital, Wagon Wheel Capital</t>
  </si>
  <si>
    <t>www.optioncircle.com</t>
  </si>
  <si>
    <t>222448-06</t>
  </si>
  <si>
    <t>Zaver</t>
  </si>
  <si>
    <t>Developer of a peer-to-peer payments platform designed to facilitate trades between peers. The company's platform automatically creates verified digital agreements between parties and embeds algorithms for intelligent fraud detection, enabling customers to do peer-to-peer transactions with reduced fraud.</t>
  </si>
  <si>
    <t>Bo Mattsson, Fabian Hielte, Fredrik Österberg, FROS Ventures, Hobohm Brothers Equity, Inbox Capital, Inventure, Jens Bahr, Joen Bonnier, Johannes Hobohm, KTH Innovation, Lars Wingefors, Magnus Rausing, Maximilian Hobohm, Mehran Farshid, Neudi &amp; Co., Nordpolen Ventures, Pontus Hagnö, Riccardo Zacconi, Sebastian Knutsson, Skagerak Capital, Tom Dinkelspiel, Wingefors Invest</t>
  </si>
  <si>
    <t>www.zaver.com</t>
  </si>
  <si>
    <t>232151-77</t>
  </si>
  <si>
    <t>BusyKid</t>
  </si>
  <si>
    <t>Developer of a parenting application designed to help children understand money management before adulthood. The company's application offers children a weekly allowance in which they can save, share, spend, or invest in real stocks, enabling users to build a strong financial routine.</t>
  </si>
  <si>
    <t>www.busykid.com</t>
  </si>
  <si>
    <t>101670-94</t>
  </si>
  <si>
    <t>Hatcher+</t>
  </si>
  <si>
    <t>Artificial Intelligence &amp; Machine Learning, Cryptocurrency/Blockchain, FinTech, Impact Investing, SaaS</t>
  </si>
  <si>
    <t>Operator of a data-driven venture investment platform intended to invest in tech startups. The company's platform offers artificial intelligence-powered deal analysis, customer relationship management, know your customer, fund administration and accounting, blockchain-based general ledger, one-click valuation statements, and real-time reports, enabling investors to discover, analyze, and manage assets and opportunities.</t>
  </si>
  <si>
    <t>Antler, Blue Startups, Charif El-Ansari, Dane Hudson, Jonathan Schiff, Lamivoie Capital Partners, Mistletoe, Plug and Play Tech Center, Quaker Capital Management, Radwan Hariri, Sandiip Bhammer, Singapore Angel Network, thinQbate, VC Growth Partners</t>
  </si>
  <si>
    <t>hq.hatcher.com</t>
  </si>
  <si>
    <t>510544-18</t>
  </si>
  <si>
    <t>NOAH (Financial Software)</t>
  </si>
  <si>
    <t>Provider of global payment services intended for seamless cross-border transactions. The company integrates modern financial rails with traditional banking services, offering features such as currency conversion, B2B payments, and instant settlements, enabling businesses and individuals to expedite transactions, streamline treasury operations, and ensure rapid liquidity flow across currencies globally.</t>
  </si>
  <si>
    <t>10x Founders, Alexander Matthey, Ash Park Capital, Balaji Srinivsasan, Castle Island Ventures, Concentric Team, David Helgason, Felix Capital, FJ Labs, Formus Capital, GSR, Human Capital, Joseph Lonsdale, Phoenix Court, Scalo Technologies, Tom Stafford, Transpose Platform Management, WAGMI Ventures (Texas), Wintermute, Wintermute Ventures</t>
  </si>
  <si>
    <t>www.noah.com</t>
  </si>
  <si>
    <t>185519-89</t>
  </si>
  <si>
    <t>Pando (San Francisco)</t>
  </si>
  <si>
    <t>Provider of a financial platform intended to provide liquidity and income diversification for high-growth founders. The company offers equity-linked liquidity partnerships and income pooling programs, enabling startup founders and business professionals to access personal liquidity while retaining ownership and diversifying future financial outcomes.</t>
  </si>
  <si>
    <t>Andrew Wilkinson, Atacama Ventures, Avalon Ventures, Core Innovation Capital, Nimble Ventures, Pear (California), Slow Ventures, StartX (US), Ulu Ventures, Western Technology Investment</t>
  </si>
  <si>
    <t>www.pandopooling.com</t>
  </si>
  <si>
    <t>515154-43</t>
  </si>
  <si>
    <t>Huixiaobao</t>
  </si>
  <si>
    <t>Developer of a payment technology platform. The company's products are constructed by the rich management experience and strong technology providing clients in the catering, retail, clothing, mother and baby, wholesale, beauty, pets, and baking industries a more convenient experience.</t>
  </si>
  <si>
    <t>www.hxiaobao.com</t>
  </si>
  <si>
    <t>506920-69</t>
  </si>
  <si>
    <t>TRESO2</t>
  </si>
  <si>
    <t>Developer of a financial platform designed for automated invoicing, payment processing, and working capital management purposes. The company's platform integrates electronic invoice processing with supplier payment centralization and diverse funding options such as reverse factoring and dynamic discounting, while also managing supplier compliance through automated know-your-customer and corporate social responsibility data collection, enabling businesses to optimize cash flow and streamline administrative financial workflows.</t>
  </si>
  <si>
    <t>Bpifrance, Cedrus Partners, Credit Mutuel Arkea</t>
  </si>
  <si>
    <t>www.treso2.com</t>
  </si>
  <si>
    <t>228163-15</t>
  </si>
  <si>
    <t>BankiFi</t>
  </si>
  <si>
    <t>Developer of an embedded banking platform intended to help financial institutions deliver digital banking services for businesses. The company's platform provides API-based microservices for invoicing, payments, cash flow management, accounting integration and lending through banks' digital channels, enabling financial institutions to offer integrated business banking services to their customers.</t>
  </si>
  <si>
    <t>FIS Fintech Accelerator, Greater Manchester Combined Authority, NBS Ventures, Plug and Play Tech Center, Pxn Ventures, The Co-operative Bank, The Startup Factory, The Venture Center</t>
  </si>
  <si>
    <t>www.bankifi.com</t>
  </si>
  <si>
    <t>163038-25</t>
  </si>
  <si>
    <t>Touché</t>
  </si>
  <si>
    <t>Developer of a hospitality payment and service management platform intended to streamline guest interactions and operational workflows across hospitality and food service environments. The company offers mobile payment processing, table ordering, room charge integration, loyalty program connectivity, event management features, and point-of-sale integration through a single device, enabling restaurants, hotels, cruise operators, and entertainment venues to improve operational efficiency, simplify transaction management, and enhance guest experiences.</t>
  </si>
  <si>
    <t>Mashreq Bank</t>
  </si>
  <si>
    <t>www.gotouche.com</t>
  </si>
  <si>
    <t>554382-37</t>
  </si>
  <si>
    <t>Waltz (Financial Software)</t>
  </si>
  <si>
    <t>Operator of a financial technology platform intended for real estate investing. The company makes property purchasing easy for noncitizen investors, enabling customers to make the whole buying process into a few clicks.</t>
  </si>
  <si>
    <t>Aleph (Israel), RE Angels, S-Ventures (Israel), TLV Partners</t>
  </si>
  <si>
    <t>www.getwaltz.com</t>
  </si>
  <si>
    <t>434807-92</t>
  </si>
  <si>
    <t>Alpian</t>
  </si>
  <si>
    <t>Developer and operator of a digital banking platform intended to provide regulated banking, savings, and investing services through a single application. The company offers multi-currency bank accounts, savings products, investment mandates, retirement pillar 3a accounts, and debit card services, enabling individuals access to integrated personal banking and wealth management tools.</t>
  </si>
  <si>
    <t>Fideuram Intesa Sanpaolo Private Banking, Intesa Sanpaolo</t>
  </si>
  <si>
    <t>www.alpian.com</t>
  </si>
  <si>
    <t>223442-65</t>
  </si>
  <si>
    <t>QubeHealth</t>
  </si>
  <si>
    <t>Developer of a financial health-technology platform intended to offer interest-free healthcare financing to employees.The company's platform aggregates finance companies, insurance, healthcare providers, and consumers, along with a dedicated manager in the marketplace to help make sense of options by finding, understanding, and paying care providers, enabling corporate employees to pay for healthcare and medical expenses.</t>
  </si>
  <si>
    <t>AIC Shiksha Infotech Foundation Incubation Center, Akshay Saxena, Alan Gertner, Astir Ventures, Avijit Lahiri, Banyan Tree Holdings, Beacon Trusteeship, Burman Family, Canbank Venture Capital Fund, Finvolve, FirstPort Capital, Green Ivy Ventures, India Accelerator, Inflection Point Ventures (India), IPV Capital, Keiretsu Chennai &amp; Singapore, Kumar Katra, Maithan Alloys, Mohit Burman, New Horizons Venture Capital, Rakesh Uppal, Salim Govani, ThinKuvate, Uma Nambiar, Unicorn India Ventures</t>
  </si>
  <si>
    <t>www.qubehealth.com</t>
  </si>
  <si>
    <t>107730-82</t>
  </si>
  <si>
    <t>Crowd2Fund</t>
  </si>
  <si>
    <t>Developer of a crowdfunding platform designed to offer several models of finance, across debt and equity investments. The company's platform links investors with business opportunities without the need for a bank or any other financial institution and supports the businesses to improve their growth, enabling businesses to get access to funds at competitive rates and investors to get generous returns on their investments.</t>
  </si>
  <si>
    <t>www.crowd2fund.com</t>
  </si>
  <si>
    <t>495908-56</t>
  </si>
  <si>
    <t>SquareOne</t>
  </si>
  <si>
    <t>Developer of a digital banking app for children designed to help young users understand earning, spending, and saving with real-world money. The company offers parent-managed accounts, contactless cards, automated pocket money, spending oversight, goal-based saving tools, and learning features, enabling families seeking safe financial guidance for kids to have confidence in building early money habits.</t>
  </si>
  <si>
    <t>Altered Capital, Angel Investors Marlborough, Enterprise Angels, Foggy Valley Aotearoa, Greg Kidd, Hard Yaka, Icehouse Ventures, K1W1, NetX (New Zealand), NZ Fintech Fund, NZVC</t>
  </si>
  <si>
    <t>www.getsquareone.app</t>
  </si>
  <si>
    <t>436762-63</t>
  </si>
  <si>
    <t>Brite (Financial Software)</t>
  </si>
  <si>
    <t>Developer of a direct bank-to-bank payment service designed to facilitate account-to-account payments using the bank's dedicated open banking APIs. The company's platform offers features such as instant payments, instant withdrawals, and recurring payments, enabling users to make transactions instantly using their bank account without any hassle.</t>
  </si>
  <si>
    <t>AGOF Investments, Dawn Capital, Headline, Incore Invest</t>
  </si>
  <si>
    <t>www.britepayments.com</t>
  </si>
  <si>
    <t>163773-10</t>
  </si>
  <si>
    <t>Alice (Financial Software)</t>
  </si>
  <si>
    <t>Developer of a financial platform designed to administer and calculate savings. The company offers a platform for plan setup, employee enrollment, contribution tracking, transaction processing, compliance support, and account administration, enabling employers and benefit administrators to manage pretax spending programs for working employees while reducing manual handling and improving plan oversight.</t>
  </si>
  <si>
    <t>1776., AlleyCorp, Bain Capital Ventures, Blue Ridge Labs, Bonfire Ventures, Financial Health Network, Financial Health Network., Lattice Ventures, Notation Capital, PeopleTech Partners, Propel Capital Network, Randstad Innovation Fund, Resilience VC, SemperVirens Venture Capital, Streamlined Ventures Management, The Social Entrepreneurs Fund, Trinity Ventures, TTV Capital</t>
  </si>
  <si>
    <t>www.thisisalice.com</t>
  </si>
  <si>
    <t>1132228-45</t>
  </si>
  <si>
    <t>Block Street</t>
  </si>
  <si>
    <t>Operator of a blockchain-based financial infrastructure company intended to modernize and optimize trading and lending of tokenized equities. The company offers an execution layer for on-chain stocks built on the Monad network, featuring components like Aqua for RFQ-based market making and Everst for lending and liquidation of tokenised assets, enabling customers to trade tokenised equities with greater precision, reduced slippage and enhanced transparency, bringing traditional equity flexibility to the blockchain ecosystem</t>
  </si>
  <si>
    <t>www.blockstreet.money</t>
  </si>
  <si>
    <t>503333-56</t>
  </si>
  <si>
    <t>Luminary</t>
  </si>
  <si>
    <t>Operator of a collaboration platform intended to streamline the complex and inefficient estate planning process. The company's software digitizes manual processes, streamlines complex tasks, and creates consistent service capabilities, enabling clients to provide estate-planning strategies at scale.</t>
  </si>
  <si>
    <t>10X Capital, 8VC, Blue Moon (San Francisco), Fin Capital, Focus Financial Partners, Gaingels, Gilgamesh Ventures, LeFrak, Rockefeller Capital Management, Ruediger Adolf</t>
  </si>
  <si>
    <t>www.withluminary.com</t>
  </si>
  <si>
    <t>338529-07</t>
  </si>
  <si>
    <t>Ulend</t>
  </si>
  <si>
    <t>Operator of a loan lending platform intended to connect companies to investors. The company's platform enables mid-sized companies and farmers to raise funds by selling bonds for investment funds, banks, and investors, securely and without red tape, and facilitates access to credit, enabling companies and investors to connect in an agile and competent manner.</t>
  </si>
  <si>
    <t>www.ulend.com.br</t>
  </si>
  <si>
    <t>279737-56</t>
  </si>
  <si>
    <t>BasicBlock</t>
  </si>
  <si>
    <t>B2B Payments, FinTech, Mobile, Supply Chain Tech</t>
  </si>
  <si>
    <t>Operator of a truck cargo payments platform intended for streamlined document management and payment services. The company's platform facilitates invoice transactions, digitizes workflows, and automates the billing process for fleets and carriers, enabling transportation businesses to efficiently collect paperwork for invoicing and allowing independent truck drivers to spend less time worrying about cash flow and more time focused on the road.</t>
  </si>
  <si>
    <t>Autotech Ventures, Bluewater Companies, Clear Haven Capital Management, Draper University, Emergent Ventures, LAUNCH Fund, Lincoln Partnership for Economic Development, Nelnet, Nelnet Ventures, Pearl River Venture Capital, Revolution (Washington DC), SaaS Ventures, Wakestream Ventures, ZEBOX</t>
  </si>
  <si>
    <t>www.basicblock.io</t>
  </si>
  <si>
    <t>54863-56</t>
  </si>
  <si>
    <t>ViaBill</t>
  </si>
  <si>
    <t>Developer of an online billing system designed to offer smooth invoicing and debtor-handling services for online stores. The company's system offers a flexible form of payment, where the electronic merchant is at the center and can share the payment and pay for goods and experiences throughout the year interest-free, enabling clients to bring about a boost in conversion rates as well as an increase in order values from e-customers who prefer to pay electronically.</t>
  </si>
  <si>
    <t>BlackFin Capital Partners, Fasanara Capital, Headline</t>
  </si>
  <si>
    <t>www.viabill.com</t>
  </si>
  <si>
    <t>231070-51</t>
  </si>
  <si>
    <t>Nammu21</t>
  </si>
  <si>
    <t>Developer of a digitization and analytics platform designed to deconstruct complex interconnected documents across the financial ecosystem. The company's platform transforms the transaction experience and process into easily accessible data, enabling clients to have easy access to complex data structures.</t>
  </si>
  <si>
    <t>Circle Ventures (Boston), Citigroup, CoinShares Ventures, Flying Point Industries, Galaxy Digital (New York), Humla Ventures, Nasdaq Ventures, State Street, UBS Group</t>
  </si>
  <si>
    <t>www.nammu21.com</t>
  </si>
  <si>
    <t>108750-70</t>
  </si>
  <si>
    <t>Upstox</t>
  </si>
  <si>
    <t>Developer of a stockbroking platform designed to provide financial investing services. The company's platform offers online stock trading, commodity trading, currency derivatives trading, mutual funds, and advisory services, enabling professional traders to minimize investment and trading expenses and trade easily in the market.</t>
  </si>
  <si>
    <t>Arkam Ventures, BlackSoil Capital, GVK Davix Technologies, InnoVen Capital, Kailash Somani, Larry Fitzgerald, Reddy Holdings (Hyderabad), Shikhar Dhawan, Stride Ventures, Tiger Global Management, Xceed Investments LLC</t>
  </si>
  <si>
    <t>www.upstox.com</t>
  </si>
  <si>
    <t>179938-18</t>
  </si>
  <si>
    <t>PivotalPath</t>
  </si>
  <si>
    <t>Operator of a hedge fund research firm intended to offer insights and the necessary tools required to make informed investment decisions. The company offers a full cycle of investment due diligence, including intelligence reports, analytics, and performance analysis tools, thereby protecting confidential manager information and only sharing insights with its institutional investor clients.</t>
  </si>
  <si>
    <t>Rannapo Partners</t>
  </si>
  <si>
    <t>www.pivotalpath.com</t>
  </si>
  <si>
    <t>492609-97</t>
  </si>
  <si>
    <t>Performativ</t>
  </si>
  <si>
    <t>Developer of a wealth management platform designed to streamline client reporting tasks for finance professionals. The company's system offers communication with clients, financial performance, product documentation, asset allocations, attributions, and billing services, among others, enabling clients to easily scale their business and satisfy their customers.</t>
  </si>
  <si>
    <t>Copenhagen Fintech Lab, DB1 Ventures, Denmark's Export and Investment Fund, Deutsche Börse, FinTech Collective, Henrik Larsen, iGlobe Partners, Jesper Illum, Jesper Kirstein, Jørgen Horwitz, Line Christa Sørensen, Nordic Fintech Angels, Rabo Investments, The Innovation Fund, Upfin Management</t>
  </si>
  <si>
    <t>www.performativ.com</t>
  </si>
  <si>
    <t>98252-92</t>
  </si>
  <si>
    <t>Dopay</t>
  </si>
  <si>
    <t>Developer of an online payment platform designed to offer cashless payroll process management services to clients. The company's platform offers banking services to the largely unbanked and financially underserved populations and backs them to receive their salary through their payment account, enabling employers to calculate salaries and pay all employees electronically.</t>
  </si>
  <si>
    <t>6 Degrees Capital, ACE Ventures (Geneva), Alder Tree Investments, Argentem Creek Partners, Bernard Bunnik, Brad van Leeuwen, Chris Adelsbach, FMO Entrepreneurial Development Bank, Force Over Mass Capital, Greg Rogers, Hub71, Jai Choi, John Power, Kaj-Erik Relander, Kube VC, Matthew Saal, Mbuyu Capital, NN Group, QVentures, ScaleUpNation, Start Path, SuperSeed, Techstars, Tekton Ventures, Theo Osborne</t>
  </si>
  <si>
    <t>www.dopay.com</t>
  </si>
  <si>
    <t>54978-31</t>
  </si>
  <si>
    <t>Moven</t>
  </si>
  <si>
    <t>Artificial Intelligence &amp; Machine Learning, FinTech, Mobile Commerce, SaaS, TMT</t>
  </si>
  <si>
    <t>Developer of a mobile money-management application designed to bring banking to the digital and mobile age. The company's application offers flexible and innovative, data-driven services with different patented digital financial wellness offerings that turn into actionable insights and prompts, enabling banks, credit unions, and financial institutions to focus on improving customers' financial health.</t>
  </si>
  <si>
    <t>Anthemis, New York Angels, R136 Ventures, Raptor Group, Santerre Group</t>
  </si>
  <si>
    <t>www.moven.com</t>
  </si>
  <si>
    <t>62328-34</t>
  </si>
  <si>
    <t>Eko</t>
  </si>
  <si>
    <t>FinTech, Impact Investing, Mobile Commerce, SaaS, TMT</t>
  </si>
  <si>
    <t>Developer of a mobile-based peer-to-peer payment platform designed to aid any financial transaction. The company's platform provides mobile banking technology which assists in online payments, money transfers, and other cash-management services, enabling users to convert their cash to digital and make payments for varied services.</t>
  </si>
  <si>
    <t>Consultative Group to Assist the Poor, Creation Investments Capital Management, Exxora Trading, Manish Prasad, Promus Equity Partners, Sanjuktha Sinha, Saurabh Sinha, Share India Securities, SuperCharger FinTech Accelerator, The Tech Interactive</t>
  </si>
  <si>
    <t>www.eko.in</t>
  </si>
  <si>
    <t>182293-66</t>
  </si>
  <si>
    <t>Issue Direct</t>
  </si>
  <si>
    <t>Provider of digital-first card services intended to offer real-time digital engagement and integrated banking in the areas of digital card issuance, virtual account management, and business reporting. The company's digital card services provide business agility to issuers looking to transform their card programs and integrate banking technology seamlessly, easily, and conveniently, enabling financial institutions to offer innovative payment experiences that attract customers without requiring expensive upgrades to legacy banking systems.</t>
  </si>
  <si>
    <t>Plug and Play Tech Center, Valley Ventures</t>
  </si>
  <si>
    <t>www.issuedirect.com</t>
  </si>
  <si>
    <t>437428-81</t>
  </si>
  <si>
    <t>Smarter Contracts</t>
  </si>
  <si>
    <t>Developer of a blockchain-based consent management platform designed to offer simpler, fairer, and more accessible data-sharing experiences. The company's platform provides businesses with a real-time view of what they can and cannot do with their customers' data and provides new analytics that are designed to increase revenue, conversion, loyalty, and standards of compliance, enabling clients with a blockchain-based consent and permissions management for its users.</t>
  </si>
  <si>
    <t>EY FinTech Growth Programme, Google Accelerator, RevTech Labs, Startup Creasphere, Vestbee</t>
  </si>
  <si>
    <t>www.smartercontracts.co.uk</t>
  </si>
  <si>
    <t>481302-91</t>
  </si>
  <si>
    <t>Sibylla</t>
  </si>
  <si>
    <t>Developer of an artificial intelligence-based trading platform designed to translate information about the performance of companies into asset prices. The company's platform offers artificial intelligence and modern technology, including geometric machine learning to determine financial indicators long before news breaks, enabling analysts to determine the true value of assets.</t>
  </si>
  <si>
    <t>Alderwood Overseas, LSG Holdings</t>
  </si>
  <si>
    <t>sibyllagroup.com</t>
  </si>
  <si>
    <t>484840-36</t>
  </si>
  <si>
    <t>FlyFin AI</t>
  </si>
  <si>
    <t>Developer of an AI-powered tax filing platform designed to simplify tax preparation and filing for individuals and businesses. The company offers automated deduction tracking, expense analysis, CPA-assisted tax preparation and e-filing, and audit support, enabling freelancers, self-employed individuals, and businesses to file taxes accurately and reduce manual effort.</t>
  </si>
  <si>
    <t>Accel, Alpha Wave Global, Transpose Platform Management</t>
  </si>
  <si>
    <t>www.flyfin.tax</t>
  </si>
  <si>
    <t>536942-89</t>
  </si>
  <si>
    <t>Lineage Technologies</t>
  </si>
  <si>
    <t>Developer of an investment platform designed to offer real estate investing. The company's platform offers curated property lists, trusted property managers, and clear data reporting, enabling investors to access and manage real estate investments with minimal effort while leveraging the benefits of real estate ownership, such as cash flow, appreciation, and tax advantages.</t>
  </si>
  <si>
    <t>Capital Eleven, Cofounders Capital</t>
  </si>
  <si>
    <t>www.lineagehq.com</t>
  </si>
  <si>
    <t>182682-73</t>
  </si>
  <si>
    <t>AND Global</t>
  </si>
  <si>
    <t>Operator of a digital fintech company intended to offer accessible finance to under-banked people. The company's machine learning-based system assesses a range of data points from conventional information like banking, income, and expense records, as well as social media, education, and employment history, to determine its credit limits, enabling clients to access its products custom-tailored to their individual behavior and financial needs.</t>
  </si>
  <si>
    <t>AEON Financial Service, Blackbox (Palo Alto), Dulguun Batbold, International Finance Corporation, Marubeni, Oyungerel Janchiv, Premium Group, Rhinos Asset Management, Satoshi Matsumoto, SBI Holdings, SBI Ven Capital, Takami Yuichi, Techstars, Yasuyo Matsumoto</t>
  </si>
  <si>
    <t>and.global</t>
  </si>
  <si>
    <t>496379-26</t>
  </si>
  <si>
    <t>AssetPlus</t>
  </si>
  <si>
    <t>Developer of a fintech platform designed to assist users in financial investments. The company's platform facilitates comprehensive technology and business development tactics to the mutual fund industry through certified professionals, goal-based planning, paperless investments, and online tracking, enabling users to plan their investments to achieve their financial goals.</t>
  </si>
  <si>
    <t>Amit Nanavati, Bhupinder Singh, Eight Roads, InCred Capital, InCred Wealth, Jana Balasubramaniam, Kedar Kulkarni, Nexus Venture Partners, Nithin Kamath, Qi Ventures, Rainmatter Capital, Sprint VC, Swaroop Kolluri, Venture Catalysts (Capital Markets/Institutions), ZNL Growth</t>
  </si>
  <si>
    <t>www.assetplus.in</t>
  </si>
  <si>
    <t>230613-49</t>
  </si>
  <si>
    <t>SMBX</t>
  </si>
  <si>
    <t>Operator of a funding portal and public marketplace intended to issue and buy small business bonds. The company's marketplace allows small businesses to offer bonds directly to the public without banks, middlemen, and standard regulatory fees, enabling businesses to raise capital without any hassle.</t>
  </si>
  <si>
    <t>AltaIR Capital, Astir Ventures, Berkeley SkyDeck, Berkeley SkyDeck Fund, Better Ventures, Collide Capital, Founders First, Group 11, Hard Yaka, Impact America Fund, Ironfire Ventures, James Norris, K Street Capital, Kishore Ganji, Makai VC, Out of Beta, Paul Heller, Peter Livingston, Republic Capital Adviser, Ten Eighty Capital, Tribe Capital, Unbank.Ventures, Unpopular Ventures, Upscale Strategies Fund</t>
  </si>
  <si>
    <t>www.thesmbx.com</t>
  </si>
  <si>
    <t>169915-69</t>
  </si>
  <si>
    <t>Selma Finance</t>
  </si>
  <si>
    <t>Developer of a personal investment assistant platform intended to help in investing and managing money. The company's digital assistant helps to find out the investment based on financial life and takes care of the investment installations, enabling users to invest money without the need for specialist knowledge.</t>
  </si>
  <si>
    <t>Andreas Widmer, Gerhard Walde, Jankees Wild, Marianne Walde, Michael Fuellemann, Michael Sidler, Michael Widmer, Migros, Oliver Eglin, SICTIC, Stefan Jaecklin, TX Ventures, Unita Capital Group</t>
  </si>
  <si>
    <t>www.selma.com</t>
  </si>
  <si>
    <t>493588-36</t>
  </si>
  <si>
    <t>Propexo</t>
  </si>
  <si>
    <t>Developer of a unified application programming interface designed for property management software. The company offers services that combine a modern API, documentation and scalable infrastructure to support proptech clients, enabling engineers to launch integrations in days rather than months, reducing development and ongoing maintenance costs.</t>
  </si>
  <si>
    <t>Arkadi Kuhlmann, Dan Tyre, David Nelson, Dharmesh Shah, Dusty Davidson, Fifth Wall, Harvard Innovation Launch Lab, JD Sherman, Jim O'Neill, Mike Volpe, PropTech Angel Group, Prudence, Rick Knudtson, RXR Arden Digital Ventures, SSC Venture Partners, Y Combinator</t>
  </si>
  <si>
    <t>www.propexo.com</t>
  </si>
  <si>
    <t>179545-06</t>
  </si>
  <si>
    <t>Emerada</t>
  </si>
  <si>
    <t>Developer of an online financial platform intended to accelerate businesses through cooperation with financial institutions. The company's platform provides real-time financial data aggression based on application programming interfaces, predictive analytics based on deep learning algorithms, and an online lending interface to banking, enabling clients to have flexible and speedy loan screening.</t>
  </si>
  <si>
    <t>AG Capital (Tokyo), D4V, Jafco</t>
  </si>
  <si>
    <t>www.emerada.co.jp</t>
  </si>
  <si>
    <t>233765-29</t>
  </si>
  <si>
    <t>RevFin Services</t>
  </si>
  <si>
    <t>Developer of a financial digital onboarding platform designed to offer convenient and accessible loans for customers. The company's platform offers a unique revolving credit limit which can be used and repaid at any time according to convenience, a reward scheme where one can earn points for repaying on time, referring friends, or even logging on to the application, enabling people to access loan anytime and anywhere through their digital platform.</t>
  </si>
  <si>
    <t>ADB Ventures, Amit Goel, Anil K Goyal, Anil Lanba, Anuraag Jaipuria, Asian Development Bank, AU Small Finance Bank, AXIAN Investment, BlackSoil Capital, Caspian, Climate Angels, Companion Revfin Limited, Dheeraj Jain, Green Frontier Capital, Harash Jain, InnoVen Capital, Krishan Singh, LC Nueva AIF, Lighthouse Canton, LVX, Mahakali Capital, Manappuram Finance, Northern Arc, Omidyar Network, Rahul Seth, Ranjit Yadav, Rishi Kajaria, Ruchirans and Anuraag Jaipuria Family Office, Ruchirans Jaipuria, Shell Foundation, Small Industries Development Bank of India, Venture Garage</t>
  </si>
  <si>
    <t>www.revfin.in</t>
  </si>
  <si>
    <t>498361-42</t>
  </si>
  <si>
    <t>Brale</t>
  </si>
  <si>
    <t>Developer of a cryptocurrency platform designed to combine the parts of Defi and CeFi. The company's platform specializes in integrating the stability and benefits of centralized finance with the speed and versatility of decentralized protocols and integrates with existing tools, enabling clients to create, move and transform their on-chain assets.</t>
  </si>
  <si>
    <t>AJ Nelson, Alan Curtis, Albert Wenger, Daniel Levine, Farooq Malik, Foundation Capital, Jonathon Triest, Kanyi Maqubela, Liam Horne, Lightspeed Venture Partners, Matthew Prince, Naveen Jain, New Enterprise Associates, Refract Ventures, Steve McLaughlin, Tanner Taddeo, Tej Dhawan, The Fintech Fund</t>
  </si>
  <si>
    <t>www.brale.xyz</t>
  </si>
  <si>
    <t>458230-24</t>
  </si>
  <si>
    <t>HAKKI AFRICA</t>
  </si>
  <si>
    <t>Provider of a micro-financing platform intended to offer credit-as-a-service for gig workers and small businesses in Africa. The company's services offer short-term, small-size consumption loans and credit-scoring technology, enabling local financial institutions, such as microfinance providers, to assess creditworthiness and get funds for running their occupation.</t>
  </si>
  <si>
    <t>Daisuke Yanagisawa, Daiwa Securities Group, DEEPCORE, Fals Co., Ltd, Funds Startups, Global Brain, Globe Advisors Ventures, Globis Capital Partners, Gogin Capital, HAKOBUNE, Headline, Headline Japan Limited, Hokkoku Bank, IVS LaunchPad, Kanagawa Startup Acceleration, Link-U Group, Mega International Commercial Bank, Mirai Cross, Monex Ventures, QR Investment, Saison Ventures, Samurai Incubate Africa, SBI Holdings, SBI Insurance Group, SBT Capital Co, SMBC Venture Capital, Startup GoGo, The Norinchukin Bank, TISI ( IT Consulting and Outsourcing)</t>
  </si>
  <si>
    <t>hakki-africa.com</t>
  </si>
  <si>
    <t>113768-20</t>
  </si>
  <si>
    <t>Mitigram</t>
  </si>
  <si>
    <t>Operator of a global trade financing platform intended to provide funding and hedge the risk of a trade. The company offers a market network for exporters, traders, and financial institutions to access funding and risk coverage arising from cross-border trade activities, wherein participants can leverage their existing trade finance relationships as well as establish new ones, enabling corporations to find the right partner for each transaction and for banks to reach beyond their usual network of clients.</t>
  </si>
  <si>
    <t>Fort Knox, Johan Andersson, MOOR Holding, Sampo</t>
  </si>
  <si>
    <t>www.mitigram.com</t>
  </si>
  <si>
    <t>170387-11</t>
  </si>
  <si>
    <t>Bloom Credit</t>
  </si>
  <si>
    <t>Developer of a credit data technology designed to facilitate financial product development. The company offers access to credit reports, manages consumer credit behavior, and ensures compliance with regulatory standards, enabling businesses to launch and scale financial offerings efficiently while reducing operational complexity and minimizing the need for extensive technical resources.</t>
  </si>
  <si>
    <t>10X Capital, 500 Global, Aaron Frank, Ajay Rajani, Albert Cheng, Allegis Capital, AllegisCyber, Ashby Monk, Bain Capital Ventures, Bossa Invest, C2 Ventures, Colin Kennedy, Commerce Ventures, Connecticut Innovations, Craig Hunter, Crosslink Capital, CT Innovations, Daniel Kahn, Daniel Rosen, FinTech Sandbox, Imraan Ahmed, Jake Gibson, Jason Gardner, Jeffrey Cruttenden, Kara Rieben, Kindred Ventures, Maia Bittner, Makai VC, Mana Ventures, Mark Goines, Michael Sharon, Nextt (Accelerator), Oleg Naydonov, Resolute Ventures, Ron Suber, Shamir Karkal, Sheel Mohnot, Slow Ventures, Socially Financed, Spark Capital, Stephen Sikes, Stuart Sopp, Y Combinator, Zag Capital</t>
  </si>
  <si>
    <t>www.bloomcredit.io</t>
  </si>
  <si>
    <t>509238-64</t>
  </si>
  <si>
    <t>Zenskar</t>
  </si>
  <si>
    <t>Developer of an order-to-cash platform designed to automate billing and revenue operations for finance teams. The company offers artificial intelligence-powered conversational assistance, automated revenue recognition, SaaS metric tracking, and support for flexible pricing models including subscriptions and usage-based contracts, enabling finance professionals in software companies to streamline workflows and reduce manual effort.</t>
  </si>
  <si>
    <t>Alumni Ventures, Bain &amp; Company, Basecamp Fund, Bessemer Venture Partners, Converge Venture Partners, J-Ventures, Mana Ventures, Rho, Rocketship.vc, Shine Capital, SIG Venture Capital</t>
  </si>
  <si>
    <t>www.zenskar.com</t>
  </si>
  <si>
    <t>119264-68</t>
  </si>
  <si>
    <t>Centtrip</t>
  </si>
  <si>
    <t>Operator of a spend management platform intended to offer payments and banking services. The company's application offers a multi-currency account, mobile application, and card for individual financial needs and requirements, including for cashless touring or complex accounting, enabling customers to streamline treasury, control, and access money anytime and anywhere.</t>
  </si>
  <si>
    <t>Clydesdale Yorkshire Bank, Haim Perry, LSG Holdings</t>
  </si>
  <si>
    <t>www.centtrip.com</t>
  </si>
  <si>
    <t>489353-95</t>
  </si>
  <si>
    <t>The Coterie (Financial Software)</t>
  </si>
  <si>
    <t>Operator of a lending and investment platform intended to provide financial products. The company's platform offers financial products that cover the entire financial life cycle, from lending to investments to estate planning to secondary lending, a pre-IPO company investing, estate planning and mortgage based on assets instead of income, enabling clients to manage their funds and investments.</t>
  </si>
  <si>
    <t>www.thecoterie.co</t>
  </si>
  <si>
    <t>433649-80</t>
  </si>
  <si>
    <t>AiLA</t>
  </si>
  <si>
    <t>Developer of a digital investment management platform designed to generate alpha, volatility, and tracker products. The company's platform offers a variety of features including the ability to customize indices, back-test strategies, and monitor performance, enabling asset owners and exchange-traded fund issuers to create and manage investment products that meet their specific needs and risk tolerances.</t>
  </si>
  <si>
    <t>OpalCrest, Singapore Economic Development Board, The University of Tokyo Edge Capital, Tony Kettinger</t>
  </si>
  <si>
    <t>www.aila-x.com</t>
  </si>
  <si>
    <t>118168-03</t>
  </si>
  <si>
    <t>Ewally</t>
  </si>
  <si>
    <t>Developer of a digital payment platform designed to simplify paying bills, transferring money, and collecting and recharging cell phones. The company's platform utilizes blockchain technology for payments, issues credit cards, and also provides a statement for expenses incurred by the application, enabling the unbanked and underbanked population with limited access to financial services to have cash in hand.</t>
  </si>
  <si>
    <t>www.ewally.com.br</t>
  </si>
  <si>
    <t>332221-78</t>
  </si>
  <si>
    <t>Massive (Financial Software)</t>
  </si>
  <si>
    <t>Big Data, CloudTech &amp; DevOps, FinTech, SaaS</t>
  </si>
  <si>
    <t>Developer of a real-time financial data platform designed to display stocks, forex, and cryptocurrency data while reducing latency. The company's platform offers market data APIs, streaming data feeds, historical datasets, financial data access tools, and developer integrations, enabling users to access, analyze, and integrate financial market data into applications.</t>
  </si>
  <si>
    <t>Green Visor Capital, Headline</t>
  </si>
  <si>
    <t>www.massive.com</t>
  </si>
  <si>
    <t>515846-35</t>
  </si>
  <si>
    <t>Fintool</t>
  </si>
  <si>
    <t>Developer of a financial research tool designed for data extraction and analysis from financial documents. The company's platform scans and organizes data from sources such as SEC filings and earnings calls, and exports structured data to trigger alerts, improving its decision-making and market analysis, and enabling financial professionals to access detailed insights efficiently.</t>
  </si>
  <si>
    <t>www.fintool.com</t>
  </si>
  <si>
    <t>338593-33</t>
  </si>
  <si>
    <t>Play2Pay</t>
  </si>
  <si>
    <t>AdTech, FinTech, Gaming, Marketing Tech</t>
  </si>
  <si>
    <t>Developer of a global payment platform designed to facilitate bill payments via mobile monetization and gamification. The company's platform allows mobile phone users to pay their service provider bills by playing games, watching videos, and completing special offers on their devices, enabling brands to get targeted content distribution while helping users convert gaming time spent into making bill payments.</t>
  </si>
  <si>
    <t>Doha Tech Angels, Halestreet Investments, Harbor Spring Capital, James Perry, John Anthony Cooper, Kris Canekeratne, Rafael de la Vega, TeleSoft Partners, Thomas Glocer, Tony Weisman, Trog Hawley Capital</t>
  </si>
  <si>
    <t>www.play2pay.com</t>
  </si>
  <si>
    <t>762746-86</t>
  </si>
  <si>
    <t>Cortea</t>
  </si>
  <si>
    <t>Developer of an artificial intelligence-based audit software designed to reduce manual efforts. The company's software offers planning, document collection, fieldwork, automating repetitive tasks, and report creation while focusing on enterprise security, enabling clients to accelerate processes, enhance accuracy, and create transparency.</t>
  </si>
  <si>
    <t>Atomico (UK) Partners, Cherry Ventures, Dawn Capital, Discovery Ventures (Berlin), Henrik Gebbing, Larry Bradley, Mosaic Ventures, Ralph Müller</t>
  </si>
  <si>
    <t>www.cortea.ai</t>
  </si>
  <si>
    <t>467221-96</t>
  </si>
  <si>
    <t>Lendai</t>
  </si>
  <si>
    <t>Developer an artificial intelligence-based fintech portfolio lending platform designed to finance non-US residents investing in the US residential real estate market. The company utilizes a triple digital underwriting system to overcome the current information gap in the global financial services market, enabling consumers to achieve their financial goals through a digital system that creates a simple, fast, and efficient online financing process.</t>
  </si>
  <si>
    <t>Cardumen Capital, Discount Capital, Iron Nation Fund, Kesha Ventures, Meron Capital, Mindset Ventures, OurCrowd, REACH, Skywell Capital Partners, Viola Credit</t>
  </si>
  <si>
    <t>www.lendai.us</t>
  </si>
  <si>
    <t>483656-95</t>
  </si>
  <si>
    <t>Falcon (Financial Services)</t>
  </si>
  <si>
    <t>Developer of a financial platform designed to provide access to secure financial services to employees and their organizations. The company's platform provides end-to-end financials to help businesses thrive in the new digital economy by linking companies to fully customizable corporate cards and personalized analytics, enabling businesses and their employees to deploy all types of financial services.</t>
  </si>
  <si>
    <t>3F Ventures, GMO Venture Partners, Hustle Fund, Kube VC, LVX, Musha Ventures, Singularity AMC, Singularity Capital, Sprint VC, Stonks Fund, West Quad Ventures</t>
  </si>
  <si>
    <t>www.falconfs.com</t>
  </si>
  <si>
    <t>268515-37</t>
  </si>
  <si>
    <t>Acorn Finance</t>
  </si>
  <si>
    <t>Developer of a financial platform designed to offer affordable financing for homeowners, contractors and e-commerce companies. The company's platform provides personal loans, business loans, home loans and home improvement financing without affecting the credit score, enabling customers to avail of competitive financing options without any dealer fees.</t>
  </si>
  <si>
    <t>2048 Ventures, Accomplice VC, MassMutual Ventures, MetaProp, Moderne Ventures, Truist Ventures, Vestigo Ventures</t>
  </si>
  <si>
    <t>www.acornfinance.com</t>
  </si>
  <si>
    <t>528904-18</t>
  </si>
  <si>
    <t>Vama (Financial Software)</t>
  </si>
  <si>
    <t>Developer of a mobile application designed to provide a convenient and secure way to communicate and make payments. The company's application simplifies the user experience, making it easier for people to communicate and send money to each other, enabling users to share photos, videos, and files and simply send money even while having conversations with family and friends.</t>
  </si>
  <si>
    <t>www.vama.com</t>
  </si>
  <si>
    <t>432812-98</t>
  </si>
  <si>
    <t>APEXE3</t>
  </si>
  <si>
    <t>Operator of a multi-asset analytics platform intended for retail/institutional traders, quants, researchers, and a large number of small and medium-sized funds globally. The company's platform allows its users to trade digital assets simultaneously in a cross-asset capacity, enabling clients to identify liquidity opportunities across exchanges globally in real-time.</t>
  </si>
  <si>
    <t>Consensys Mesh</t>
  </si>
  <si>
    <t>www.apexe3.com</t>
  </si>
  <si>
    <t>64346-68</t>
  </si>
  <si>
    <t>PaymentWorks</t>
  </si>
  <si>
    <t>Operator of a digital vendor management and onboarding platform designed for secure and compliant business-to-business payment processes. The company's platform automates vendor onboarding, manages compliance documentation, verifies vendor identities, and integrates with enterprise resource planning systems, enabling organizations in sectors such as higher education, healthcare, and government to reduce payment fraud risk, streamline payee onboarding, ensure regulatory compliance, and improve operational efficiency.</t>
  </si>
  <si>
    <t>Uncommon Denominator</t>
  </si>
  <si>
    <t>www.paymentworks.com</t>
  </si>
  <si>
    <t>339828-58</t>
  </si>
  <si>
    <t>Cognitive Credit</t>
  </si>
  <si>
    <t>Developer of data-driven software designed to provide data visualization tools and information for credit markets. The company's software combines productivity tools, fundamental data with real-time updates, and an advanced analytics suite to form smarter, faster credit views, enabling credit investment teams to elevate their productivity and build more actionable investment ideas quickly.</t>
  </si>
  <si>
    <t>ETFS Capital, Fitch Ventures, Hearst Communications, Pentech Ventures, XTX Ventures</t>
  </si>
  <si>
    <t>www.cognitivecredit.com</t>
  </si>
  <si>
    <t>340821-64</t>
  </si>
  <si>
    <t>Liquidly</t>
  </si>
  <si>
    <t>Operator of a financial marketplace intended for the frontier of private markets. The company offers efficient and robust technology to provide infrastructure and liquidity for illiquid assets, enabling investors with a marketplace for illiquid assets.</t>
  </si>
  <si>
    <t>Anthemis, Fuse Incubator, Portage, Sagard, Village Global</t>
  </si>
  <si>
    <t>www.liquidly.com</t>
  </si>
  <si>
    <t>354562-03</t>
  </si>
  <si>
    <t>Flanks</t>
  </si>
  <si>
    <t>Developer of a portfolio integration platform designed to connect banks with developers. The company's platform contains an application programming interface that allows users to access raw information about their banking information and automate custodians, fund administrators, and proprietary data warehouses, enabling businesses to improve the user experience between clients and financial investors.</t>
  </si>
  <si>
    <t>4Founders Capital, Albert Armengol, Battery Ventures, Daniel Gimenez, Davide Baratech, Diego Kuperman, Earlybird Venture Capital, EarlyBird Venture Lab, JME Venture Capital, Martin Kassing, Motive Partners, Raffaele Terrone, Seedrocket, Toubkal Partners</t>
  </si>
  <si>
    <t>www.flanks.io</t>
  </si>
  <si>
    <t>280344-43</t>
  </si>
  <si>
    <t>CashFlo</t>
  </si>
  <si>
    <t>Operator of a financial platform intended to provide working capital management services for supply chain financing. The company's platform provides a multi-funder online marketplace including a network of buyers, their suppliers, and financial institutions where they can connect and collaborate with corporates to optimize their working capital and treasury returns, enabling vendors and large companies to get access to affordable short-term capital at the click of a button.</t>
  </si>
  <si>
    <t>Amrish Rau, Anjali Bansal, Arpan Sheth, Ashish Iyer, Atrium Advisory, Avaana Capital, Deval Delivala, Elevation Capital (India), General Catalyst, Gokul Rajaram, Jitendra Gupta, Kartik Sheth, Nitin Gupta, Rangarajan Krishnan, SAIF Partners, Saikiran Krishnamurthy, Subhash Garg, White Venture Capital, Whiteboard Capital</t>
  </si>
  <si>
    <t>www.cashflo.io</t>
  </si>
  <si>
    <t>466459-39</t>
  </si>
  <si>
    <t>Quantec (Financial Software)</t>
  </si>
  <si>
    <t>Developer of a financial investment platform designed to make asset management easy and convenient for everyone. The company's platform uses advanced algorithms and big data to provide customers with real-time automated portfolio design and customized asset management through investment product recommendations, enabling clients to receive customized asset management services without discrimination.</t>
  </si>
  <si>
    <t>Industrial Bank of Korea, KB Innovation HUB, NH Investment &amp; Securities, Orbitek, Shinhan Capital, Shinhan Futures Lab, Wonik Investment Partners</t>
  </si>
  <si>
    <t>www.quantec.co.kr</t>
  </si>
  <si>
    <t>228811-87</t>
  </si>
  <si>
    <t>Propagate</t>
  </si>
  <si>
    <t>AgTech, Climate Tech, FinTech</t>
  </si>
  <si>
    <t>Developer of an agroforestry investment and project development platform intended to aid investors in funding low-risk agroforestry projects. The company leverages technology to provide services like workflow tools, data analytics, agroforestry analysis, and underwriting processes, enabling investors to increase their returns and farmers to increase their profits.</t>
  </si>
  <si>
    <t>AgFunder, CyclEffect Regenerative Ventures, Edwards Mother Earth Foundation, Elemental Impact, Exelon Foundation, HubTree Ventures, Neglected Climate Opportunities, Rev: Ithaca Startup Works, Techstars, TELUS Global Ventures, The First Thirty Ventures, The Grantham Foundation, The Nest Family Office</t>
  </si>
  <si>
    <t>www.propagateag.com</t>
  </si>
  <si>
    <t>223949-98</t>
  </si>
  <si>
    <t>Quadrac</t>
  </si>
  <si>
    <t>Developer of a transit-payment and authentication platform designed for public transportation. The company's platform offers a cloud-based payment and authentication system that supports credit cards, smartphones, e-money, and QR-code payments, real-time high-volume transaction processing via a thin-client server, and centralized management of fare calculation, payment, and security, providing transport operators and passengers with a cashless public-transport experience with reduced hardware costs and improved convenience.</t>
  </si>
  <si>
    <t>Chibagin Capital, Iyogin Capital, Mitsubishi UFJ Capital, Resona Capital, SBI Investment, Seiko Solutions, SMBC Venture Capital, TISI ( IT Consulting and Outsourcing)</t>
  </si>
  <si>
    <t>www.quadrac.co.jp</t>
  </si>
  <si>
    <t>470007-73</t>
  </si>
  <si>
    <t>B Generous</t>
  </si>
  <si>
    <t>Operator of a financial technology platform intended to provide lending and deposit banking access for nonprofit organizations. The company's platform offers an integrated marketplace connecting nonprofits with capital access and deposit services through a network of financial partners, enabling mission-driven organizations to secure funding and manage financial resources.</t>
  </si>
  <si>
    <t>10X Capital, Alumni Ventures, ATX Venture Partners, AVG Group, Big Red Ventures, Blackbaud, Freesearch Ventures, Gaingels, Higher Ground Labs, KRF Capital, Lifeline Financial Group, LunaCap Ventures, Network VC, Ronin Capital Partners, RSLP Ventures, Team Ignite Ventures</t>
  </si>
  <si>
    <t>www.bgenerous.com</t>
  </si>
  <si>
    <t>556886-62</t>
  </si>
  <si>
    <t>Bless Payments</t>
  </si>
  <si>
    <t>Developer of an international money transfer and remittance platform designed for facilitating cross-border payments. The company's platform supports mobile and web-based transfers, featuring bank-grade security, low and transparent fees, tracking, direct pay-in via debit card or bank transfer, and payout to wallets and banks in multiple countries, enabling migrant workers and their families to move funds more affordably and reliably across borders.</t>
  </si>
  <si>
    <t>Charlie Shahin, Draft Ventures, Forte Securities</t>
  </si>
  <si>
    <t>www.blesspayments.com</t>
  </si>
  <si>
    <t>490048-93</t>
  </si>
  <si>
    <t>Clearpool</t>
  </si>
  <si>
    <t>Developer of a decentralized capital markets ecosystem designed to help institutions access uncollateralized liquidity. The company allows to compare and select borrower pools, supplies liquidity, and receive tokens in return, enabling clients to redeem these tokens at any time without lock-up, and helping them to exit the pool whenever desired.</t>
  </si>
  <si>
    <t>Aria Group, Arrington Capital, AscendEX, BCW Ventures, Drops Ventures, FBG Capital, Folkvang, GBV Capital, Hashkey Capital, Hex Trust, Horadrim Capital, HTX Ventures, International Blockchain Consulting, Kenetic Capital, Mentha Partners, Moonvault Capital, Nothing Research, PANONY, Peak XV Partners, PLUTUSVC, Ryze Labs, Sino-Capital Global, Skynet Trading, Unknown Ventures, ZBS Capital</t>
  </si>
  <si>
    <t>www.clearpool.finance</t>
  </si>
  <si>
    <t>119462-14</t>
  </si>
  <si>
    <t>Constant ai</t>
  </si>
  <si>
    <t>Developer of a loan management platform designed to automate complex finance tasks and empower borrowers to self-serve. The company's platform modernizes loan servicing and loss mitigation with interactive digital services that help borrowers understand, manage, and pay back their debt, enabling clients to reduce costs, errors, and compliance risk.</t>
  </si>
  <si>
    <t>CEI Ventures, Maine Angels, One Washington Financial</t>
  </si>
  <si>
    <t>www.constant.ai</t>
  </si>
  <si>
    <t>234223-66</t>
  </si>
  <si>
    <t>Engage Mobilize</t>
  </si>
  <si>
    <t>B2B Payments, Mobile, Oil &amp; Gas, SaaS, Supply Chain Tech</t>
  </si>
  <si>
    <t>Developer of a field operations software designed to streamline complex field service workflows. The company's platform offers electronic ticketing, invoicing, forms, inventory tracking, and geo-location integrations, supporting oilfield services including water hauling, crude hauling, chemicals management, and proppant delivery through web and mobile applications, enabling operators and oilfield service companies to reduce costs, increase transparency, and eliminate manual processes.</t>
  </si>
  <si>
    <t>Five Branches(), Free Radical Ventures, Montrose Lane, United States Department of War</t>
  </si>
  <si>
    <t>www.engagemobilize.com</t>
  </si>
  <si>
    <t>266011-48</t>
  </si>
  <si>
    <t>Fairmint</t>
  </si>
  <si>
    <t>Developer of an investment platform intended to connect investors with emerging companies. The company's platform is based on a fundraising model for startups, that expands the potential investor pool from founders, VCs, and employees to anyone, to give these investors exposure to companies' future revenues, and lets users invest in startups based on their revenue performance, enabling entrepreneurs to raise online capital from their supporters while also creating a sense of ownership and engagement among their community members.</t>
  </si>
  <si>
    <t>A.Capital Ventures, Adam Draper, Boost VC, Christoph Jentzsch, Draper Associates, Future Perfect Ventures, HSD Capital, IDEO CoLab Ventures, Jean-Baptiste Hironde, Marie Ekeland, Maxime Pruvost, Monday Capital, Niamh Gavin, Pascal Levy-Garboua, Philipp Moehring, Sigil Fund, The Family (Financial Services), The Legal Tech Fund, Thomas France, Tiny Supercomputer Investment Company, Visary Capital</t>
  </si>
  <si>
    <t>www.fairmint.com</t>
  </si>
  <si>
    <t>497893-60</t>
  </si>
  <si>
    <t>Fimple</t>
  </si>
  <si>
    <t>Developer of a financial platform designed to offer cloud-based core banking. The company's platform addresses the needs and challenges of the financial sector through cloud-based technology and a business model approach, focusing on lean financial systems and the foreign market, enabling banks and financial institutions to process daily banking transactions and update accounts and other financial records.</t>
  </si>
  <si>
    <t>AK Asset Management, Albaraka Portfolio Management, APY Ventures, Cedar-IBSi FinTech lab, DN Capital, KuveytTurk Portföy, Smartfin(Brussels), Tera Portföy, Visa Innovation Program</t>
  </si>
  <si>
    <t>www.fimple.co.uk</t>
  </si>
  <si>
    <t>81875-71</t>
  </si>
  <si>
    <t>Implicit</t>
  </si>
  <si>
    <t>Developer of a content summarization platform designed to help organizations to simplify unstructured and diverse data. The company's platform utilizes artificial intelligence, machine learning, and natural language processing to sort out unstructured data to create summaries in real-time as well as analyze content, identify different subjects, enabling clients to increase coverage with summaries around equities or macroeconomic trends, enabling firms to understand large amounts of news and optimize investment decisions.</t>
  </si>
  <si>
    <t>AAF Management, AFWERX, Alumni Ventures, Cerity Partners Ventures, Columbia University Endowment, Craig Friedman, CRV, Dentsu Ventures, Entrepreneurs Roundtable Accelerator, Franklin Resources, General Purpose Venture Capital, Google Assistant Investment, GV, Jon Auerbach, Joyce Shen, Khasm Labs, Leo De Luna, Lytical Ventures, M12, Microsoft for Startups, Nobuhiro Ariyasu, NY Technology Capital Partners, Openner, Plug and Play Tech Center, Prime Partners, Priya Saiprasad, Remarkable Ventures, Ridgeline, Ron Elliott, Seed Group, Tensility Venture Partners, The Eugene Lang Entrepreneurship Center, Thomson Reuters, Tokyo Founders Fund, WorldQuant Ventures</t>
  </si>
  <si>
    <t>www.implicit.cloud</t>
  </si>
  <si>
    <t>501138-10</t>
  </si>
  <si>
    <t>Lessn</t>
  </si>
  <si>
    <t>Developer of financial software intended to automate payments and reduce environmental impact through e-invoicing. The company specializes in managing the entire accounts payable process, starting from receiving invoices and paying suppliers, to automatically reconciling the accounting packages via accounting integrations and getting paid immediately without manual data entry, making it smarter, faster, and paperless, enabling suppliers to manage finances in one secure wallet with approval or dispute invoice functionality and help save money and time.</t>
  </si>
  <si>
    <t>Brendan Cook, Dean Swan, Macquarie University Incubator, Michael Masterman, Moroku</t>
  </si>
  <si>
    <t>www.lessn.io</t>
  </si>
  <si>
    <t>230958-64</t>
  </si>
  <si>
    <t>Rocket Dollar</t>
  </si>
  <si>
    <t>Developer of a financial platform designed to aid users in making alternative investments while maintaining tax benefits. The company's platform offers an enhanced retirement account that helps users invest in alternative assets such as rental properties, startups, other private companies, and more without losing tax savings, enabling retired personnel to generate investments and earn profits.</t>
  </si>
  <si>
    <t>Amaranthine, Anne Dwane, Astralabs, Brian Sheth, Bull Creek Capital, Capital Factory, Central Texas Angel Network, gener8tor, Global Millennial Capital, HDS Capital, Henry Yoshida, Hurt Family Investments, Moneta Venture Capital, Omni Ventures (San Francisco), Park West Asset Management, Primetime Partners, Realm Capital Ventures, Right Side Capital Management, Tapestry VC, Texas Venture Labs, Triton Capital (San Francisco), Village Global</t>
  </si>
  <si>
    <t>www.rocketdollar.com</t>
  </si>
  <si>
    <t>523045-90</t>
  </si>
  <si>
    <t>RTX Holdings</t>
  </si>
  <si>
    <t>Operator of an electronic interest rate swap trading exchange intended to facilitate trading in the wholesale swap dealer marketplace. The company offers regulated exchange infrastructure, electronic trading systems, risk controls, and cross-border market access capabilities, enabling wholesale swap dealer marketplace participants and European market participants to trade and manage interest rate swaps with improved execution efficiency.</t>
  </si>
  <si>
    <t>Fenway Summer</t>
  </si>
  <si>
    <t>www.rtxfintech.com</t>
  </si>
  <si>
    <t>156433-69</t>
  </si>
  <si>
    <t>StratiFi</t>
  </si>
  <si>
    <t>Developer of AI-powered wealth management software designed to automate compliance monitoring and advisor operations. The company's platform offers compliance surveillance, books and records automation, investment research, and workflow management tools, enabling registered investment advisors, broker-dealers, and asset management platforms to manage regulatory processes and advisor productivity efficiently.</t>
  </si>
  <si>
    <t>Anthemis, Cboe Global Markets, Dag Ainsoo, David Teten, DCVC, Garrett Koehn, Graph Ventures, Great Oaks Venture Capital, Greenmont Ventures, HOF Capital, Joey Krug, Kamiar Kordari, Luke Powell, Matt Hougan, Matthew Wyndowe, Michael Curcio, Sean Bill, Versatile Venture Capital, Wolverine Trading</t>
  </si>
  <si>
    <t>www.stratifi.com</t>
  </si>
  <si>
    <t>435490-48</t>
  </si>
  <si>
    <t>Super Processor</t>
  </si>
  <si>
    <t>Cannabis, FinTech, SaaS</t>
  </si>
  <si>
    <t>Developer of a payment processor designed to offer specialized financial services to high-growth merchants. The company offers secure transaction handling, developer-friendly integration interfaces, broad payment acceptance options, analytics and reporting tools, and ongoing technical support, enabling merchants, software partners, and commerce operators to process payments reliably, with enhanced security and adaptable transaction workflows.</t>
  </si>
  <si>
    <t>www.superprocessor.com</t>
  </si>
  <si>
    <t>495703-81</t>
  </si>
  <si>
    <t>TeklifimGelsin</t>
  </si>
  <si>
    <t>Operator of a customized financial marketplace intended to connect users with banks and insurance companies. The company's platform provides instant loans, investment, credit reports, and insurance services information to users through digital integrations made with banks, credit reference agencies, insurance companies, and other financial technology initiatives, enabling customers to get customized loans, deposits, credit cards, and insurance offerings from financial companies.</t>
  </si>
  <si>
    <t>Big Bang | Startup Challenge, Erkin Fındık, Fomo Ventures (Istanbul), Halis Petrol, Hedef Holding, Ideal Financial Technologies, Keiretsu Forum, Mustafa Erkuş, Startup Wise Guys</t>
  </si>
  <si>
    <t>www.teklifimgelsin.com</t>
  </si>
  <si>
    <t>166647-97</t>
  </si>
  <si>
    <t>TerraManta</t>
  </si>
  <si>
    <t>Developer of a machine learning platform intended to forecast commodity prices. The company's platform analyzes geopolitical news, market fundamentals, and price actions to identify individual components that influence commodity prices to manage outside capital, while producing consistent returns regardless of market volatility, enabling commodity traders, industry analysts, and procurement specialists to manage and reduce the economic risk of exposure to commodities.</t>
  </si>
  <si>
    <t>Techstars</t>
  </si>
  <si>
    <t>www.terramanta.com</t>
  </si>
  <si>
    <t>94231-54</t>
  </si>
  <si>
    <t>TokenEx</t>
  </si>
  <si>
    <t>Developer of a cloud security platform designed to strengthen the clients' security postures while future-proofing their operations. The company offers payment modernization, cyber risk management, and regulatory compliance, enabling companies to safely and compliantly collect, store, and transmit sensitive payment and personal data.</t>
  </si>
  <si>
    <t>www.tokenex.com</t>
  </si>
  <si>
    <t>85080-25</t>
  </si>
  <si>
    <t>Venturebeam</t>
  </si>
  <si>
    <t>Operator of an investment platform designed to empower impact investing for a sustainable future. The company's platform leverages blockchain technology to power its ledger and offers access to private market investment opportunities by facilitating investments in early-stage and growth companies, enabling clients to track their private market portfolio and make direct investments in startups, as well as enabling early-stage companies to procure the funding they require.</t>
  </si>
  <si>
    <t>Capital Lab Ventures</t>
  </si>
  <si>
    <t>www.venturebeam.com</t>
  </si>
  <si>
    <t>223551-64</t>
  </si>
  <si>
    <t>Xendoo</t>
  </si>
  <si>
    <t>Developer of a financial technology platform designed to manage bookkeeping and corporate tax processes for businesses. The company offers data-driven insights, monthly financial reporting, tax preparation, AI-enabled automation, and SaaS tools for accounting workflows, enabling small businesses, franchise operators, wealth advisors, and accounting professionals to improve financial visibility and streamline operations.</t>
  </si>
  <si>
    <t>5150 Capital, 6ixth Event, Azoic Ventures, Beresford Ventures, Bill Dunphy, Deepwork Capital, Erik Velie, Gaingels, Horseplay Ventures, Jake Newman, Jim Horowitz, Kurt Bilafer, LAUNCH Fund, Martin Phan, Matthew Paulson, Matthew Wilson, MetLife Foundation, Miami Angels, Nikita Kozlovski, Oliver Choy, Paul Knag, Paul Martin, Relumin, Revolution (Washington DC), Richard Westmore, Russell Raath, SaaSCraft Ventures, Terri Mead, Thomas Deely, Village Capital</t>
  </si>
  <si>
    <t>www.xendoo.com</t>
  </si>
  <si>
    <t>463333-24</t>
  </si>
  <si>
    <t>Yolo ex</t>
  </si>
  <si>
    <t>Developer of an experiential interactive markets platform designed to bring a new way to experience financial markets to a millennial audience. The company's platform offers access to decentralized exchanges and trade crypto using new interfaces for interacting with live systems markets, enabling users to control finances via an engaging user experience.</t>
  </si>
  <si>
    <t>Antler, Ascensive Asset Management, Big Brain Holdings, Luminary Partners, Manifold Capital Partners, Orthogonal Trading, PetRock Capital, SkyVision Capital, Sneaky VC, Zee Prime Capital</t>
  </si>
  <si>
    <t>www.yoloex.io</t>
  </si>
  <si>
    <t>496483-12</t>
  </si>
  <si>
    <t>Polygraf AI</t>
  </si>
  <si>
    <t>Artificial Intelligence &amp; Machine Learning, Big Data, Cryptocurrency/Blockchain, Cybersecurity, EdTech, FinTech, InsurTech, Legal Tech, Marketing Tech</t>
  </si>
  <si>
    <t>Developer of an on-premise artificial intelligence security platform designed to detect and prevent AI-driven threats and data leaks. The company offers an AI behavioral control layer with explainable language models, real-time monitoring, and privacy-preserving protection tools, enabling enterprises, healthcare providers, and regulated organizations to secure sensitive data and maintain compliance.</t>
  </si>
  <si>
    <t>Allegis Capital, Alumni Ventures, Bachmanity Capital, DataPower Capital, DOMiNO Ventures, Endless Frontier Labs, Gaingels, Machina Ventures, Owl Peak Management, Punja Global Ventures, Quansight Initiate, Sputnik ATX, SXSW Pitch</t>
  </si>
  <si>
    <t>www.polygraf.ai</t>
  </si>
  <si>
    <t>472399-84</t>
  </si>
  <si>
    <t>Jelou</t>
  </si>
  <si>
    <t>Artificial Intelligence &amp; Machine Learning, FinTech, Marketing Tech</t>
  </si>
  <si>
    <t>Developer of a sales automation platform designed to help clients automate and control communications for serving customers quickly. The company's platform offers artificial intelligence-powered chatbots that effectively communicate with customers, a multi-agent panel that lets agents serve customers who come from several simultaneous channels, and integrates a catalog from e-commerce sites with payments and delivery in a single software experience, enabling clients to leverage artificial intelligence to reduce operational costs, increase conversion rates, and generate and retain customers.</t>
  </si>
  <si>
    <t>AC Ventures (Mexico), Act One Ventures, Collide Capital, Krealo, Openvia Mobility, Wellington Management</t>
  </si>
  <si>
    <t>www.jelou.ai</t>
  </si>
  <si>
    <t>170479-36</t>
  </si>
  <si>
    <t>Qube Money</t>
  </si>
  <si>
    <t>Developer of a digital budgeting and banking platform designed to help plan and organize money. The company's platform allows users to organize money into digital envelopes representing spending categories and helps users to purchase groceries with the grocery category and fuel with the fuel category, and control the authorization of every transaction using transaction-level authorization technology to ensure expenses stay within the spending plan, enabling users to get updates in real time as money is spent.</t>
  </si>
  <si>
    <t>Startup Warrior</t>
  </si>
  <si>
    <t>www.qubemoney.com</t>
  </si>
  <si>
    <t>497675-53</t>
  </si>
  <si>
    <t>Earned Wealth Advisors</t>
  </si>
  <si>
    <t>Provider of wealth management services intended to build brighter financial futures for physicians. The company's services are based on deep diligence to design wholly around physicians, expertise in unique career journies, and a range of products and services to support it, enabling doctors to build wealth via quality tailor-made advice.</t>
  </si>
  <si>
    <t>Breyer Capital, Hudson Structured Capital Management, Juxtapose, R2 Ventures, Silversmith Capital Partners, Summit Partners</t>
  </si>
  <si>
    <t>www.earned.com</t>
  </si>
  <si>
    <t>264541-60</t>
  </si>
  <si>
    <t>Moon</t>
  </si>
  <si>
    <t>Developer of a payment platform designed to help facilitate online purchases using cryptocurrency. The company's platform features a browser extension that gives users the chance to attach their account or other wallets to make transactions with a focus on providing consumers with know-your-customer virtual cards and an application programming interface for card issuance, enabling online retail customers to shop directly using secure virtual cards.</t>
  </si>
  <si>
    <t>10X Capital, 529 Ventures, Bentaus Energy, Bill Murphy, Bitcoin Frontier Fund, Block0 (Switzerland), Byzantine Marine, Charlie Lee, Comma3 Ventures, Creative Destruction Lab, Diverse Angels (Los Angeles), Entrepreneurs Roundtable Accelerator, Fenbushi Capital, Flight Ventures, Fulgur Ventures, Gaingels, Hands On Angel, Lightning Ventures (Bitcoin), Manresa Ventures, MoonPay Ventures, New Form Capital, New Layer Capital, SBX Capital, Sprint VC, University of Toronto</t>
  </si>
  <si>
    <t>www.paywithmoon.com</t>
  </si>
  <si>
    <t>228573-19</t>
  </si>
  <si>
    <t>Diggle</t>
  </si>
  <si>
    <t>Developer of a forecast management platform designed to increase the efficiency and accuracy of business planning. The company's cloud-based platform provides various functions such as a business template interface, and data export by industry and authority management, enabling companies to simplify budget preparation, performance comparison, and work efficiently.</t>
  </si>
  <si>
    <t>500 Global, Aozora Corporate Investment, Archetype Ventures, AS-Accelerator, Coral Capital., DNX Ventures, Draper Associates, Firstlight Capital, HDE Co., Ltd., JIC Venture Growth Investments, Mitsubishi UFJ Capital, Salesforce Ventures</t>
  </si>
  <si>
    <t>www.diggle.jp</t>
  </si>
  <si>
    <t>527593-06</t>
  </si>
  <si>
    <t>Prosper (Financial Services)</t>
  </si>
  <si>
    <t>Operator of a wealth management platform intended for high-net-worth investors to maximize their wealth. The company's platform provides access to publicly traded investment funds, high-yield cash savings products, financial guidance, and private market funds in both regular and tax-advantaged wrappers, enabling investors to manage and grow their assets effectively.</t>
  </si>
  <si>
    <t>Andreessen Horowitz, Azimo, Ben Stokes, Cody Gakpo, ComplyAdvantage, Connect Ventures (UK), Development Bank of Wales, Embark (Business/Productivity Software), EWOR, Fuel Ventures, Markovian, Matthew Cooper, MMC Ventures, Portfolio Ventures, Roosh Ventures, Simon Campbell, Tandem (Blackpool), The Players Fund, Thomas Blomfield, Valiance</t>
  </si>
  <si>
    <t>www.prosper.co.uk</t>
  </si>
  <si>
    <t>266917-69</t>
  </si>
  <si>
    <t>Broker Insights</t>
  </si>
  <si>
    <t>Provider of data analytics and market insight intended for the global commercial insurance industry. The company's platform compiles and standardizes commercial insurance market data that facilitates exploring data, making strategic placement decisions and interacting with insurers, boosting efficiency and earnings, enabling brokers and insurers to work together more efficiently.</t>
  </si>
  <si>
    <t>Andrew James Scott, Christiaan Van Der Kuyl, Chroma Ventures, Mercia Ventures, NatWest Group, Patrick Burns, Scottish EDGE</t>
  </si>
  <si>
    <t>www.brokerinsights.com</t>
  </si>
  <si>
    <t>167013-28</t>
  </si>
  <si>
    <t>Climb</t>
  </si>
  <si>
    <t>Developer of a taxation management platform designed to manage taxes and money. The company's platform offers the user experience for investing in financial, real estate, and tax relief products and in calculating tax deductions, declaring income, and stimulating the amount of tax savings, enabling users to optimize their finances.</t>
  </si>
  <si>
    <t>Alexandre Prot, Augusta (France), Celine Lazorthes, Damien Guermonprez, Eduardo Ronzano, Frank Zorn, Jean De La Rochebrochard, Kima Ventures, NewAlpha Asset Management, Nicolas Steegmann, Open CNP, Steve Anavi, Super Capital, Thibaud Elziere, Tudigo</t>
  </si>
  <si>
    <t>www.climb.fr</t>
  </si>
  <si>
    <t>463517-02</t>
  </si>
  <si>
    <t>Paytner</t>
  </si>
  <si>
    <t>Developer of an online invoicing platform designed to purchase the pre-payment invoice sent to the business partner and pay the reward within an hour. The company's platform helps to purchase the invoice information before deposit and transfer the amount after deducting the service usage fee on the same day, enabling clients to build business funds and manage payment cycles.</t>
  </si>
  <si>
    <t>AG Capital (Tokyo), Angel Bridge, ChatWork, Dai Sunagawa, Distinctive Designs 21, East Ventures, FFG Venture Business Partners, iCube Ventures, Incubate Fund, Japan Post Spiral Regional Innovation No. 1 Investment, JIC Venture Growth Investments, Mizuho Capital, MUFG Digital Accelerator, Nissay Capital, ORIX (Tokyo), Saison Ventures, Seven Bank, Shibata Yasunari, Shigaku Co., Ltd., Shunsuke Oyu, SMBC Venture Capital, Spiral Capital (Tokyo), Sumitomo Mitsui Trust Bank, Takeshi Aida, United, W inc., Yu Akasaka, Yusuke Sato</t>
  </si>
  <si>
    <t>paytner.co.jp</t>
  </si>
  <si>
    <t>166607-65</t>
  </si>
  <si>
    <t>Kameo</t>
  </si>
  <si>
    <t>Developer of a digital financial marketplace intended to offer loans to companies through crowdfunding support. The company's platform offers an interface where individual partners can finance loans to small construction companies, small businesses, and property developers, enabling clients to get financial backup to develop their businesses and grow profitably.</t>
  </si>
  <si>
    <t>ABG Sundal Collier, Anton Johansson, Bjorn Braaten, Copenhagen Fintech Lab, Ilija Batljan Invest, Incore Invest, Ola Heldal</t>
  </si>
  <si>
    <t>www.kameo.se</t>
  </si>
  <si>
    <t>530853-13</t>
  </si>
  <si>
    <t>CapStack Technologies</t>
  </si>
  <si>
    <t>Developer of an integrated banking and real-time communication platform designed to address key gaps around loan and deposit exposure in banks. The company's platform specializes in bank-to-bank connectivity and risk management and offers loan trading, servicing, and portfolio analytics, enabling banks and financial services institutions to diversify portfolios, access liquidity, and transact directly.</t>
  </si>
  <si>
    <t>www.capstack.ai</t>
  </si>
  <si>
    <t>608625-55</t>
  </si>
  <si>
    <t>CoPlane</t>
  </si>
  <si>
    <t>Developer of an artificial intelligence platform designed to build, run, monitor, and adapt intelligent workflows. The company's platform integrates with enterprise resource planning systems, databases, and document repositories to orchestrate processes that often require a combination of automation, business rules, and human decision-making, enabling finance, accounting, and operations teams to automate and manage complex business workflows.</t>
  </si>
  <si>
    <t>Optum Ventures, Ribbit Capital, Stripe, Terrain</t>
  </si>
  <si>
    <t>www.coplane.com</t>
  </si>
  <si>
    <t>521694-82</t>
  </si>
  <si>
    <t>GigaStar</t>
  </si>
  <si>
    <t>Developer of a creator economy investment platform designed to connect digital content creators with investors through revenue-sharing opportunities. The company's platform enables creators to monetize future revenue streams through regulated public offering processes and secondary market participation, enabling investors to access creator-linked investment opportunities tied to digital media revenues and audience engagement.</t>
  </si>
  <si>
    <t>Belvedere Capital Real Estate Partners, Belvedere Strategic Capital, DV Trading, Metropolitan Capital, Nameless Ventures(Chicago), Tomsic Holdings</t>
  </si>
  <si>
    <t>www.gigastar.io</t>
  </si>
  <si>
    <t>436364-29</t>
  </si>
  <si>
    <t>Nada</t>
  </si>
  <si>
    <t>Operator of a fintech and investment platform intended to make homeownership simple, rewarding, and accessible. The company product provides investors with direct access to the home equity market by investing in the equity of homes and providing homeowners with immediate liquidity without the burden of added debt or monthly payments, enabling homeowners and homebuyers to save money on real estate transactions.</t>
  </si>
  <si>
    <t>7BC Venture Capital, Aria Emiko (Investment), Attach Capital, Badra Capital, Bay Wharf Capital, Capital Factory, Cashmere Fund, CRECI Ventures, Elton Pereira, Empire Group International, Erhan Bilici, Global Millennial Capital, Henry Joseph-Grant, Insight Capital (Taicang), Interlock Partners, Josh Curtis, Joshua Luty, Knockout Capital, LFG Ventures (VC), Li Tan, LiveOak Ventures, Patrick Spaulding-Ryan, PRMM USA, Realm Capital Ventures, Ren Carlton, Republic, Revolution (Washington DC), Rinse and Repeat Atlantic Investment Group, Riverwalk Capital Partners, Robert Jones, Silicon Valley Bank, Subrata Pal, Suddharsan Subbramaniyam, Team Ignite Ventures, Texas Venture Labs, The University of Texas at Austin Endowment</t>
  </si>
  <si>
    <t>www.nada.co</t>
  </si>
  <si>
    <t>482444-83</t>
  </si>
  <si>
    <t>Streetbeat</t>
  </si>
  <si>
    <t>Developer of an artificial intelligence-powered investment platform designed to unify customer relationship management, email, and portfolio management. The company's platform offers real-time insights, risk monitoring, compliance tools, and a conversational user interface, enabling wealth managers to increase client capacity and provide data-driven advice efficiently.</t>
  </si>
  <si>
    <t>3Lines, AAF Management, Atman Capital Partners, Azimut Direct, BroadVision Group, CDP Venture Capital (Rome), Evolution (Venture Capital), Firat Kalsin, Ligo Partners, McPike Global Family Office, Michele Attisani, Monte Carlo Capital, P101, RevTech Labs Capital, Seraph Group, StartX (US), TTV Capital</t>
  </si>
  <si>
    <t>www.streetbeat.com</t>
  </si>
  <si>
    <t>509249-44</t>
  </si>
  <si>
    <t>LendOS</t>
  </si>
  <si>
    <t>Developer of a lending management platform intended to reinvent the core-system paradigm for commercial lending. The company offers a cloud-based enterprise lending management platform that is built to transform firms by leveraging modern, fit-for-purpose technology, enabling clients with a system ready for growth and expansion.</t>
  </si>
  <si>
    <t>Blackstone Innovations Investments, Illuminate Financial, Liberty City Ventures</t>
  </si>
  <si>
    <t>www.lendos.io</t>
  </si>
  <si>
    <t>442895-50</t>
  </si>
  <si>
    <t>Bling</t>
  </si>
  <si>
    <t>Developer of a budgeting application designed to provide healthy alternatives to the punitive treatment of banks and improve financial health. The company's application offers mobile banking accounts, cash advance services, spending analysis tools, budgeting features, and debit card access to manage everyday banking needs and reduce financial stress, enabling individuals seeking transparent financial services to manage expenses and access short-term financial support more effectively.</t>
  </si>
  <si>
    <t>Bpifrance, Courtin Investment, Flor do Cafè, France FinTech, Goodwater Capital, La French Tech, Secocha Ventures, Station F, Wind Capital</t>
  </si>
  <si>
    <t>www.bling.eu</t>
  </si>
  <si>
    <t>503488-27</t>
  </si>
  <si>
    <t>Fundpath</t>
  </si>
  <si>
    <t>Developer of a data-powered fund distribution intelligence platform intended for asset and wealth management organizations seeking to align fund buyers and sellers using current, preference-led information. The company's platform uses artificial intelligence and collective data to offer a simple and secure way for wealth managers to share information with the asset management industry, enabling clients a more effective way of buying and selling funds.</t>
  </si>
  <si>
    <t>Fuel Ventures, MNL Nominees</t>
  </si>
  <si>
    <t>www.fundpath.com</t>
  </si>
  <si>
    <t>463511-62</t>
  </si>
  <si>
    <t>SmartRound</t>
  </si>
  <si>
    <t>Developer of a financial management platform designed to streamline entrepreneurial financing and investor management. The company's platform facilitates the necessary documents and data preparation, appeals to investors, manages the progress management of negotiations, signing electronic contracts, and reports to shareholders, enabling investors to complete all financing activities on the same platform.</t>
  </si>
  <si>
    <t>Aozora Corporate Investment, Daisuke Takanashi, Eisuke Ito, Founders Fund, GREE Ventures, G-STARTUP, Hidekazu Katao, Hidetoshi Takano, Hirofumi Miki, Japan Finance Corporation, Justin Waldron, Kunihiro Ogiwara, Manabu Yamaki, Masanori Sugiyama, Matias de Tezanos, Mitsubishi UFJ Morgan Stanley Securities, Mizuho Financial Group, Mizuho Trust &amp; Banking, Nakagawa AyaTaro, Nobuhiro Ariyasu, Nomura Holdings, Shigeru Urushihara, Taiichiro Kubo, Taizo Son, Tomohito Ebine, Toru Shimada, Toshiro Wakimaru, Yoshifumi Seki, Yu Akasaka, Yusuke Asakura, Yusuke Sato</t>
  </si>
  <si>
    <t>jp.smartround.com</t>
  </si>
  <si>
    <t>550056-52</t>
  </si>
  <si>
    <t>SalarySe</t>
  </si>
  <si>
    <t>Developer of a financial services application designed for organizations to help employees achieve financial freedom. The company's platform provides UPI, credit, investment, savings products, and also repayment options with easy monthly installments, enabling users to always get money at their fingertips without any risks.</t>
  </si>
  <si>
    <t>Flourish Ventures, Lightspeed Venture Partners, Peak XV Partners, Pravega Ventures, SIG Venture Capital, Surge (Accelerator), Surge Ventures, TDV Partners, Vistra ITCL</t>
  </si>
  <si>
    <t>www.salaryse.com</t>
  </si>
  <si>
    <t>117505-09</t>
  </si>
  <si>
    <t>Anagram</t>
  </si>
  <si>
    <t>Operator of an eye care practice platform intended to reduce the constraints of managed vision plans. The company's platform automates vision insurance billing and facilitates instant rebates, enabling clients to circumvent vision insurance and offer instant reimbursements to their patients via partnerships with leading eyewear labs and frame manufacturers.</t>
  </si>
  <si>
    <t>Brandon Calder, Cantos Ventures, Christopher D'Cruz, E-Merge, FundersClub, GreatPoint Ventures, Hack VC, Healthy Ventures, Heron Rock Funds, Hutt Capital, Insure.VC, KEC Ventures, Launchpad Digital Health, Makai VC, ManchesterStory, Marin Digital Ventures, Michael Jones, Michael Kane, Rogue Venture Partners, Synchrony Ventures, Tom Williams, Waterline Ventures</t>
  </si>
  <si>
    <t>www.goanagram.com</t>
  </si>
  <si>
    <t>110122-66</t>
  </si>
  <si>
    <t>Bankjoy</t>
  </si>
  <si>
    <t>Artificial Intelligence &amp; Machine Learning, Big Data, FinTech, Marketing Tech, Mobile Commerce, SaaS</t>
  </si>
  <si>
    <t>Developer of a modular digital banking platform intended to equip community banks and credit unions with modern online and mobile services. The company offers mobile and web banking, one-click account opening, online loan applications, business banking features, conversational AI interfaces, real-time fraud monitoring, digital account statements, and a financial wellness add-on with gamification, enabling institutions to launch or enhance digital banking experiences with minimal internal development.</t>
  </si>
  <si>
    <t>AEA Credit Union, Bessemer Venture Partners, CheckAlt, Community Wide Federal Credit Union, Curql, Matt Cutts, Next Level Ventures, Open Opportunity Fund, SixThirty Ventures, Statewide Federal Credit Union, Y Combinator</t>
  </si>
  <si>
    <t>www.bankjoy.com</t>
  </si>
  <si>
    <t>117819-10</t>
  </si>
  <si>
    <t>Clearmatics</t>
  </si>
  <si>
    <t>Developer of a protocol engineering and financial cryptography platform intended to develop next-generation trading and settlement networks. The company's clearing technology consists of a blockchain platform that maintains confidentiality and offers binding legal ownership, enabling users to settle securities and automate the performance of financial contracts.</t>
  </si>
  <si>
    <t>Fenbushi Capital, Nyca Partners, Route 66 Ventures, Tellurian Capital Management, TNF Capital, XTX Ventures</t>
  </si>
  <si>
    <t>clearmatics.com</t>
  </si>
  <si>
    <t>1366676-65</t>
  </si>
  <si>
    <t>Latitude (Financial Software)</t>
  </si>
  <si>
    <t>Developer of a global payment platform designed to facilitate real-time money transfers across international markets. The company's technology connects stablecoin rails to local fiat currencies through a single application programming interface and proprietary liquidity network, enabling fintechs and global businesses to manage cross-border payments, access stablecoin on-and-off ramps, and utilize named virtual accounts for international transactions.</t>
  </si>
  <si>
    <t>Bitso, Coinbase Ventures, Elora Capital, Faction Ventures, New Enterprise Associates, Paxos, Solana</t>
  </si>
  <si>
    <t>www.latitude.xyz</t>
  </si>
  <si>
    <t>638859-61</t>
  </si>
  <si>
    <t>SSV SmartPay</t>
  </si>
  <si>
    <t>Developer of a QR (Quick Response)-based payment platform solution designed to facilitate the transfer of payments. The company's platform offers in-store and online QR code payments using open banking to securely complete transactions, helping businesses accept payments via bank transfer or QR code in a faster, safer, and more cost-effective way and helps merchants reduce transaction costs, enabling customers features such as cashback, discounts, and loyalty rewards to enhance the overall customer experience.</t>
  </si>
  <si>
    <t>Clive Thomas Standish</t>
  </si>
  <si>
    <t>www.ssvsmartpay.co</t>
  </si>
  <si>
    <t>436733-65</t>
  </si>
  <si>
    <t>1fs Wealth</t>
  </si>
  <si>
    <t>Developer of a wealth management platform designed to provide technology and data for financial decisions to wealth owners. The company's platform offers centralized documentation, including liquid assets such as equities and bonds, illiquid assets such as private equity and direct investments, and also collectibles such as art and classic cars in one place that can be viewed on multiple devices, enabling wealth managers, private banks, family offices, and high-net-worth individuals to make efficient asset allocation decisions.</t>
  </si>
  <si>
    <t>Avant Global, Dominique Cerutti, Frontier Growth, Grow London, JRNY Capital, North West Quadrant Ventures, Peter Hughes, Singularity Capital</t>
  </si>
  <si>
    <t>www.1fs.co</t>
  </si>
  <si>
    <t>233992-72</t>
  </si>
  <si>
    <t>Kreditz</t>
  </si>
  <si>
    <t>Developer of a fine-tuned machine learning artificial intelligence intended to categorize and analyze bank transaction data. The company provides access categorization and analysis engine as well as a real time credit score based on data, enabling banks, financial institutions, and gaming companies to improve lending and credit operations, open banking applications and provide help with knowing your customer that results in reduced fraud and more.</t>
  </si>
  <si>
    <t>AB Segulah, Anders Wallin, Anna Storåkers, Creades, Harald Kjessler, Ingka Investments, John Grundström, Måns Ulvestam, Öjje Holt, Pamir Invest, Patrick Grimlund, Salénia, Tore Widding</t>
  </si>
  <si>
    <t>www.kreditz.com</t>
  </si>
  <si>
    <t>226243-27</t>
  </si>
  <si>
    <t>Novel Capital</t>
  </si>
  <si>
    <t>Developer of a revenue-based financing platform intended to offer an alternative funding method to entrepreneurs. The company's platform offers capital, resources, and support based on key company data points and financial metrics, enabling companies with recurring revenue to accelerate growth.</t>
  </si>
  <si>
    <t>Community Investment Management, Edovate Capital, Gaingels, IGNIA, KCRise Fund, MatterScale Ventures, Nueterra Capital, Plow Ventures, Ulu Ventures</t>
  </si>
  <si>
    <t>www.novelcapital.com</t>
  </si>
  <si>
    <t>97342-03</t>
  </si>
  <si>
    <t>Jetpack Workflow</t>
  </si>
  <si>
    <t>Developer of an accounting workflow management platform designed to improve account management services. The company's platform offers cloud-based software that helps to manage, track, and automate recurring clients' work, enabling accounting industry clients to increase their productivity and profitability.</t>
  </si>
  <si>
    <t>David Hauser, Innovation Works, KohFounders, M25</t>
  </si>
  <si>
    <t>www.jetpackworkflow.com</t>
  </si>
  <si>
    <t>279563-14</t>
  </si>
  <si>
    <t>Lofty</t>
  </si>
  <si>
    <t>Operator of an online marketplace intended to help people invest in United States rental properties. The company's platform utilizes artificial intelligence to invest in and diversify real estate, receive daily rental income payouts, list holdings for sale at any time, and vote on property decisions, enabling users to enhance their financial portfolios while minimizing the challenges typically associated with property management.</t>
  </si>
  <si>
    <t>AltaIR Capital, Alysia Silberg (Street Global), Bloccelerate, Chris Bulger, David Mandel, Emoote, Hustle Fund, Immad Akhund, Jason Calacanis, Jonathan Brickman, Joseph Aaron, LAUNCH Fund, Makai VC, Mandeep Singh, Matteo Franceschetti, Mehta Ventures, Midwood, MS&amp;AD Ventures, Oak Sky Capital, Orange DAO, Palrecha Capital, Rebel Fund, Stefan Martinovic, StoryHouse Ventures, Taisu Ventures, TRAC VC, USC Viterbi Startup Garage, VentureSouq, Wilson Tsai, Y Combinator, Zain Ventures</t>
  </si>
  <si>
    <t>www.lofty.ai</t>
  </si>
  <si>
    <t>529070-14</t>
  </si>
  <si>
    <t>Mica (Financial Software)</t>
  </si>
  <si>
    <t>Developer of a payment infrastructure platform designed to deliver secure and flexible transactions. The company's platform eliminates fraud with its credential-less payment capabilities, further supported by multiple patented credential-less account linking capabilities that remove account takeover fraud, enabling retailers, banks, fintech, consumers, loyalty providers, and crypto exchanges to solve a problem affecting every business or individual taking or receiving payments.</t>
  </si>
  <si>
    <t>Intercontinental Exchange, MaQro Advisors, Moonshots Capital</t>
  </si>
  <si>
    <t>www.mica.io</t>
  </si>
  <si>
    <t>176439-70</t>
  </si>
  <si>
    <t>Monarch Financial Solutions Technology</t>
  </si>
  <si>
    <t>Provider of banking and lending products and financial technology services intended to offer cost-effective development resources. The company provides omnichannel account opening, online lending, and middleware integration to drive revenue growth through advanced automation and secure, compliant technology, enabling financial institutions to streamline operations and compliance with digital transformation.</t>
  </si>
  <si>
    <t>Brad Smith, FINTOP (US), Independent Community Bankers of America, Jacobs Asset Management, JAM FINTOP, Jim McKelvey, OurCrowd, Patriot Financial Partners, The Venture Center, West Virginia Jobs Investment Trust Board</t>
  </si>
  <si>
    <t>monarchfts.com</t>
  </si>
  <si>
    <t>228618-73</t>
  </si>
  <si>
    <t>Tassat</t>
  </si>
  <si>
    <t>Developer of a digital blockchain platform designed to send and receive payments instantaneously. The company's platform offers Ether derivatives and creates a network of Ethereum trading markets by providing services to financial markets that utilize blockchain-based technologies to enable asset transfer and settlement, enabling institutional investors and corporations to conduct safer, more secure digital asset and digital derivative trading using Bitcoin tokens.</t>
  </si>
  <si>
    <t>1st &amp; Main Growth Partners, CMT Digital Holdings, ConsenSys, Consensys Mesh, gumi Cryptos Capital, Hashkey Capital, Signature Bank</t>
  </si>
  <si>
    <t>www.tassat.com</t>
  </si>
  <si>
    <t>484612-48</t>
  </si>
  <si>
    <t>Themis (Business/Productivity Software)</t>
  </si>
  <si>
    <t>Developer of a governance, risk, and compliance platform designed to help companies accelerate partnerships with vendors, banks, and fintech. The company's platform offers a strong compliance environment to onboard vendors, conduct due diligence, and receive documentation using secure, private workspaces; track policy approvals, collaborate on marketing material, and provide auditors, consultants, and regulators access to the internal control environment, enabling businesses to make informed decisions and contribute to sales and strategy, increasing top-line revenue.</t>
  </si>
  <si>
    <t>Alloy Labs, Felicis, FIS Fintech Accelerator, FIS Ventures, gener8tor, Impact Planet Ventures, The Fintech Fund, The Venture Center, TTV Capital, Walkabout Ventures</t>
  </si>
  <si>
    <t>www.themis.com</t>
  </si>
  <si>
    <t>458673-13</t>
  </si>
  <si>
    <t>Send</t>
  </si>
  <si>
    <t>Developer of a cross-border payment platform designed to make international payments without banking or payment limitations. The company's platform allows users to convert Australian dollars into other currencies by sending and receiving funds with international wallets, enabling clients to exchange funds with cards, wallets, and other exciting payment methods.</t>
  </si>
  <si>
    <t>Advance Queensland, AfterWork Ventures, G1 Ventures (London), iPartners, Kelly Partners Group Holdings, Kelly Partners Investment Office, Michael Starkey, Ophir Asset Management Sydney, Polymorphic Capital, Regal Funds Management, Regal Partners, Sean O'Meara, Shaw and Partners, Wunala Capital</t>
  </si>
  <si>
    <t>www.sendpayments.com</t>
  </si>
  <si>
    <t>506962-81</t>
  </si>
  <si>
    <t>Finagg</t>
  </si>
  <si>
    <t>Developer of an AI-based platform designed to offer supply chain financing. The company's platform offers a digital credit card that allows suppliers, distributors, and retailers to apply for financing and it uses AI-enabled analytics for insights on sales and operations which determines the funds, and provides loans without collateral, enabling small and medium-sized enterprises to apply for loans by adding the required business information along with the documents and grow their businesses efficiently.</t>
  </si>
  <si>
    <t>Blinc Invest, BlueOrchard Finance, Prime Venture Partners, Small Industries Development Bank of India, Tata Capital</t>
  </si>
  <si>
    <t>www.finagg.in</t>
  </si>
  <si>
    <t>438782-59</t>
  </si>
  <si>
    <t>MoooFarm</t>
  </si>
  <si>
    <t>AgTech, FinTech, Mobile, SaaS</t>
  </si>
  <si>
    <t>Developer of a dairy farm management software designed to lift India's dairy farmers out of poverty. The company's software helps to schedule a visit and connect with a veterinarian at transparent pricing for all veterinary services as well as offers digital livestock management, knowledge dissemination, cattle buy and sell, query resolution, information on loans and subsidies, networking opportunities and predictive analytics among others, enabling farmers to tackle their financial problems and manage their operations efficiently.</t>
  </si>
  <si>
    <t>Aavishkaar Capital, Accel India, Alteria Capital, Caret Capital (India), DST iHub - AWaDH, Microsoft, Navus Holding, Rockstart, Startup Haryana, Startup India, The World Bank Group, TMRW (Aditya Birla Digital Fashion Ventures)</t>
  </si>
  <si>
    <t>www.mooofarm.com</t>
  </si>
  <si>
    <t>231457-06</t>
  </si>
  <si>
    <t>Swoop</t>
  </si>
  <si>
    <t>Developer of a funding application designed to simplify and speed up access to loans, grants, and equity funding. The company's application leverages an advanced matching algorithm to identify financing options for businesses and connects them to a network of lenders, equity funds, and grant agencies, enabling clients to secure funding for their businesses.</t>
  </si>
  <si>
    <t>Arab Bank, Banking Competition Remedies, Enterprise Ireland, FlatRock Equity, Government of UK, Grow London, IAG Capital Partners, Italian Angels for Growth, MassChallenge, Nesta, Sandbox Industries, Venezia Capital, WeHo Ventures</t>
  </si>
  <si>
    <t>www.swoopfunding.com</t>
  </si>
  <si>
    <t>518247-91</t>
  </si>
  <si>
    <t>MoMoney</t>
  </si>
  <si>
    <t>Developer of a financial platform designed to provide multi-asset investment options and assist in money management. The company's platform helps to configure a ratio and auto-invest the monthly remaining balance in gold, fixed deposit, and mutual funds, along with instant credit against investments, enabling users to save money, handle their finances better, and increase their return on investments.</t>
  </si>
  <si>
    <t>www.momoney.in</t>
  </si>
  <si>
    <t>181034-65</t>
  </si>
  <si>
    <t>TAINA</t>
  </si>
  <si>
    <t>Developer of an automated tax compliance validation platform designed for regulatory reporting purposes. The company's platform digitizes and validates tax forms across formats, integrates with existing systems, supports intermediary structures, calculates withholding, and provides real-time guidance through a customer-facing portal, enabling financial institutions to reduce risk and streamline compliance.</t>
  </si>
  <si>
    <t>Anthemis, Deutsche Bank, Deutsche Bank Ventures, HSBC Venture &amp; Growth Investments, Level39, Polsky Center for Entrepreneurship and Innovation at the University of Chicago, Reciprocal Ventures, SIX FinTech Ventures, Tenity, Tribeca Early Stage Partners</t>
  </si>
  <si>
    <t>www.taina.tech</t>
  </si>
  <si>
    <t>339771-07</t>
  </si>
  <si>
    <t>Currensea</t>
  </si>
  <si>
    <t>Developer of a travel debit card designed to use open banking to sync with users' current accounts to save on forex (FX) charges. The company's product connects to any United Kingdom (UK) bank account and saves on exchange rates and transaction charges abroad without setting up and managing a new bank account or topping up a prepaid card, enabling users to make payments while travelling without opening a new bank account and at lower charges.</t>
  </si>
  <si>
    <t>1818 Venture Capital, Benjamin Slatter, Blackfinch Ventures, Charles Pickard, Eric Newnham, Farahad Zama, Grow London, Ian Harjette, James Copley, Mark Kimber, Mark Simons, Marko Sjoblom, Raw Nominees, Solano Partners, Start Path, Tech Nation Group, unbundled vc</t>
  </si>
  <si>
    <t>www.currensea.com</t>
  </si>
  <si>
    <t>266017-33</t>
  </si>
  <si>
    <t>Byhiras</t>
  </si>
  <si>
    <t>Developer of an accountability platform designed to validate and aggregate data about fees and expenses disclosed by asset managers to pension funds. The company's platform aggregates data at the most granular level from the source validates the data, and also facilitates reporting and data comparison, enabling investors with transparency and accountability in investments.</t>
  </si>
  <si>
    <t>Adfisco, Charles Cunningham, Christopher Holdsworth Hunt, Edward Carter, Edward Wray, Garth Milne, Lloyd Dorfman, Michael Marks, Simon Robertson, Stephen Zimmerman, Stuart Roden, Viscount Garmoyle</t>
  </si>
  <si>
    <t>www.byhiras.com</t>
  </si>
  <si>
    <t>152308-36</t>
  </si>
  <si>
    <t>Lend (Financial Software)</t>
  </si>
  <si>
    <t>Developer of an online lending platform designed to help match suitable investors with borrowers. The company's platform transacts private and SME loans and mortgages, helps investors finance borrowers directly through loans and creates a diversified portfolio by investing small amounts into multiple loans, enabling investors to avail of fair loans from borrowers and also earn good returns.</t>
  </si>
  <si>
    <t>Alpana Ventures, GoBeyond, PostFinance Ventures, TX Ventures, University of Zürich</t>
  </si>
  <si>
    <t>www.lend.ch</t>
  </si>
  <si>
    <t>264550-06</t>
  </si>
  <si>
    <t>Rest Less</t>
  </si>
  <si>
    <t>Digital Health, FinTech, HR Tech, Mobile, SaaS</t>
  </si>
  <si>
    <t>Operator of a digital community intended to find helpful information on various topics and issues affecting retired people. The company provides an opportunity to choose a new path even after retirement by offering guidance and resources on jobs, health, lifestyle, learning, and others, enabling customers to spend time with friends and family and enjoy themselves.</t>
  </si>
  <si>
    <t>www.restless.co.uk</t>
  </si>
  <si>
    <t>178248-34</t>
  </si>
  <si>
    <t>ALT 21</t>
  </si>
  <si>
    <t>Developer of a digital financial platform designed to let individuals and businesses hedge currency risks. The company's platform offers customizable forex hedging software including options and forwards with real-time rates for pricing in multiple currencies, enabling banks, credit unions, and corporate treasury departments to automate their forex hedging processes and deliver tailor-made financial services.</t>
  </si>
  <si>
    <t>Aperture, Dogpatch Labs, Enterprise Ireland, Financial Conduct Authority, FinTech Innovation Lab, Grow London, NDRC, Richard Hayes, Robert Smith</t>
  </si>
  <si>
    <t>www.alt21.com</t>
  </si>
  <si>
    <t>465686-56</t>
  </si>
  <si>
    <t>Carputty</t>
  </si>
  <si>
    <t>Operator of a flexible auto credit line intended to make car financing simple and transparent. The company offers a real-time, flexible line of auto credit that can be used to refinance, purchase, or lease a vehicle, enabling customers to access auto loans without any hassle.</t>
  </si>
  <si>
    <t>Alumni Ventures, Aries Capital Partners, Fontinalis Partners, Grand Ventures, John Dancu, Kickstart (US), Kinetic Ventures, Parkway Venture Capital, Porsche Ventures, SkyBox Capital, TTV Capital, University Growth Fund, VentureSouth, Village Global</t>
  </si>
  <si>
    <t>www.carputty.com</t>
  </si>
  <si>
    <t>61488-37</t>
  </si>
  <si>
    <t>FinMkt</t>
  </si>
  <si>
    <t>Operator of a full software-as-a-service cloud-based technology intended to transform the digital lending and payments landscape. The company's fully customizable multi-lender point-of-sale consumer financing platform facilitates online loan requests to multiple lenders via a seamless white-label interface, as well as offers a real-time online marketplace for any product type and tracks aggregated portfolio data and analytics across multiple venues, enabling organizations to streamline their operations to provide financial services to their customers online.</t>
  </si>
  <si>
    <t>Anurag Jain, ESQvest, Everbright Securities (UK), FINTOP (US), FundFire, ManchesterStory, Morgan Brook Capital, Perot Jain, Peter Leffler, Randy Brunschwig, Vectr Ventures, West Loop Ventures</t>
  </si>
  <si>
    <t>www.finmkt.io</t>
  </si>
  <si>
    <t>431374-42</t>
  </si>
  <si>
    <t>HUBUC</t>
  </si>
  <si>
    <t>Developer of an embedded financial platform designed to access banking services. The company's platform offers card issuance, bank account opening, know-your-customer processes, international bank account number or value-added network issuance, money transfer, foreign exchange services, dynamic spending controls, and real-time notifications, enabling businesses to launch financial products with a low initial cost and open new revenue lines without regulatory risk.</t>
  </si>
  <si>
    <t>Abigail Johnson, Albert Armengol, Anthony Saleh, Boling Jiang, Eric Yuan, Immad Akhund, Jeffrey Katzenberg, Jesús Monleon, John Bautista, John Lilly, Kenneth Chenault, Lanai Ventures, Reus Capital Partners, Runa Capital, Seedrocket, Sujay Jaswa, Toubkal Partners, Village Global, William Gates, WndrCo, Y Combinator</t>
  </si>
  <si>
    <t>www.hubuc.com</t>
  </si>
  <si>
    <t>493973-38</t>
  </si>
  <si>
    <t>Apiday</t>
  </si>
  <si>
    <t>Developer of a data collection platform designed to make sustainability easy, measurable, and affordable for companies. The company's platform offers to manage extra-financial data, get specialist advice in one click, enhanced by AI, and easily gather the documents needed, enabling companies to improve ESG scores or make specific improvements.</t>
  </si>
  <si>
    <t>AENU, BD Partners, Daphni, Galion.exe, Revent, Speedinvest, SWEN Capital Partners, TARIS</t>
  </si>
  <si>
    <t>www.apiday.com</t>
  </si>
  <si>
    <t>57817-09</t>
  </si>
  <si>
    <t>Osper</t>
  </si>
  <si>
    <t>Provider of mobile financial management and prepaid debit card services intended for youth financial literacy and pocket money administration. The company integrates a dual-login mobile application that provides separate interfaces for parents and children to facilitate automated allowance transfers, real-time spending notifications, and goal-based savings tracking, allowing parents and young people to collaborate on developing responsible budgeting habits and digital payment skills within a secure, non-credit environment that eliminates the risk of overdrafts.</t>
  </si>
  <si>
    <t>Alexander Asseily, Christian Lawless, Conversion Capital, Darren Shapland, Ellen Levy, HardGamma Ventures, Horizons Ventures, IDEO (Cambridge), Index Ventures, Jonty Hurwitz, Peter Jackson, Phoenix Court, Right Side Capital Management, Robin Klein, Techstars, Thomas Hulme</t>
  </si>
  <si>
    <t>www.osper.com</t>
  </si>
  <si>
    <t>433304-20</t>
  </si>
  <si>
    <t>PayGround</t>
  </si>
  <si>
    <t>FinTech, HealthTech, Mobile, SaaS</t>
  </si>
  <si>
    <t>Developer of a cloud-based financial platform designed to make payments and track online bills. The company's platform helps to manage numerous accounts with various providers, making payments by mail or paying by phone through a web-based system through a single unified platform, enabling healthcare providers to decrease costs by eliminating the friction of paying multiple bills.</t>
  </si>
  <si>
    <t>ARC Innovation Center, Croghan Investments, FCA Venture Partners, IA Capital Group, Lewis &amp; Clark Ventures, Plug and Play Tech Center, Rally Ventures, Reform Ventures, SixThirty Ventures, Start Path, StartUp Health, Triventures, United Healthcare Accelerator</t>
  </si>
  <si>
    <t>home.payground.com</t>
  </si>
  <si>
    <t>231193-99</t>
  </si>
  <si>
    <t>Newtop100</t>
  </si>
  <si>
    <t>Provider of venture capital service platform designed to focus on the new economy. The company's platform is home to 100 in-depth reports focusing on the mining of companies investment and has in-depth coverage of more than 100 leading companies in the new economy and industry, enabling clients to explore the investment opportunites.</t>
  </si>
  <si>
    <t>Gaorong Ventures, GL Ventures, HSG (Hong Kong), Lanchi Ventures, Source Code Capital, Tencent Holdings, Warburg Pincus, Yixia Science and Technological Co</t>
  </si>
  <si>
    <t>www.newtop100.com</t>
  </si>
  <si>
    <t>460302-31</t>
  </si>
  <si>
    <t>Brickwise</t>
  </si>
  <si>
    <t>Developer of an application-based investment platform designed to provide everyone with easy access to real estate investments. The company's platform brings interested investors and real estate sellers together on a marketplace for which real estate is divided into small digital parts and transferred to a blockchain-based register that works like a digital land register, enabling small investors to trade digitized real estate shares even with a low minimum investment amount.</t>
  </si>
  <si>
    <t>42virtual, SevenVentures, yabeo Capital</t>
  </si>
  <si>
    <t>www.brickwise.at</t>
  </si>
  <si>
    <t>267099-04</t>
  </si>
  <si>
    <t>Yapeal</t>
  </si>
  <si>
    <t>Developer of a digital banking platform designed to assist customers in managing their monthly finances and expenditures. The company's platform is blockchain-inspired and utilizes a cloud-native banking infrastructure to analyze all transactions made from customers' accounts with which they regularly spend, transfer, or receive money to provide recommendations for action, enabling customers to achieve their financial goals and a sustainable lifestyle.</t>
  </si>
  <si>
    <t>Abacus Research, Blufolio, Christoph Burkhard, Dominik Bollier, Marcaro, Markus Granziol, Vontobel Holding</t>
  </si>
  <si>
    <t>www.yapeal.ch</t>
  </si>
  <si>
    <t>354566-17</t>
  </si>
  <si>
    <t>Bricksave</t>
  </si>
  <si>
    <t>Developer of an online real estate crowdfunding platform designed to make low-risk investments in properties around the world accessible and affordable. The company's platform is automated and scalable with zero human interaction to permit tracking of investments, selling properties and reinvesting to provide an alternative financial instrument, enabling investors to increase their investment market size and earn rental incomes every month by creating an internationally diversified real estate portfolio.</t>
  </si>
  <si>
    <t>Alte, Cacao Capital, Graphene Ventures, Kinled Holding, LAB Ventures, Mountain Labs, Telor Investments Limited</t>
  </si>
  <si>
    <t>www.bricksave.com</t>
  </si>
  <si>
    <t>484223-77</t>
  </si>
  <si>
    <t>myTU</t>
  </si>
  <si>
    <t>Developer of a digital banking platform designed to offer loyalty and payment assistance. The company's platform provides banking services to adults and children, including bank accounts and prepaid cards, as well as savings accounts, multi-currency IBAN accounts, NFC-enabled prepaid cards, money transfers, online or offline payments, and more, enabling users to transact efficiently and store money at a lower cost.</t>
  </si>
  <si>
    <t>Mastercard Lighthouse</t>
  </si>
  <si>
    <t>www.mytu.co</t>
  </si>
  <si>
    <t>102969-46</t>
  </si>
  <si>
    <t>Webgility</t>
  </si>
  <si>
    <t>Developer of an e-commerce inventory accounting software designed to empower businesses to thrive in e-commerce. The company's software connects all sales, accounting, inventory and shipping, eliminating manual data entry, reducing errors, and centralizing financial data, enabling multi-channel retail and e-commerce companies to have automated operations, improved workflows and reduced inefficiencies.</t>
  </si>
  <si>
    <t>Iliyan Malchev, Pilot Growth Equity, SaaS Capital</t>
  </si>
  <si>
    <t>www.webgility.com</t>
  </si>
  <si>
    <t>416548-09</t>
  </si>
  <si>
    <t>Kayenta</t>
  </si>
  <si>
    <t>Developer of a treasury management system designed to enhance transparency and understanding in hedge fund markets. The company offers treasury infrastructure for hedge funds and software to connect to the roads and rails of the funding markets, enabling clients access to alternatives for hedge fund treasury operations and tailored services according to their needs.</t>
  </si>
  <si>
    <t>Aspen Grove Ventures, Caroline Plumb, Charles Songhurst, Chris Grasso, ETFS Capital, Fraser McIntyre, James Jennings, Paul Heydon, South Street Securities, The Entrust Group</t>
  </si>
  <si>
    <t>www.kayenta.io</t>
  </si>
  <si>
    <t>592909-93</t>
  </si>
  <si>
    <t>Tranched</t>
  </si>
  <si>
    <t>Developer of a blockchain-based loan financing platform designed to provide a higher, transparent way to securitize loans. The company streamlines the process by creating smart contracts that automate loan management, reporting and eliminating the need for intermediaries, enabling customers to finance loans transparently access to liquidity.</t>
  </si>
  <si>
    <t>Andreessen Horowitz, Blockwall Management, Kima Ventures, Maven 11, OVNI Capital, Speedinvest</t>
  </si>
  <si>
    <t>www.tranched.fi</t>
  </si>
  <si>
    <t>454305-97</t>
  </si>
  <si>
    <t>Ibancar</t>
  </si>
  <si>
    <t>Operartor of a car-backed lending services platform intended to provide financing without changing vehicle ownership. The company platform offers online approval, acceptance of borrowers with ASNEF records, and same-day funding, enabling individuals to access credit while retaining full use of their vehicles.</t>
  </si>
  <si>
    <t>Knuru Capital</t>
  </si>
  <si>
    <t>www.ibancar.com</t>
  </si>
  <si>
    <t>432691-12</t>
  </si>
  <si>
    <t>VIVA Finance</t>
  </si>
  <si>
    <t>Developer of a lending platform designed to expand access to affordable credit through employment-based underwriting. The company's platform offers income-aligned repayment plans, application processing and loans based primarily on job information, enabling individuals with limited or poor credit histories to manage debt, handle unexpected expenses and improve financial stability.</t>
  </si>
  <si>
    <t>Acumen America, Acumen Fund, Advanced Technology Development Center, Atlanta Technology Angels, Atlas InsurTech, Captain Partners, Johnson Venture Partners, Tampa Bay Wave</t>
  </si>
  <si>
    <t>www.viva-finance.com</t>
  </si>
  <si>
    <t>459365-14</t>
  </si>
  <si>
    <t>Credibook</t>
  </si>
  <si>
    <t>Developer of a digital debt logbook application designed to assist Indonesian retail wholesalers in digitizing the financial side of their operations. The company's application features services for debt record management, accounts payable and receivable transaction records, personal debt, credit management, and multiple debt book management, enabling clients to record their customers' debt and remind them to pay when the due date has passed.</t>
  </si>
  <si>
    <t>Alpha JWC Ventures, Insignia Ventures Partners, Kumpul, Monk's Hill Ventures, PAYFAZZ, Wavemaker Partners, Y Combinator</t>
  </si>
  <si>
    <t>www.credibook.com</t>
  </si>
  <si>
    <t>155966-41</t>
  </si>
  <si>
    <t>Taxfyle</t>
  </si>
  <si>
    <t>Developer of an online tax filing platform designed to connect businesses and individuals with public accountants. The company's platform handles all the marketing, technology, and invoicing aspects of the business and increases margins without increasing overhead, enabling clients to have easy, efficient, and affordable tax filing.</t>
  </si>
  <si>
    <t>A.GAIN, Beatport, Fuel Venture Capital, Jeff Ransdell, Jonas Tempel, Ocean Azul Partners, Skypointer, VentureOut (US)</t>
  </si>
  <si>
    <t>www.taxfyle.com</t>
  </si>
  <si>
    <t>504013-60</t>
  </si>
  <si>
    <t>MagicOrange</t>
  </si>
  <si>
    <t>Developer of a cloud-based cost management platform designed to help organizations monitor and optimize technology spending. The company offers AI-driven cost analysis, automated allocation processes, and service-level expense visibility, enabling businesses to improve financial control, increase operational efficiency, and make informed budgeting decisions.</t>
  </si>
  <si>
    <t>6 Degrees Capital, Butterworth Investments, FinTech Innovation Lab, Key Capital (Switzerland), Manirori Holdings, Octopus Investments, Ora Capital, QVentures</t>
  </si>
  <si>
    <t>www.magicorange.com</t>
  </si>
  <si>
    <t>453493-27</t>
  </si>
  <si>
    <t>Chargezoom</t>
  </si>
  <si>
    <t>Developer of an AI (artificial inteligence)-native accounts receivable platform designed to automate invoice management, payment processing, collections, and reconciliation. The company offers unified AR (Accounts Receivable) workflows, real-time cash flow intelligence, and a proprietary payor data network, enabling mid-market and enterprise finance teams to improve accuracy, reduce manual workload, and scale operations without additional headcount.</t>
  </si>
  <si>
    <t>Adly, Early Light Ventures, Frazier VC, Kickstart (US), Motley Fool Ventures, Okapi Venture Capital, SaaS Ventures, Stout Street Capital</t>
  </si>
  <si>
    <t>www.chargezoom.com</t>
  </si>
  <si>
    <t>232616-08</t>
  </si>
  <si>
    <t>FinClusive</t>
  </si>
  <si>
    <t>Cryptocurrency/Blockchain, Cybersecurity, FinTech, SaaS</t>
  </si>
  <si>
    <t>Developer of a compliance and identity platform designed to automate financial crimes compliance and support inclusive participation in financial services.
The company's platform offers an integrated compliance workflow with digital identity verification, legal entity validation, account provisioning, multi-rail payment capabilities across traditional and digital assets, and standardized policy frameworks, enabling banks, financial technology firms, virtual asset providers, and web-based financial applications to meet regulatory requirements, manage risk, and facilitate secure financial activity across jurisdictions.</t>
  </si>
  <si>
    <t>Algorand Foundation, Amit Sharma, BECU Fintech Incubator, Hard Yaka, Johannes Hainlein, Jules Kroll, Medici Ventures, Polyvalent Capital, Village Capital</t>
  </si>
  <si>
    <t>www.finclusive.com</t>
  </si>
  <si>
    <t>492964-21</t>
  </si>
  <si>
    <t>Moby Technologies</t>
  </si>
  <si>
    <t>Developer of a financial technology platform intended to provide investment research analysis. The company's platform specializes in delivering digestible financial content, traditional financial technology-related products, access to strategies, stock picks, weekly market reports and even delving into the complex, hidden forces that affect stock prices, enabling customers to make confident investing decisions.</t>
  </si>
  <si>
    <t>Alumni Ventures, IA Capital Group, Motivate Venture Capital</t>
  </si>
  <si>
    <t>www.moby.co</t>
  </si>
  <si>
    <t>521783-47</t>
  </si>
  <si>
    <t>OpenYield</t>
  </si>
  <si>
    <t>Operator of a bond marketplace intended to deliver an equity-like trading experience with leading economics. The company's platform offers automated liquidity for corporate bonds, munis, and treasurys, for brokerages, advisors, and asset managers seeking scalable fixed-income services, enabling retail brokers and advisors to revamp their fixed-income experience and reduce costs.</t>
  </si>
  <si>
    <t>Canapi Ventures, Clocktower Ventures, Draper Associates, Fin Capital, Flow Traders, Humbition, LeveL Markets, Lynett Capital, Soma Capital, TD Bank, TD Bank (USA)</t>
  </si>
  <si>
    <t>www.openyld.com</t>
  </si>
  <si>
    <t>93627-73</t>
  </si>
  <si>
    <t>Solgari</t>
  </si>
  <si>
    <t>Developer a customer engagement platform designed to empower organizations to deliver exceptional experiences. The company's platform offers cloud contact centers, call conferencing, call recording, email, business intelligence, interactive voice response, data analytics and outbound voice over internet
protocol systems, enabling businesses to build relationships with their customers and deliver contextual customer experience.</t>
  </si>
  <si>
    <t>Enterprise Ireland, GAN Ventures, Palm Street Capital</t>
  </si>
  <si>
    <t>www.solgari.com</t>
  </si>
  <si>
    <t>904244-14</t>
  </si>
  <si>
    <t>Veritus Agent</t>
  </si>
  <si>
    <t>Developer of AI-powered communication tools designed for loan servicing and first-party collections. The company's platform features voice agents trained on millions of call interactions, offering real-time negotiation, payment processing, omnichannel outreach, and scalable deployment, enabling lenders to improve repayment rates, reduce operational costs, maintain brand presence and ensure compliance with regulatory and data security standards.</t>
  </si>
  <si>
    <t>468 Capital, Batch Ventures (California), Cedar Capital Partners, Coral Capital., Crosslink Capital, Emergence Equity Management, Kayak Ventures, Maxitech (San Francisco), Neer Venture Partners, Pioneer Fund, Rebel Fund, SurgePoint Capital, Team Ignite Ventures, Threshold Ventures, Y Combinator</t>
  </si>
  <si>
    <t>www.veritus.com</t>
  </si>
  <si>
    <t>498408-67</t>
  </si>
  <si>
    <t>SkorLife</t>
  </si>
  <si>
    <t>Developer of a financial wellness platform designed for users to build a financial lifestyle. The company's platform provides free access to check their score and credit history, and offers advice, tools, and guidance on the right financial products, enabling users to improve their credit score and check the status of installments, pay-later options, loans, and credit cards.</t>
  </si>
  <si>
    <t>Achmad Zaki, ACV Capital, Argor, Arip Shrine, Arip Tirta, Digital Currency Group, Hershet Lunani, Hummingbird Ventures, Init 6, Jefferson Chan, Krishnan Menon, QED Investors, Saison Capital, Scale Up by Endeavor, Will Ariffin</t>
  </si>
  <si>
    <t>www.skorlife.com</t>
  </si>
  <si>
    <t>489002-68</t>
  </si>
  <si>
    <t>Caliza</t>
  </si>
  <si>
    <t>Developer of a global financial infrastructure designed to promote commerce by eliminating borders. The company's platform supports a variety of use cases, including instant international supplier payments and instant international corporate fund transfers, enabling merchant settlement providers to move funds across borders efficiently and cost-effectively.</t>
  </si>
  <si>
    <t>Abstract Ventures, Aito Capital, Alexandre Liuzzi, Andrés Bilbao, Berrywood Capital, Better Tomorrow Ventures, Class 5 Global, ComplyAdvantage, Critical Ideas, DCG Expeditions, Digital Currency Group, Dock (Sao Paulo), Doug Scherrer, Gaston Irigoyen, Initialized Capital, Kraynos Capital Management, LASP Capital, Latitud, Loft Brasil Tecnologia, Lucas Lima, New Form Capital, QED Investors, Quona Capital, Rally Cap VC, Rally Capital, Resilience17, Serunjogi Ventures, Spectra Investments, The Raba Partnership, Valor Capital Group</t>
  </si>
  <si>
    <t>www.caliza.com</t>
  </si>
  <si>
    <t>489493-36</t>
  </si>
  <si>
    <t>Snaplii</t>
  </si>
  <si>
    <t>Developer of a digital wallet designed to offer payment, lending, and card-issuing functionalities to users. The company offers self-issued closed-loop digital credit cards that not only enable traditional Visa and Mastercard payment functions but also include financial innovations, helping local merchants and consumers increase their repurchase rate and earn instant cashback on gift cards.</t>
  </si>
  <si>
    <t>BitRock Capital (SG), Celtic House Asia Partners, CHAP Venture Partner, Hat-trick Capital, Taihill Venture, Ying Fund</t>
  </si>
  <si>
    <t>www.snaplii.com</t>
  </si>
  <si>
    <t>454288-60</t>
  </si>
  <si>
    <t>Quash</t>
  </si>
  <si>
    <t>Developer of a behavioral lending platform designed to determine creditworthiness with data. The company's platform uses machine learning to combine all the sources of data to generate groups of borrowers with similar personalities and identify better applicants, enabling financial institutions to make informed decisions and offer competitive financial products.</t>
  </si>
  <si>
    <t>Acronym Venture Capital, Alexandre Porto, Barak Kaufman, BDev Ventures, G2 Momentum Capital, Gautam Ivatury, GG Capital (Santiago), HTwenty Capital, Insight Partners ( Asheville), QC VENTURES</t>
  </si>
  <si>
    <t>www.quash.ai</t>
  </si>
  <si>
    <t>432926-11</t>
  </si>
  <si>
    <t>Cloud Credit</t>
  </si>
  <si>
    <t>Developer of a credit risk management platform for lenders. The company's product helps lenders analyse national credit data to screen borrowers and market loan products, enabling lenders to find more creditworthy customers.</t>
  </si>
  <si>
    <t>Zhejiang Daily Interactive Network Technology</t>
  </si>
  <si>
    <t>www.yunzhenxin.com</t>
  </si>
  <si>
    <t>501337-99</t>
  </si>
  <si>
    <t>Pastel</t>
  </si>
  <si>
    <t>Developer of an agentic AI banking software platform designed to automate high-stakes operational and compliance workflows for financial institutions. The company offers specialized AI agents for customer onboarding, customer due diligence, fraud detection, anti-money laundering investigations, and executive-level insights, enabling banks and financial institutions to convert fragmented data into real-time intelligence for improved risk oversight, regulatory adherence, and informed decision-making.</t>
  </si>
  <si>
    <t>DFS Lab, Everywhere Ventures, Global Founders Capital, Golden Palm Investments, Google Accelerator, Plug and Play Tech Center, Soma Capital, The MBA Fund, Tribe Capital, Ulu Ventures</t>
  </si>
  <si>
    <t>pastelhq.ai</t>
  </si>
  <si>
    <t>125836-57</t>
  </si>
  <si>
    <t>Lita.co</t>
  </si>
  <si>
    <t>Operator of an equity investment and crowdfunding platform intended for impact investing in sustainable projects. The company's platform allows retail and professional investors to fund start-ups and small and medium enterprises, enabling investors with an avenue to invest surplus funds and helping companies in need of funding to raise capital in a convenient and hassle-free manner.</t>
  </si>
  <si>
    <t>Abeille Impact Investing France, Anastasia Charalampopoulos, Angelor, Antropia, Inco Ventures, Mirova, PhiTrust Impact Investors, PULSE GroupeSOS, Sycomore Asset Management</t>
  </si>
  <si>
    <t>www.lita.co</t>
  </si>
  <si>
    <t>174070-63</t>
  </si>
  <si>
    <t>Barion</t>
  </si>
  <si>
    <t>B2B Payments, FinTech, Mobile Commerce, SaaS</t>
  </si>
  <si>
    <t>Operator of a digital financial gateway platform intended to provide electronic payment services. The company's platform facilitates transactions online directly from cards eliminating the need for registration or top-up activity in exchange for gathering payment details to manage transactions and gain insights with minimal effort through analytics, and integration with various e-commerce platforms, enabling individuals and businesses to make card payments securely.</t>
  </si>
  <si>
    <t>Dániel Nemes, Financial Services Capital, Home Credit Group, Pecsenye Roland, Purple Ventures (Brno)</t>
  </si>
  <si>
    <t>www.barion.com</t>
  </si>
  <si>
    <t>338652-01</t>
  </si>
  <si>
    <t>CreditLogic</t>
  </si>
  <si>
    <t>Developer of a digital lending platform designed to facilitate the mortgage application process. The company's platform leverages open banking, artificial intelligence and analytics to streamline application data capture and validation for loan origination by integrating data flow between application, advisor, and lender, enabling banks to offer a digitally enabled customer experience whilst automating the application processing.</t>
  </si>
  <si>
    <t>Barry Maloney, Churchtown Investments, Cloth Fair Point Capital, David Roche, Enterprise Ireland, Horizon 2020, Martin Scott, The Riverside Company</t>
  </si>
  <si>
    <t>www.creditlogic.com</t>
  </si>
  <si>
    <t>462486-16</t>
  </si>
  <si>
    <t>Interprice Technologies</t>
  </si>
  <si>
    <t>Developer of a financial platform designed to simplify the complex world of capital markets for all players involved. The company's platform provides an extensive suite of analytics that empowers organizations to determine optimal financing strategies and organized record-keeping, enabling corporate finance teams to maximize performance and promote better financial outcomes.</t>
  </si>
  <si>
    <t>Bowery Capital, Chaos Ventures (New York), Daniel Fine, Dash Fund, Drew Moffitt, DRW Venture Capital, James Conigliaro, Kube VC, Nasdaq Ventures, Operator Partners</t>
  </si>
  <si>
    <t>www.interpricetech.com</t>
  </si>
  <si>
    <t>467268-31</t>
  </si>
  <si>
    <t>MoneyHash</t>
  </si>
  <si>
    <t>Operator of a payment orchestration platform intended to help businesses simplify their payment processes. The company's product includes a unified application programming interface (API) to integrate pay-in and pay-out rails, a customizable checkout experience, transaction routing capabilities with fraud failure rate optimizers, and a centralized transaction reporting hub, enabling customers to increase success rates, accept a wide range of payment methods, and gain a centralized reporting dashboard.</t>
  </si>
  <si>
    <t>AB Xelerate, Belvo Tintore, Chime Financial, COTU Ventures, Dubai Future District Fund, EMURGO Kepple Ventures, Fairmoney Microfinance Bank, Feras Jalbout, FirstCheck Africa, Flourish Ventures, Flutterwave, Future100, Hussein Elkheshen, Jad Antoun, Jake Gibson, Janus Ventures, Jason Gardner, Kepple Africa Ventures, Lofty Ventures, LoftyInc Capital Management, Neon ( Financial Services), Nuwa Capital, Plug and Play Tech Center, RZM Investment, Sukna Ventures, The Continent Venture Partners, Thomas Preston-Werner, Tim Chen, Tofino Capital, VentureFriends, Ventures Platform, VentureSouq, Visa Accelerator, Vision Ventures (Saudi Arabia)</t>
  </si>
  <si>
    <t>www.moneyhash.io</t>
  </si>
  <si>
    <t>183370-33</t>
  </si>
  <si>
    <t>Rialto Markets</t>
  </si>
  <si>
    <t>Artificial Intelligence &amp; Machine Learning, Big Data, Cryptocurrency/Blockchain, FinTech, TMT</t>
  </si>
  <si>
    <t>Developer of digital trading and investing platform designed to offer new capital formation opportunities for issuers, investors, and traders. The company's platform combines pre-trade analytics, anonymous crossing, and advanced data mining through a search engine with customized parameters, enabling traders and investors to discreetly buy and sell large block positions with mitigated market impact.</t>
  </si>
  <si>
    <t>Global Blockchain Ventures, Human Capital Development, Inveniam Capital Partners, MassChallenge</t>
  </si>
  <si>
    <t>www.rialtomarkets.com</t>
  </si>
  <si>
    <t>560890-27</t>
  </si>
  <si>
    <t>Finfactor Technologies</t>
  </si>
  <si>
    <t>Developer of an account aggregator connectivity and data analytics software platform designed to support financial institutions. The company's platform offers multi-account aggregator connectivity, real-time dashboards, automated workflows, billing and usage metrics, consent and fair-use rule handling, enabling banks, lenders, and other financial institutions to automate data access, monitor activity, and improve decision-making across personal finance, wealth management, insider trading, loan underwriting, and collections use cases.</t>
  </si>
  <si>
    <t>DMI Finance, IIFL Capital Services, IIFL Finance, Konark Trust, MMPL Trust, Sparkle Fund, Varanium Capital Advisors, WestBridge Capital (San Mateo)</t>
  </si>
  <si>
    <t>finfactor.ai</t>
  </si>
  <si>
    <t>533339-29</t>
  </si>
  <si>
    <t>Monark Markets</t>
  </si>
  <si>
    <t>Developer of API infrastructure for private market investments designed to enable brokerages, advisory platforms, and clearing firms to offer alternative assets. The company's platform provides primary offerings API for subscription flows, document handling, and investor onboarding, secondary trading API for real-time order routing, executions, and settlement, compliance for embedded KYC, AML, and investor suitability checks, and market data for live asset-level data, enabling broker dealers, wealth platforms, RIAs, issuers, secondary sellers, clearing firms, and custodians to embed private markets access including pre-IPO companies, real estate, and private credit with automated compliance, seamless trade lifecycle management.</t>
  </si>
  <si>
    <t>Actions Capital, BBAE, Commerce Ventures, Forum Ventures, F-Prime Capital, Garuda, Grit Capital Partners, Niche Capital, Night Capital, Nik Talreja, Right Side Capital Management, Shriram Bhashyam, Tampa Bay Wave</t>
  </si>
  <si>
    <t>www.monark-markets.com</t>
  </si>
  <si>
    <t>186661-18</t>
  </si>
  <si>
    <t>Countingup</t>
  </si>
  <si>
    <t>Developer of an accounting software designed to simplify the life of sole traders by reinventing the business bank account. The company's software is building the technology to underpin the machine automation of running a small business, including automating the finances, bookkeeping, accounting, and tax, such that a human is not required, enabling businesses to get everything they want in one software to run their organization.</t>
  </si>
  <si>
    <t>AltaIR Capital, Andy Chung, Benjamin Grol, Charles Delingpole, Daniel Gandesha, Framework Venture Partners, Frontline Ventures, Gresham House Ventures, ING Ventures, JamJar Investments, Laurent Laffy, Molten Ventures, Philipp Moehring, Sage Group, Start Ventures, Thomas Olszewski, Tiny Supercomputer Investment Company, Triple Point</t>
  </si>
  <si>
    <t>www.countingup.com</t>
  </si>
  <si>
    <t>104179-60</t>
  </si>
  <si>
    <t>Stockspot</t>
  </si>
  <si>
    <t>Operator of a digital investment adviser platform intended to offer expert investment and portfolio management advice. The company's platform provides a complete investment profile about the user's circumstances, helps to select the right strategy for investing in a diversified portfolio and select the right mix of assets, and guides about ongoing monitoring and rebalancing of their portfolio, enabling investors to invest in a professionally managed portfolio of global investments transparently without the problem of high fees.</t>
  </si>
  <si>
    <t>Mirae Asset Global Investments</t>
  </si>
  <si>
    <t>www.stockspot.com.au</t>
  </si>
  <si>
    <t>433943-02</t>
  </si>
  <si>
    <t>Aavenir</t>
  </si>
  <si>
    <t>Developer of a source-to-pay platform designed to offer contract lifecycle management and procurement management services. The company's platform uses machine learning and natural language processing to provide data-driven insights for step-by-step assistance to complete tasks in the contract lifecycle management process and accounts payable automation, enabling clients to achieve efficiency in sourcing, procurement, and contracting processes.</t>
  </si>
  <si>
    <t>Accel, Gaingels, Riverside Ventures, ScOp Venture Capital</t>
  </si>
  <si>
    <t>www.aavenir.com</t>
  </si>
  <si>
    <t>497447-92</t>
  </si>
  <si>
    <t>Advisor.com</t>
  </si>
  <si>
    <t>Operator of an advisory firm intended to offer financial advice as well as funding. The company offers financial planning and guidance to help users plan, save, and invest more wisely, enabling people to make informed financial decisions and build financial wellness.</t>
  </si>
  <si>
    <t>James Brown, Walkabout Ventures</t>
  </si>
  <si>
    <t>www.advisor.com</t>
  </si>
  <si>
    <t>170150-59</t>
  </si>
  <si>
    <t>AIM (Seoul)</t>
  </si>
  <si>
    <t>Developer of an artificial intelligence-powered application designed to be used for stock trading and investments via a smartphone. The company's application provides financial insights in real-time on the economy and its subsequent effects on investments and the stock market, enabling users to manage their wealth efficiently.</t>
  </si>
  <si>
    <t>DT &amp; Investment, ERA Global, Google Accelerator, iM Investment Partners, Seoul Business Agency, Shinhan Futures Lab, Startupbootcamp Holding</t>
  </si>
  <si>
    <t>www.getaim.co</t>
  </si>
  <si>
    <t>115371-64</t>
  </si>
  <si>
    <t>Checkbook</t>
  </si>
  <si>
    <t>Developer of a push payments platform intended to transmit funds in real-time without the need for recipients. The company's platform facilitates real-time money transfers to businesses and individuals as well as offers information on instant delivery, online deposit, and next-day settlement, enabling businesses to send and receive digital checks easily.</t>
  </si>
  <si>
    <t>Aaron Gathmann, Boost VC, Cross River Digital Ventures, David Hellman, Ecosystem Ventures, Finnovate (Private Equity), Hero City at Draper University, IA Capital Group, iValley Innovation Center, Jeremy Stephan, JP Morgan Chase, MassMutual Ventures, Naval Ravikant, Nils Greßler, Plug and Play Tech Center, Pramod Rustagi, Rocketship.vc, Sean Bill, Timothy Draper</t>
  </si>
  <si>
    <t>www.checkbook.io</t>
  </si>
  <si>
    <t>533147-86</t>
  </si>
  <si>
    <t>Layer Financial Technologies</t>
  </si>
  <si>
    <t>Developer of an embedded accounting software designed to help software companies launch accounting and bookkeeping products for small and medium-sized businesses. The company's software offers a full suite of accounting functionality, including automated bookkeeping, cash flow insights, tax-ready financials and a general ledger, enabling clients to handle the complexities of accounting rules and focus on running their business.</t>
  </si>
  <si>
    <t>Better Tomorrow Ventures, Emergence Equity Management</t>
  </si>
  <si>
    <t>www.layerfi.com</t>
  </si>
  <si>
    <t>527205-34</t>
  </si>
  <si>
    <t>LevPro</t>
  </si>
  <si>
    <t>Developer of an AI platform designed to streamline leveraged credit business processes for modern investment teams. The company offers collaboration, artificial intelligence, and automation with sourcing CRM, pipeline tools, deal underwriting and monitoring, enabling professionals to work more efficiently and increase workflow in a market still burdened by clunky and outdated systems.</t>
  </si>
  <si>
    <t>www.levpro.ai</t>
  </si>
  <si>
    <t>491088-70</t>
  </si>
  <si>
    <t>Navix (Financial Software)</t>
  </si>
  <si>
    <t>Developer of a vertical AI (artificial intelligence)-powered order-to-cash platform designed to streamline and automate revenue lifecycle operations for logistics companies. The company offers a unified workflow integrating transportation management, accounting, and payments with domain-specific automation for error detection and exception handling, enabling logistics companies including brokers and third-party logistics providers, to accelerate invoicing, improve cash flow visibility, and reduce operational inefficiencies.</t>
  </si>
  <si>
    <t>Robey Estes, Tommy Barnes, Venture 53</t>
  </si>
  <si>
    <t>www.navix.io</t>
  </si>
  <si>
    <t>500619-88</t>
  </si>
  <si>
    <t>Skydo</t>
  </si>
  <si>
    <t>Developer of a payment platform designed to receive payments from overseas businesses. The company offers a platform to receive international payments with real-time payment tracking, receiving or sending business-to-business payments hassle-free, and also helps reduce forex charges for businesses, enabling small businesses and freelancers to accept payments from outside India.</t>
  </si>
  <si>
    <t>Better Capital (California), Elevation Capital (India), Eximius Ventures, Operators Studio, Pritesh Gupta, Sanat Rao, SIG Venture Capital, Speciale Invest, Susquehanna</t>
  </si>
  <si>
    <t>www.skydo.com</t>
  </si>
  <si>
    <t>510489-10</t>
  </si>
  <si>
    <t>Verisoul</t>
  </si>
  <si>
    <t>Developer of digital identity and fraud prevention technology designed for the detection and mitigation of fake accounts, bots, and fraudulent activities. The company offers features such as multi-fingerprint account matching, real-time user network visualization, email and phone validation, advanced device and behavior analysis, detection of anonymized connections, and rapid identity verification, enabling online businesses and platforms to automate fraud detection, reduce false positives, and maintain high-quality user bases with minimal engineering effort.</t>
  </si>
  <si>
    <t>500 Global, Bain &amp; Company, BITKRAFT Ventures Management, Hashkey Capital, High Alpha, King River Capital, Lookout Ventures, Michael Monovoukas, Monoceros Ventures, Tampa Bay Wave, Third Prime</t>
  </si>
  <si>
    <t>www.verisoul.ai</t>
  </si>
  <si>
    <t>454676-95</t>
  </si>
  <si>
    <t>Junio</t>
  </si>
  <si>
    <t>Developer of a smart card designed to digitize pocket money for children. The company offers smart cards and a digital platform that allows instant transfer of pocket money from parents to their children, and children can use these smart cards as regular automated teller machine cards to shop online and at physical stores, enabling children to learn financial discipline, manage expenses independently, and grow into financially responsible adults.</t>
  </si>
  <si>
    <t>Abhishek Mittal, Aeroflex Enterprises, AIC Shiksha Infotech Foundation Incubation Center, Amit Jindal, Amit Lakhotia, Ashneer Grover, Astir Ventures, Deepak Abbot, First Cheque, Hemanshu Jain, Kunal Shah, NB Ventures, Pravin Jadhav, Qi Ventures, Rajiv Dadlani Group, Sprint VC, Superb Capital, Udtara Ventures, Venture Catalysts (Capital Markets/Institutions), Yashish Dahiya</t>
  </si>
  <si>
    <t>www.junio.in</t>
  </si>
  <si>
    <t>594179-65</t>
  </si>
  <si>
    <t>AgentSmyth</t>
  </si>
  <si>
    <t>Developer of an autonomous artificial intelligence-powered financial analysis platform designed to provide institutional investors with real-time market insights. The company's platform offers a suite of artificial intelligence agents that analyze macro trends, sentiment, technical indicators, and earnings, enabling financial professionals to make informed investment decisions with speed, accuracy, and efficiency.</t>
  </si>
  <si>
    <t>Bank of New York Mellon, Craig Milias, FinTech Collective, Michael Rafferty, Systemic Ventures, Thomson Reuters Ventures</t>
  </si>
  <si>
    <t>www.agentsmyth.com</t>
  </si>
  <si>
    <t>466195-42</t>
  </si>
  <si>
    <t>Geniusto</t>
  </si>
  <si>
    <t>Developer of a digital-first banking and fintech platform designed to empower clients digitally across the globe to carry out their transactions. The company helps clients to increase transaction volumes, bring all channels together, expand digital reach, and give customers access to products and services anytime, enabling clients to improve their retail and business banking.</t>
  </si>
  <si>
    <t>www.geniusto.com</t>
  </si>
  <si>
    <t>464420-44</t>
  </si>
  <si>
    <t>Upside (London)</t>
  </si>
  <si>
    <t>Operator of a financial technology platform intended to provide an alternative investment way for everyone to begin their investment journey. The company uses machine learning and a hedge fund-originated algorithm to provide real-time feedback and insights, allowing investors to create portfolios of stocks that suit them, enabling new investors to create their investment strategies.</t>
  </si>
  <si>
    <t>www.upsidetechnology.co</t>
  </si>
  <si>
    <t>482332-96</t>
  </si>
  <si>
    <t>JustiFi</t>
  </si>
  <si>
    <t>Developer of a payment system designed to provide end-to-end payment processing to customers. The company utilizes an AI-powered embedded payments system to qualify, route, and optimize each transaction to lower the effective rate for business customers, enabling organizations to reduce charges on financial transactions and enhancing the ability to participate in the economics of funds flow.</t>
  </si>
  <si>
    <t>Crosslink Capital, Emergence Equity Management, Rally Ventures</t>
  </si>
  <si>
    <t>www.justifi.ai</t>
  </si>
  <si>
    <t>490661-02</t>
  </si>
  <si>
    <t>Duplo</t>
  </si>
  <si>
    <t>Developer of a financial technology platform designed to offer payments for business-to-business companies in Africa. The company's platform automates the payment inflow, reconciles at scale, automates mass payouts, and controls the efficiency of the team, enabling businesses to collect and attribute cashless payments, perform all their payment operations needs, and also offer financial services to their customers.</t>
  </si>
  <si>
    <t>10X Capital, Abdulhamid Hassan, Alumni Ventures, Basecamp Fund, BBQ Capital, Chestnut Street Ventures, Commerce Ventures, Gaingels, Globivest, Hacklegacy, Liquid 2 Ventures, Liyuan Venture Capital, Manta Capital Advisors, MyAsiaVC, Nama Ventures, Nkechi Iregbulem, Olugbenga Agboola, Oui Capital, Pioneer Fund, Point Nine Capital, Resilience17, Rogue Capital, Soma Capital, Start Path, Tribe Capital, Vastly Valuable Ventures, Vibe Cap, Wayfinder Ventures, Y Combinator, YADAY</t>
  </si>
  <si>
    <t>www.tryduplo.com</t>
  </si>
  <si>
    <t>481175-20</t>
  </si>
  <si>
    <t>Sókn Engineering</t>
  </si>
  <si>
    <t>Artificial Intelligence &amp; Machine Learning, Big Data, FinTech, Oil &amp; Gas</t>
  </si>
  <si>
    <t>Operator of a learning company intended to develop mathematical algorithms for financial technology. The company offers a comprehensive vector forecasting system comprised of proprietary math, a trade management system, a firewall, standards, and rules, enabling fintech sectors to predict financial behavior accurately and consistently.</t>
  </si>
  <si>
    <t>soknengineering.com</t>
  </si>
  <si>
    <t>61719-31</t>
  </si>
  <si>
    <t>JustUs</t>
  </si>
  <si>
    <t>Developer of a peer-to-peer lending platform designed to provide a range of consumer mortgages and loans. The company's platform provides money to those currently excluded from a fair service whilst delivering savers' interest rates on their savings via FCA-regulated mortgage brokers, enabling users to avail of loans at affordable rates and take control of their finances.</t>
  </si>
  <si>
    <t>David Newns, Epiphany Capital, Funding Circle Holdings, Government of UK, GuanQun Investment, Manchester Venture Partners, P2PMoney, Sajid Rahman, The Garage Soho, Thomas Adalbert, Thomas Teichman, Zopa</t>
  </si>
  <si>
    <t>www.justus.co</t>
  </si>
  <si>
    <t>161645-59</t>
  </si>
  <si>
    <t>Now</t>
  </si>
  <si>
    <t>Developer of an invoice payment platform designed to provide access to capital, commerce, and customer opportunities for diverse businesses of all sizes. The company's platform remits payments to businesses immediately against invoices while allowing customers the flexibility to pay later, enabling clients to reduce the pain of waiting on invoice payments from customers and have easy access to working capital.</t>
  </si>
  <si>
    <t>Brigade Capital Management, Cresset (Chicago), Ellis Capital, Virgo Investment Group</t>
  </si>
  <si>
    <t>www.nowcorp.com</t>
  </si>
  <si>
    <t>494857-63</t>
  </si>
  <si>
    <t>All Gravy</t>
  </si>
  <si>
    <t>Developer of an employee engagement and workforce management platform intended to support frontline teams in hospitality and retail. The company's platform combines an AI-powered employee application with communications tools, learning management capabilities, and operational workflows, enabling multi-location employers to centralize chat, onboarding, training, shift-related processes, knowledge access, and HR queries while integrating with existing HR and payroll systems, improving compliance tracking, data visibility, staff autonomy, and employee retention.</t>
  </si>
  <si>
    <t>Adam Lasri, Alexander Aghassipour, Andreas Helbig, Bradley Horowitz, Caroline Hjelm, Dan Winn, Denmark's Export and Investment Fund, Dorte Bregnhøj, Edge Investments (UK), Evgenii Kondratev, Founders, Fredrik Hjelm, Guillaume Durao, Hersir Ventures, Jeppe Rindom, Lasse Madsen, Likeminded.vc, Lysgaard, Mads Viktor, Moonfire, Phillip Chambers, Scale Capital, Steffen Frølund, Terese Hougaard, Upfin Management</t>
  </si>
  <si>
    <t>www.allgravy.com</t>
  </si>
  <si>
    <t>846525-70</t>
  </si>
  <si>
    <t>Velocity (Financial Software)</t>
  </si>
  <si>
    <t>Developer of a unified capital management platform designed to simplify and enhance financial operations in a multi-asset world. The company offers a cloud-based payments and treasury management platform with stablecoin transaction processing, payment orchestration, fund settlement, and banking integration capabilities, enabling enterprises to move and manage funds across financial networks with improved operational control and visibility.</t>
  </si>
  <si>
    <t>Activant Capital, BCW Ventures, Capital One Ventures, Coinbase Global, Commerce Ventures, Digital Space Ventures, Dragonfly Capital (San Francisco), Fabric Ventures, FirstMark Capital, Fuel Ventures, MNL Nominees, NextBlock VC, Preface Ventures, QED Investors, Ripple, Scout Fund, Triton Capital, Wintermute</t>
  </si>
  <si>
    <t>www.velocity.xyz</t>
  </si>
  <si>
    <t>154271-62</t>
  </si>
  <si>
    <t>MoneyMatch</t>
  </si>
  <si>
    <t>Developer of a digital financial platform designed to facilitate secure international money transfers. The company's platform offers a community-based payment transfer system that allows users to exchange money globally at an affordable processing fee and exchange rates, enabling users to conduct financial transactions in a secure manner.</t>
  </si>
  <si>
    <t>Azran Osman-Rani, Cerana Capital, Cradle Seed Ventures, KAF Investment Bank, Malaysian Technology Development Corporation, Outlander VC, Pitch Nominees, TH Capital (Malaysia)</t>
  </si>
  <si>
    <t>transfer.moneymatch.co</t>
  </si>
  <si>
    <t>161880-49</t>
  </si>
  <si>
    <t>Zone (Financial Software)</t>
  </si>
  <si>
    <t>Operator of a payment infrastructure company intended to enable payments and issuance of digital currencies. The company's layer-1 blockchain digitizes fiat payments and enables the transition to digital currencies, helping participating institutions to connect directly with each other and perform payment transactions without an intermediary while completely automating settlement, reconciliation, and dispute management.</t>
  </si>
  <si>
    <t>Alter Global, Capria Ventures, CardinalStone Capital Advisers, Constant Capital (Ghana), Constant Ventures, Digital Currency Group, EMURGO Kepple Ventures, Endeavor Catalyst, Flourish Ventures, Google Accelerator, GreenHouse Capital, Lateral Frontiers VC, Timon Capital, TLcom Capital, Tofino Capital, Unicorn Growth Capital, V8 Capital Partners, Verod-Kepple Africa Ventures</t>
  </si>
  <si>
    <t>zonenetwork.com</t>
  </si>
  <si>
    <t>503104-60</t>
  </si>
  <si>
    <t>Bluecopa</t>
  </si>
  <si>
    <t>Developer of a real-time finance observability and operations automation platform designed for data analysis and management. The company's platform offers collaborative business partnering, self-serve reporting, data analytics, data reporting, process automation, workflow, and smart collaboration, enabling users with access to financial data and empowering them to focus on strategic finance.</t>
  </si>
  <si>
    <t>Aeroflex Enterprises, Alphatron Capital, Amplify Capital, Analog Capital, Asad Khan, Bharat Founders Fund, Blume Venture Advisors, Dallas Venture Capital, Force Ventures (India), Jay Singh, Krish Subramanian, Mayank Bhola, Rajaraman Santhanam, Relentless VC (India), Rohit Chennamaneni, SN Damani, StartupLift (India), T2D3 Capital, Titan Capital, Venture Catalysts</t>
  </si>
  <si>
    <t>www.bluecopa.com</t>
  </si>
  <si>
    <t>432781-93</t>
  </si>
  <si>
    <t>Braid (Financial Services)</t>
  </si>
  <si>
    <t>Developer of a shared financial coordination software designed to create flexible group accounts for shared spending. The company's platform customizes groups by setting permissions and spending capitals and offers a flexible card to spend out of the pooled funds without switching banks, enabling users to have transparent and secure spending.</t>
  </si>
  <si>
    <t>www.braid.co</t>
  </si>
  <si>
    <t>698782-87</t>
  </si>
  <si>
    <t>Change Captain</t>
  </si>
  <si>
    <t>Provider of software development activity tracking and tax documentation software designed for compliance purposes. The company's platform integrates with development tools to collect engineering activity and generate documentation, enabling companies to organize records and support research and development tax credit reporting.</t>
  </si>
  <si>
    <t>Peachscore</t>
  </si>
  <si>
    <t>www.coderoi.com</t>
  </si>
  <si>
    <t>437691-16</t>
  </si>
  <si>
    <t>Daylit</t>
  </si>
  <si>
    <t>Developer of an AI-based online lending platform intended to facilitate instant loan funding decisions for small and midsize businesses. The company's platform captures and standardizes small and medium-sized business profiles that include granular banking, accounting and operations data to promote instant funding decisions for merchants and build a critical infrastructure to improve market efficiency, enabling businesses to access funds quickly, improve margins, and focus on growth without equity dilution.</t>
  </si>
  <si>
    <t>7thirty Capital, BDev Ventures, Companyon Ventures, Fil Rouge Capital, NextView Ventures, Service Provider Capital, SixThirty Ventures</t>
  </si>
  <si>
    <t>www.daylit.com</t>
  </si>
  <si>
    <t>264557-98</t>
  </si>
  <si>
    <t>Finhabits</t>
  </si>
  <si>
    <t>Developer of an investment advisory application designed to offer financial services and education. The company's application monitors accounts daily, rebalances portfolios, and reinvests dividends as needed, and is based on advanced infrastructure, enabling users to plan retirement savings options and grow their money over time.</t>
  </si>
  <si>
    <t>Alinea Ventures, Audaz Capital, EXOR Seeds, Flight Partners Capital, Mentors Fund, Shuja Keen, The Social Entrepreneurs Fund, Tim Swindle, TTB Partners, W.R. Hambrecht + Co, Wormhole Capital</t>
  </si>
  <si>
    <t>www.finhabits.com</t>
  </si>
  <si>
    <t>501012-01</t>
  </si>
  <si>
    <t>Higlobe</t>
  </si>
  <si>
    <t>Developer of a payment platform designed to provide money transfer services. The company offers an account secured by blockchain, anti-money laundering, and fraud team services, and does not charge international money transfer fees, enabling non-US freelancers and companies to withdraw payments from their US-based clients quickly and easily, multiple times without any hidden costs or fees.</t>
  </si>
  <si>
    <t>Alumni Ventures, Battery Ventures, FJ Labs, Gokul Rajaram, New Enterprise Associates, Raptor Group, Reciprocal Ventures, TTV Capital</t>
  </si>
  <si>
    <t>www.higlobe.com</t>
  </si>
  <si>
    <t>483798-43</t>
  </si>
  <si>
    <t>Passport (Financial Software)</t>
  </si>
  <si>
    <t>Developer of an open banking platform intended to facilitate partnership services for banks. The company's platform allows financial institutions to securely and intuitively share data with third parties wishing to launch financial products and partners to collaborate so new propositions can be launched in a timely and resource-effective manner, allowing banks and financial institutions to collaborate with brands and companies.</t>
  </si>
  <si>
    <t>10X Capital, Alumni Ventures, Calm Ventures, Experian Ventures, Gaingels, Iluminar Ventures, LEAP Global Partners, Rally Cap VC</t>
  </si>
  <si>
    <t>www.passportfintech.com</t>
  </si>
  <si>
    <t>588597-04</t>
  </si>
  <si>
    <t>Thrive Financial</t>
  </si>
  <si>
    <t>Developer of a modern technology platform designed to transform indirect lending into lasting and deep direct relationships between merchants, consumers, and financial institutions. The company's platform offers credit coverage with a single application, paperless processes, flexible credit options, and integrations with merchant systems, enabling clients to access diverse financing with higher approval rates and simplified application experiences.</t>
  </si>
  <si>
    <t>1st &amp; Main Growth Partners, BlueSky Capital Management, Citi Ventures, Flintlock Capital, Motivate Venture Capital, Premier Franchise Management, Simplex Trading, Singh Capital Partners, Startup Virginia</t>
  </si>
  <si>
    <t>www.partnerwiththrive.com</t>
  </si>
  <si>
    <t>493234-66</t>
  </si>
  <si>
    <t>Willow Servicing</t>
  </si>
  <si>
    <t>Developer of mortgage servicing technology designed to automate financial operations and compliance. The company's software automates routine tasks, such as generating tax forms and reporting servicing transfers and other mortgage-related services, enabling borrowers to get visibility into the status of their indebtedness and control over their home and finances.</t>
  </si>
  <si>
    <t>Global Asset Capital, Thomvest Ventures, TMC Emerging Technology Fund, Webb Investment Network, Zigg Capital</t>
  </si>
  <si>
    <t>www.willowservicing.com</t>
  </si>
  <si>
    <t>434704-60</t>
  </si>
  <si>
    <t>Mintago</t>
  </si>
  <si>
    <t>Developer of a business-to-business and customer financial well-being platform designed to improve the pensions and financial health of employees. The company's platform is designed to seamlessly integrate into people's lives and help create opportunities to make informed decisions based on unbiased education and financial tools, enabling employees to ease financial stress and businesses to improve performance through productivity.</t>
  </si>
  <si>
    <t>Andrew Webster, Black Lion Ventures, Cur8 Capital, Figure Eight Investments, Greenlights Capital, Guinness Ventures, Horseplay Ventures, Innovate UK, Love Ventures, Matthew Epps, Nicholas Telson, Rahul Chaudhary, Redbus Ventures, Robert Matthams, Sean Williams, Seed X Liechtenstein, SyndicateRoom, The User Syndicate, TrueSight Ventures, United First Partners, Velocity Capital Advisors</t>
  </si>
  <si>
    <t>www.mintago.com</t>
  </si>
  <si>
    <t>129979-63</t>
  </si>
  <si>
    <t>DiligenceVault</t>
  </si>
  <si>
    <t>Developer of a digital diligence platform intended to transform, streamline, and automate the due diligence processes. The company's platform helps investors, allocators, and asset managers eliminate manual repetitive tasks and assists teams in managing their data, enabling clients to digitize and automate their diligence processes and significantly reduce their time to analyze data.</t>
  </si>
  <si>
    <t>FinTech Sandbox, Goldman Sachs Growth Equity, L Marks</t>
  </si>
  <si>
    <t>www.diligencevault.com</t>
  </si>
  <si>
    <t>96730-03</t>
  </si>
  <si>
    <t>Soft Space</t>
  </si>
  <si>
    <t>Developer of a payments infrastructure platform designed to simplify digital payment operations and embedded finance services for financial and non-financial institutions. The company offers software-based point of sale technology, mobile payment acceptance tools, white-label acquiring services, issuing capabilities, and integrated payment infrastructure, enabling financial institutions and businesses to expand digital payment services and embedded finance offerings.</t>
  </si>
  <si>
    <t>Hokkoku Bank, IdeaRiverRun, JCB International, KB Investment, Malaysian Investment Development Authority, QR Investment, RHL Ventures, Southern Capital Group, Sumitomo Mitsui Financial Group, Transcosmos, Vincent Lee</t>
  </si>
  <si>
    <t>www.softspace.com.my</t>
  </si>
  <si>
    <t>188041-24</t>
  </si>
  <si>
    <t>Manager.one</t>
  </si>
  <si>
    <t>Developer of an online banking platform designed to provide alternative banking and financial management services. The company's platform facilitates efficient and secure banking services, which include simplified accounting, user management, consulting banking operations, and a business card, enabling users to make no-commission payments online.</t>
  </si>
  <si>
    <t>Alain Krzentowski, Claude Berda, Didier Rosenberg, Financière Saint James, Jean-Pierre Valentini, Laurent Dassault, Michael Benabou, The Martek Group</t>
  </si>
  <si>
    <t>www.manager.one</t>
  </si>
  <si>
    <t>119258-56</t>
  </si>
  <si>
    <t>Ödeal</t>
  </si>
  <si>
    <t>Operator of a payment system company intended to simplify and secure payment acceptance for businesses of all sizes. The company offers traditional point-of-sale systems, mobile point-of-sale systems, self-service point-of-sale systems, and e-commerce payment processing, enabling businesses to securely accept payments from their customers.</t>
  </si>
  <si>
    <t>Etohum, Finberg, ITU ARI Teknokent, Sankonline, SPG Holdings, Startup Istanbul, Teya, Turkey Development Fund</t>
  </si>
  <si>
    <t>www.odeal.com</t>
  </si>
  <si>
    <t>438912-82</t>
  </si>
  <si>
    <t>Continuity</t>
  </si>
  <si>
    <t>Developer of an underwriting platform designed to detect insurance contracts that are either outdated or invalid. The company's platform combines artificial intelligence and open data to analyze data at scale and provide a full view, enabling insurers to guarantee that each company is properly covered at each step of its existence.</t>
  </si>
  <si>
    <t>115K, Bpifrance, Elaia Partners, Kamet Ventures, Possible Ventures</t>
  </si>
  <si>
    <t>www.continuity-tech.ai</t>
  </si>
  <si>
    <t>466914-61</t>
  </si>
  <si>
    <t>bookkeep</t>
  </si>
  <si>
    <t>Developer of accounting automation software designed for streamlined bookkeeping processes. The company's platform integrates with various POS systems, providing daily accrual-based summaries, balance reconciliation, and automated sales tax filings, enabling businesses to maintain accurate financial records, reduce manual entry errors, and ensure compliance with financial regulations.</t>
  </si>
  <si>
    <t>Argonautic Ventures, Big Red Ventures, Correlation Ventures, Fin Capital, Haymaker Ventures, Lerer Hippeau, TTV Capital</t>
  </si>
  <si>
    <t>www.bookkeep.com</t>
  </si>
  <si>
    <t>98506-72</t>
  </si>
  <si>
    <t>Sungage Financial</t>
  </si>
  <si>
    <t>Provider of financial services intended for solar energy projects. The company provides market-leading financing products that integrate smoothly into the sales process, providing a seamless experience for both solar professionals and homeowners, enabling the solar energy market to access affordable and efficient financing options.</t>
  </si>
  <si>
    <t>NBT Bancorp, Skyview Ventures, Solar Holdings, Sunshot Incubator Program, U.S. Department of Energy</t>
  </si>
  <si>
    <t>www.sungage.com</t>
  </si>
  <si>
    <t>229041-19</t>
  </si>
  <si>
    <t>Joko</t>
  </si>
  <si>
    <t>Developer of a shopping rewards and financial management application designed to help consumers save time and money. The company develops a mobile application and browser extension that offers cash back, automatic coupon application, price tracking, and buy now pay later services, enabling users to optimize their shopping budgets and manage loyalty programs across thousands of brands.</t>
  </si>
  <si>
    <t>Alpha Protocol Ventures, Axeleo Capital, Hedosophia, Hi Inov, Motier Ventures, Partech</t>
  </si>
  <si>
    <t>home.joko.com</t>
  </si>
  <si>
    <t>267695-74</t>
  </si>
  <si>
    <t>Arturo</t>
  </si>
  <si>
    <t>Artificial Intelligence &amp; Machine Learning, Big Data, FinTech, InsurTech, SaaS, TMT</t>
  </si>
  <si>
    <t>Developer of an enterprise platform designed to deliver physical property characteristics and predictive analysis. The company's tool provides customers with deep-learning-powered structured data observations and predictions for residential and commercial properties generated from satellite, aerial, and ground-level imagery, along with other data sources, enabling businesses to get access to accurate measurement and predictive data.</t>
  </si>
  <si>
    <t>American Family Insurance, American Family Ventures, Atlantic Bridge Capital, Crosslink Capital, Crosslink Ventures, Firemark Ventures, Plug and Play Tech Center, RPS Ventures</t>
  </si>
  <si>
    <t>www.arturo.ai</t>
  </si>
  <si>
    <t>443018-53</t>
  </si>
  <si>
    <t>CapConnect+</t>
  </si>
  <si>
    <t>Developer of a centralized, intuitive platform intended to optimize offerings for investors and streamlining dealer operations for enhanced productivity. The company's platform simplifies deal initiation and book building with instant rules-based allocations and straight-through processing to deliver a dramatically simplified deal day, enabling issuers and help with corporate bond issuance, dealers and investors to bring simplicity and transparency to the fixed income markets and digitize the investment process.</t>
  </si>
  <si>
    <t>Aleka Capital, Asymmetry Ventures, Band of Angels, BAT VC, Draper Associates, Draper Dragon, Fusion Fund, Hourglass Capital (California), Impact Venture Capital, Realm Capital Ventures, Ulu Ventures</t>
  </si>
  <si>
    <t>www.capconnectplus.com</t>
  </si>
  <si>
    <t>179122-87</t>
  </si>
  <si>
    <t>YouWorld</t>
  </si>
  <si>
    <t>Developer of an online payment platform designed to connect global shoppers via mobile wallets. The company's platform offers native payment methods and currency via gift cards and helps in the transformation of e-gift cards into payment rails, so retailers can accept mobile payments with no integrations or workflow changes, enabling customers to receive points or cashback on purchases.</t>
  </si>
  <si>
    <t>GSR United Capital, Hi2 Global, Kunnuo Tianqin Venture Capital, Milestone Partners (Los Angeles), NewDo Venture, NewGen Venture Partners, PreAngel, RRE Ventures, Skyview Capital, Taihill Venture, TSV Capital (Los Altos), UpHonest Capital, Wang Leo, Wei Guo, Wisemont Capital</t>
  </si>
  <si>
    <t>www.you.world</t>
  </si>
  <si>
    <t>432585-73</t>
  </si>
  <si>
    <t>Frankieone</t>
  </si>
  <si>
    <t>Developer of an identity verification and fraud management platform designed to help businesses manage customer onboarding and regulatory compliance. The company offers configurable workflows, single API integration, identity verification, fraud detection, and compliance monitoring tools connected to global data providers, enabling financial institutions and digital businesses to manage KYC, KYB, AML, and fraud checks across the customer lifecycle.</t>
  </si>
  <si>
    <t>20VC, Airtree Ventures, Alan Tsen, Allen Clennar, Apex Capital (Portugal), Clearsign Capital, Davide de Picciotto, Expansion Capital, Func Ventures, Greycroft, Josh Liberman, Josh Liberman Investment Group, Kearny Jackson, Liberman Family Office, Mantis VC, QUAY Acceleration, Reinventure Group, Scalare Partners, The Chainsmokers, Thomas Blomfield, Tidal Ventures (Australia), Triton Capital (San Francisco), Vlad Tenev, YZi Labs</t>
  </si>
  <si>
    <t>www.frankieone.com</t>
  </si>
  <si>
    <t>462762-46</t>
  </si>
  <si>
    <t>Old Well Labs</t>
  </si>
  <si>
    <t>Developer of an investment intelligence platform intended to find, monitor, and connect with fund managers globally. The company's platform offers tools to track investments, monitor fund businesses, leverage global filings, and search for managers across asset classes, enabling clients to track portfolio changes, team changes, price moves, and much more.</t>
  </si>
  <si>
    <t>Brian Bares, Capital Allocators, Hammoud Ventures, Michael Elnick, Nellore Capital Management, Shubham Goel, Teamworthy Group, Ted Seides, TFJ Management, Thomas Elnick</t>
  </si>
  <si>
    <t>www.oldwell-labs.com</t>
  </si>
  <si>
    <t>290626-66</t>
  </si>
  <si>
    <t>Tomorrow (Commercial Banks)</t>
  </si>
  <si>
    <t>Operator of a financial platform designed to offer sustainability-focused digital banking services. The company's application offers round-the-clock mobile banking transactions through a secure portal, enabling customers to open current accounts and do financial transactions through their smartphones.</t>
  </si>
  <si>
    <t>Abacon Capital, AENU, Albert Büll Beteiligungsgesellschaft, Berlin Ventures, Christian Rebernik, ETF Partners, Georg Bader, Haltra Group, Innovationsstarter, kopa ventures, Matthias Willenbacher, Porsche Ventures, Revent, Rolf Schroemgens, Tejo Ventures, The Buller Family, Torben Schreiter</t>
  </si>
  <si>
    <t>www.tomorrow.one</t>
  </si>
  <si>
    <t>484494-76</t>
  </si>
  <si>
    <t>Axis (Financial Software)</t>
  </si>
  <si>
    <t>Developer of a mobile payment platform designed to provide a digital banking alternative for small businesses. The company's platform manages employee payroll and salary advances, as well as business payments to suppliers, contractors, and vendors, and allows them to send and receive money from any mobile wallet, enabling users to streamline payments through one platform.</t>
  </si>
  <si>
    <t>Al Mada Ventures, Digital Currency Group, Endeavor Catalyst, Everywhere Ventures, Firstminute Capital, Kara Ventures, Rally Cap VC, SANAD Fund, Sawari Ventures, Silverbacks Holdings, Suya Ventures, The Raba Partnership, Tiger Global Management, Two Culture Capital</t>
  </si>
  <si>
    <t>www.axisapp.com</t>
  </si>
  <si>
    <t>169028-56</t>
  </si>
  <si>
    <t>Cleafy</t>
  </si>
  <si>
    <t>Developer of network security software designed to protect online services against advanced attacks. The company's software protects enterprises and their websites from internet threats, online viruses, and phishing in real-time, enabling banks and fintech companies to monitor and assess the risk of application behaviors.</t>
  </si>
  <si>
    <t>28DIGITAL, eCAPITAL entrepreneurial Partners, Moviri, Polihub, United Ventures</t>
  </si>
  <si>
    <t>www.cleafy.com</t>
  </si>
  <si>
    <t>268221-25</t>
  </si>
  <si>
    <t>EasyMoney</t>
  </si>
  <si>
    <t>Developer of a peer-to-peer lending platform designed to offer returns on investments backed by property professionals. The company's platform offers an investment account that offers a rate of returns based on peer-to-peer investing in loans and debt backed by various properties, enabling investors to invest in a portfolio of loans with no fixed term and earn a rate of return.</t>
  </si>
  <si>
    <t>EFP Capital, Fifth Era Blockchain Coinvestors Fund Manager, Hillside Enterprises, Simsan Ventures</t>
  </si>
  <si>
    <t>www.easymoney.com</t>
  </si>
  <si>
    <t>471966-13</t>
  </si>
  <si>
    <t>Sedric</t>
  </si>
  <si>
    <t>Developer of risk and compliance platform designed to serve the fintech industry. The company's platform extracts deep NLU and contextual signals to ensure compliance, increase brand equity, and analyze customer interactions and communication channels, detects real-time complex signals of regulation and privacy violations and mitigates the risks to prevent them from escalating, enabling clients to reduce regulations threats and monitoring costs.</t>
  </si>
  <si>
    <t>Alon Shemesh, AMEX Ventures, Ata Gokyldrim, Deloitte Launchpad, Doron Alter, Foundation Capital, Gefen Capital, Hadas Yonas, Hardev Tumber, Homeward Ventures, James Kong, Joann Needleman, K20 Fund, Micha Breakstone, Omri Krigel, Secret Chord, Skywell Capital Partners, StageOne Ventures, The Garage (Israel), The Group Ventures</t>
  </si>
  <si>
    <t>www.sedric.ai</t>
  </si>
  <si>
    <t>236701-45</t>
  </si>
  <si>
    <t>Blend Network</t>
  </si>
  <si>
    <t>Operator of a real estate private credit platform intended to provide financing for property development and real estate projects. The company offers senior bridging loans, development finance, and a digital lending platform, enabling mid-market property professionals to access flexible real estate financing.</t>
  </si>
  <si>
    <t>Cyrus Ardalan, Jean-Phillipe Blochet, Maurice Levy, Nico Paraskevas</t>
  </si>
  <si>
    <t>www.blendnetwork.com</t>
  </si>
  <si>
    <t>167227-21</t>
  </si>
  <si>
    <t>MishiPay</t>
  </si>
  <si>
    <t>Developer of a fintech application designed to offer self-checkout technology. The company's application lets shoppers pick a product they wish to buy, scan the barcode, and automatically pay with their phone, enabling users to make secure cashless payments and save time by not waiting in queues.</t>
  </si>
  <si>
    <t>AMEX Ventures, Basel Area Business &amp; Innovation, Commerce Ventures, Endeavor Greece, Endeavor Heartland, Gruppo Bertoldi Holding, Gulaid Holding, Nauta Capital, SAP.iO, United Ventures</t>
  </si>
  <si>
    <t>www.mishipay.com</t>
  </si>
  <si>
    <t>444099-88</t>
  </si>
  <si>
    <t>CarPay-Diem</t>
  </si>
  <si>
    <t>Developer of a fueling and digital marketing platform designed to assist with fuel payments. The company integrates the platform into existing mobile applications from fuel retailers, other mobile applications, or connected vehicles, enabling fuel retailers and energy providers to engage drivers directly, improve customer experience, and increase site transactions.</t>
  </si>
  <si>
    <t>Edenred Group, Six Snow, Volkswagen Future Mobility Incubator, ZF Friedrichshafen, ZF Ventures</t>
  </si>
  <si>
    <t>www.carpay-diem.com</t>
  </si>
  <si>
    <t>234106-84</t>
  </si>
  <si>
    <t>Blaze (Business/Productivity Software)</t>
  </si>
  <si>
    <t>Artificial Intelligence &amp; Machine Learning, Cannabis, FinTech, SaaS</t>
  </si>
  <si>
    <t>Developer of cannabis operations and compliance software intended to keep track of the produce from the farm to the dispensary. The company's software provides the insights and ease of use needed to manage day-to-day operations across all licenses, enabling businesses to work efficiently while optimizing the customer experience.</t>
  </si>
  <si>
    <t>Act One Ventures, Delta Emerald Ventures, Soje Capital</t>
  </si>
  <si>
    <t>www.blaze.me</t>
  </si>
  <si>
    <t>439353-82</t>
  </si>
  <si>
    <t>Blue Onion</t>
  </si>
  <si>
    <t>Developer of enterprise fintech software designed to help companies trace and reconcile financial transactions across multiple systems. The company's data matching software features include transaction validation, data management, reconciliation, integration with back-end systems, automating the financial close process, removing repetitive and tedious tasks, enabling finance and accounting teams to work smarter and quicker, with control, compliance, and accuracy.</t>
  </si>
  <si>
    <t>Entrée Capital, Green Visor Capital, Halogen Ventures, Morningside Group, Oracle NetSuite, RTP Global, Surface Ventures, Underdog Labs, Vinyl Capital, Viola FinTech, Viola Ventures, Y Combinator</t>
  </si>
  <si>
    <t>www.blueonion.ai</t>
  </si>
  <si>
    <t>510334-75</t>
  </si>
  <si>
    <t>Common Trust</t>
  </si>
  <si>
    <t>Operator of a consultancy platform intended to help business owners execute a competitive exit plan without compromising values. The company's platform uses a methodology based on the idea that owners should be able to transition their business profitably while protecting their legacy, purpose, and people through a sale, enabling business owners to design and execute a sale to a customized trust that key stakeholders and experts run while getting cash out.</t>
  </si>
  <si>
    <t>2112 Creative Industries Incubator, FJ Labs, Gallery Ventures, High Alpha, Schmidt Sciences, Seed I Pod, Untapped Capital</t>
  </si>
  <si>
    <t>www.common-trust.com</t>
  </si>
  <si>
    <t>442205-38</t>
  </si>
  <si>
    <t>Haven (Business/Productivity Software)</t>
  </si>
  <si>
    <t>Developer of a digital platform intended to help them understand their mortgages and achieve their financial goals. The company's turnkey, white-labeled for retention &amp; cross-sell, helps post-purchase engagement by making it possible for lenders to deliver personalized, insightful tools to their borrowers, enabling lenders and servicers to build loyalty and retain customers.</t>
  </si>
  <si>
    <t>1Sharpe Ventures, 8VC, AME Cloud Ventures, BoxGroup, Conversion Capital, Daniel Simons, Emles Venture Partners, Fidelity National Financial, Fifth Wall, GoAhead Ventures, Kevin Moore, Luca Ventures, Operator Partners, RWT Horizons, Soma Capital, Y Combinator</t>
  </si>
  <si>
    <t>www.havenservicing.com</t>
  </si>
  <si>
    <t>433110-97</t>
  </si>
  <si>
    <t>InterPayments</t>
  </si>
  <si>
    <t>Provider of transaction fee management tools designed for payment cost recovery. The company's platform offers selective fee application, integration with existing payment systems, compliance assurance across multiple jurisdictions, real-time auditing, and customizable implementation options, enabling enterprise merchants and software vendors to maintain operational continuity while reducing credit card processing expenses through automated, rule-based surcharging mechanisms.</t>
  </si>
  <si>
    <t>Aditum Investment Management, FINTOP (US)</t>
  </si>
  <si>
    <t>www.interpayments.com</t>
  </si>
  <si>
    <t>343301-05</t>
  </si>
  <si>
    <t>Pafin</t>
  </si>
  <si>
    <t>Operator of a comprehensive cryptocurrency investment support platform intended to aid in investment and asset management activities. The company leverages technology to provide services like profit and loss calculation on various virtual currencies, portfolio management services, and reporting services, enabling clients to get access to insightful information for managing and executing their investments.</t>
  </si>
  <si>
    <t>BitFlyer, Carta Holdings, Coincheck Group, D4V, Daiwa Securities Group, DG Daiwa Ventures, FFG Venture Business Partners, Jafco, Minkabu The Infonoid, Money Forward, MZ Web3 Fund, Open Network Lab, Smart Capital (Japan), Sony Innovation Fund, SV-FINTECH Fund, Venture Labo Investment</t>
  </si>
  <si>
    <t>www.pafin.com</t>
  </si>
  <si>
    <t>124278-76</t>
  </si>
  <si>
    <t>Strivve</t>
  </si>
  <si>
    <t>Developer of a fintech application designed to simplify digital card onboarding and streamline online transactions. The company offers instant card addition and updates, activation of new or replacement cards and integration across websites, enabling payment card issuers, banks, and credit unions greater control, usage and competitiveness in online commerce.</t>
  </si>
  <si>
    <t>Chartway Federal Credit Union, Reseda Group, Velera, Wisdom Venture Capital</t>
  </si>
  <si>
    <t>strivve.com</t>
  </si>
  <si>
    <t>132281-92</t>
  </si>
  <si>
    <t>TrueComp</t>
  </si>
  <si>
    <t>Developer of a financial forecasting platform designed to visualize costs and liabilities and understand complex actuarial data on an analytical platform. The company's software uses an analytic tool to analyze actuarial information and liabilities, communicate actuarial assumptions, and make informed decisions, enabling the government to solve problems related to unfunded pension, post-employment benefits, and debt.</t>
  </si>
  <si>
    <t>Andrew Sidamon-Eristoff, Civstart, CSC UpShot Ventures, Govtech Fund, Jeffrey Rubenstein, Level Equity, Stuart Litwin, Tempo Ventures</t>
  </si>
  <si>
    <t>www.truecomp.com</t>
  </si>
  <si>
    <t>471924-46</t>
  </si>
  <si>
    <t>Dr.Cash</t>
  </si>
  <si>
    <t>Developer of financing services platform designed to facilitate credit for payment of medical, aesthetic, or dental treatments. The company's platform helps users to apply for financing from the clinic and they need to choose an installment option and provide the required documents upon approval to receive a subscription agreement by email, enabling both clinics and hospitals as well as patients to get financial medical assistance.</t>
  </si>
  <si>
    <t>Banco BV, Fasp, Incubate Fund, SuperJobs Venture Capital, Toyo Kanetsu Corporate Venture Investment Partnership</t>
  </si>
  <si>
    <t>www.drcash.com.br</t>
  </si>
  <si>
    <t>469641-07</t>
  </si>
  <si>
    <t>LODAS Markets</t>
  </si>
  <si>
    <t>Operator of a private market infrastructure designed for the largest institutional sponsors of alternative investment funds. The company's platform is fully automated and deeply integrated, eliminating legacy inefficiencies and replacing manual processes with seamless, end-to-end workflows, enabling modern infrastructure in private markets to have scalable, elegantly engineered, and built for the future of alternative investments.</t>
  </si>
  <si>
    <t>eGrowth Ventures, Firebrand Ventures, Gary Fish, Greenway Capital (Kansas), Je Dunn Construction, KCRise Fund, Service Provider Capital</t>
  </si>
  <si>
    <t>www.lodasmarkets.com</t>
  </si>
  <si>
    <t>472185-10</t>
  </si>
  <si>
    <t>Altius Investech</t>
  </si>
  <si>
    <t>Developer of an investment data-driven platform intended to provide access to insights and updates on unlisted equities and startups. The company's platform offers the latest information and research on unlisted shares, pre-initial public offering shares, and employee stock ownership plans, with fundamental and industry analysis, and also invests alongside venture capital and private equity funds, enabling investors to get access to alternative sources of investments at lower entry barriers.</t>
  </si>
  <si>
    <t>Credo Minerals, Dalal Capital Advisors, Harsh Sarawagi, Pinak Dattaray, Saurabh Aggarwal</t>
  </si>
  <si>
    <t>www.altiusinvestech.com</t>
  </si>
  <si>
    <t>490960-81</t>
  </si>
  <si>
    <t>Bizi</t>
  </si>
  <si>
    <t>Developer of a digital financial platform designed to provide credit for businesses. The company's platform helps businesses to grow with a line of credit with immediate availability and customization, enabling small and medium-sized enterprises to fulfill their needs.</t>
  </si>
  <si>
    <t>Isracard, NFX Capital, Orshay</t>
  </si>
  <si>
    <t>www.bizi.co.il</t>
  </si>
  <si>
    <t>436523-77</t>
  </si>
  <si>
    <t>Pomelo Pay</t>
  </si>
  <si>
    <t>Developer of a digital payment platform designed to facilitate cashless transactions for businesses. The company's platform provides features such as payment acceptance through various methods, including QR codes and payment links, transaction tracking, compliance and security measures and account management, enabling businesses to accept payments remotely and in person while managing sales and customer transactions efficiently.</t>
  </si>
  <si>
    <t>6 Degrees Capital, Evgeny Zelensky, Force Over Mass Capital, Inference Partners, London &amp; Oxford Group, Tech Nation Group</t>
  </si>
  <si>
    <t>www.pomelogroup.com</t>
  </si>
  <si>
    <t>462596-59</t>
  </si>
  <si>
    <t>Malga</t>
  </si>
  <si>
    <t>Developer of a payment platform designed to integrate multiple payment channels. The company's platform routes transactions to optimize cost and acceptance rates, avoid lock-in and have the flexibility to always work with the best provider on a transaction-to-transaction basis without the additional technical overhead, enabling clients to make their transactions efficient.</t>
  </si>
  <si>
    <t>Citrino Ventures, Costanoa Ventures, CV Idexo, Gaingels, IGNIA, Latitud, Minju Lee, Norte Ventures, QED Investors, Totvs, Verve Capital, Y Combinator, Zain S Hasan Charitable Remainder Trust</t>
  </si>
  <si>
    <t>www.malga.io</t>
  </si>
  <si>
    <t>432647-38</t>
  </si>
  <si>
    <t>Forecastr</t>
  </si>
  <si>
    <t>Developer of financial modeling software designed to help founders build financial models. The company offers software for financial management and analysis, revenue forecasting, expense management, forecast comparison, metric tracking, budgeting, report generation, data visualization, and more, enabling businesses to generate insightful reports to share with investors.</t>
  </si>
  <si>
    <t>10X Capital, 2468 Ventures, Access Ventures, Awesome Inc, Benim Capital, Capital Factory, Capital Midwest Fund, Charlie Key, Chartline Capital Partners, Cherub Fund, Chuck Schnatter, Connetic Ventures, Converge Venture Partners, Discover Financial Services, Elevate Ventures, Elizabeth Rounsavall, Elliott Rounsavall, Future Labs, Gaingels, Gill Holland, Gregory Langdon, Hilltop Venture Partners, Huat Ventures, Interlock Capital, J. Kevin Porter, Keyhorse Capital, Mana Ventures, Phoebe Wood, Porter Sablan Capital, Practical Venture Capital, Render Capital, Resolute Ventures, Root and Shoot Ventures, Scott Brinkman, Techstars, The Vogt Awards, Tim Mayeur, Uncorrelated Ventures, Venture First, Wind Sprint Capital</t>
  </si>
  <si>
    <t>www.forecastr.co</t>
  </si>
  <si>
    <t>438878-17</t>
  </si>
  <si>
    <t>BridgeWise</t>
  </si>
  <si>
    <t>Developer of an artificial intelligence-based stock analysis algorithm platform designed to provide stock analysis for public companies in different languages. The company's platform transforms complex global data into expert-driven, explainable insights, enabling players in the capital markets to confidently explore and capitalize on opportunities worldwide in any language.</t>
  </si>
  <si>
    <t>Avishai Abrahami, B3 (Brazil), CFV Ventures, Commercial Bank of Dubai, David Magerman, Emirates NBD, Group 11, Howard Morgan, Jeffrey Keel, L4 Venture Builder, Mangrove Capital Partners, Nir Zohar, Psagot Investment House, RevTech Labs Capital, SIX Group Services, Tuesday Capital (Sao Paulo)</t>
  </si>
  <si>
    <t>www.bridgewise.com</t>
  </si>
  <si>
    <t>169195-60</t>
  </si>
  <si>
    <t>CNote</t>
  </si>
  <si>
    <t>Developer of an impact investment software designed to build a more inclusive economy through financial innovation. The company's platform is a women-led certified B-Corporation that uses technology to foster greater economic and racial justice through investment and directs every dollar invested towards funding female, minority-led small businesses, housing, and economic development in financially underserved communities across America, enabling users to make money by investing in causes and communities that they care about.</t>
  </si>
  <si>
    <t>Astia, BankTech Ventures, Commerce Ventures, Forefront Venture Partners, Golden Seeds, H/L Ventures, KNGDM Group, Lateral Capital Management, ManchesterStory, NEXUS (New York), Nia Community, One World, Oxonian Ventures, Rebalance Capital, Silicon Valley Social Venture Fund, SixThirty Ventures, The American Family Insurance Institute for Corporate and Social Impact, The Artemis Fund, The Venture Center, Y Combinator</t>
  </si>
  <si>
    <t>www.mycnote.com</t>
  </si>
  <si>
    <t>433776-88</t>
  </si>
  <si>
    <t>DepositLink</t>
  </si>
  <si>
    <t>Developer of digital payment platform designed for collecting deposits and commissions electronically. The company's platform helps real estate companies and escrow holders to collect money deposits and commissions electronically, divide payments among multiple buyers or tenants, and track the status of transfers in real-time with a phone, enabling real estate professionals to eliminate paper checks and risky bank wires from their business at low cost.</t>
  </si>
  <si>
    <t>Leader Bank</t>
  </si>
  <si>
    <t>www.depositlink.com</t>
  </si>
  <si>
    <t>464127-67</t>
  </si>
  <si>
    <t>Level E Research</t>
  </si>
  <si>
    <t>Developer of an AI-based investment platform designed to automate and optimize asset management through autonomous strategies. The company's platform offers a system that combines machine learning, data science and behavioral economics to offer portfolio recommendations, enabling asset managers, hedge funds, and financial institutions to enhance decision-making and improve investment performance.</t>
  </si>
  <si>
    <t>Engine (Accelerator), Jeremy Davies, M&amp;G, Simon Williams, UCEA Capital Partners</t>
  </si>
  <si>
    <t>www.leveleresearch.com</t>
  </si>
  <si>
    <t>267424-57</t>
  </si>
  <si>
    <t>Elfin Market</t>
  </si>
  <si>
    <t>Developer of a peer-to-peer lending platform designed to connect individual borrowers and lenders without costly banking intermediaries. The company offers its borrowers a line of credit with the same flexibility as a credit card, but at low interest rates, enabling clients to access an innovative way that blends the flexibility of a credit card and the affordability of a personal loan.</t>
  </si>
  <si>
    <t>www.elfinmarket.com</t>
  </si>
  <si>
    <t>265777-84</t>
  </si>
  <si>
    <t>Up&amp;Up</t>
  </si>
  <si>
    <t>Operator of a house renting platform intended to provide the financial benefits of homeownership while renting. The company's platform allows renters to invest in their rental upfront and immediately start benefiting from both home price appreciation and portions of their rent payments, adding to their ownership stake, enabling customers to reduce maintenance and property management costs and preserve the flexibility, ease, and convenience of renting.</t>
  </si>
  <si>
    <t>Actions Capital, Caffeinated Capital, Founders Fund, Kairos HQ, Khosla Ventures, L2 Point Management, Night Capital, Parker89, Pascal Levy-Garboua, Rialto Capital, The Goldman Sachs Group</t>
  </si>
  <si>
    <t>www.upandup.co</t>
  </si>
  <si>
    <t>266198-32</t>
  </si>
  <si>
    <t>MONI (Financial Software)</t>
  </si>
  <si>
    <t>Developer of a money transfer platform intended to help people send money to relatives, friends, and business partners abroad. The company's platform works as a banking intermediary that provides an online money transfer service to customers, enabling users to send money efficiently at a fair market rate without any hassles or formalities.</t>
  </si>
  <si>
    <t>Evolem, Notus Technologies, Serena, Truffle Capital</t>
  </si>
  <si>
    <t>www.monisnap.com</t>
  </si>
  <si>
    <t>452707-57</t>
  </si>
  <si>
    <t>Going Public</t>
  </si>
  <si>
    <t>Operator of an interactive series platform intended to offer investment during the ongoing series. The company's platform provides retail investors with access to Regulation A+ IPOs and other financial products while offering ongoing shows on it is about founders and their ideas, enabling clients to easily raise capital and thereby take their company public.</t>
  </si>
  <si>
    <t>Arlan Hamilton, AYA Capital Holdings, Burch Creative Capital, Christopher Burch, Rule72, SOJA Ventures, Terraform Capital, The Nucleus Network, VITALIZE Venture Capital, Walter Cruttenden</t>
  </si>
  <si>
    <t>www.goingpublic.com</t>
  </si>
  <si>
    <t>98000-11</t>
  </si>
  <si>
    <t>Authvia</t>
  </si>
  <si>
    <t>Developer of a conversational commerce engine designed to simplify the process of online transactions. The company's technology delivers a highly secure, fast, and contactless payment option via text messaging and other message-based communications channels, such as web chat and WhatsApp, which connects any business, any consumer, and any payment processor quickly and through text messaging technology, enabling customers to simplify the payment process to scale for every transaction need.</t>
  </si>
  <si>
    <t>AppLabs Technologies (Australia), Keiretsu Capital, Keiretsu Forum</t>
  </si>
  <si>
    <t>www.authvia.com</t>
  </si>
  <si>
    <t>466431-85</t>
  </si>
  <si>
    <t>BFREE Africa</t>
  </si>
  <si>
    <t>Developer of a credit management platform designed for credit collection. The company focuses on consumers' financial health by building artificial intelligence-based ethical credit management tools that make collection processes more scalable and user-friendly, enabling customers in emerging markets to self-administer their loan repayments and gain speed on basic financial knowledge and personal budgeting skills.</t>
  </si>
  <si>
    <t>4Di Capital, Africinvest, Algebra Ventures, Angaza Capital, AXIAN Investment, Axians, Beta.Ventures, Capria Ventures, DotExe Ventures, GreenHouse Capital, Launch Africa Ventures, Logos Ventures, Modus Capital, Modus Group, Octerra Capital, The Mastercard Foundation Africa Growth Fund, Tomorrow Capital (London), VestedWorld, Voltron Capital</t>
  </si>
  <si>
    <t>www.bfree.africa</t>
  </si>
  <si>
    <t>458581-06</t>
  </si>
  <si>
    <t>BlueTape</t>
  </si>
  <si>
    <t>Developer of financial software tools designed for managing customer payments and credit. The company's platform includes invoice processing, credit extension, payment collection, and system integration features, enabling businesses to improve cash flow, reduce late payments, simplify operations, and offer flexible payment options to their customers.</t>
  </si>
  <si>
    <t>Acorn Pacific Ventures, Arcadia Funds, Chicago Ventures, Flexcap Ventures, Plug and Play Tech Center, SNR</t>
  </si>
  <si>
    <t>www.bluetape.com</t>
  </si>
  <si>
    <t>181127-26</t>
  </si>
  <si>
    <t>Braavo</t>
  </si>
  <si>
    <t>Provider of non-dilutive funding services intended to empower founders to build scalable and sustainable businesses. The company offers a model for mobile application and game companies to receive non-dilutive funding for growth that gives developers and founders insights to scale sustainably and capital to turn their vision into reality, enabling businesses to grow their operations.</t>
  </si>
  <si>
    <t>Headline, Stratos Technologies, Upstage Ventures</t>
  </si>
  <si>
    <t>www.getbraavo.com</t>
  </si>
  <si>
    <t>384714-19</t>
  </si>
  <si>
    <t>Button Finance</t>
  </si>
  <si>
    <t>Artificial Intelligence &amp; Machine Learning, Big Data, FinTech, Mortgage Tech, Real Estate Technology</t>
  </si>
  <si>
    <t>Developer of a mortgage platform designed to allow customers to borrow money against their homes. The company's platform utilizes artificial intelligence to offer equity loans for home improvement, debt consolidation, education, and medical expenses, enabling homeowners to achieve financial independence through improved access to capital and lower monthly payments.</t>
  </si>
  <si>
    <t>Hildene Capital Management</t>
  </si>
  <si>
    <t>www.buttonfinance.com</t>
  </si>
  <si>
    <t>233944-93</t>
  </si>
  <si>
    <t>Crowde</t>
  </si>
  <si>
    <t>Developer of a peer-to-peer lending platform designed to assist farmers in raising working capital. The company's platform connects farmers with retail investors to obtain capital, technology, and data for farming operations, enabling farmers to raise funds and give investors alternative investment options.</t>
  </si>
  <si>
    <t>www.crowde.co</t>
  </si>
  <si>
    <t>181843-39</t>
  </si>
  <si>
    <t>DeepForecast</t>
  </si>
  <si>
    <t>Developer of a data analytics platform designed to create data sets to forecast outcomes. The company's platform leverages machine learning to collect anonymous data from multiple sources such as global positioning systems, credit cards, debit cards, checks, bank accounts and online transactions to create data sets, enabling users to get financial data sets according to their needs and forecast the final output.</t>
  </si>
  <si>
    <t>BootUP World, Lombardstreet Ventures</t>
  </si>
  <si>
    <t>www.deep-forecast.com</t>
  </si>
  <si>
    <t>442860-85</t>
  </si>
  <si>
    <t>Neural Payments</t>
  </si>
  <si>
    <t>Provider of payment services intended to assist financial institutions in adopting change at or ahead of market pace. The company's services offer digital adoption, lower transaction costs, limited exposure to fraud, and simplified technology integrations, enabling financial institutions to connect to the technologies and trends.</t>
  </si>
  <si>
    <t>www.neuralpayments.com</t>
  </si>
  <si>
    <t>229943-62</t>
  </si>
  <si>
    <t>Ordway</t>
  </si>
  <si>
    <t>Developer of a billing and revenue automation platform designed to help businesses in the management of billing and finance operations. The company's platform facilitates usage and volume-based invoicing, discounts, and promotions, accounting integration, revenue recognition, journal entry, customizable dashboards and reports, integration with a payment gateway, enabling clients to eliminate the need and risks associated with error-prone spreadsheets for creating invoices and running leaner finance organizations.</t>
  </si>
  <si>
    <t>Clocktower Ventures, CRV, FiDi Ventures, Harbert Growth Partners, Joyance Partners, Revolution (Washington DC)</t>
  </si>
  <si>
    <t>www.ordwaylabs.com</t>
  </si>
  <si>
    <t>309585-61</t>
  </si>
  <si>
    <t>Reloadly</t>
  </si>
  <si>
    <t>Developer of a cloud-based programming interface platform designed to make cross-border digital mobile payments to emerging markets. The company's platform offers efficient transfer of airtime, data bundles, and digital goods to be embedded in web, desktop, and mobile software applications, enabling clients to send mobile top-ups and digital gift cards worldwide.</t>
  </si>
  <si>
    <t>Chris Adelsbach, Draper B1, Faraday Venture Partners, Intelectium Business Acceleration, Lánzame Capital, Nero Ventures, Seed X Liechtenstein, Smartech Capital, Sur Ventures (VC), TheVentureCity, Wayra UK</t>
  </si>
  <si>
    <t>www.reloadly.com</t>
  </si>
  <si>
    <t>472337-47</t>
  </si>
  <si>
    <t>Vergo</t>
  </si>
  <si>
    <t>Developer of a construction accounting platform designed for expense management. The company's software helps to track expenses, create team cards, manage cashflows, and integrate with accounting systems, enabling designers, builders, and architects to automate project finances and increase profit margins.</t>
  </si>
  <si>
    <t>Community Safety &amp; Wellness Accelerator, CRV, Forum Ventures, Kelly Wearstler, Nine Four Ventures, Original Capital, Right Side Capital Management, Sander Daniels, Valar Ventures, Wischoff Ventures</t>
  </si>
  <si>
    <t>www.getvergo.com</t>
  </si>
  <si>
    <t>268459-30</t>
  </si>
  <si>
    <t>Verif-y</t>
  </si>
  <si>
    <t>FinTech, HR Tech</t>
  </si>
  <si>
    <t>Developer of a digital identity infrastructure platform designed to verify identities and credentials in online environments. The company offers identity verification tools and credential authentication capabilities, enabling enterprises, institutions, and digital platforms to establish trusted identity validation and reduce the risk of fraudulent interactions.</t>
  </si>
  <si>
    <t>Ben Franklin Technology Partners of Southeastern Pennsylvania, Tenity, Wellfield Technologies</t>
  </si>
  <si>
    <t>www.verif-y.com</t>
  </si>
  <si>
    <t>398969-02</t>
  </si>
  <si>
    <t>Xclaim</t>
  </si>
  <si>
    <t>Developer of a digital marketplace platform designed to manage and streamline bankruptcy claims. The company's platform allows users to track portfolios, explore out-of-court settlement opportunities to liquidate shares in a few clicks, and centralize access to buyer competition with controls to negotiate, ease settlement, and risk mitigation, enabling clients to eliminate risk and eradicate existing marketplace inefficiencies.</t>
  </si>
  <si>
    <t>75 &amp; Sunny, Correlation Ventures, Edward Lando, First Round Capital, FJ Labs, Freestyle Capital, General Catalyst, Joseph Jones, Luge Capital, Olima Ventures, Pareto Holdings, PLG Ventures, Quiet Capital, Steyn Group, Tribe Capital</t>
  </si>
  <si>
    <t>www.x-claim.com</t>
  </si>
  <si>
    <t>84580-03</t>
  </si>
  <si>
    <t>FNA</t>
  </si>
  <si>
    <t>Developer of an advanced network analytics platform intended to combine data from online APIs and data sources. The company's platform leverages technology to map and monitor complex financial systems and infrastructure, uncover hidden connections and anomalies in large, complex datasets, and deploy simulations, enabling decision-makers and analysts to predict the impact of stress events and optimally configure their systems and networks.</t>
  </si>
  <si>
    <t>Alan Laubsch, Alex Felix, Ali Omar, Daily Mail and General Trust, Founders' Edge, GETTYLAB, Giesecke+Devrient Ventures, IQ Capital Partners, TechFounders</t>
  </si>
  <si>
    <t>www.fna.fi</t>
  </si>
  <si>
    <t>434279-89</t>
  </si>
  <si>
    <t>Car Capital</t>
  </si>
  <si>
    <t>Operator of an automotive fintech company intended to provide dealers with capital and advanced technology to help all consumers buy the cars they need. The company provides its dealer partners with the ability to make instant auto loan decisions with automated approvals, enabling customers to buy a car regardless of their credit history.</t>
  </si>
  <si>
    <t>www.carcapital.com</t>
  </si>
  <si>
    <t>434174-68</t>
  </si>
  <si>
    <t>Copper Banking</t>
  </si>
  <si>
    <t>Developer of a financial education platform designed to provide financial literacy and banking services to teenagers. The company's platform educates teens on how to make financial decisions by developing patterned behaviors in a supervised app experience, allowing the transfer of money, direct deposits, and payments, enabling individuals to become financially literate and parents to achieve financial freedom.</t>
  </si>
  <si>
    <t>Alumni Ventures, Arnold Ventures, Astir Ventures, Awesome People Ventures, BIP Ventures, Clocktower Ventures, Colchuck, Draft Ventures, EQUIAM, Fiat Ventures, Fortson VC, Gaingels, Index Ventures, Insight Partners (New York), Invesco, Jack Brody, Launchpad Capital, Madrona Venture Group, Makai VC, Mana Ventures, Maven Ventures, Meadow Street Capital, Mercurius Media Capital, Mukkul Dasgupta, Naveen Pitchandi, North 50 Venture Capital, Operator Stack, PSL Ventures, Restive Ventures, Sam Rosenbaum, Samsung NEXT Ventures, Sleeping Bear Capital, Springbank Collective, Tacoma Venture Fund, Tejo Ventures, Temerity Capital Partners, Thomas Pentz, Western Technology Investment</t>
  </si>
  <si>
    <t>www.getcopper.com</t>
  </si>
  <si>
    <t>184666-87</t>
  </si>
  <si>
    <t>Apiax</t>
  </si>
  <si>
    <t>Artificial Intelligence &amp; Machine Learning, FinTech, Marketing Tech, SaaS</t>
  </si>
  <si>
    <t>Developer of an online financial platform designed for enterprises to transform complex regulations into easy-to-use digital compliance rules. The company's platform is based on a lean and high-performance architecture and uses machine learning to transform complex regulations into digital regulatory rules and to manage regulations digitally, enabling financial organizations to embed compliance seamlessly into their existing workflows and manage regulations digitally.</t>
  </si>
  <si>
    <t>BLR Capital, BlueLion Incubator, Diventures Management, FinTech Innovation Lab, Fuse Incubator, Futury Capital, Headline, Kickstart Innovation, Labs Lisboa, Peter Kurer, Plug and Play Tech Center, Quesnay, SICTIC, Siparex, Tamedia Finanz und Wirtschaft, Tenity, Tugboat (Zurich), Venturelab, XAnge, Zürcher Kantonalbank</t>
  </si>
  <si>
    <t>www.apiax.com</t>
  </si>
  <si>
    <t>494011-72</t>
  </si>
  <si>
    <t>Credilio Financial Technologies</t>
  </si>
  <si>
    <t>Operator of a financial technology platform intended to expand access to secured credit cards and digital credit products. The company's platform offers fixed deposit-backed credit cards, unified payments integration, reward programs, and a digital credit distribution network, enabling underserved borrowers, financial advisors, and consumer businesses to access and offer credit products more efficiently.</t>
  </si>
  <si>
    <t>Alteria Capital, Ashra Private Equity Fund, Cornerstone Venture Partners Fund (India), Cornerstone Ventures, Ecosystem Ventures (India), ESV-Arthya AIF, Exfinity Venture Partners, InnoVen Capital, LVX, Mukul Agarwal, Param Capital, Roots Ventures, Shepherd Hill</t>
  </si>
  <si>
    <t>novio.in</t>
  </si>
  <si>
    <t>493755-67</t>
  </si>
  <si>
    <t>Dosh (Other Financial Services)</t>
  </si>
  <si>
    <t>Developer of a mobile payments application designed to make it simple and quick to transfer and receive money between friends and companies. The company's platform lets users create, and receive rapid payments with no fees and gives cashback benefits on purchases made with partner merchants, enabling consumers to save and access their money whenever they want.</t>
  </si>
  <si>
    <t>www.dosh.nz</t>
  </si>
  <si>
    <t>97740-73</t>
  </si>
  <si>
    <t>Omnyway</t>
  </si>
  <si>
    <t>Developer of a mobile payment platform designed to empower retailers, banks, and brands to build a contextual digital commerce ecosystem. The company's platform is cloud-based and offers rapid deployment, global scalability, security features, and built-in analytics, enabling companies to quickly and securely accept payments at their physical store.</t>
  </si>
  <si>
    <t>Commerce Ventures</t>
  </si>
  <si>
    <t>www.omnyway.com</t>
  </si>
  <si>
    <t>896918-59</t>
  </si>
  <si>
    <t>Divine Research</t>
  </si>
  <si>
    <t>Developer of a blockchain-based lending platform designed to provide undercollateralized loans. The company's platform leverages decentralized finance protocols, on-chain credit assessment, and automated risk management tools, enabling borrowers in the digital asset market to access credit without requiring full collateralization, while offering transparency, efficient loan origination, and real-time monitoring of borrower risk profiles to lenders.</t>
  </si>
  <si>
    <t>Nascent, Paradigm</t>
  </si>
  <si>
    <t>www.divine.inc</t>
  </si>
  <si>
    <t>455095-90</t>
  </si>
  <si>
    <t>CARD91</t>
  </si>
  <si>
    <t>Developer of an Issuance platform designed to offer technology infrastructure to banks, small and medium-sized enterprises, corporates, and fintech. The company's platform offers unparalleled technology infrastructure to Banks, prepaid license holders, and Authorised Dealers, helping them issue payment instruments (PPI, Debit, Credit, Multi-Currency, UPI, and Credit Line on UPI) to their customers, enabling faster decision-making and control on transactions.</t>
  </si>
  <si>
    <t>AIC Shiksha Infotech Foundation Incubation Center, Blume Venture Advisors, Commerce Ventures, Core91 VC, Emphasis Ventures (EMVC), Infinity Ventures (San Francisco), Marquee Angels, Point72 Ventures, Rainmatter Capital, Sabre Partners, White Unicorn Ventures</t>
  </si>
  <si>
    <t>www.card91.io</t>
  </si>
  <si>
    <t>534557-17</t>
  </si>
  <si>
    <t>Panax</t>
  </si>
  <si>
    <t>Developer of an automated cash flow management tool designed for finance teams to control the complexity and optimize cash by automating treasury operations. The company's tool features forecasting cash and liquidity, control over cash inflows and outflows with real-time, dynamic cash reporting, building, updating and tracking a rolling cash forecast, enabling finance teams to optimize day-to-day cash and liquidity with control, visibility, insights and forecasting.</t>
  </si>
  <si>
    <t>Deloitte Launchpad, Kaneda Investments, Plug and Play Tech Center, Team8, TLV Partners</t>
  </si>
  <si>
    <t>www.panax.com</t>
  </si>
  <si>
    <t>155662-57</t>
  </si>
  <si>
    <t>Wealthy</t>
  </si>
  <si>
    <t>Developer of a wealth management platform designed to recommend suitable portfolio allocations and make investment decisions. The company's platform helps in portfolio asset allocation, diversification, rebalancing, and automating data entry, and provides insightful information on wealth management, enabling users to easily manage investments based on their needs and to make the most out of their money.</t>
  </si>
  <si>
    <t>Abhishek Goyal, Alpha Wave Global, Arjun Malhotra, Arun Venkatachalam, Bertelsmann India Investments, Bharat Founders Fund, Emphasis Ventures (EMVC), Gagan Dugal, Globevestor, Good Capital (India), Harpreet Grover, Kashyap Deorah, Manu Mittal, Rishabh Gupta, Savrola Group, Shepherd Hill, Smile Group, Sunil Kalra, Tracxn Labs, Venture Highway, Zishaan Hayath</t>
  </si>
  <si>
    <t>www.wealthy.in</t>
  </si>
  <si>
    <t>268747-39</t>
  </si>
  <si>
    <t>Pintek</t>
  </si>
  <si>
    <t>Provider of financing services intended to provide access to education in Indonesia by offering flexible credit. The company's services include bailouts, working capital loans, installments, and investment funding for educational institutions with a non-collateral repayment program, enabling clients to get affordable loans for academic purposes in a hassle-free manner.</t>
  </si>
  <si>
    <t>Accion, Blue7, Earlsfield Capital, Elevate Innovation Partners, Global Founders Capital, Google Accelerator, Grayscale Ventures, Karthikeyan Sathyamoorthy, Kube VC, OCTAVE Capital (Singapore), Scale Up by Endeavor</t>
  </si>
  <si>
    <t>www.pintek.id</t>
  </si>
  <si>
    <t>461983-69</t>
  </si>
  <si>
    <t>Maslife</t>
  </si>
  <si>
    <t>Developer of a financial and well-being platform designed to support customers and corporations in managing their finances. The company's platform provides tools that encourage users to have a deep understanding of personal goals and financial decisions and motivate them towards healthier habits that will impact their wealth, enabling users to achieve a healthy lifestyle balance that works for both financial and health goals.</t>
  </si>
  <si>
    <t>www.maslife.com</t>
  </si>
  <si>
    <t>88560-55</t>
  </si>
  <si>
    <t>Spotlight Reporting</t>
  </si>
  <si>
    <t>Developer of a cloud-based accounting software designed to assist businesses in becoming involved in their financial reporting. The company's software provides accountants, business owners, franchises, and not-for-profits with a range of time-efficient reporting options and imports data from leading financial and non-financial software products to automatically create dashboards, reports, three-way forecasts, and multi-entity aggregations, enabling clients to make reliable decisions.</t>
  </si>
  <si>
    <t>Aspire NZ Seed Fund, Callaghan Innovation, Craig Winkler, GD1, Graham Shaw, Miki Szikszai, New Zealand Growth Capital Partners, Pinehurst Advisors, Richard Phillips, Sacha Judd, Steph Hinds, Trent Mankelow</t>
  </si>
  <si>
    <t>www.spotlightreporting.com</t>
  </si>
  <si>
    <t>439901-92</t>
  </si>
  <si>
    <t>RABC Group</t>
  </si>
  <si>
    <t>Artificial Intelligence &amp; Machine Learning, Big Data, Cryptocurrency/Blockchain, FinTech, SaaS, Supply Chain Tech</t>
  </si>
  <si>
    <t>Developer of a digital neobank-style financing platform designed to facilitate connections between SMEs, enterprises, and capital sources. The company's platform integrates features such as sector-focused supply chains and green financing, AI-driven risk assessment, alternative data inputs from logistics and government systems, and blockchain-based transaction transparency, enabling businesses in Southeast Asia to access inclusive, sustainable, and efficient financial tools.</t>
  </si>
  <si>
    <t>CMPL Angel Seed Fund, Hua An Investments, KZM &amp; Company, Linear Capital, Marketnode, Plug and Play Tech Center, R3, Savills Singapore, SBI Ven Capital, Sixtwo Capital, Sumitomo Mitsui Banking</t>
  </si>
  <si>
    <t>www.rabc.sg</t>
  </si>
  <si>
    <t>592761-97</t>
  </si>
  <si>
    <t>Artian</t>
  </si>
  <si>
    <t>Developer of multi-agent AI systems designed for the financial services industry. The company's platform empowers enterprises to develop, customize, and deploy intelligent agents capable of reasoning, adapting, and collaborating across complex processes, ranging from capital markets sales and trading to wealth management and enterprise operations. enabling enterprises to automate complex workflows, improve operational efficiency, and adapt to evolving business needs.</t>
  </si>
  <si>
    <t>Anthemis, FinTech Innovation Lab, Foxe Capital, Work-Bench, Wormhole Capital</t>
  </si>
  <si>
    <t>www.artian.ai</t>
  </si>
  <si>
    <t>436258-90</t>
  </si>
  <si>
    <t>Vikar</t>
  </si>
  <si>
    <t>Developer of a digital transformation and workflow automation software intended to serve banks and wealth management firms. The company's software includes client lifecycle management, loan onboarding, and servicing that onboards and maintains clients and loans in a complete, end-to-end digital experience, enabling clients to reinvent the business for the digital age.</t>
  </si>
  <si>
    <t>Newark Venture Partners, nvp capital, Strandview, Verde Technology Ventures</t>
  </si>
  <si>
    <t>www.vikartech.com</t>
  </si>
  <si>
    <t>221734-00</t>
  </si>
  <si>
    <t>Finanzguru</t>
  </si>
  <si>
    <t>Developer of an online financial assistant designed to minimize the effort related to managing contracts and finances. The company's financial assistant provides a banking application that serves as a personal assistant to gain control over contracts and to improve the financial situation without effort, as well as facilitates digitization, enabling customers to optimize finances and get personalized recommendations to realize their savings potential.</t>
  </si>
  <si>
    <t>Borse Venture Network, Carsten Maschmeyer, Coparion, Deutsche Bank, Deutsche Bank Ventures, Frank Strausse, Hannover Digital Investments, PayPal Ventures, Redstone VC, SCOR Ventures, seed + speed Ventures, TechQuartier, Venture Stars, VR Ventures, Zollhof</t>
  </si>
  <si>
    <t>www.finanzguru.de</t>
  </si>
  <si>
    <t>399142-81</t>
  </si>
  <si>
    <t>CreditWise Capital</t>
  </si>
  <si>
    <t>Provider of two-wheeler financing and personal lending services designed to offer accessible credit for vehicle purchases and personal financial needs. The company's platform features a digital lending infrastructure with app-less loan application journeys, AI-powered underwriting, automated collections, two-minute loan approvals, flexible EMI repayment options, tenure periods of up to 48 months, and supplementary offerings such as health insurance with no-cost EMI premium payments, motor insurance, bike servicing, and roadside assistance, enabling individual borrowers and vehicle buyers to access quick, paperless, and affordable financing and insurance coverage.</t>
  </si>
  <si>
    <t>Aarii Ventures, Ajay Goel, Anuj Golecha, Anup Agarwal, Beams Fintech Fund, Gaurav Gandhi, Gaurav Singhvi Ventures, Jana Balasubramaniam, Mayank Shah, PitchRight Ventures, Trident Growth Partners, Venture Catalysts (Capital Markets/Institutions)</t>
  </si>
  <si>
    <t>www.creditwisecapital.com</t>
  </si>
  <si>
    <t>539087-14</t>
  </si>
  <si>
    <t>Envisso</t>
  </si>
  <si>
    <t>Developer of a fintech platform intended to offer merchant credit risk management for digital commerce. The company's platform creates a mutually beneficial ecosystem for both payment companies and merchants and uses data and technology to deliver credit risk tools, enabling payment companies to improve merchant experience, reduce risk, and grow revenues.</t>
  </si>
  <si>
    <t>Blowfish Ventures, Forge Ventures, Openspace Capital, Pathos AI</t>
  </si>
  <si>
    <t>www.envisso.com</t>
  </si>
  <si>
    <t>462621-97</t>
  </si>
  <si>
    <t>Sparrow</t>
  </si>
  <si>
    <t>Developer of an application-based platform intended to help students compare offers and check their eligibility for getting loans. The company's application provides each student with personalized, prequalified rates based on their eligibility from all lending partners, enabling learners to compare the rates and offers from multiple lenders side by side without having to spend a lot of time searching rate ranges and checking eligibility.</t>
  </si>
  <si>
    <t>Adriel Lares, Chris Larsen, Dash Fund, Dorm Room Fund, GC Venture Fellows, Good Friends, SHAKTI, Sozo Ventures, Witz Ventures</t>
  </si>
  <si>
    <t>www.sparrowfi.com</t>
  </si>
  <si>
    <t>513311-32</t>
  </si>
  <si>
    <t>LoopFX</t>
  </si>
  <si>
    <t>Developer of an open architecture trading platform designed to integrate into traders' existing platforms. The company's platform allows the buy-side to match large offsetting orders against other buy-side institutions silently and provides new trading opportunities, facilitating peer-to-peer using existing legal documentation and workflows, enabling FX traders to identify the counterparty to trade in real-time without information leakage.</t>
  </si>
  <si>
    <t>Augmentum Fintech, Portfolio Ventures</t>
  </si>
  <si>
    <t>www.theloopfx.com</t>
  </si>
  <si>
    <t>181959-67</t>
  </si>
  <si>
    <t>Leanpay (Consumer Finance)</t>
  </si>
  <si>
    <t>Developer of a payment technology designed to provide consumers with various monthly finance installment products. The company permits consumers to pay for purchases on a monthly installment basis through simple and flexible payment plans, enabling people to purchase goods and pay using a suitable payment plan at a nominal interest rate.</t>
  </si>
  <si>
    <t>Almington Capital, BlackPeak Capital, Business Technology Incubator of Technical Faculties Belgrade, Catalyst Romania, Lead Ventures (Budapest), Science Technology Park Belgrade, South Central Ventures</t>
  </si>
  <si>
    <t>www.leanpay.com</t>
  </si>
  <si>
    <t>232455-34</t>
  </si>
  <si>
    <t>CMG</t>
  </si>
  <si>
    <t>Developer of a workflow management and data analytics platform designed to enhance productivity in the public capital markets. The company's platform incorporates client feedback into an integrated roadmap, enabling banks, asset managers and broker-dealers to gather insights on data and analyze it properly.</t>
  </si>
  <si>
    <t>Bank of America, Barclays, Canaccord Genuity, Citigroup, Credit Suisse, Cue Ball, Fidelity, Franklin Resources, J.P. Morgan, Morgan Stanley, Oak's Lab, Royal Bank of Canada, Shea Ventures, StageDotO Ventures, TD Bank, The Goldman Sachs Group, UBS Group</t>
  </si>
  <si>
    <t>www.cmgx.io</t>
  </si>
  <si>
    <t>454947-40</t>
  </si>
  <si>
    <t>Net Purpose</t>
  </si>
  <si>
    <t>Developer of a data aggregation platform designed to make impact measurement effortless for investors. The company's platform specializes in streaming facts on the social and environmental outcomes of companies and investment portfolios and provides raw quantitative data to cut the time and cost taken to build a sustainable or impact strategy, enabling investors to align instantly with evolving environmental, social and governance and to launch, grow and report on sustainable and impact funds.</t>
  </si>
  <si>
    <t>Céline Infeld, Engine (Accelerator), ETF Partners, Exceptional Ventures, Global Markets Incubator, Illuminate Financial, Impact Ventures (London), Jeff Louis, Jim O'Neill, Kevin Gould, Matt Robinson, Matthew Cooper, MTech Capital, Nimrod Priell, Revent, Sari Miller, Stefano Bernardi, Unreasonable Impact, Vladislav Tropko</t>
  </si>
  <si>
    <t>www.netpurpose.com</t>
  </si>
  <si>
    <t>498408-04</t>
  </si>
  <si>
    <t>Inveztor</t>
  </si>
  <si>
    <t>Developer of a financial technology platform designed to streamline the management and execution of global debt transactions. The company offers a collaborative system that connects agents, issuers, advisors, and financial institutions through real-time data exchange and workflow automation, enabling banks and market participants to simplify complex processes, enhance transparency, and improve operational efficiency across escrows, cash management, bonds, and loans.</t>
  </si>
  <si>
    <t>Fuse Incubator, Portfolio Ventures, PV Nominees, Stem Financial, Tinshed Asia</t>
  </si>
  <si>
    <t>inveztor.com</t>
  </si>
  <si>
    <t>481336-03</t>
  </si>
  <si>
    <t>Kappa (Other Financial Services)</t>
  </si>
  <si>
    <t>Developer of a cross-border payment platform intended for financial transaction purposes. The company's platform offers local currency payouts, international B2B trade settlements, and inbound remittances, while offering features like multi-factor security, direct bank account integration for deposits or withdrawals, and a network of physical cash deposit locations, enabling businesses and individuals to conduct high-limit global transfers with lower transaction costs and faster settlement times than traditional banking systems.</t>
  </si>
  <si>
    <t>Lake Partners, Morningside Group</t>
  </si>
  <si>
    <t>www.kappapay.com</t>
  </si>
  <si>
    <t>233721-55</t>
  </si>
  <si>
    <t>Planixs</t>
  </si>
  <si>
    <t>Developer of modular treasury software designed to gain real-time control and regulatory compliance over cash, collateral, and liquidity management. The company's software is a complete suite of modules that are built to deliver insights over vast data volumes across treasury business, including funding, liquidity, compliance, and risk, and provides cloud-facilitated services in real-time with analytics, intraday control, and volume, enabling banking and non-banking financial institutions to obtain a range of real-time intraday cash, collateral, and liquidity management capabilities.</t>
  </si>
  <si>
    <t>BGF (Financial Services)</t>
  </si>
  <si>
    <t>www.planixs.com</t>
  </si>
  <si>
    <t>172313-20</t>
  </si>
  <si>
    <t>CrediWire</t>
  </si>
  <si>
    <t>Developer of a financial data platform designed to streamline and visualize information for improved decision-making. The company platform offers tools to structure and analyze data, enabling accountants, SMEs, and banks to gain insights, optimize collaboration, and build stronger businesses.</t>
  </si>
  <si>
    <t>Bo Wase, Jens Sorenson, Jesper Eriksen, Jørgen Horwitz, Mads Harboe, Mastercard Lighthouse, Niels Rasmussen, Nordea Bank, Quinary Investment, Sparekassen Kronjylland, Start Path, Stephan Apel, TechFounders, Thomas Larsen, Venionaire Capital</t>
  </si>
  <si>
    <t>www.crediwire.com</t>
  </si>
  <si>
    <t>504043-66</t>
  </si>
  <si>
    <t>Primary Portal</t>
  </si>
  <si>
    <t>Developer of a network infrastructure designed to connect banks and institutional investors for equity capital markets issuance. The company helps to accelerate the digitization of capital markets by connecting all market participants on an open network, allowing constituents to interact and exchange relevant information and automate labor-intensive workflows, enabling clients to enhance efficiency and increase regulatory compliance and accountability.</t>
  </si>
  <si>
    <t>DB1 Ventures, DFF Ventures, Flow Traders</t>
  </si>
  <si>
    <t>www.primaryportal.com</t>
  </si>
  <si>
    <t>458780-41</t>
  </si>
  <si>
    <t>Engate</t>
  </si>
  <si>
    <t>Developer of a sports-focused digital platform designed to facilitate financial support between individuals and sports teams or athletes. The company's platform features gifting functions, reward distribution, and fan engagement tools, enabling sports organizations and athletes to raise funds and build a community through virtual interactions within the sports industry.</t>
  </si>
  <si>
    <t>AgVenture Lab, Global Brain, MPandC, Panasonic Accelerator, Plug and Play Tech Center, ReGACY Innovation Group, Saison Ventures, Sammy Corporation, SBI Investment, Sega Sammy Holdings</t>
  </si>
  <si>
    <t>www.engate.co.jp</t>
  </si>
  <si>
    <t>492937-66</t>
  </si>
  <si>
    <t>Upswing Financial Technologies</t>
  </si>
  <si>
    <t>Developer of a financial technology platform designed to provide financial products with an integrated application programming interface. The company specializes in offering differentiated fintech products and empowering financial institutions with secure business processes and compliance, enabling consumer companies to integrate directly with banks to provide financial services to their customers.</t>
  </si>
  <si>
    <t>Abhishek Goyal, Anurag Sinha, Ashish Goel, Better Capital, Better Capital (California), Jitendra Gupta, Kunal Bahl, Kunal Shah, Lalit Keshre, Multiply Ventures, Peercheque, Prashanth Ranganathan, QED Investors, Quona Capital, Rajan Bajaj, Rohit Bansal, Rohit M. A., Shiva Sangwan, Shivashish Chatterjee, Subrat Pani, Sujith Narayanan, Sumit Gwalani, Titan Capital, Utsav Somani, WillowTree Investments</t>
  </si>
  <si>
    <t>www.upswing.one</t>
  </si>
  <si>
    <t>264391-75</t>
  </si>
  <si>
    <t>Vontive</t>
  </si>
  <si>
    <t>Developer of an embedded mortgage platform designed to finance investment for real estate. The company's platform provides a direct conduit to finance investment property mortgages and simplifies capital allocation at scale, enabling real estate investors to get access to predictable and cost-effective financing to compete with cash buyers.</t>
  </si>
  <si>
    <t>8VC, Citigroup, Founders Fund, Godfrey Capital, Goldcrest Capital, LeFrak, Nine Four Ventures, Summit Peak Investments, Village Global, XYZ Venture Capital, Zigg Capital</t>
  </si>
  <si>
    <t>www.vontive.com</t>
  </si>
  <si>
    <t>264438-10</t>
  </si>
  <si>
    <t>BITA</t>
  </si>
  <si>
    <t>Developer of an enterprise-grade infrastructure designed to support the creation, administration, calculation, and dissemination of indexes, custom baskets, and institutional portfolios. The company offers index construction and analytics software, a real-time calculation engine, and enterprise-grade indexes and data, enabling institutional investors, asset managers, and financial institutions to design, backtest, calculate, and benchmark investment strategies and indexes with reduced reliance on traditional indexes, multiple data vendors, and complex internal tools.</t>
  </si>
  <si>
    <t>ETFS Capital, FinTech Innovation Lab, Michel Akkermans, Pamica, SIX Group Services, Startupbootcamp Holding, Volta Ventures</t>
  </si>
  <si>
    <t>www.bita.io</t>
  </si>
  <si>
    <t>542359-90</t>
  </si>
  <si>
    <t>Dealstack</t>
  </si>
  <si>
    <t>Developer of a SaaS platform designed to provide workflows and insights to track ownership and value in complex private equity structures. The company's platform allows users to automate all workflows related to employee equity transactions and communications, process transactions across the entire holding structure quickly and with full audibility, live, automated, and auditable calculation of the value of instruments and is suitable for all transactions and deal stages, enabling clients to track and manage ownership across complex corporate structures between their fund and their portfolio companies.</t>
  </si>
  <si>
    <t>Crowd Venture Capital, Kirkland Venture Capital, KKR Financial, Latham &amp; Watkins, LinVEST, Paul Weiss, TA Associates, The Goldman Sachs Group</t>
  </si>
  <si>
    <t>www.dealstack.io</t>
  </si>
  <si>
    <t>109661-95</t>
  </si>
  <si>
    <t>Quants</t>
  </si>
  <si>
    <t>Developer of an investment and risk management software designed to minimize the risks in traditional portfolios. The company's software offers liquid alternative funds offering sophisticated risk management to achieve better risk-adjusted returns, and technology platforms for beta investing with derivative overlays, enabling clients to manage risk and mitigate the adverse effects of market loss.</t>
  </si>
  <si>
    <t>Hercules Finance</t>
  </si>
  <si>
    <t>www.quants.com</t>
  </si>
  <si>
    <t>234939-61</t>
  </si>
  <si>
    <t>Quantumrock</t>
  </si>
  <si>
    <t>Developer of a technology-driven asset management software designed to offer machine learning and algorithmic trading. The company's software offers financial and quantitative analysis tools and a science-driven investment process to generate sustainable risk-adjusted returns, enabling investors to choose their investments smoothly.</t>
  </si>
  <si>
    <t>Andreas Perreiter, Blockwall Management, Carsten Erdt, Christoph Böckle, IGI Inex Holding (UK), Markus Rinderer, Rheinest, True Global Ventures, Urs Keller, Volker Rofalski</t>
  </si>
  <si>
    <t>www.quantumrock.group</t>
  </si>
  <si>
    <t>470573-20</t>
  </si>
  <si>
    <t>AuditChain</t>
  </si>
  <si>
    <t>Developer of Web3 financial disclosure and AI assurance infrastructure designed to automate and provide proof of assurance. The company offers a decentralized accounting, reporting, audit, and analysis virtual machine that enables continuous external validation of enterprise system and control, financial data, and disclosure control environments, enabling enterprises to provide stakeholders with assurance through decentralized enterprise external validation.</t>
  </si>
  <si>
    <t>Atesis Capital</t>
  </si>
  <si>
    <t>www.auditchain.com</t>
  </si>
  <si>
    <t>265407-94</t>
  </si>
  <si>
    <t>Baanx</t>
  </si>
  <si>
    <t>Developer of a fintech platform designed to offer digital and crypto-friendly finance for the blockchain era. The company's platform provides an insured crypto wallet that creates protection for users and guarantees full balance, enabling clients to create disruptive, edge digital products the community can engage with at a fraction of the cost of traditional banking.</t>
  </si>
  <si>
    <t>www.baanx.com</t>
  </si>
  <si>
    <t>168173-83</t>
  </si>
  <si>
    <t>BondCliQ</t>
  </si>
  <si>
    <t>Developer of a central market system intended to improve institutional trading. The company's system centralizes pre-trade quotes and formalizes the price formation process alongside tools for historical data visualization and analysis, enabling bond traders to get access to enhanced institutional liquidity.</t>
  </si>
  <si>
    <t>Aflac Ventures, FactSet, Impact Venture Capital, London Stock Exchange Group, Segal Ventures, SEI Investments, ValueStream Ventures</t>
  </si>
  <si>
    <t>www.bondcliq.com</t>
  </si>
  <si>
    <t>501738-76</t>
  </si>
  <si>
    <t>CereTax</t>
  </si>
  <si>
    <t>Developer of a tax automation platform designed to handle the challenges companies face with legacy services, from speed and scalability to dependability and throughput. The company's platform collects and remits the correct sales taxes, avoids underpaying or overpaying taxes on purchases, tracks and reports advanced analytics, and provides support, enabling clients to grow their business, be audit-ready, and mitigate risk.</t>
  </si>
  <si>
    <t>American Beta Corporation, Leaders Fund, PartnerPay Systems, PDK Partners, S3 Ventures, Wild Basin Investments</t>
  </si>
  <si>
    <t>www.ceretax.com</t>
  </si>
  <si>
    <t>492746-14</t>
  </si>
  <si>
    <t>CFX Labs</t>
  </si>
  <si>
    <t>Developer of an embedded wallet platform intended to monetize foreign exchange slippage. The company's platform provides value-added services, including know-your-customer compliance, conversion, settlement, risk management, reconciliation, reporting, remittance, and fraud prevention, enabling users to access assistance with acceptance and disbursement of electronic payments from credit cards, debit cards, banks and digital wallets.</t>
  </si>
  <si>
    <t>Antalpha, Builder Capital, Chris McCann, CMT Digital Holdings, Corazon Capital, Decasonic, Fomocraft Ventures, Hard Yaka, Mentha Partners, Metropolitan Capital, MoonPay, New Form Capital, NxGen Ventures, O'Brien Investment Group, Outlier Ventures, PetRock Capital, Prota Ventures, PSL Ventures, Red Dog Capital, Shima Capital, Triton Capital (San Francisco), TrueLayer, Zebec Network</t>
  </si>
  <si>
    <t>www.cfxlabs.com</t>
  </si>
  <si>
    <t>141779-08</t>
  </si>
  <si>
    <t>ClearingBid</t>
  </si>
  <si>
    <t>Developer of a capital markets platform designed to facilitate primary securities offerings. The company provides a platform for initial public offerings, follow-on offerings, at-the-market offerings, fixed-income offerings, and private market transactions through digital order management, market-based price discovery, and share allocation, enabling investors, brokers, issuers, and lead managers to participate in primary securities offerings.</t>
  </si>
  <si>
    <t>FinTech Sandbox, Timothy Pettee</t>
  </si>
  <si>
    <t>www.clearingbid.com</t>
  </si>
  <si>
    <t>491326-57</t>
  </si>
  <si>
    <t>Cozmo AI</t>
  </si>
  <si>
    <t>Developer of a financial platform designed to offer a social banking application to go cashless. The company's platform facilitates features such as sending and receiving money instantly, setting and tracking financial goals, and earning rewards for spending, enabling teenagers and young adults to navigate their finances effortlessly.</t>
  </si>
  <si>
    <t>DIFC Innovation Hub, Dubai Future District Fund, Future100, Goodwater Capital, Hub71, Janus Ventures, MyAsiaVC, Rebel Fund, Samantha Ku, Trampoline Ventures, Y Combinator, ZEMU Venture Capital</t>
  </si>
  <si>
    <t>hellocozmo.ai</t>
  </si>
  <si>
    <t>520480-00</t>
  </si>
  <si>
    <t>Datamart</t>
  </si>
  <si>
    <t>CloudTech &amp; DevOps, FinTech, Industrials, SaaS</t>
  </si>
  <si>
    <t>Developer of a data management software designed to facilitate the automated and secure processing of information. The company's platform facilitates interactions that drastically reduce onboarding or financial product closing cycles, accelerating commercial, legal, and risk processes with results that impact the income statement, enabling users to exchange private information between people, businesses, and financial institutions following strict compliance principles, and to streamline business processes and contracts.</t>
  </si>
  <si>
    <t>Banco Santander Peru, BICE Ventures, Falabella, Krealo, Moonvalley Capital, SantanderX</t>
  </si>
  <si>
    <t>www.datamart.co</t>
  </si>
  <si>
    <t>455181-40</t>
  </si>
  <si>
    <t>Deephaven</t>
  </si>
  <si>
    <t>Developer of a proprietary data engine designed to store and manipulate large amounts of real-time data. The company's platform develops data-driven applications and analytics to build and share real-time visualizations and monitors, enabling clients to access and ingest data directly from popular, standard formats.</t>
  </si>
  <si>
    <t>deephaven.io</t>
  </si>
  <si>
    <t>223547-77</t>
  </si>
  <si>
    <t>Fintual</t>
  </si>
  <si>
    <t>Developer of a digital investment platform designed to facilitate financial investment advisory services. The company's platform utilizes artificial intelligence to measure the risk profile and make recommendations according to the terms of the investment, enabling clients to get basic knowledge in finance to invest money online.</t>
  </si>
  <si>
    <t>99 Startups, Actions Capital, Alex Gálvez, ASDF Ventures, Chile Ventures, Fen Ventures, Hi Ventures, Jean-Denis Greze, Kaszek, KSK Angel Fund, Magic Fund, Oskar Hjertonsson, Sequoia Capital, Spectra Investments, VilCap Investments, Village Capital, Y Combinator</t>
  </si>
  <si>
    <t>www.fintual.cl</t>
  </si>
  <si>
    <t>295069-69</t>
  </si>
  <si>
    <t>Flip</t>
  </si>
  <si>
    <t>Operator of a financial application intended to make interbank transfers free of charge. The company's application specializes in free interbank transfer services, which are innovative in providing fair financial services so that everyone everywhere can do various kinds of money transactions with a far better experience, seamlessly, swiftly, and securely, enabling users to save money in interbank transfer fees.</t>
  </si>
  <si>
    <t>Block, Fintech Nation, Gokul Rajaram, Guillaume Pousaz, Insight Partners (New York), Insignia Ventures Partners, Michael Vaughan, Peak XV Partners, Scale Up by Endeavor, Sequoia Capital, Tencent Holdings</t>
  </si>
  <si>
    <t>www.flip.id</t>
  </si>
  <si>
    <t>896126-59</t>
  </si>
  <si>
    <t>Flowglad</t>
  </si>
  <si>
    <t>Developer of a workflow automation platform designed to analyze, automate, and manage processes across multiple business systems. The company offers cross-system workflow automation, contextual data management, and centralized knowledge management capabilities, enabling enterprise teams to streamline operations, improve collaboration, and automate business processes across connected applications.</t>
  </si>
  <si>
    <t>Essence Venture Capital, Restive Ventures, Y Combinator</t>
  </si>
  <si>
    <t>www.flowglad.com</t>
  </si>
  <si>
    <t>343278-37</t>
  </si>
  <si>
    <t>Givinga</t>
  </si>
  <si>
    <t>Developer of a cloud-enabled philanthropic platform designed to allocate funds to trustworthy charities. The company's platform allows users to research a plethora of charities that are vetted and certified, helps process charitable payments, streamlines operations, and provides insights, enabling enterprise-level partners to power workplace giving and volunteering remedies, startups to reimagine charitable giving, and financial services companies to offer social impact charitable investment funds.</t>
  </si>
  <si>
    <t>Hasatano Capital</t>
  </si>
  <si>
    <t>www.givinga.com</t>
  </si>
  <si>
    <t>267265-45</t>
  </si>
  <si>
    <t>Grain (Oakland)</t>
  </si>
  <si>
    <t>Developer of a credit financing platform designed to offer an alternative to credit cards. The company's platform provides a revolving line of credit based on the cash flow that can be accessed through an existing debit card without issuing a card, enabling users to get a line of credit without a credit score criterion by offering based on cash flow and salary.</t>
  </si>
  <si>
    <t>Aperture Venture Capital, Beyond (Greenwich), Bluepalm Capital Partners, Bradley Horowitz, Cartography Capital, Diode Capital, Dupe Ventures, Duro Ventures, Fiat Ventures, Gaingels, Global FinTech Venture Partners, Herbert Robson, Leonis Investissement, Michael Fedyna, Michael Jarmuz, New Community Transformation Fund, Noveus Capital, OMVC, Pioneer Fund, Plug and Play Tech Center, Red Dog Capital, Red Hook Capital, Robert Tankson, Sage Hill Investors, Santiago Santos, Sean Byrnes, SLVC, Sundeep Ahuja, TAD Tech, Tamar Capital, Urban Innovation Fund, Vectr Ventures, Y Combinator</t>
  </si>
  <si>
    <t>www.grain.credit</t>
  </si>
  <si>
    <t>1238626-99</t>
  </si>
  <si>
    <t>Haven (Berlin)</t>
  </si>
  <si>
    <t>Developer of an on-chain marketplace for tokenized fixed income instruments designed for decentralized access to real-world assets. The company's platform enables integration of traditional low-volatility, predictable-yield products into blockchain systems, supports transactions using stablecoins, provides an interface for asset discovery and execution, and incorporates contract-based settlement and transparent yield tracking, enabling digital asset users to access conventional financial returns through decentralized infrastructure.</t>
  </si>
  <si>
    <t>Apus Capital (China), Block Pulse, Candaq Group, ZC Capital</t>
  </si>
  <si>
    <t>www.haven.financial</t>
  </si>
  <si>
    <t>501317-20</t>
  </si>
  <si>
    <t>HubSync</t>
  </si>
  <si>
    <t>Developer of a tax integration platform designed to replace multiple separate tools with a single integrated system. The company's platform simplifies and automates the tax preparation and consulting process for tax and accounting with radical technology solutions, enabling tax professionals to plan and analyze their tax and accounting, promoting visibility, simplifying collaboration, reducing risk, and delivering an improved digital experience for their clients.</t>
  </si>
  <si>
    <t>Nashville Capital Network, Rockmont Partners, Thoma Bravo</t>
  </si>
  <si>
    <t>www.hubsync.com</t>
  </si>
  <si>
    <t>462380-23</t>
  </si>
  <si>
    <t>MediaHedge</t>
  </si>
  <si>
    <t>Operator of a lending platform intended for television and film projects. The company's platform simplifies the loan application process and improves the efficiency of acquiring loans and capital while expanding the market for borrowers, providing producers, directors, actors, and studios with click-button media financing to begin their projects.</t>
  </si>
  <si>
    <t>Advanced Technology Development Center, Bronze Valley, Collab Capital, Madison Trust Company, Osparna, Savannah College of Art and Design Endowment, Southbox Capital, TiE Atlanta Angels, TriplePoint Capital, Wocstar</t>
  </si>
  <si>
    <t>www.filmhedge.com</t>
  </si>
  <si>
    <t>483067-45</t>
  </si>
  <si>
    <t>NayaOne</t>
  </si>
  <si>
    <t>Developer of a fintech vendor delivery infrastructure platform designed to help enterprises discover, validate, and scale third-party capabilities securely and efficiently. The company's platform combines the enterprise gateway marketplace, synthetic data libraries, and air-gapped test environments to accelerate delivery roadmaps, enabling rapid innovation without compromising compliance or control.</t>
  </si>
  <si>
    <t>Carthona Capital, EJF Ventures, FinTech Innovation Lab, FIS Fintech Accelerator, Grow London, Plug and Play Tech Center, The Venture Center, Valley Ventures</t>
  </si>
  <si>
    <t>www.nayaone.com</t>
  </si>
  <si>
    <t>434797-48</t>
  </si>
  <si>
    <t>ONEFi</t>
  </si>
  <si>
    <t>Developer of an artificial intelligence-based money management application designed to manage and monitor over 300 global banks' accounts and Web3 portfolios. The company's application allows users to export global financial reports to verify their global asset's value in web2 &amp; web3 and personal information, thereby enhancing their financial portfolio in web2 and web3.</t>
  </si>
  <si>
    <t>Standard Perpetual, Startupbootcamp Holding</t>
  </si>
  <si>
    <t>www.onefi.io</t>
  </si>
  <si>
    <t>490365-64</t>
  </si>
  <si>
    <t>Pluto (Dubai)</t>
  </si>
  <si>
    <t>Developer of a modern corporate card and expense management platform designed to streamline business spending and improve financial control. The company's platform offers smart corporate cards, automated budget controls, and real-time insights, enabling businesses of all sizes to manage expenses efficiently and stay compliant with internal policies.</t>
  </si>
  <si>
    <t>A*, Adapt Ventures, Born Capital (California), Evolution (Venture Capital), Freesearch Ventures, Global Founders Capital, Goanna Capital, Graph Ventures, Janus Ventures, Jeremy Cai, Karim Atiyeh, Motive Partners, OldSlip Group, Patrick McCormick, Ramp, Rhino Ventures, SandStorm VC, Shaan Puri, Soma Capital, Stonewater Ventures, Suya Ventures, Thejo Kote, Tiferes Ventures, Verissimo Ventures, William Hockey</t>
  </si>
  <si>
    <t>www.getpluto.com</t>
  </si>
  <si>
    <t>431561-80</t>
  </si>
  <si>
    <t>Retirable</t>
  </si>
  <si>
    <t>Developer of a personalized retirement planning platform designed to prepare people for their future post-work. The company's platform helps to guide its customers towards peace of mind by offering distinct, actionable human advice for them to lead a stress-free life post-retirement, enabling people nearing retirement age to gain the required financial stability after their professional lives.</t>
  </si>
  <si>
    <t>Abby Levy, Cambrian Fintech, Clocktower Ventures, Diagram Ventures, EOS Ventures, Frazer Anderson, Gratitude Railroad, HDS Capital, IA Capital Group, MassChallenge, Nationwide Ventures, Portage, Primary Venture Partners, Primetime Partners, SilverCircle, Vestigo Ventures, Western &amp; Southern Financial Group</t>
  </si>
  <si>
    <t>www.retirable.com</t>
  </si>
  <si>
    <t>513441-91</t>
  </si>
  <si>
    <t>Sav (Financial Services)</t>
  </si>
  <si>
    <t>Developer of an AI-powered fintech platform designed to help consumers save, invest and manage credit continously. The company's platform offers a unified experience that turns raw banking data into real-time financial intelligence and helps them save money, reduce debt, and build wealth, enabling consumers to take actions that are automatically regulated in the UAE and expanding across the GCC.</t>
  </si>
  <si>
    <t>Future100, Google Accelerator, KAUST Innovation Ventures, Majlis Investment Management, Microsoft for Startups, Sanabil 500 MENA Seed Accelerator, Standard Chartered Bank Women in Tech UAE, Village Capital</t>
  </si>
  <si>
    <t>www.sav.money</t>
  </si>
  <si>
    <t>498555-01</t>
  </si>
  <si>
    <t>Shinkansen</t>
  </si>
  <si>
    <t>Provider of an agentic treasury platform designed to manage business payments and banking operations across Latin America. The company offers direct bank connectivity, secure payment infrastructure, and built-in traceability and oversight tools, enabling startups, banks, and asset managers to automate treasury operations with greater control and reliability.</t>
  </si>
  <si>
    <t>0BS (Mexico), Aztec fund 0BS, BICE Ventures, Chile Ventures, Daniel Undurraga, Endeavor Chile, Fen Ventures, Fintual, GG Capital (Santiago), Hi Ventures, Krealo, Pedro Pineda, Platanus Ventures, Salkantay Ventures</t>
  </si>
  <si>
    <t>www.shinkansen.finance</t>
  </si>
  <si>
    <t>436040-56</t>
  </si>
  <si>
    <t>Synder</t>
  </si>
  <si>
    <t>Developer of cloud-based accounting software designed to serve e-commerce businesses. The company's platform helps with instant analytics and reporting, automated accounting and reconciliation, and swift invoicing designed specifically for online companies, enabling businesses to have complete automation of their accounting and connect all sales channels into one common ecosystem.</t>
  </si>
  <si>
    <t>American Institute of Certified Public Accountants, Born Capital (California), Igor Shoifot, Smart Partnership Capital, TMT Investments, Y Combinator</t>
  </si>
  <si>
    <t>www.synder.com</t>
  </si>
  <si>
    <t>534520-54</t>
  </si>
  <si>
    <t>Tradable</t>
  </si>
  <si>
    <t>Developer of a private asset marketplace designed to provide access to institutional-quality investment opportunities and streamline alternative asset transactions. The company offers end-to-end software for syndication and co-investment workflows with automated administrative processes and integrated strategy tokenization tools, enabling investment managers and asset sponsors to simplify capital raising, reduce operational complexity, and access broader pools of investors.</t>
  </si>
  <si>
    <t>ParaFi Capital, Spring Labs, Victory Park Capital Advisors</t>
  </si>
  <si>
    <t>www.tradable.xyz</t>
  </si>
  <si>
    <t>54888-04</t>
  </si>
  <si>
    <t>Tuition.io</t>
  </si>
  <si>
    <t>Developer of a student loan management platform intended for employers to offer as an employee benefit. The company's platform allows employees to consolidate and manage their student loans, track progress towards repayment, and potentially increase monthly payments, resulting in faster debt payoff and reduced delinquency rates, helping employers attract and retain talent by addressing a major financial burden for many workers.</t>
  </si>
  <si>
    <t>Atom Factory, Chartline Capital Partners, Guardian Life Insurance Company of America, Horace Mann Educators, MassMutual Ventures, Mohr Davidow Ventures, Wildcat Venture Partners</t>
  </si>
  <si>
    <t>www.tuition.io</t>
  </si>
  <si>
    <t>482654-35</t>
  </si>
  <si>
    <t>Uplinq</t>
  </si>
  <si>
    <t>Developer of an artificial intelligence-based financial technology platform designed for automating bookkeeping. The company's platform translates historical financials into verifiable data, metrics, and actionable intelligence with a financial system to automate data entry, categorize transactions with remarkable accuracy, and identify potential, enabling small and medium-sized businesses to focus on customers and receive advanced financial intelligence.</t>
  </si>
  <si>
    <t>AZ Venture Capital, Copper Sky Capital, Live Oak Ventures, Merus Capital, Next Coast Ventures, Plug and Play Tech Center</t>
  </si>
  <si>
    <t>www.uplinq.com</t>
  </si>
  <si>
    <t>466936-57</t>
  </si>
  <si>
    <t>Velvet</t>
  </si>
  <si>
    <t>Developer of an intelligence infrastructure platform designed to connect growth and pre-public companies with institutional private market investors. The company's platform offers structured deal discovery tools, shared due diligence workflows, and coordinated decision tracking, enabling institutional investors and capital networks to evaluate and engage with growth-stage companies through a centralized system.</t>
  </si>
  <si>
    <t>10X Capital, Arieli Group, ATMA Capital, Convoi Ventures, Entrepreneur Ventures (Los Angeles), Gaingels, Lassonde Entrepreneur Institute, Material V, Mimosa Ventures, Outlander VC, Republic Venture Fund, Singularity Capital, TechMeets Trader, Winklevoss Capital Management</t>
  </si>
  <si>
    <t>www.velvet.vc</t>
  </si>
  <si>
    <t>231711-85</t>
  </si>
  <si>
    <t>Vexi</t>
  </si>
  <si>
    <t>Provider of digital credit cards tailored for underserved and underbanked populations in Latin America. The company platform provides a secure, no-annual-fee credit card designed to help users establish and grow their credit history. The company enables young adults and gig workers to access formal credit, manage expenses responsibly, and build long-term financial health, and integrates educational tools and behavior-based incentives to promote financial literacy and reduce delinquency rates.</t>
  </si>
  <si>
    <t>Accial Capital, ARK Investment Management, Arkangeles, Cats.VC, ENLACE +, Finnovista, Fuse Capital (Private Equity), G2 Momentum Capital, Google Accelerator, Irrazonables, Magma Partners, MassChallenge, Meta Platforms, Mexamerica Ventures, NOA Capital, Pomona Impact, Rebalance Capital, Redwood Ventures, Startupbootcamp Holding, The Ark Fund, Trebol Capital, VilCap Investments, Village Capital</t>
  </si>
  <si>
    <t>www.vexi.mx</t>
  </si>
  <si>
    <t>498166-84</t>
  </si>
  <si>
    <t>Waya</t>
  </si>
  <si>
    <t>Developer of a digital banking platform designed for providing affordable and inclusive banking services to underserved communities in the USA. The company provides access to bank accounts and financial services like debit cards, bank transfers, credit building and domestic and international money transfer services, enabling customers to empower themselves through achieving financial aspirations.</t>
  </si>
  <si>
    <t>RevTech Labs Capital, Village Capital</t>
  </si>
  <si>
    <t>www.getwaya.com</t>
  </si>
  <si>
    <t>538020-55</t>
  </si>
  <si>
    <t>Welli</t>
  </si>
  <si>
    <t>Developer of a medical loan platform financing intended to provide funds for medical procedures. The company's platform specializes in providing financial loans for plastic surgery, fertility, odontology, auditory, general medicine, aesthetics and dermatology, enabling customers to access treatment and approval from a doctor's office, and receive a new line of credit without having to max out a credit card.</t>
  </si>
  <si>
    <t>ANIMO Ventures, Community Investments Management, Costanoa Ventures, Crestone Venture Capital, Fondation Botnar, Krealo, New Ventures Capital, Salkantay Ventures</t>
  </si>
  <si>
    <t>www.welli.com.co</t>
  </si>
  <si>
    <t>497514-61</t>
  </si>
  <si>
    <t>Wirepay</t>
  </si>
  <si>
    <t>Developer of a money transfer platform designed to be the financial operating system for businesses and consumers across Africa. The company's platform allows users to receive, hold, and make payments in multiple currencies, create virtual and physical cards, and pay bills seamlessly, enabling customers to keep track of money with real-time alerts on all account activities.</t>
  </si>
  <si>
    <t>Armyn Capital, Babatunde Ogundeyi, Berrywood Capital, Brandon Kreig, Cliff Hazelton, Dunbar Capital, Edward Robinson, Golden Palm Investments, GreenHouse Capital, Michael Vaughan, MyAsiaVC, ODF, Polymath Capital Partners, Realm Capital Ventures, Sean Mahsoul, Strawhat Investment, The Fintech Fund, Unpopular Ventures, Valar Ventures</t>
  </si>
  <si>
    <t>www.sendwirepay.com</t>
  </si>
  <si>
    <t>244708-30</t>
  </si>
  <si>
    <t>Your Money Line</t>
  </si>
  <si>
    <t>Developer of workplace financial wellness and education platform designed to simplify financial education. The company's platform offers a financial literacy program for employees, and also provides financial advisory and planning services, enabling employees and individuals access to financial planning and management tools.</t>
  </si>
  <si>
    <t>Allos Ventures, CareSource (Managed Care), Elevate Ventures, First Trust Capital Partners, Gravity Ventures, Ground Game Ventures, Innovatemap, UKG, Wheaton</t>
  </si>
  <si>
    <t>www.yourmoneyline.com</t>
  </si>
  <si>
    <t>438576-76</t>
  </si>
  <si>
    <t>ESGTech</t>
  </si>
  <si>
    <t>Developer of ESG tools designed to create a verifiable environmental and social governance dataset and change the way capital is distributed moving forward. The company's tools simplify environmental and social governance reporting, provide the transparency and certainty required for corporations and structures, and aggregate non-financial risk (NFR) data collected for banks and investors to integrate into existing risk and investment tools, enabling corporates, capital providers, and other stakeholders to help collect, manage, and disclose material and actionable environmental and social governance data.</t>
  </si>
  <si>
    <t>Global Green Economic Foundation, Hauptstadt Capital, Mark Barnard, Mount Row Partners, Olden Holdings, Walter De Oude</t>
  </si>
  <si>
    <t>www.esgtech.co</t>
  </si>
  <si>
    <t>160681-33</t>
  </si>
  <si>
    <t>Swisspeers</t>
  </si>
  <si>
    <t>Developer of a crowdlending platform designed to allow companies to raise debt directly from investors. The company's platform obtains outside capital directly from investors, without the intermediary of a financial institution, creates a simple alternative to traditional bank loans, and is completely transparent, enabling businesses to get a fast and fair business loan.</t>
  </si>
  <si>
    <t>Basellandschaftliche Kantonalbank</t>
  </si>
  <si>
    <t>www.swisspeers.ch</t>
  </si>
  <si>
    <t>631981-09</t>
  </si>
  <si>
    <t>Bislab</t>
  </si>
  <si>
    <t>Developer of a credit rating and financial crime prevention platform intended to provide credit assessment and intelligent algorithms. The company's platform offers services including credit rating, anti-fraud and money laundering detection and transaction analysis, enabling users to automate risk monitoring and detection.</t>
  </si>
  <si>
    <t>Bent Skisaker, Christoffer Herheim, Frank Vikingstad, Futurum Ventures (Norway), Mastercard Lighthouse, PROfounders Capital, Sondo Capital</t>
  </si>
  <si>
    <t>www.bislab.io</t>
  </si>
  <si>
    <t>229491-28</t>
  </si>
  <si>
    <t>Globacap</t>
  </si>
  <si>
    <t>Artificial Intelligence &amp; Machine Learning, Big Data, Cryptocurrency/Blockchain, FinTech</t>
  </si>
  <si>
    <t>Developer of a digital capital-raising platform designed to automate and significantly streamline post-trade processes. The company's platform focuses on the digitization of all assets through blockchain technology to support businesses in their entire capital lifecycle, offering a single, centralized ecosystem that enables straightforward creation, management, and transactions of digitized equity, enabling users to get frictionless asset creation and transferability.</t>
  </si>
  <si>
    <t>Cboe Global Markets, CoinShares Ventures, ContactPartners, David Chreng, FinTech Innovation Lab, GABI Ventures, Johannesburg Stock Exchange, Moore Strategic Ventures, QBN Capital, Stoic Real Estate Capital, Tezos</t>
  </si>
  <si>
    <t>www.globacap.com</t>
  </si>
  <si>
    <t>865980-64</t>
  </si>
  <si>
    <t>Fortify Solutions</t>
  </si>
  <si>
    <t>Developer of a next-generation risk management platform designed to embed intelligence and automation directly to financial institutions. The company offers behavioral analytics, real-time insights, and automated workflows and helps institutions detect fraud patterns in their transaction and customer data, enabling customers to detect risks, reduce false positives, and minimize financial losses.</t>
  </si>
  <si>
    <t>IP Group, Octopus Ventures, Snowflake Startup Accelerator</t>
  </si>
  <si>
    <t>www.wearefortify.ai</t>
  </si>
  <si>
    <t>437100-67</t>
  </si>
  <si>
    <t>Brick (Financial Software)</t>
  </si>
  <si>
    <t>Developer of a financial application programming interface designed to help create personalized financial products. The company's platform creates financial data application programming interfaces that are real-time, secure and accurate to provide maximum coverage and streamline onboarding and processes by improving conversion and reducing fraud, enabling fintech developers to provide affordable, inclusive, and customized products to their clients.</t>
  </si>
  <si>
    <t>1982 Ventures, Amrish Rau, Andrea Baronchelli, Antler, Better Tomorrow Ventures, Brian Ma, Crusade Partners, Flourish Ventures, Golden Imperial Ventures, Hsu Ooi, Iterative Accelerator, Kunal Shah, Prasetia Dwidharma, Quek Siu Rui, Rally Cap VC, Reynold Wijaya, Shefali Roy, Sima Gandhi, Trihill Capital, Yan Wu</t>
  </si>
  <si>
    <t>www.onebrick.io</t>
  </si>
  <si>
    <t>494958-52</t>
  </si>
  <si>
    <t>Benjamin Capital Partners</t>
  </si>
  <si>
    <t>Developer of a banking platform designed to connect brands, customers and influencers with shareable cash rewards. The company's platform offers debit cards that allow users to get merchant rewards and its iOS and Android applications help match the needs of today's businesses, enabling businesses to experience free, fast, and flexible business banking.</t>
  </si>
  <si>
    <t>Antler, Anton Gauffin, Atinum Investment, Expert DOJO, F4 Fund, Ilkka Teppo, Play Ventures, Shane Happach</t>
  </si>
  <si>
    <t>www.benjaminone.com</t>
  </si>
  <si>
    <t>472510-09</t>
  </si>
  <si>
    <t>Kuunda</t>
  </si>
  <si>
    <t>Provider of digital financial services infrastructure intended for enterprise partners in emerging markets. The company's modular application programming interface-driven platform enables mobile network operators, point-of-sale network providers, fintechs, and banks to offer instant, data-driven lending and savings products to end users, enabling enterprises to deliver instant and responsible lending and savings products to their users without adding operational risk or complexity.</t>
  </si>
  <si>
    <t>4Di Capital, Accion, AXIAN Investment, Dhow Ventures, DotExe Ventures, Entrepreneurs for Entrepreneurs Africa, FINCA Ventures, Fondation Botnar, Fondo Acción, Future Africa, GreenHouse Capital, Kairos Angels, Kepple Africa Ventures, Launch Africa Ventures, Magic Fund, Mercy Corps, Nedbank Private Wealth, Portugal Gateway Fund, Rally Cap VC, Seedstars Africa Ventures, Seedstars International Ventures</t>
  </si>
  <si>
    <t>www.kuunda.com</t>
  </si>
  <si>
    <t>233122-06</t>
  </si>
  <si>
    <t>InvestSuite</t>
  </si>
  <si>
    <t>Developer of an investment application designed for financial institutions to retain clients. The company's application offers white-label products, including a modular robo-advisory explanation and a self-execution trading platform, to launch their own product within a reasonable time frame at an annual fee, avoiding large capital investments, enabling financial businesses to maximize investment returns based on each investor's risk tolerance, financial capacity, and investment preferences.</t>
  </si>
  <si>
    <t>www.investsuite.com</t>
  </si>
  <si>
    <t>231035-41</t>
  </si>
  <si>
    <t>Kingscrowd</t>
  </si>
  <si>
    <t>Developer of a private market ratings and analytics platform designed to serve retail investors and institutions in the fast-growing online private markets. The company's platform provides a model to get access to the tools that capture, rate, and track startup investment, enabling users to make informed data-driven startup investment decisions.</t>
  </si>
  <si>
    <t>10X Venture Partners, Belvedere Strategic Capital, Builders + Backers, DV Partners, E. Mackey, Global Millennial Capital, Jason Koob, Jason Roper, Julie McDermott, LFG Ventures (VC), NC Tweener Fund, Netcapital, Realm Capital Ventures, Scott Kitun, Startup Warrior, Strategic Group, Tribal Ventures, Utopian Ventures (San Francisco)</t>
  </si>
  <si>
    <t>www.kingscrowd.com</t>
  </si>
  <si>
    <t>494496-55</t>
  </si>
  <si>
    <t>TradeAlgo</t>
  </si>
  <si>
    <t>Operator of a market research platform intended to help investors with trading education, technology, and tools. The company's platform helps access real-time data for independent insights through algorithms and artificial intelligence, with the support of digital technology, enabling clients to access market intelligence from accurate sources and control their financial destiny.</t>
  </si>
  <si>
    <t>www.tradealgo.com</t>
  </si>
  <si>
    <t>182862-19</t>
  </si>
  <si>
    <t>Credolab</t>
  </si>
  <si>
    <t>Artificial Intelligence &amp; Machine Learning, Big Data</t>
  </si>
  <si>
    <t>Developer of a behavioral risk scoring platform intended to help lenders assess credit risk and user intent. The company offers analysis of device and behavioral metadata, machine learning models, and a proprietary feature engine, enabling lenders and financial institutions to make data-driven decisions with improved risk assessment and fraud detection.</t>
  </si>
  <si>
    <t>Access Venture Partners, Access Ventures (Asia), Assets Train Global, Cognic Capital, Fintonia Group, GB Group, Gimel Tech Ventures, KAN Investments, Norman Intertrade, Plug and Play Tech Center, Raggione Investments, Reliance Modal Ventura, SLINGSHOT (Singapore), Space Ventures, Walden International, Woodpecker (Distributors/Wholesale)</t>
  </si>
  <si>
    <t>www.credolab.com</t>
  </si>
  <si>
    <t>91733-77</t>
  </si>
  <si>
    <t>Canopy (Singapore)</t>
  </si>
  <si>
    <t>Developer of a data visualization and analytics platform designed to combine financial data into a single portfolio. The company's platform helps in customizing modules for data analysis by creating customized reports to allow relationship managers to view their client data, account aggregation, portfolio analytics, and client reporting solutions, enabling financial institutions and wealth managers to monitor financial investments securely.</t>
  </si>
  <si>
    <t>Analog Capital, Bangkok Bank InnoHub, Blowfish Ventures, Credit Suisse, Dymon Asia, Experian Ventures, Integra Partners (Singapore), LionRock Capital (Singapore), Martin Lechner, Palm Drive Capital, Pioneer Generation, Pureland Group, SEEDS Capital, Serene Capital, XinCheng Investment Limited</t>
  </si>
  <si>
    <t>www.canopy.cloud</t>
  </si>
  <si>
    <t>470587-78</t>
  </si>
  <si>
    <t>BHub</t>
  </si>
  <si>
    <t>Developer of an artificial intelligence-based platform designed to unburden both entrepreneurs and accountants by enabling full outsourcing of all the finance and administrative work. The company's platform offers a range of service subscription packages that include accounting, accounts payable and receivables, legal, human resources, and other processes, enabling startups and small and medium enterprises to reduce time, cost and labor associated with administrative functions.</t>
  </si>
  <si>
    <t>17Sigma, Addition, Aito Capital, BoostLAB, Clocktower Ventures, Drýs Capital, Hedosophia, International Finance Corporation, John Curtius, Latitud, Monashees, Moore Capital Management, Next Billion Ventures, Norte Ventures, Picus Capital, QED Investors, Spectra Investments, Valor Capital Group</t>
  </si>
  <si>
    <t>www.bhub.com</t>
  </si>
  <si>
    <t>483286-96</t>
  </si>
  <si>
    <t>Yetipay (Electronic Components)</t>
  </si>
  <si>
    <t>Developer of a payment device designed for a contactless payment experience for hospitality businesses. The company's device offers table-paying restaurant payment devices that make payments faster, collect more data, guide higher tips and most importantly, guarantee guests a radically better experience, enabling consumers to provide feedback, group invoice splitting, transparent and fair card chips.</t>
  </si>
  <si>
    <t>Alicia Navarro, Atul Bhardwaj, Benjamin Whitaker, Branel Investments, Dot Major, Horseplay Ventures, Inspire Us, InVance Capital, Lloyd Amsdon, Mark Blandford, Nicholas Telson, Paul Statham, re:cap, RZM Investment, Simon Squibb, Superangels, Winforton Investments</t>
  </si>
  <si>
    <t>www.yetipay.me</t>
  </si>
  <si>
    <t>589766-95</t>
  </si>
  <si>
    <t>Rent2Cash</t>
  </si>
  <si>
    <t>Developer of a rental management platform designed for landlords to monetize rents. The company's platform allows property owners to access immediate cash flow by selling the rights to future rental income for a set period, reducing the risk of arrears and contractual problems, enabling clients to get financial services and monetize their monthly payments.</t>
  </si>
  <si>
    <t>Banca Finint, Faro Value, Finanza.tech, SM Capital (San Marino)</t>
  </si>
  <si>
    <t>www.rent2cash.it</t>
  </si>
  <si>
    <t>179069-14</t>
  </si>
  <si>
    <t>The Glue</t>
  </si>
  <si>
    <t>Developer of data engineering systems designed for the financial industry to convert siloed data into actionable information. The company specializes in converting business ideas into operational bank-grade applications and offers end-to-end partnerships to identify, design, build, and scale software and data solutions, and expert technology consulting, enabling clients to cope with their existing challenges and accelerate the execution of their digital strategies.</t>
  </si>
  <si>
    <t>Alpana Ventures, Eurazeo, FutureLabs Ventures, Idinvest Partners, Polytech Ventures Holding, Smartfin(Brussels)</t>
  </si>
  <si>
    <t>www.theglue.com</t>
  </si>
  <si>
    <t>169271-11</t>
  </si>
  <si>
    <t>Pej</t>
  </si>
  <si>
    <t>Developer of business digitalization technology designed to engage guests and grow large food services businesses.The company's platform offers physical payments and ordering by adding new digital services and helps in sales concepts, guest management, and administration offerings, enabling clients to focus on their operations while the company takes care of its buyers.</t>
  </si>
  <si>
    <t>Anders Blomqvist, Joachim Samuelsson, Leapfrogs, Mastercard Lighthouse, Minc, Paul Cronholm, Polynom Investment, Schibsted Ventures, VentureLab (Lund)</t>
  </si>
  <si>
    <t>www.pej.io</t>
  </si>
  <si>
    <t>399122-83</t>
  </si>
  <si>
    <t>Kaitong Jinrong</t>
  </si>
  <si>
    <t>Provider of enterprise-level financial technology solutions. The company's products and solutions aims to provide complete technical support for the issuance of financial assets through their digital platform, from providing financial data, to financial asset registration streamlining, to pre/mid/post investment management services.</t>
  </si>
  <si>
    <t>SB China Venture Capital</t>
  </si>
  <si>
    <t>www.ktjr.com</t>
  </si>
  <si>
    <t>500957-11</t>
  </si>
  <si>
    <t>SAPI (Financial Software)</t>
  </si>
  <si>
    <t>Developer of embedded financing platform designed to offer fast and attractive on-platform financing. The company's platform offers a custom loan program by underwriting, integration, and access to capital, enabling the clients to offer fast and attractive business financing for their merchants.</t>
  </si>
  <si>
    <t>Edward Lando, Hudson Cove Capital Management, Jonathan Oringer, Launchbay Capital, Michele Attisani, Nadav Chanoch, Pareto Holdings, Passion Capital, Start Capital, Syndicate One, T0 Ventures, Triple A Capital (England)</t>
  </si>
  <si>
    <t>www.sapi.com</t>
  </si>
  <si>
    <t>515147-05</t>
  </si>
  <si>
    <t>Atoa</t>
  </si>
  <si>
    <t>Developer of a financial platform designed to manage the transfer of payments. The company's platform offers in-store quick-response (QR) payment, phone QR payment, and payment by short message service to securely complete transactions, helping merchants accept online and offline payment via bank transfer in a fast and secure way at a lower cost.</t>
  </si>
  <si>
    <t>Anil Stocker, Leo Capital, Matt Robinson, Monzo Bank, Moon Capital, Passion Capital, Valar Ventures</t>
  </si>
  <si>
    <t>www.paywithatoa.co.uk</t>
  </si>
  <si>
    <t>483245-56</t>
  </si>
  <si>
    <t>CashRepublic</t>
  </si>
  <si>
    <t>Provider of financial services intended to offer individuals and small businesses with an intuitive and transparent experience. The company provides zero commitment, low fees, and instant access to money, it aims to democratize access to financial services putting customers in full control of their financial lives, enabling customers to get cash in order to send money to their friends, family and money orders.</t>
  </si>
  <si>
    <t>www.cashrepublic.com</t>
  </si>
  <si>
    <t>178329-16</t>
  </si>
  <si>
    <t>Clade (Delaware)</t>
  </si>
  <si>
    <t>Developer of an AI-powered investment platform designed to support capital allocators in the finance industry. The company's platform automates workflows and processes unstructured data into actionable insights, saving time for investment teams, increasing decision-making speed, and contributing to enhanced transparency and liquidity in private markets, enabling institutional investors to operate with greater precision and efficiency.</t>
  </si>
  <si>
    <t>Brian McSweeney, E. J. McKay, Five Four Ventures, InterAlpen Partners, Larsen Ventures, Mark Gerson, Unistone Ventures (China)</t>
  </si>
  <si>
    <t>www.clade.co</t>
  </si>
  <si>
    <t>521395-30</t>
  </si>
  <si>
    <t>KredosAi</t>
  </si>
  <si>
    <t>Developer of a fintech platform designed to improve payment outcomes by utilizing generative AI trained on domain-specific knowledge. The company's platform leverages artificial intelligence and behavioral economics to personalize customer interactions, utilizing dynamic communication tools and multi-armed bandit testing, enabling companies to reduce delinquency rates and enhance revenue recovery.</t>
  </si>
  <si>
    <t>BMW i Ventures, Early Light Ventures, Motley Fool Ventures, Okapi Venture Capital, SaaS Ventures, SeaChange Fund, StartFast Ventures, Stout Street Capital, Walter Ventures</t>
  </si>
  <si>
    <t>www.kredosai.com</t>
  </si>
  <si>
    <t>515501-29</t>
  </si>
  <si>
    <t>CreditNature</t>
  </si>
  <si>
    <t>Operator of an ecosystem investment platform intended to connect corporates with nature restoration projects. The company offers project development support, compliance with global disclosure frameworks, and return-on-impact assessments, enabling businesses to invest in high-integrity environmental projects and demonstrate sustainability commitments.</t>
  </si>
  <si>
    <t>CivTech Scotland, Climatebase, Microsoft for Startups, NatureScot, The Scottish Government</t>
  </si>
  <si>
    <t>www.creditnature.com</t>
  </si>
  <si>
    <t>491278-60</t>
  </si>
  <si>
    <t>Penny</t>
  </si>
  <si>
    <t>Developer of an artificial intelligence-based financial platform designed to provide pension consolidation. The company's platform optimizes finding, viewing, and managing pensions by checking bank balances through a dashboard that offers information about multiple pension-linked accounts, enabling users to find pensions from old jobs and keep track of those funds by transferring them to the application.</t>
  </si>
  <si>
    <t>10x Founders, Active Capital (London), Alphabet, Gradient Ventures, Hristo Borisov, SFC Capital, Thomas Blomfield</t>
  </si>
  <si>
    <t>pennypension.com</t>
  </si>
  <si>
    <t>223873-84</t>
  </si>
  <si>
    <t>Jassby</t>
  </si>
  <si>
    <t>Developer of a mobile payment platform designed to offer a free, easy-to-use, and completely secure payment gateway. The company's platform helps parents to give their children money in the digital age without using cash, credit and debit cards, or checks, enabling parents to help their children manage their own money.</t>
  </si>
  <si>
    <t>Blumberg Capital, Correlation Ventures, Florida Funders, Moneta Venture Capital, Needham Bank, Plug and Play Tech Center, Symetryx Corporation</t>
  </si>
  <si>
    <t>www.jassby.com</t>
  </si>
  <si>
    <t>119268-01</t>
  </si>
  <si>
    <t>IndiaLends</t>
  </si>
  <si>
    <t>Developer of a digital lending and borrowing marketplace platform designed to provide unsecured consumer lending. The company's platform connects consumers and small businesses with financial institutions looking for low-rate loans, with investors looking for good returns, providing data analytics and risk-scoring services, enabling customers to access an efficient and affordable lending process.</t>
  </si>
  <si>
    <t>ACP Partners, AdvantEdge Founders, AMEX Ventures, Cyber Carrier, Deepak Parekh, Gautham Radhakrishnan, Google Accelerator, IndoStar Capital Finance, Paragon Partners, Siddharth Parekh, Startup Haryana</t>
  </si>
  <si>
    <t>www.indialends.com</t>
  </si>
  <si>
    <t>399268-18</t>
  </si>
  <si>
    <t>Julaya</t>
  </si>
  <si>
    <t>Developer of an integrated financial management system designed for managing all facets of corporate payments and collections. The company's platform facilitates secure bulk money transfers via both Mobile Money and traditional bank channels, manages instant collection of cash and mobile deposits, handles supplier payments and invoicing, and offers features for multi-entity management with detailed sub-accounts, access control for validation workflows, real-time transaction tracking, and comprehensive accounting exports, enabling enterprises to centralize their financial operations, significantly reduce time spent on payment administration, and enhance the security of their day-to-day transactions.</t>
  </si>
  <si>
    <t>50 Partners, CDC-CI Capital, Damien Guermonprez, Edouard Mendy, EQ2 Ventures, Incubateur HEC Paris, Jader Capital, Jedar Capital, Launch Africa Ventures, Mohamed Dibi, Olivier Tilloy, Onafriq UK Holdings, Orange Ventures, Saviu Ventures, Speedinvest, Techmind, UNIQA Ventures, Unpopular Ventures, Verod-Kepple Africa Ventures, Zedcrest Group</t>
  </si>
  <si>
    <t>julaya.co</t>
  </si>
  <si>
    <t>163234-18</t>
  </si>
  <si>
    <t>EMAsphere</t>
  </si>
  <si>
    <t>Developer of a performance management platform intended to provide valuable and operational insights to optimize performance. The company's tools offer assistance in accounting and operational information and connect to specific systems and Excel sheets, enabling businesses to access online dashboards that are updated daily to show the progress toward customer-defined key performance indicators.</t>
  </si>
  <si>
    <t>4Ventures, Dedicated Venture Capital, SambrInvest, welovefounders, Whitestone Partners</t>
  </si>
  <si>
    <t>www.emasphere.com</t>
  </si>
  <si>
    <t>458672-95</t>
  </si>
  <si>
    <t>Integrated Finance</t>
  </si>
  <si>
    <t>Developer of a cloud-native financial infrastructure platform designed to provide on-demand core financial services and integration workflows. The company offers products for application programming interface (API)-enabled core banking and product integration, along with providing features such as building and launching financial products, customer engagement, and open banking APIs, enabling fintech businesses to reduce setup time and focus on product development. .</t>
  </si>
  <si>
    <t>500 Global, Charles Delingpole, Chris Adelsbach, e2vc, Grow London, John Erdimansinga, Navigate Ventures, Octopus Ventures, Quadri Ventures, Srin Madipalli, Startupfon, SuperSeed, Tanuki Studio</t>
  </si>
  <si>
    <t>www.integrated.finance</t>
  </si>
  <si>
    <t>433515-70</t>
  </si>
  <si>
    <t>Xen Technologies</t>
  </si>
  <si>
    <t>Developer of an online fundraising platform designed to facilitate private investments. The company's platform offers an AI-powered onboarding process, subscription to top-tier funds, and investment opportunities, enabling investors to access institutional-grade investments, greater autonomy in decision-making, and a seamless digital experience.</t>
  </si>
  <si>
    <t>BlackPine Group, Headline, IRONGREY, M Venture Partners, Magellan Venture Capital, Neptune Partners (USA), SeAH Holdings, TTB Partners</t>
  </si>
  <si>
    <t>xencapital.com</t>
  </si>
  <si>
    <t>265595-41</t>
  </si>
  <si>
    <t>Peloton Technologies (Financial Software)</t>
  </si>
  <si>
    <t>Developer of a unified payments platform designed to provide small and medium enterprises with all payment channels in one portal. The company's platform offers features like secure storage of sensitive payment information, document management, email or message notifications and scheduling, enabling companies to provide payment consulting, domestic and international fund transfers, currency exchange, card acceptance and merchant accounts.</t>
  </si>
  <si>
    <t>Government of Canada</t>
  </si>
  <si>
    <t>www.peloton-technologies.com</t>
  </si>
  <si>
    <t>279714-16</t>
  </si>
  <si>
    <t>Revio Insight</t>
  </si>
  <si>
    <t>Developer of a financial platform designed to support community banks and credit unions. The company's platform offers an artificial intelligence-based and API-driven platform that helps community banks and credit unions generate additional revenue from existing customers by matching their needs, which are often hidden in the institutions' core transaction data, with highly-targeted cross-selling strategies, enabling clients to operate more efficiently, effectively and securely by removing the stresses of managing complex systems and complicated contracts.</t>
  </si>
  <si>
    <t>BankTech Ventures, Coastal Financial, EJF Ventures, First Federal Savings Bank of Elizabethtown, First Financial Bank, Kearny Bank, Lancaster Investments, Provident Bancorp, Sunwest Bank, Tampa Bay Wave, The Venture Center</t>
  </si>
  <si>
    <t>www.revioinsight.com</t>
  </si>
  <si>
    <t>443135-80</t>
  </si>
  <si>
    <t>Suma (Financial Software)</t>
  </si>
  <si>
    <t>Developer of a digital platform designed to teach the Latino community how to build and sustain wealth. The company's platform uses the holistic approach of digital media, fintech, and virtual experiences to introduce topics of investment, debt management, and creating and sustaining wealth, enabling clients in the Latino community to deal with their financial issues and resolve them hassle-free.</t>
  </si>
  <si>
    <t>2045 Ventures, Altalurra Ventures, Anna Barber, Arlan Hamilton, Ascendo Venture Capital, Backstage Capital, Carmen Palafox, Chingona Ventures, Everywhere Ventures, Female Founders Fund, Fintech Next, Gaingels, How Women Invest, Ilse Calderon, Impact Assets, Ivelisse Simon, Kwanza Jones &amp; José E. Feliciano Supercharged Initiative, Lolita Taub, Noramay Cadena, One World, OVO Fund, Portfolia, Raina Kumra, RevTech Labs Capital, Samara Hernandez, Silicon Valley Social Venture Fund, Ulu Ventures, VamosVentures, VITALIZE Venture Capital</t>
  </si>
  <si>
    <t>www.sumawealth.com</t>
  </si>
  <si>
    <t>438307-39</t>
  </si>
  <si>
    <t>Divilo</t>
  </si>
  <si>
    <t>Developer of a financial platform designed to facilitate digital payments for companies and freelancers. The company's software offers business-to-business payment features such as a payment system, online account opening, and setting card limits, among others, enabling businesses to carry out transactions in real-time without leaving the office.</t>
  </si>
  <si>
    <t>Gobe Ventures, Scaleup Spain Network, Visa Innovation Program</t>
  </si>
  <si>
    <t>www.divilo.io</t>
  </si>
  <si>
    <t>182773-54</t>
  </si>
  <si>
    <t>Aqumon</t>
  </si>
  <si>
    <t>Developer of a smart wealth management platform intended to offer financial planning, investment management, and global asset allocation services. The company's platform uses artificial intelligence algorithm to provide asset analysis and tailored investment portfolios based on the user's investment goals, enabling users to obtain intelligent financial investment allocation service.</t>
  </si>
  <si>
    <t>Alibaba Entrepreneurs Fund, Bohai Industrial Investment Fund Management, Cyberport Hong Kong, Gobi Partners, HKUST Business School, Lenovo Capital and Incubator Group, Plaxo, WHub, Wing Lung Bank, Wings Capital Ventures, Zheng He Capital Management</t>
  </si>
  <si>
    <t>www.aqumon.com</t>
  </si>
  <si>
    <t>149925-34</t>
  </si>
  <si>
    <t>Comein Finance</t>
  </si>
  <si>
    <t>Provider of investment research and analysis platform designed for professional investors. The company's investment research and analysis is based on deep research, company investigations, and industry expert analysis, enabling institutional investors, including public funds, banks, trusts, insurance, securities management, and private funds to make informed investment decisions.</t>
  </si>
  <si>
    <t>Gaocheng Capital, Ivy Capital (Shanghai), QF Capital, Shenzhen National Independent Innovation Center, Tencent Holdings, Zexian Investment</t>
  </si>
  <si>
    <t>www.comein.cn</t>
  </si>
  <si>
    <t>442341-19</t>
  </si>
  <si>
    <t>Predictiva</t>
  </si>
  <si>
    <t>Developer of autonomous artificial intelligence trading platforms designed for financial trading efficiency across multiple asset classes. The company's platform offers technology powered by deep reinforcement learning and adaptive machine learning algorithms, enabling users to achieve consistent market gains while eliminating human bias and emotional trading risks.</t>
  </si>
  <si>
    <t>Amazon Web Services, Google Accelerator, Innovate UK, International Business Machines, Microsoft</t>
  </si>
  <si>
    <t>www.predictiva.co.uk</t>
  </si>
  <si>
    <t>108724-69</t>
  </si>
  <si>
    <t>EasyRewardz</t>
  </si>
  <si>
    <t>Developer of customer engagement and loyalty management platforms designed to help businesses manage customer relationships, improve retention, and drive repeat interactions. The company's platform offers omnichannel marketing tools, loyalty programs, customer data management, lead tracking, and campaign analytics, enabling retail, healthcare, banking, direct-to-consumer, and business enterprises to build personalized interactions and strengthen long-term customer relationships.</t>
  </si>
  <si>
    <t>Ashish Kacholia, Flipkart, Gaurav Singhvi Ventures, IIFL Finance, Netcore Cloud, Prachetas Capital, Startup Haryana, Wealth First</t>
  </si>
  <si>
    <t>www.easyrewardz.com</t>
  </si>
  <si>
    <t>484682-86</t>
  </si>
  <si>
    <t>DigiDoe</t>
  </si>
  <si>
    <t>FinTech, Infrastructure</t>
  </si>
  <si>
    <t>Developer of a financial services platform designed to support large enterprises and financial institutions in managing global transactions and financial operations. The company offers multi-currency accounts, international payments, foreign exchange services, embedded financial tools, a patented AI-driven vector-based transaction monitoring system, and multifactor biometric identification, enabling businesses and banks to prevent financial crime and improve operational efficiency.</t>
  </si>
  <si>
    <t>Ergos (Slovakia), Flashpoint Venture Capital Group, I2BF Global Ventures, Joint Journey Intelligent Investments, PLF (NewYork)</t>
  </si>
  <si>
    <t>www.digidoe.com</t>
  </si>
  <si>
    <t>126677-35</t>
  </si>
  <si>
    <t>Expend</t>
  </si>
  <si>
    <t>Developer of expense management software and payment cards designed to improve the business expenses process. The company's software offers mileage tracking, accounting integration, cash management, real-time tracking, instant reports, and innovative payment cards, enabling businesses to manage their expenses with reduced complexity.</t>
  </si>
  <si>
    <t>Craig Dewar, Grow London, GrowthInvest, Ian Hutchinson, Longbrook Ventures, Metro Bank, NatWest Group, Oxford Technology Management, WCS Nominees</t>
  </si>
  <si>
    <t>www.expend.com</t>
  </si>
  <si>
    <t>501166-45</t>
  </si>
  <si>
    <t>Sidekick (Financial Software)</t>
  </si>
  <si>
    <t>Operator of an investment platform intended to provide investment management services. The company's platform offers to manage baskets of public equities for the underserved aspirational mass affluent customer, enabling clients to access wealth-building products and opportunities currently only available to high-net individuals.</t>
  </si>
  <si>
    <t>1818 Venture Capital, Blackwood Ventures (Denmark), Development Bank of Wales, Eos Venture Partners, Frederick Knox, Koro Capital, Mark Ransford, Michael Kent, Michael Pennington, MS&amp;AD Ventures, Octopus Ventures, Pact VC, Seedcamp, Semantic Ventures, TheVentureCity, William Neale</t>
  </si>
  <si>
    <t>www.sidekickmoney.com</t>
  </si>
  <si>
    <t>512108-47</t>
  </si>
  <si>
    <t>Unlimited Funds</t>
  </si>
  <si>
    <t>Provider of alternate investment strategies intended to give sophisticated investment plans. The company is engaged in building products that allow individual investors to have access to the returns for the first time through machine learning that replicate the index returns of alternative investments, enabling investors to get help through public and private market expert professionals.</t>
  </si>
  <si>
    <t>Citi Ventures, FirstMark Capital, FJ Labs, Floating Point (Boston), Material Companies</t>
  </si>
  <si>
    <t>www.unlimitedfunds.com</t>
  </si>
  <si>
    <t>481414-15</t>
  </si>
  <si>
    <t>Block Time Financial</t>
  </si>
  <si>
    <t>Developer of blockchain or distributed ledger technology designed to give firms the competitive edge as disruption occurs in the market. The company's technology offers a digital software to be used with their API's to take new market share and offer new products to your client base, enabling clients to get a competitive edge and reduce costs.</t>
  </si>
  <si>
    <t>TruStage Ventures</t>
  </si>
  <si>
    <t>www.blocktimefinancial.com</t>
  </si>
  <si>
    <t>340777-18</t>
  </si>
  <si>
    <t>Ender (Business/Productivity Software)</t>
  </si>
  <si>
    <t>Developer of a property management platform designed to bring efficiency and elevated tenant experiences to the rental market. The company's platform uses smart home technology and hospitality sensibilities to streamline the leasing process that involves automating responses to tenant inquiries, covering full-service leasing and maintenance, to rent collection, coordinating maintenance requests, on-demand self-showings and accounting digitally, enabling tenants to access secure self-showings by making the application process and rent-paying online.</t>
  </si>
  <si>
    <t>Calm Ventures, Cherubic Ventures, Circle Ventures, Friends &amp; Family Capital, Global Founders Capital, HOF Capital (Nederlands), Ioppe Partners, John Catsimatidis, Lafayette RE, LeFrak, MGV, Olive Capital (North America), Red Apple Group, Soma Capital, TO VC (New York), Tuesday Capital, Unanimous Capital</t>
  </si>
  <si>
    <t>www.ender.com</t>
  </si>
  <si>
    <t>162199-00</t>
  </si>
  <si>
    <t>FanCards</t>
  </si>
  <si>
    <t>Provider of collegiately licensed gift cards and prepaid reloadable cards intended to help sports fans support their teams. The company's cards help fans share their school loyalty and passion while using their personalized card, enabling sports fans to support their respective schools.</t>
  </si>
  <si>
    <t>Harpeth Ventures, Pathward Financial, Zach McElroy</t>
  </si>
  <si>
    <t>www.myfancard.com</t>
  </si>
  <si>
    <t>606360-97</t>
  </si>
  <si>
    <t>Friday Harbor</t>
  </si>
  <si>
    <t>Artificial Intelligence &amp; Machine Learning, Big Data, FinTech, Mortgage Tech</t>
  </si>
  <si>
    <t>Developer of an underwriting intelligence platform designed to streamline the mortgage origination process. The company's platform utilizes artificial intelligence to automate loan file ingestion, assembly, and underwriting, enabling officers to process financing with reduced friction.</t>
  </si>
  <si>
    <t>Abstract Ventures, AI2 Incubator, CoFound Partners, Mischief, Wischoff Ventures</t>
  </si>
  <si>
    <t>www.fridayharbor.ai</t>
  </si>
  <si>
    <t>56424-34</t>
  </si>
  <si>
    <t>Future Capital (Financial Services)</t>
  </si>
  <si>
    <t>Provider of advisory services for retirement plans intended to help participants reach their retirement goals. The company offers automated campaign creation, creator segmentation, user-generated content management, real-time performance tracking, and social media amplification tools, enabling brands, agencies, and marketing teams to manage influencer collaborations, create authentic digital content, and improve audience engagement across social media channels.</t>
  </si>
  <si>
    <t>InsurTech NY, Relevance Ventures</t>
  </si>
  <si>
    <t>www.futurecapital.com</t>
  </si>
  <si>
    <t>807588-55</t>
  </si>
  <si>
    <t>Pluto Financial Technologies</t>
  </si>
  <si>
    <t>Developer of an alternative assets-backed lending platform designed to help everyday investors access financial products once only reserved for institutions. The company offers flexible calls with quick, no monthly payments, loan-to-value and pricing, enabling investors to borrow against private assets via several liquidity options.</t>
  </si>
  <si>
    <t>Apollo Global Management, Broadhaven Capital Partners, Hamilton Lane, Motive Partners, Portage, Sagard, Tectonic Ventures</t>
  </si>
  <si>
    <t>www.plutocredit.com</t>
  </si>
  <si>
    <t>142538-95</t>
  </si>
  <si>
    <t>Orange Retail Finance</t>
  </si>
  <si>
    <t>Operator of a nonbanking finance company intended to offer easy access to two-wheeler loans. The company provides vehicle and cash loan facilities in the markets with customized products for every household in semi-urban and rural markets, enabling salaried and self-employed customers to access organized finance to improve their lives in the community.</t>
  </si>
  <si>
    <t>BlackSoil Capital, Dominor, Granite Hill Capital Partners, Rukam Capital, Sara International, White Whale Ventures</t>
  </si>
  <si>
    <t>orangeretailfinance.com</t>
  </si>
  <si>
    <t>467725-96</t>
  </si>
  <si>
    <t>Trinkerr</t>
  </si>
  <si>
    <t>Developer of a social trading platform designed to democratize the art and science of trading. The company's platform offers a mix of vernacular content and technology and allows users to follow financial experts and track their performance, enabling retail investors to view, learn, follow, and execute the strategies of their peers or more experienced traders.</t>
  </si>
  <si>
    <t>Accel, Gaurav Munjal, Harsh Jain, India Quotient, Kunal Shah, Lalit Keshre, Roman Saini, Sujeet Kumar, Titan Capital</t>
  </si>
  <si>
    <t>www.trinkerr.com</t>
  </si>
  <si>
    <t>732133-81</t>
  </si>
  <si>
    <t>LND Capital</t>
  </si>
  <si>
    <t>Developer of an AI (artificial intelligence)-powered capital marketplace designed to source, deploy, and manage capital for commercial real estate finance. The company's platform offers intelligent agents that streamline capital sourcing, deployment, and management, enabling commercial real estate lenders and investors to finance properties faster and more efficiently.</t>
  </si>
  <si>
    <t>Nevcap, Neventa Capital</t>
  </si>
  <si>
    <t>www.lnd.capital</t>
  </si>
  <si>
    <t>492785-47</t>
  </si>
  <si>
    <t>Ardley (Financial Software)</t>
  </si>
  <si>
    <t>Developer of a white-labeled loan origination platform designed to automate lead generation and loan structuring. The company's platform combines financial analysis and technology development to provide personalized loans and reduce origination costs, enabling lenders to pivot between loan products without disrupting business operations and providing borrowers with a transparent, intuitive application process.</t>
  </si>
  <si>
    <t>Boyd Street Ventures, Cameron Ventures, Cortado Ventures, Cross River Digital Ventures, Global FinTech Venture Partners, Marianne Sullivan, Nevcaut Ventures</t>
  </si>
  <si>
    <t>www.ardley.com</t>
  </si>
  <si>
    <t>530270-47</t>
  </si>
  <si>
    <t>Noetica</t>
  </si>
  <si>
    <t>Artificial Intelligence &amp; Machine Learning, FinTech, Legal Tech</t>
  </si>
  <si>
    <t>Developer of a data analysis platform intended to extract knowledge from complex financial documents. The company's platform is designed to give stakeholders efficient access to analyzed contract data and supports faceted search to allow comparison of analyzed documents, enabling businesses to save money and get it done with lesser cost.</t>
  </si>
  <si>
    <t>Thomson Reuters Ventures</t>
  </si>
  <si>
    <t>www.noetica.ai</t>
  </si>
  <si>
    <t>460020-88</t>
  </si>
  <si>
    <t>EduFund</t>
  </si>
  <si>
    <t>Operator of an education financing platform intended to help families plan, invest, and fund children's education expenses. The company operates a fintech platform that enables parents to create personalized financial plans for their children's education by combining investment products, advisory services, and financing options, allowing families to plan and finance their children's education through investments, loans, and financial guidance.</t>
  </si>
  <si>
    <t>Anchorage Capital Partners (India), AngelList India, Cercano Management, Crane Venture Partners, DSP Mutual Fund, Kunal Shah, MassMutual Ventures, ViewTrade Holdings</t>
  </si>
  <si>
    <t>www.edufund.in</t>
  </si>
  <si>
    <t>458442-73</t>
  </si>
  <si>
    <t>Kovo Credit Builder</t>
  </si>
  <si>
    <t>Developer of a credit-building software intended to enhance inter-generational social and economic mobility. The company's platform offers subscription-based credit-building for households to maintain the financial balance of their life by acting as a public benefit corporation, enabling families to create a better credit profile.</t>
  </si>
  <si>
    <t>Inspired Capital (New York)</t>
  </si>
  <si>
    <t>www.kovocredit.com</t>
  </si>
  <si>
    <t>499845-07</t>
  </si>
  <si>
    <t>Trellis</t>
  </si>
  <si>
    <t>Developer of a financial software designed to provide end-to-end service for the issuance, placement, management, and trading of assets. The company's software facilitates secure, compliant, and paperless investment in alternative assets from deal sourcing and due diligence through subscription, custody, and monitoring, helping issuers, intermediaries, and investors with a simplified private investment process.</t>
  </si>
  <si>
    <t>Arieli Group</t>
  </si>
  <si>
    <t>www.trellisplatform.com</t>
  </si>
  <si>
    <t>464352-76</t>
  </si>
  <si>
    <t>Credflow</t>
  </si>
  <si>
    <t>Developer of a cash flow management platform intended to streamline finances. The company's platform integrates with existing accounting software to provide automated payment reminders, AI-driven credit scoring, real-time invoice reconciliation, predictive cash flow modeling and detailed aging analytics, enabling finance teams to reduce days sales outstanding and optimize working capital through data-driven collection strategies.</t>
  </si>
  <si>
    <t>CNVC Investment, Flourish Ventures, Inflexor, InnoVen Capital, Nitin Gupta, Omidyar Network, Stellaris Venture Partners, White Venture Capital</t>
  </si>
  <si>
    <t>credflow.in</t>
  </si>
  <si>
    <t>234059-14</t>
  </si>
  <si>
    <t>Peoplender</t>
  </si>
  <si>
    <t>Operator of an online crowdfunding platform intended to obtain funding for social entrepreneurships, small tech start-ups, art, games, and design music. The company's platform aims to leverage technology to improve access to both financing and investment for businesses and individuals with low entry barriers in the marketplace, enabling investors to achieve their financial goals every day.</t>
  </si>
  <si>
    <t>Amcorp Group, Paramount ( Holding Companies), Pitch Nominees, Zenworld Holdings</t>
  </si>
  <si>
    <t>www.fundaztic.com</t>
  </si>
  <si>
    <t>469009-00</t>
  </si>
  <si>
    <t>OKY</t>
  </si>
  <si>
    <t>Developer of a cross-border fintech platform designed to simplify how families support everyday living across countries. The company offers an app, retail network, business tools, and partner integrations, enabling consumers and retailers to exchange value more quickly and transparently while creating a more convenient remittance experience.</t>
  </si>
  <si>
    <t>Invariantes Fund, Plug and Play Tech Center</t>
  </si>
  <si>
    <t>www.okyapp.com</t>
  </si>
  <si>
    <t>1152724-96</t>
  </si>
  <si>
    <t>Clove (Other Financial Services)</t>
  </si>
  <si>
    <t>Operator of a financial technology platform designed to simplify and demystify personal finance for everyday users. The company offers an intuitive and educational financial platform designed to make money management more accessible and understandable, enabling customers to gain financial confidence and make informed decisions without relying on traditional financial institutions.</t>
  </si>
  <si>
    <t>Accel, Air Street Capital, Andrena Ventures, Barney Yeo, Erez Mathan, Gideon Valkin, Kindred Capital, Patrick Pichette</t>
  </si>
  <si>
    <t>www.clove.com</t>
  </si>
  <si>
    <t>502698-97</t>
  </si>
  <si>
    <t>bunch technology</t>
  </si>
  <si>
    <t>Developer of a fintech platform designed to handle digital entity creation, seamless investor onboarding, and portfolio management. The company's platform focuses on saving time, money, and mental energy by eliminating legacy intermediaries, overwhelming regulatory complexity, and low-tech administration, and it works across legal structures, asset classes, and jurisdictions to unlock private markets for everyone, enabling businesses and investors to make private markets easy, cost-efficient, and fast.</t>
  </si>
  <si>
    <t>Adyen, Alexander Argyros, Broadhaven Capital Partners, Cherry Ventures, Collective Ventures (Other Capital Markets/Institutions), Cristina Stenbeck, Discovery Ventures (Berlin), eightyseven Ventures, Embedded / Capital, FinTech Collective, Grow London, Hummingbird Ventures Management, Illuminate Financial, Juni Holding, Kinnevik, Klarna Group, Moonfare, MOORE TK, Motive Partners, Osborne Clarke, Philipp Kloeckner, Portage, Steffen Pauls, Tiny Supercomputer Investment Company</t>
  </si>
  <si>
    <t>www.bunch.capital</t>
  </si>
  <si>
    <t>462295-90</t>
  </si>
  <si>
    <t>Ryft Pay</t>
  </si>
  <si>
    <t>Developer of a payment system designed for automated next-day payouts for marketplace businesses and their merchants for a single flat fee per transaction. The company's platform specializes in automating multivendor payouts, with funds delivered the next working day, rapid onboarding, and transparent pricing, enabling businesses to accept payment from all platforms.</t>
  </si>
  <si>
    <t>British Business Bank, Cornerstone VC, EdenBase (London), GPOS Investments, Ingenii Capital, KCP Nominees (2), Pembroke Venture Capital Trust, Redbus Ventures, SideBySide, Velocity Capital Advisors</t>
  </si>
  <si>
    <t>www.ryftpay.com</t>
  </si>
  <si>
    <t>138619-18</t>
  </si>
  <si>
    <t>RemitGuru</t>
  </si>
  <si>
    <t>Developer of an online money remittance platform designed to offer cross-border payment services. The company's platform protects privacy and funds from the moment the transfer process is initiated till the time the money reaches the destination, enabling users to quickly, safely, and conveniently transfer money.</t>
  </si>
  <si>
    <t>Ashish Kacholia, AvenuesAI, CCAvenue, Cedar-IBSi FinTech lab, ICICI Bank, Lashit Sanghvi, Muthoot Finance, Paytm, Pentathlon Ventures, Secocha Ventures, Sumeet Kanwar, Tenacity Ventures</t>
  </si>
  <si>
    <t>www.remitguru.com</t>
  </si>
  <si>
    <t>466843-15</t>
  </si>
  <si>
    <t>Asset Class</t>
  </si>
  <si>
    <t>Developer of investment management software designed to provide asset management, commercial lending, and wealth management. The company's software provides salesforce, CRM, investment banking, RIA, financial advisory, business intelligence and analytics, workflow automation, and document management, enabling businesses to get over scattered finance and look for growth opportunities.</t>
  </si>
  <si>
    <t>Angel Oak Ventures, Canapi Ventures, Live Oak Ventures, Plexus Capital, TTV Capital</t>
  </si>
  <si>
    <t>assetclass.ai</t>
  </si>
  <si>
    <t>106866-82</t>
  </si>
  <si>
    <t>Faircent</t>
  </si>
  <si>
    <t>Operator of a peer-to-peer lending platform intended to directly connect borrowers and lenders. The company's platform is a virtual marketplace where borrowers and lenders can negotiate terms and conditions about interest rates and tenure loans without any intervention and without having to go through traditional financial intermediaries, enabling customers to get loans at lower rates than they would from a conventional bank and lenders to get better returns on their investments than they would from a traditional savings account.</t>
  </si>
  <si>
    <t>DasCapital, Gunosy, M&amp;S Partners ( Singapore ), Microsoft AI Innovate, Muthoot Fincorp, Starharbor Asia, Startup Haryana</t>
  </si>
  <si>
    <t>www.faircent.com</t>
  </si>
  <si>
    <t>484012-18</t>
  </si>
  <si>
    <t>AIR (Financial Software)</t>
  </si>
  <si>
    <t>Developer of a fintech platform designed to empower people to find their perfect financial concept and manage their finances holistically. The company platform makes it easier to get a comprehensive overview of a person's financial life and empowers people to understand why, what, and how their finances need to be managed, enabling users to understand their financial needs, optimize finances, and close the gap between consumers and financial services.</t>
  </si>
  <si>
    <t>airboard.tech</t>
  </si>
  <si>
    <t>438801-04</t>
  </si>
  <si>
    <t>Beanstox</t>
  </si>
  <si>
    <t>Developer of an automated investment platform designed to empower people to attain financial freedom. The company's platform features a technology that uses investment goals and risk tolerance levels provided by the client to determine an appropriate personalized portfolio built using diversification across selected exchange-traded funds integrated with fintech partners, and a product road map includes an expanded set of services, either by development, partnerships or strategic deals, enabling individuals to invest easily and generate income.</t>
  </si>
  <si>
    <t>Ben Jen Holdings, O'Leary Ventures</t>
  </si>
  <si>
    <t>www.beanstox.com</t>
  </si>
  <si>
    <t>83896-12</t>
  </si>
  <si>
    <t>Bipsync</t>
  </si>
  <si>
    <t>Developer of a research management platform intended to automate and simplify research processes. The company's platform combines a centralized, easy-to-use RMS with powerful process management and data integrations, enabling investors and professionals to enhance analyst productivity, simplify compliance, and improve research results.</t>
  </si>
  <si>
    <t>Hudson Street Ventures, Riveria Investment Group</t>
  </si>
  <si>
    <t>www.bipsync.com</t>
  </si>
  <si>
    <t>178494-58</t>
  </si>
  <si>
    <t>Equity Data Science</t>
  </si>
  <si>
    <t>Operator of a cloud-based fundamental investment process management (IPM) solutions platform intended to empower hedge funds and asset managers. The company's platform harnesses proprietary and third-party data and research on a modern platform configured to investment vision across idea generation, research management, portfolio construction, analytics, risk management, performance attribution, and ESG workflows, enabling investors to streamline their investment process and make informed investment decisions.</t>
  </si>
  <si>
    <t>Northern Trust</t>
  </si>
  <si>
    <t>www.equitydatascience.com</t>
  </si>
  <si>
    <t>222932-71</t>
  </si>
  <si>
    <t>Health Here</t>
  </si>
  <si>
    <t>Developer of a clinic optimization platform designed to simplify the collection of patient-generated health and medication history. The company's platform fully integrates with electronic medical records and practice management systems, as well as facilitates patients to check in remotely for scheduled appointments across multiple providers, enabling healthcare institutions to reduce redundancy and increase data accuracy to get their complete medical history in a short time.</t>
  </si>
  <si>
    <t>7Rock Ventures, FINTOP (US), Parvizi Surgical Innovation</t>
  </si>
  <si>
    <t>www.healthhere.com</t>
  </si>
  <si>
    <t>529108-48</t>
  </si>
  <si>
    <t>Lorum (Dubai)</t>
  </si>
  <si>
    <t>Developer of a correspondent banking platform designed to help regulated financial institutions and platforms clear funds, manage custody, and execute foreign exchange transactions across jurisdictions through a unified infrastructure. The company's platform offers direct connectivity to major and local payment rails, regulated segregated accounts, transparent cross-border settlement, unified cash management, and real-time balance visibility, enabling payroll and employer-of-record platforms, fintech providers, payment service providers, trading and investment platforms, marketplaces, mid-market financial institutions, and custodian banks to reduce banking complexity, improve fund visibility, and optimize global liquidity.</t>
  </si>
  <si>
    <t>Accel, Alter Global, Flourish Ventures, George Makhoul, Illuminate Financial, Northzone Ventures, Olugbenga Agboola, Sequoia Capital, Shorooq Partners, The Raba Partnership, TO VC (New York)</t>
  </si>
  <si>
    <t>www.lorum.com</t>
  </si>
  <si>
    <t>290540-26</t>
  </si>
  <si>
    <t>Zirtue</t>
  </si>
  <si>
    <t>Developer of a lending application designed to request and automatically repay loans to any contact on the user's mobile. The company's application features real-time integration with creditors to ensure direct payment and reliable repayment of funds as the borrower can set the loan amount while the lender establishes the repayment terms and when the terms are agreeable to both parties, the loan request is serviced, enabling users to digitize and mobilize loans between friends and family.</t>
  </si>
  <si>
    <t>100 Black Angels + Allies Fund, Capital Factory, Google Accelerator, Jaylon Smith, JENGA Capital, Mercury Fund, Morgan Stanley, Morgan Stanley Inclusive &amp; Sustainable Ventures, Northwestern Mutual Future Ventures, Reinventure Capital, Revolution (Washington DC), SixThirty Ventures, Techstars, TruStage Ventures, Urban Capital Network</t>
  </si>
  <si>
    <t>www.zirtue.com</t>
  </si>
  <si>
    <t>123123-79</t>
  </si>
  <si>
    <t>Mogo Holdings</t>
  </si>
  <si>
    <t>Developer of data analytics and insights software designed to help enterprises to make fully informed customer decisions. The company's software provides decisions and straight-through processing outcomes to financial institutions, credit unions, and digital credit providers, enabling enterprises to make fully informed customer decisions through descriptive and predictive data insights.</t>
  </si>
  <si>
    <t>New Model Venture Capital</t>
  </si>
  <si>
    <t>www.mogoplus.ai</t>
  </si>
  <si>
    <t>437133-43</t>
  </si>
  <si>
    <t>Circit</t>
  </si>
  <si>
    <t>Developer of a financial audit management platform designed to connect banks, accounting firms, and clients during a financial audit. The company's platform provides visibility of audit confirmations as well as direct connections to banks, solicitors, and fintech services, enabling audit firms to perform audit engagements and verify assets at the source.</t>
  </si>
  <si>
    <t>Aquiline Capital Partners, Dominic Mullan, Eamonn Sampson, Enterprise Ireland, Escher Group, European Investment Fund, James Brown, John Power, MiddleGame Ventures, Patrick Joy, Peter Gray, Ten Coves Capital</t>
  </si>
  <si>
    <t>www.circit.io</t>
  </si>
  <si>
    <t>503251-48</t>
  </si>
  <si>
    <t>kennek</t>
  </si>
  <si>
    <t>Developer of a SaaS platform designed to provide a vertically integrated lending system. The company's platform offers a connected infrastructure for lenders and credit investors and different modules across origination, servicing and monitoring and investor reporting, enabling lenders to operate cost-efficiently.</t>
  </si>
  <si>
    <t>AlbionVC, DFF Ventures, ff Venture Capital, Harsh Patel, HV (Germany), Jonty Knox, Kings Arms Yard VCT, Lorenzo Franzi, Louis Pfitzner, Peter Rading, Plug and Play Tech Center, Syndicate One</t>
  </si>
  <si>
    <t>www.kennek.io</t>
  </si>
  <si>
    <t>489157-66</t>
  </si>
  <si>
    <t>Paypa Plane</t>
  </si>
  <si>
    <t>Developer of payment software designed to modernize traditional schedules and evolve financial product offerings without changing core systems. The company provides digital payment agreements that link businesses and payers, and integrate them into core business banking systems, enabling banks, enterprises, and payers to attain cost savings, cash-flow assurance, in-built compliance, and hands-free customer care.</t>
  </si>
  <si>
    <t>Commonwealth Bank of Australia, Cuscal, Element 46 Tech Accelerator, MasterCard, QIC, QUAY Acceleration, Sprint Ventures (Australia), Suncorp Group, Tyro Payments</t>
  </si>
  <si>
    <t>www.paypaplane.com</t>
  </si>
  <si>
    <t>436319-47</t>
  </si>
  <si>
    <t>iLex</t>
  </si>
  <si>
    <t>Developer of a private credit market platform designed to connect markets, people, and data for loan syndication and trading. The company's platform facilitates access to global loan markets, investor networks, deal workspaces, and market intelligence, enabling banks, debt advisors, and institutional lenders to transact securely.</t>
  </si>
  <si>
    <t>Cell Rising Capital, David Bachelier, Eileses Capital, IHS Markit, Jean Maynier, Jean-Philippe Malé, LendOS, Lim Eng Seng, Loyal VC, Matthieu Delamaire, MI8 (Asia), Piyada Phanaphat, QBN Capital, T&amp;P Ventures Holding, T/O Partners</t>
  </si>
  <si>
    <t>www.ilex.sg</t>
  </si>
  <si>
    <t>452705-68</t>
  </si>
  <si>
    <t>Hub2</t>
  </si>
  <si>
    <t>Developer of a financial management platform designed to allow businesses to generate payment links and share them via texts and emails. The company's platform offers payment tracking, subscription management, and customer scoring, enabling businesses to reduce recurring revenue costs and increase margins.</t>
  </si>
  <si>
    <t>African Fintech Collective, Apicap, AXIAN Group, AXIAN Investment, Bpifrance, Compass Venture Capital, DCG (France), Digital Currency Group, ENL Corporate Ventures, Enza Capital, Equitable Ventures, Eric Barbier, FMO Entrepreneurial Development Bank, Le Village by CA, M Capital Partners, TLcom Capital, Visa Accelerator</t>
  </si>
  <si>
    <t>www.hub2.io</t>
  </si>
  <si>
    <t>493847-11</t>
  </si>
  <si>
    <t>SimpleForm</t>
  </si>
  <si>
    <t>Provider of corporate risk information services intended to simplify the corporate investigation work of financial institutions. The company simplifies the regulatory compliance operations of financial institutions and enables the search for the substance and high-risk information of the corporation to be examined with one click, enabling financial institutions to get the information they need for all domestic corporations in real time.</t>
  </si>
  <si>
    <t>Angel Bridge, DBJ Capital, DNX Ventures, Incubate Fund, Jafco, JIC Venture Growth Investments, Mitsubishi UFJ Capital, Mizuho Capital, Resona Capital, SMBC Venture Capital</t>
  </si>
  <si>
    <t>www.simpleform.co.jp</t>
  </si>
  <si>
    <t>264829-87</t>
  </si>
  <si>
    <t>CurveBlock</t>
  </si>
  <si>
    <t>Artificial Intelligence &amp; Machine Learning, Cryptocurrency/Blockchain, FinTech, Real Estate Technology</t>
  </si>
  <si>
    <t>Developer of a fintech and construction technolog///y platform designed to enable access to real estate investment. The company offers fractional digital shares linked to development milestones and energy-independent property projects, enabling individual investors to participate in property ownership and track asset performance.</t>
  </si>
  <si>
    <t>Founder Institute, Kadena (Russia), Loyal VC, NatWest Commercial Services, Village Capital</t>
  </si>
  <si>
    <t>curveblock.uk</t>
  </si>
  <si>
    <t>494703-10</t>
  </si>
  <si>
    <t>Bridge</t>
  </si>
  <si>
    <t>Operator of a financial technology platform intended to provide business owners and financial institutions with industry-compliant digital products and services. The company's tool utilizes the power of data and technology to transform the way clients and institutions initiate and manage financial relationships digitally, enabling businesses to generate more predictable and profitable transaction outcomes.</t>
  </si>
  <si>
    <t>www.bridgemarketplace.com</t>
  </si>
  <si>
    <t>664199-83</t>
  </si>
  <si>
    <t>Actelligent</t>
  </si>
  <si>
    <t>Developer of investment management software intended to focus on alternative investments. The company's platform uses artificial intelligence to offer access to a wider range of investment opportunities, including private equity, venture capital, and real estate investments with live trading data, enabling clients to enhance investment returns.</t>
  </si>
  <si>
    <t>Spiral Capital (Tokyo), The University of Edinburgh</t>
  </si>
  <si>
    <t>www.actelligent-capital.com</t>
  </si>
  <si>
    <t>229685-05</t>
  </si>
  <si>
    <t>Subaio</t>
  </si>
  <si>
    <t>Developer of a finance software intended to digitize fintech companies. The company's software uses a white-label format that offers insights on recurring payments that turn into revenue-generating actions and cancel unwanted subscriptions, enabling financial institutions and banks to help their customers get control of their subscriptions and stay on top of their spending.</t>
  </si>
  <si>
    <t>Global PayTech Ventures, Nordea Bank, Plug and Play Tech Center, Salesforce Accelerate, Spar Nord Bank, Start Path</t>
  </si>
  <si>
    <t>www.subaio.com</t>
  </si>
  <si>
    <t>83348-74</t>
  </si>
  <si>
    <t>Cybrilla</t>
  </si>
  <si>
    <t>Developer of a global financial technology platform designed to provide fintech products. The company's platform offers custom options in the cloud, ensuring that infrastructural costs are covered through flexible payment options, including a monthly subscription model, building secure and scalable applications that incorporate software development tools, such as code for testing, integration, and automated testing, enabling clients to protect against financial risk.</t>
  </si>
  <si>
    <t>360 ONE, Blume Venture Advisors, DeVC, Florintree Advisors, Groww, Peak XV Partners, QED Innovation Labs, Surge (Accelerator), Surge Ventures, White Oak Capital Management</t>
  </si>
  <si>
    <t>www.cybrilla.com</t>
  </si>
  <si>
    <t>266434-21</t>
  </si>
  <si>
    <t>InbestMe</t>
  </si>
  <si>
    <t>Developer of an automated personalized portfolio management platform designed to help people invest better. The company's platform helps create and monitor an investment plan depending on the user's financial situation, processes new contributions, and manages investment portfolios with robo-advisor technology, helping people to invest in a hassle-free way and save tax.</t>
  </si>
  <si>
    <t>Cuatrecasas Acelera, Grupo GVC Gaesco, Indexa Capital, Medical Mutual of Ohio</t>
  </si>
  <si>
    <t>www.inbestme.com</t>
  </si>
  <si>
    <t>157666-51</t>
  </si>
  <si>
    <t>Squirrel</t>
  </si>
  <si>
    <t>Operator of a technology-enabled peer-to-peer lending platform intended to help people make financial decisions. The company's platform offers a range of loans from major lenders and peer-to-peer lenders, as well as term investments with competitive interest rates, enabling individuals to find the mortgage deal that suits their needs and to invest their savings for a return.</t>
  </si>
  <si>
    <t>Callaghan Innovation, Eden Ventures (New Zealand), The Icehouse</t>
  </si>
  <si>
    <t>www.squirrel.co.nz</t>
  </si>
  <si>
    <t>83339-56</t>
  </si>
  <si>
    <t>Crowdstacker</t>
  </si>
  <si>
    <t>Operator of a crowdfunding platform intended to facilitate fundraising through borrowing. The company's platform helps in taking control of funding requirements and moving away from traditional finance channels by delivering a range of peer-to-peer debt investment products, enabling clients to mitigate the illiquidity of investments.</t>
  </si>
  <si>
    <t>Amicus Finance, Innovate UK, Pario Ventures</t>
  </si>
  <si>
    <t>www.crowdstacker.com</t>
  </si>
  <si>
    <t>465683-14</t>
  </si>
  <si>
    <t>Palla</t>
  </si>
  <si>
    <t>Developer of a financial application designed for peer-to-peer money transfers. The company's platform offers secure customer authentication, encrypted payment method creation, real-time relationship management between accounts, and instant cross-border transaction execution, enabling financial institutions to integrate transfer capabilities into their applications with minimal latency, reliability, and data protection.</t>
  </si>
  <si>
    <t>2080 Ventures, Adventure Fund, Anthony Solazzo, Ardent Venture Partners, Autopilot Fund, Cowboy Ventures, Dash Fund, Deepwork Capital, Evolution Ventures, First Check Ventures, First Serve Partners, Florida Opportunity Fund, Gaven Capital, LoftyInc Capital Management, Magma Partners, MVP Ventures, Octavio Soler Bach, Olive Tree Capital, PuffinVC, Revolution (Washington DC), Revolution Ventures, Roderic Fleisher, Salsa Ventures, Soma Capital, Uncommon Capital, VITALIZE Venture Capital, Y Combinator</t>
  </si>
  <si>
    <t>www.palla.com</t>
  </si>
  <si>
    <t>89152-21</t>
  </si>
  <si>
    <t>QuantConnect</t>
  </si>
  <si>
    <t>Developer of an operating algorithmic trading platform intended for research, backtest and trade investments. The company's platform offers quantitative finance empowers individuals and funds to bootstrap quant finance investment strategy with a fully open-source cloud financial research platform, enabling engineers to design algorithmic trading strategies.</t>
  </si>
  <si>
    <t>Amer Rehman, Samuel Tegel, Start-Up Chile, Stephen Robinson, Uncorrelated Ventures</t>
  </si>
  <si>
    <t>www.quantconnect.com</t>
  </si>
  <si>
    <t>484635-25</t>
  </si>
  <si>
    <t>StellarFi</t>
  </si>
  <si>
    <t>Developer of a credit card infrastructure platform designed to enable companies to offer embedded credit card products. The company offers white-label and private-label card issuance, card processing, and a proprietary underwriting and servicing layer, enabling brands, fintechs, and distribution partners to provide credit cards to non-prime and near-prime consumers without building underlying systems.</t>
  </si>
  <si>
    <t>Accomplice VC, Acrew Capital, ATX Venture Partners, Calm Ventures, Dream Ventures, Evolution (Venture Capital), Fiat Ventures, FJ Labs, Gaingels, Hilltop Venture Partners, Interplay Ventures, J2, Kelmhurst, Kindergarten Ventures, Nkechi Iregbulem, Oyster, Permit Ventures, Socially Financed, Sprint VC, Trust Ventures, Vera Equity</t>
  </si>
  <si>
    <t>www.stellarfi.com</t>
  </si>
  <si>
    <t>107972-29</t>
  </si>
  <si>
    <t>Deepki</t>
  </si>
  <si>
    <t>Artificial Intelligence &amp; Machine Learning, Big Data, Real Estate Technology, SaaS</t>
  </si>
  <si>
    <t>Developer of a data intelligence platform designed to digitalize the management of large property portfolios. The company offers capabilities for collecting, analysing, and reporting environmental, social, and governance data, integrating audit-ready metrics and performance tracking, enabling commercial real estate asset owners and institutional investors to manage risk, meet regulatory expectations, and make data-informed decisions that enhance asset value.</t>
  </si>
  <si>
    <t>Agoranov, Bpifrance, Business France(Education and Training Services), CBRE Group, Consorci de la Zona Franca, Demea Sustainable Investment, Emertec Gestion, Greentech Innovation (France), Grow London, Hi Inov, Highland Europe, IGNfab, La French Tech, One Peak Partners, PropTechBiz, Revaia, SNCF, Statkraft Ventures</t>
  </si>
  <si>
    <t>www.deepki.com</t>
  </si>
  <si>
    <t>93796-84</t>
  </si>
  <si>
    <t>Linked Finance</t>
  </si>
  <si>
    <t>Operator of a peer-to-peer digital lending platform intended to help small businesses with access to capital. The company's platform offers loans with a vibrant online lending community to make the process of lending simpler and easier to access, enabling businesses with alternative avenues to secure capital while providing investors with promising opportunities for attractive returns.</t>
  </si>
  <si>
    <t>www.linkedfinance.com</t>
  </si>
  <si>
    <t>163581-76</t>
  </si>
  <si>
    <t>Trustt (Financial Software)</t>
  </si>
  <si>
    <t>Operator of a digital banking platform designed for banks, Non-Banking Financial Corporations, and FinTechs. The company's product portfolio includes digital lending, digital distribution, digital identity, and payments, among others, all of which can be customized to meet the specific needs of each client, enabling clients to deliver financial products to their customers, with a strong focus on customer convenience, operational efficiency, and security.</t>
  </si>
  <si>
    <t>Capria Ventures, IDFC, Khosla Ventures</t>
  </si>
  <si>
    <t>www.trustt.com</t>
  </si>
  <si>
    <t>509501-98</t>
  </si>
  <si>
    <t>Aries (Financial Software)</t>
  </si>
  <si>
    <t>Developer of an investing and trading application designed to provide traders with research and analytics tools. The company's application offers services such as real customer service, real-time analysis tools, international accounts, and analyst ratings, enabling investors to buy, trade, and manage crypto alongside
other asset classes.</t>
  </si>
  <si>
    <t>Electric Owl Ventures, Invest Detroit Ventures, Michigan Rise</t>
  </si>
  <si>
    <t>www.aries.com</t>
  </si>
  <si>
    <t>466521-76</t>
  </si>
  <si>
    <t>Obligate</t>
  </si>
  <si>
    <t>Operator of a financial platform intended to issue and receive electronic negotiable instruments. The company's platform uses distributed ledger technology with qualified electronic signatures by issuing, transferring and closing e-notes for financing and investing purposes to ensure maximum data integrity, enabling businesses to control their liquidity and providing corporates, banks and investors the ability to issue and receive e-notes in real-time to improve liquidity.</t>
  </si>
  <si>
    <t>Acreditus Partners, Blockchange Ventures, Carsten Thoma, Circle Ventures (Boston), David Blumer, Earlybird Venture Capital, Exponential Science, G-20 Group, GateCap Ventures, Helmut Paulus, Hyper Accelerator, Khalid Howladar, Michael Fuellemann, N &amp; V Capital, Seamus Donoghue, SICTIC, SIX FinTech Ventures, Solana, Stefan Jaecklin, Tenity, Thomas Fecker Boxler, Tomahawk.VC, Yuval Rooz</t>
  </si>
  <si>
    <t>www.obligate.com</t>
  </si>
  <si>
    <t>553112-20</t>
  </si>
  <si>
    <t>Aboon</t>
  </si>
  <si>
    <t>Developer of a digital platform designed to simplify the setup and management of workplace retirement plans. The company offers automated processes, customizable plan features, and human support, enabling financial advisors to assist business owners with retirement planning.</t>
  </si>
  <si>
    <t>Altai Ventures, Bain Capital Ventures, Edward Jones Ventures, EJF Ventures, Outpost Ventures, Runyon Group</t>
  </si>
  <si>
    <t>www.aboon.com</t>
  </si>
  <si>
    <t>460229-95</t>
  </si>
  <si>
    <t>Ando Money</t>
  </si>
  <si>
    <t>Developer of a digital banking application intended to transform the financial industry by redirecting money already present in the banking system and investing it exclusively in carbon-reducing projects. The company utilizes the money deposited by their customer in their bank accounts to fund clean energy, sustainable agriculture, and other essential green initiatives, enabling customers to bank more thoughtfully for a better tomorrow.</t>
  </si>
  <si>
    <t>HOF Capital, Impact Assets, Kinetic Ventures, Kube VC, NNS Group, TTV Capital</t>
  </si>
  <si>
    <t>www.andomoney.com</t>
  </si>
  <si>
    <t>509299-84</t>
  </si>
  <si>
    <t>Exponential Markets</t>
  </si>
  <si>
    <t>FinTech, Mobility Tech, SaaS</t>
  </si>
  <si>
    <t>Developer of a financial platform designed to build a modern exchange for the economy. The company's platform offers tradable and brokered financial products to manage risk and create a modern commodities and derivatives exchange to support the assets of tomorrow, enabling organizations to bring a change in structured financial products and unlock meaningful growth in the economy.</t>
  </si>
  <si>
    <t>Autotech Ventures, Avanta Ventures, Citigroup, MaC Venture Capital, Referent Ventures, Sequoia Capital</t>
  </si>
  <si>
    <t>exponentialmarkets.com</t>
  </si>
  <si>
    <t>534439-00</t>
  </si>
  <si>
    <t>Flex (Sacramento)</t>
  </si>
  <si>
    <t>Operator of a payment platform intended for businesses to accept flexible spending accounts (FSA) and health savings accounts (HSA) cards. The company offers a prebuilt, hosted checkout page or UI building blocks to integrate card payments directly into existing payment flow, enabling businesses to attract new customers, grow cart size, and increase conversion by accepting HSA/FSA payments.</t>
  </si>
  <si>
    <t>Cameron Ventures, Core Innovation Capital, First Round Capital, Harvest Venture Partners, Liquid 2 Ventures, Precursor Ventures, ReThink Capital (Gothenburg), Sterling Road, SV Angel, Y Combinator</t>
  </si>
  <si>
    <t>www.withflex.com</t>
  </si>
  <si>
    <t>541594-36</t>
  </si>
  <si>
    <t>Helix by HL</t>
  </si>
  <si>
    <t>Developer of a financial technology platform designed to support decision-making in private markets. The company offers generative AI assistance, private markets fund data, and benchmarking tools, enabling wealth advisors and wealth management firms to conduct fund evaluation, due diligence, and product implementation with greater efficiency and consistency.</t>
  </si>
  <si>
    <t>FINTOP (US), Hamilton Lane, JAM FINTOP, Tifin</t>
  </si>
  <si>
    <t>www.helixbyhl.com</t>
  </si>
  <si>
    <t>155796-94</t>
  </si>
  <si>
    <t>Monetary Metals</t>
  </si>
  <si>
    <t>Operator of a gold-denominated financing platform intended to provide gold-denominated funding and investment products for precious metals businesses and investors. The company offers gold leases, gold bonds, and a marketplace connecting gold holders with precious metals companies, enabling businesses to access metal-based financing and investors to earn returns in physical gold.</t>
  </si>
  <si>
    <t>Daniel Oliver, Mickey Fulp</t>
  </si>
  <si>
    <t>www.monetary-metals.com</t>
  </si>
  <si>
    <t>103422-16</t>
  </si>
  <si>
    <t>PayByCar</t>
  </si>
  <si>
    <t>Developer of an in-vehicle payment software designed to support payments at drive-up retailers from within vehicles. The company offers a platform that connects the driver, vehicle, mobile phone, and retailer point of sale for vehicle-based transactions, enabling drivers to pay for gas, curbside pickup, parking, and drive-through food using a smartphone and an E-ZPass.</t>
  </si>
  <si>
    <t>www.mypaybycar.com</t>
  </si>
  <si>
    <t>170495-29</t>
  </si>
  <si>
    <t>Sepio Systems (US)</t>
  </si>
  <si>
    <t>Cybersecurity, FinTech, Internet of Things, SaaS</t>
  </si>
  <si>
    <t>Developer of an asset risk management platform designed to protect organizations from hardware-based attacks and threats. The company's platform provides security teams with full visibility into their hardware assets and their behaviour in real-time offers a comprehensive policy enforcement module and permits administrators to feasibly define granular device usage rules and continuously monitor and protect their infrastructure, enabling clients to control the access to their hardware assets with a great level of visibility, policy enforcement, and rogue device mitigation capabilities.</t>
  </si>
  <si>
    <t>Bess Ventures and Advisory, Citi Ventures, Claude Ritter, Dcode, EDP Ventures, Hanaco Ventures, JP4 Investments, LAGO Evergreen Credit, Mark Wassersug, Merlin Ventures, Microsoft for Startups, Mindset Ventures, Montgomery TechLab, Munich Re Ventures, PICO Venture Partners, Plug and Play Tech Center, Slavik Markovich, Stanford University Venture Fund, Tau Capital (Venture Capital), U.S. Venture Partners, World Trade Ventures</t>
  </si>
  <si>
    <t>www.sepiocyber.com</t>
  </si>
  <si>
    <t>501208-12</t>
  </si>
  <si>
    <t>Vaas ( Financial Software)</t>
  </si>
  <si>
    <t>Operator of a cross-border platform intended to help the emerging private debt market. The company's platform integrates and monitors data on hedging activities, keeps track of relevant facility data and processes, and optimizes collateral utilization, enabling users to automate calculations for advances, cash recycling, and reporting processes.</t>
  </si>
  <si>
    <t>4UM Investimentos, A.B.Seed Ventures, Andreessen Horowitz, Andrés Bilbao, Brynne McNulty, BYMA Ventures, Clocktower Ventures, Daniel Bilbao, EWA Capital, Gokul Rajaram, Headline, Honey Island Capital, James Sagan, Keri Findley, Latitud, Latitude and Marathon Ventures, Manolo Atala, Marathon Ventures (Colombia), Maya Capital (Brazil), Mountain Partners, Nazca, Norte Ventures, Sebastian Mejia</t>
  </si>
  <si>
    <t>www.getvaas.com</t>
  </si>
  <si>
    <t>700774-39</t>
  </si>
  <si>
    <t>Bracket Group</t>
  </si>
  <si>
    <t>Developer of a digital treasury platform designed to enhance the foreign exchange experience with complete clarity and transparency in every transaction. The company's platform offers to uncover the profits banks and FX brokers make from transactions, highlighting areas for improvement, get full transparency on spot and forward trades, gain insights into FX portfolio, get the true cost of FX options solutions in minutes, enabling providers to connect and let them compete for business, ensuring execution terms and diversified risk.</t>
  </si>
  <si>
    <t>Blackfinch Ventures, Cornerstone VC, Ebcon Investments Limited, Engine (Accelerator), Failup Ventures, Macquarie Group, Odin Investments</t>
  </si>
  <si>
    <t>www.bracket.co.uk</t>
  </si>
  <si>
    <t>502954-39</t>
  </si>
  <si>
    <t>Taekus</t>
  </si>
  <si>
    <t>Developer of a financial technology designed to provide credit card benefits to travelers. The company's technology offers a credit card that maximizes the rewards automatically, starting with airline tickets without spending hours analyzing the fine print, enabling travelers to get ten times more value out of their premium credit card rewards.</t>
  </si>
  <si>
    <t>Adapt Ventures, Bain Capital Ventures, Brian Kelly, CRV, Gateway X (Saint Louis), Goodwater Capital, Soma Capital</t>
  </si>
  <si>
    <t>www.taekus.com</t>
  </si>
  <si>
    <t>182305-54</t>
  </si>
  <si>
    <t>Pave (Financial Software)</t>
  </si>
  <si>
    <t>Developer of a credit-building application intended to offer a way to build credit scores without a credit check, interest, or credit card debt. The company uses open banking to analyze users' financial situations by looking at their accounts, offering a cash flow prediction tool and warnings and also offers a built-in alternative to overdrafts and payday loans via a revolving line of credit, enabling users to become more financially resilient and improve their credit scores.</t>
  </si>
  <si>
    <t>Entrepreneurs First, Kindred Capital, Kreos Capital, Nesta, Possible Ventures, Redalpine, Tiny Supercomputer Investment Company</t>
  </si>
  <si>
    <t>www.paveapp.com</t>
  </si>
  <si>
    <t>463017-25</t>
  </si>
  <si>
    <t>Taylor Hoffman</t>
  </si>
  <si>
    <t>Operator of an investment management firm intended to offer wealth management services to its clients. The company's platform provides financial planning through investment strategies, education, and coaching, enabling investors to diversify their portfolios and generate higher returns.</t>
  </si>
  <si>
    <t>www.taylorhoffman.com</t>
  </si>
  <si>
    <t>343103-50</t>
  </si>
  <si>
    <t>Impaakt</t>
  </si>
  <si>
    <t>Developer of a knowledge platform designed to provide the social and environmental impact of listed companies. The company's platform harnesses the power of collective intelligence to produce accurate, objective, and exhaustive assessment data of the global impact of businesses and provides impact scores, advanced data analytics tools, and virtual portfolio management, enabling asset managers to bring impact analysis to the heart of all their investment decisions.</t>
  </si>
  <si>
    <t>Aperture, Fongit, Solar Impulse</t>
  </si>
  <si>
    <t>www.impaakt.com</t>
  </si>
  <si>
    <t>230113-81</t>
  </si>
  <si>
    <t>Savi (Consumer Finance)</t>
  </si>
  <si>
    <t>Developer of a financial wellness platform designed to help students manage their student debt easily. The company's platform compares all repayment options simultaneously while discovering new repayment and loan forgiveness options to understand, optimize, and repay their debt, enabling students to save money and repay their loans quickly.</t>
  </si>
  <si>
    <t>9Yards Capital Management, Actions Capital, AlleyCorp, Catherine Reynolds, Impact Assets, Lumina Impact Ventures, Michelle Kang, New Media Ventures, Nyca Partners, Sheila Marcelo, Temerity Capital Partners, The Kresge Foundation, WGU Labs</t>
  </si>
  <si>
    <t>www.bysavi.com</t>
  </si>
  <si>
    <t>471293-20</t>
  </si>
  <si>
    <t>Scaleup Finance</t>
  </si>
  <si>
    <t>Developer of a financial management platform designed to help startup companies meet their financial operations needs. The company's platform provides a digital Chief Financial Officer as a service and a new digital CXO cockpit for financial management in small companies, enabling clients to streamline and improve financial management and administration.</t>
  </si>
  <si>
    <t>Chris Adelsbach, CircleRock Capital, Clocktower Ventures, Crowberry Capital, Daniel Cobley, Fin Capital, Inveready Asset Management, Kraen Nielsen, Main Set, Morph Capital, North Ventures, Oakley Capital, PROfounders Capital, Western Technology Investment</t>
  </si>
  <si>
    <t>www.scaleup.finance</t>
  </si>
  <si>
    <t>279659-44</t>
  </si>
  <si>
    <t>Nalo</t>
  </si>
  <si>
    <t>Developer of a digital financial management platform designed to provide automated investment advisory, portfolio management, and personalized financial planning services. The company's platform offers robo-advisory, insurance-based investment products, retirement savings plans, ETF-based portfolio management, and automated asset allocation tools, enabling individuals to invest efficiently, align portfolios with financial goals, and manage wealth.</t>
  </si>
  <si>
    <t>Apicil Group, Eric Ibled, Insurtech Capital, Laurent Boillot, Le Village by CA, Maïlys Cantzler, Mandalore Partners, Philippe Vergine, Sonia Fendler</t>
  </si>
  <si>
    <t>www.nalo.fr</t>
  </si>
  <si>
    <t>483691-24</t>
  </si>
  <si>
    <t>Lista</t>
  </si>
  <si>
    <t>Developer of a bookkeeping app designed to help MSMEs manage their finances. The company's application offers the customer a free and secure way of managing finances such as tracking debts, recording transactions, and issuing invoices, and provides a reliable digital partner, enabling MSMEs to record financial transactions efficiently.</t>
  </si>
  <si>
    <t>1982 Ventures, Alap Bharadwaj, Alternate Ventures, Amrish Rau, Antifragile, Aurelien Pichon, Brian Cu, East Ventures, Fintech Nation, Jitendra Gupta, Kunal Shah, Monde Nissin Family Ventures, Openspace Capital, Rexy Dorado, Roland Ros, Saison Capital, Sprouts Investments, Stephen Cuunjieng, Willy Arifin</t>
  </si>
  <si>
    <t>www.lista.com.ph</t>
  </si>
  <si>
    <t>507428-92</t>
  </si>
  <si>
    <t>WorkMade</t>
  </si>
  <si>
    <t>Developer an automated finance application designed for the self-employed to track their finances. The company's platform automates payment, banking and taxes and saves on taxes by finding write-offs, enabling freelancers to take care of their business with banking services.</t>
  </si>
  <si>
    <t>1517 Fund, Edward Lando, House Of Ventures, Jonathan Oringer, M13, Pareto Holdings, Salesforce Ventures, Slack Fund, VITALIZE Venture Capital</t>
  </si>
  <si>
    <t>www.workmade.com</t>
  </si>
  <si>
    <t>96246-01</t>
  </si>
  <si>
    <t>ZirooPay</t>
  </si>
  <si>
    <t>Provider of an android-based retail Point-of-Sale service intended to facilitate real-time mobile payments. The company leverages patented internet-free technology that bypasses the internet and transmits credit card data via universally available, secure connections, allowing merchants to receive card payments in areas where internet connectivity is poor or non-existent, enabling vendors to track their sales and manage their businesses from their mobile devices.</t>
  </si>
  <si>
    <t>Abiodun Ajayi, Ecobank Transnational, Exotix Advisory, Fedha Capital, Inventure, Jonas Dromberg, Kurt Björklund, Marc Zilkha, Mastercard Foundation, Petri Kivinen, Rasheed Olaoluwa, Solinor, Stephane Kurgan, Stichting DOEN, Village Capital, Zrosk Investment Management</t>
  </si>
  <si>
    <t>www.ziroopay.com</t>
  </si>
  <si>
    <t>168310-81</t>
  </si>
  <si>
    <t>Amnis</t>
  </si>
  <si>
    <t>Developer of a financial platform designed to manage global business payments, accounts, and currency operations. The company's platform offers multi-currency accounts, international payments, expense management, and automated currency exchange, enabling businesses and finance teams to handle cross-border transactions and financial workflows efficiently.</t>
  </si>
  <si>
    <t>Lansdowne Partners, PostFinance Ventures, SICTIC, Spicehaus Partners, Start Path, Swisscom Ventures, Venturelab</t>
  </si>
  <si>
    <t>www.amnistreasury.com</t>
  </si>
  <si>
    <t>234768-34</t>
  </si>
  <si>
    <t>SquareBook</t>
  </si>
  <si>
    <t>Developer of a unified finance platform designed to connect companies, advisors, and investors. The company's platform facilitates communication and deal flow between these three groups, enabling companies to find the right advisors for their capital raising needs, advisors to connect with a broad network of investors and other advisors, and investors to discover deal opportunities, enabling users to get a powerful platform and simplify capital raising.</t>
  </si>
  <si>
    <t>Anthony Acampora, Financial Conduct Authority, Henry Kenner, Pario Ventures, Richard Balarkas, Tech Nation Group, Tom Whelan</t>
  </si>
  <si>
    <t>www.squarebook.com</t>
  </si>
  <si>
    <t>681718-69</t>
  </si>
  <si>
    <t>Covecta</t>
  </si>
  <si>
    <t>Developer of a configurable AI platform designed to complete critical activities via configurable AI workflows. The company's platform helps to improve team productivity and performance, onboard target customers with a higher conversion rate, and support customer growth, enabling clients to increase productivity.</t>
  </si>
  <si>
    <t>Salesforce Ventures</t>
  </si>
  <si>
    <t>www.covecta.io</t>
  </si>
  <si>
    <t>510487-12</t>
  </si>
  <si>
    <t>Ambr Payments</t>
  </si>
  <si>
    <t>Developer of digital banking and cross-border payment platform designed for business financial operations. The company's platform offers compliant ledger and money movement tools, lets seamless orchestration of treasury and payments, provides controls for transaction monitoring and reporting, and is built to interface with existing banking and fintech systems, enabling licensed financial institutions to manage money flow, compliance, and settlement operations with greater efficiency and transparency.</t>
  </si>
  <si>
    <t>www.ambrpayments.com</t>
  </si>
  <si>
    <t>108604-90</t>
  </si>
  <si>
    <t>Aqwire</t>
  </si>
  <si>
    <t>B2B Payments, FinTech, Mobile, Real Estate Technology, SaaS</t>
  </si>
  <si>
    <t>Developer of an online international payment platform designed to manage property payments, association dues and others, invoicing and billing. The company's platform provides white-labeled invoicing and payment service to large enterprises for billing customers who are out of state or those who are temporarily working abroad which reduces reliance on intermediaries such as agents, brokers, or other marketing channels, enabling businesses to easily monitor all their transactions in real-time.</t>
  </si>
  <si>
    <t>500 Global, Betatron Venture Group, Carmen Feliciano, Cento Ventures, First Asia Venture Capital, Franklin Holz, Gentree, Hunt Companies, IdeaSpace Ventures, JFDI.Asia, Joe Maristela, Katalyst Philippines, Manila Angel Investors Network, MicroVentures, Satish Dave, Shatter Tech Venture Holdings, Spiral Ventures, Vulpes Ventures</t>
  </si>
  <si>
    <t>www.aqwire.co</t>
  </si>
  <si>
    <t>515076-85</t>
  </si>
  <si>
    <t>TeamUp Money</t>
  </si>
  <si>
    <t>Developer of a budgeting platform intended for money management. The company's platform specializes in branded digital and physical cards, an easy-to-use dashboard, real-time spend tracking, team categorizing tools, immediate or scheduled fund transfers, and scheduled per diem disbursements, providing athletic staff and teams with antiquated financial accounting systems and financial education.</t>
  </si>
  <si>
    <t>www.teamup.money</t>
  </si>
  <si>
    <t>483630-40</t>
  </si>
  <si>
    <t>BayaniPay</t>
  </si>
  <si>
    <t>Developer of a banking platform designed to simplify the remittance process for Filipino families. The company's platform engages in global payments service empowering global professionals working abroad to take financial care of their families and communities back in their home countries, enabling individuals to break down the borders in banking and send care from miles away.</t>
  </si>
  <si>
    <t>East West Bancorp, PTGB, Republic, Talino Fintech Foundry, Wavemaker Partners</t>
  </si>
  <si>
    <t>www.bayanipay.com</t>
  </si>
  <si>
    <t>471892-51</t>
  </si>
  <si>
    <t>Odin (Financial Services)</t>
  </si>
  <si>
    <t>Developer a social investment platform designed to democratize access to venture capital by allowing users to invest in indices, funds, and syndicates. The company helps decrease capitalism by making it radically cheaper and easier to launch investment funds, enabling founders, operators, and investors to connect globally and raise funding.</t>
  </si>
  <si>
    <t>Alexander Macdonald, Approx.vc, Dorothy Chou, Gallet Capital, Haatch, Hitchhiker Ventures, IPQ Capital, Jelle Prins, Kirsten Connell, Mandeep Singh, Material V, Matt Penneycard, Michele Attisani, Musaab Hakami, Omar Barakat, Omid Ashtari, O'Shaughnessy Ventures, Raspberry Ventures, Sarah Drinkwater, The User Syndicate, Warrick Shanly</t>
  </si>
  <si>
    <t>www.joinodin.com</t>
  </si>
  <si>
    <t>491696-74</t>
  </si>
  <si>
    <t>Habitto</t>
  </si>
  <si>
    <t>Operator of a fintech platform intended to provide insights into the Japanese market. The company offers financial advice through its mobile application with a single point for customer acquisition and includes digital onboarding and eKYC that offers daily access and visibility of their money and policy and a range of investment and insurance products, enabling customers to achieve their investment goals and provide the insurance they need.</t>
  </si>
  <si>
    <t>Anthemis, Apis Partners, Cherubic Ventures, DG Daiwa Ventures, Epic Angels, GMO Venture Partners, Kyokuto Securities Company, QED Investors, Saison Capital, Scrum Ventures</t>
  </si>
  <si>
    <t>www.habitto.com</t>
  </si>
  <si>
    <t>551769-04</t>
  </si>
  <si>
    <t>RetailBook</t>
  </si>
  <si>
    <t>Developer of a technology-led platform designed to connect companies looking to raise capital with retail investors via their retail brokers and wealth managers. The company's platform provides corporate issuers access to the pool of retail capital, enabling retail investors to participate in primary capital market transactions.</t>
  </si>
  <si>
    <t>Augmentum Fintech, Hargreaves Lansdown, Jefferies Financial Group, Peel Hunt, Rothschild Investment</t>
  </si>
  <si>
    <t>www.retailbook.com</t>
  </si>
  <si>
    <t>466968-43</t>
  </si>
  <si>
    <t>Allio Capital</t>
  </si>
  <si>
    <t>Developer of an artificial intelligence platform designed to support portfolio management, financial analysis, and client engagement for investment professionals and fintech providers. The company offers financially literate artificial intelligence tools, tactical allocation capabilities, automated client communication features, and interactive onboarding experiences, enabling financial advisors and fintech platforms to improve investment workflows, personalize client interactions, and simplify compliance-related processes.</t>
  </si>
  <si>
    <t>Liberty Partners, WTIA Startup Program</t>
  </si>
  <si>
    <t>www.alliocapital.com</t>
  </si>
  <si>
    <t>435876-67</t>
  </si>
  <si>
    <t>Alphaledger</t>
  </si>
  <si>
    <t>Operator of a transparent loan and bond marketplace intended to streamline debt financing and increase direct engagement with investors. The company's marketplace offers a modern alternative to the traditional securities issuance and trading process, where issuers and investors have direct and equal access to participate, combined with the security of blockchain technology, enabling community banks and credit unions to directly engage with their state and local governments to fund positive impact municipal projects.</t>
  </si>
  <si>
    <t>Ausum Ventures, Blackhorn Ventures, EJF Ventures, KDX Ventures, Solana Incubator, Ten Eighty Capital</t>
  </si>
  <si>
    <t>www.alphaledger.com</t>
  </si>
  <si>
    <t>437902-75</t>
  </si>
  <si>
    <t>Bainbridge Growth</t>
  </si>
  <si>
    <t>Developer of a finance platform intended for scaling e-commerce and omnichannel consumer brands. The company's finance platform is purpose-built for rising consumer brands to deliver modern financial modeling, forecasting, and reporting technology, enabling clients to plan, analyze, and manage financial performance.</t>
  </si>
  <si>
    <t>Bling Capital, Brian Riley, Brian Tate, Expansion Venture Capital, Fundamental Ventures, Gaingels, Good Friends, Industry Ventures, ISV Startup Springboard, Jefferies Financial Group, Jordan Nathan, Joseph Zwillinger, Las Olas Venture Capital, SuperAngel.Fund, Vinyl Capital, Vocap Partners</t>
  </si>
  <si>
    <t>www.drivepoint.ai</t>
  </si>
  <si>
    <t>453364-75</t>
  </si>
  <si>
    <t>Beem (Financials Software)</t>
  </si>
  <si>
    <t>Developer of an artificial intelligence-powered smart wallet application designed to provide users with access to emergency cash. The company's platform allows users to withdraw verified bank deposits early without credit checks or interest, send and receive money instantly, file taxes affordably, and monitor credit scores, enabling individuals facing financial uncertainties to manage their expenses effectively while ensuring transparency and security in transactions.</t>
  </si>
  <si>
    <t>Alumni Ventures, Cap Table Coalition, Cashmere Fund, Flux Capital, Goodwater Capital, Investors Trip, Kelmhurst, Massive Capital Partners, Sardine, Spacestation (UK), Sri Narasimhan, Strada Education Foundation, SustainVC, Techstars, The Josephine Collective, Tribe Capital, TruStage Ventures, Village Global, Western Union Accelerator</t>
  </si>
  <si>
    <t>www.trybeem.com</t>
  </si>
  <si>
    <t>1231697-62</t>
  </si>
  <si>
    <t>Beep (Financial Software)</t>
  </si>
  <si>
    <t>Developer of an agentic finance platform designed to enable autonomous payments, earnings, and holdings of stablecoins for AI agents, applications, and APIs. The company's platform features zero-fee instant settlements, real-time yield streaming, microsecond stablecoin-based transactions, extensibility with agent payment standards, and orchestrated LLM intelligence for conversational financial management, enabling businesses and developers to automate digital asset transactions and optimize yield in agent-to-agent commerce.</t>
  </si>
  <si>
    <t>Recursive Ventures</t>
  </si>
  <si>
    <t>www.justbeep.it</t>
  </si>
  <si>
    <t>556127-11</t>
  </si>
  <si>
    <t>Bloxley</t>
  </si>
  <si>
    <t>Developer of a digital banking platform intended to provide comprehensive money management tools for individuals. The company's platform offers virtual and physical debit cards that enable users to send, spend, request, split, and manage funds through an app with conversational AI assistance, allowing consumers to securely control their finances, perform everyday transactions, and access banking services.</t>
  </si>
  <si>
    <t>www.bloxley.com</t>
  </si>
  <si>
    <t>548348-59</t>
  </si>
  <si>
    <t>ChargeUp.ai</t>
  </si>
  <si>
    <t>Developer of a chargeback automation platform designed to determine dispute resolution. The company's platform manages chargeback disputes with upstream retailers and prevents brands from giving money away by disputing invalid chargebacks, enabling retailers and component suppliers to get simple workflows.</t>
  </si>
  <si>
    <t>Gaingels, Neo (Consulting Services (B2B)), RCV Frontline, Willpower Venture Capital</t>
  </si>
  <si>
    <t>www.chargeup.ai</t>
  </si>
  <si>
    <t>399117-25</t>
  </si>
  <si>
    <t>CoFi</t>
  </si>
  <si>
    <t>Construction Technology, FinTech, Real Estate Technology</t>
  </si>
  <si>
    <t>Developer of a construction finance and loan servicing platform designed to streamline funding and payment processes for residential building projects. The company's platform offers tailored construction loan programs, digital draw processing, automated loan monitoring, and builder-focused payment software, enabling home builders and contractors to access timely funding, manage budgets efficiently, and receive payments with greater transparency and control.</t>
  </si>
  <si>
    <t>Blackhorn Ventures, Dreamit Ventures, MetaProp, Newfund Management, Olam Capital, StartX (US), Tenacity Venture Capital, TriplePoint Capital, Tunitas Ventures, Westerly Winds</t>
  </si>
  <si>
    <t>www.cofilending.com</t>
  </si>
  <si>
    <t>469689-85</t>
  </si>
  <si>
    <t>Collectbase</t>
  </si>
  <si>
    <t>Developer of a collection management platform designed to manage and monitor sports card investments. The company's platform provides users with real-time alerts, valuations, and other relevant key metrics for each card they own, similar to the interface of an online stock portfolio, enabling customers to make instant decisions and get funded immediately.</t>
  </si>
  <si>
    <t>Adam Jackson, Aurum Venture Partners, Blockchange Ventures, Blockwall Management, GFR Fund, Investacard, Lucas Mast, Marcus Lemonis, Orlando Bloom, Peter Thiel, Sean Cohan, Trevor Traina, Vinny Lingham</t>
  </si>
  <si>
    <t>www.collectibles.com</t>
  </si>
  <si>
    <t>608800-24</t>
  </si>
  <si>
    <t>CollectWise</t>
  </si>
  <si>
    <t>Developer of a debt collection platform designed to simplify, accelerate and facilitate the recovery of outstanding payments. The company's platform enables improved recovery rates and lower costs through end-to-end collection automation and helps maintain a positive brand image by facilitating personalized email and SMS communications with debtors, conducting phone conversations, reporting to credit bureaus and automatically enforcing judgments via liens or garnishments, enabling creditors and lenders to maximize recovery rates while minimizing costs with end-to-end collections automation.</t>
  </si>
  <si>
    <t>1984 Ventures, Autotech Ventures, CoreNest Capital, Eight Capital (Austria), GMO Venture Partners, Hi2 Global, JHH vc, MyAsiaVC, Not Yet Ventures, Orange Collective, Realm Capital Ventures, Team Ignite Ventures, Unpopular Ventures, Y Combinator, Zain S Hasan Charitable Remainder Trust</t>
  </si>
  <si>
    <t>collectwise.com</t>
  </si>
  <si>
    <t>183245-95</t>
  </si>
  <si>
    <t>ConnexPay</t>
  </si>
  <si>
    <t>Developer of an online payment platform designed to facilitate payment transactions. The company's platform specializes in collaboration with issuing and acquiring financial institution partners to create single-use virtual credit cards based on user account verification codes, enabling businesses to make transactions with minimized risks and reduced costs.</t>
  </si>
  <si>
    <t>BIP Ventures, Buckhead Investment Partners, F-Prime Capital, FTV Capital, Marqeta, Naples Accelerator, Pamela Joseph, Tamiami Angel Funds</t>
  </si>
  <si>
    <t>www.connexpay.com</t>
  </si>
  <si>
    <t>465321-43</t>
  </si>
  <si>
    <t>Doublefin</t>
  </si>
  <si>
    <t>Developer of collaborative people management and planning platform designed for people teams, finance business partners, and budget owners. The company's platform offers features such as headcount tracking, budget planning, finance workflows, spend analytics, hiring insights, and intuitive management workflows, enabling organizations to leverage hiring data insights and analytics and manage workflow to plan their growth.</t>
  </si>
  <si>
    <t>AME Cloud Ventures, Born Capital (California), Franklin Resources, Franklin Venture Partners, Zhoujia Bao</t>
  </si>
  <si>
    <t>www.doublefin.com</t>
  </si>
  <si>
    <t>538134-67</t>
  </si>
  <si>
    <t>Era</t>
  </si>
  <si>
    <t>Developer of an AI (artificial intelligence)-based smart money management platform intended to help individuals take control of their financial lives. The company offers personalized financial services across taxes, spending, saving, and investments with real-time market analysis and a secure AI-driven interface, enabling individuals seeking accessible wealth management tools to manage finances effectively and grow their investments.</t>
  </si>
  <si>
    <t>Clocktower Ventures, Designer Fund, K5 Global, MaC Venture Capital, Moth Fund, Northzone Ventures, Protagonist Management, Third Kind Venture Capital, Zeal Talent Ventures</t>
  </si>
  <si>
    <t>www.era.app</t>
  </si>
  <si>
    <t>458770-78</t>
  </si>
  <si>
    <t>Figg Wealth</t>
  </si>
  <si>
    <t>Developer of a wealth management platform designed to bring private banking experience to the mass affluent. The company offers a platform that consolidates financial and physical assets into a single application, providing real-time insights and personalized planning, enabling mass affluent individuals to access institutional-grade products and manage their investments and risks more effectively.</t>
  </si>
  <si>
    <t>www.figgwealth.com</t>
  </si>
  <si>
    <t>225825-31</t>
  </si>
  <si>
    <t>Flexitech Group</t>
  </si>
  <si>
    <t>Operator of a merchant-embedded Save Now, Buy Later (SNBL) platform that enables customers to save for essential purchases over time, interest-free. The company's platform helps users plan and commit to goals, like school fees, appliances, or travel, without debt, enabling merchants to drive prepaid sales, retention, and loyalty through structured savings and embedded financial wellness tools.</t>
  </si>
  <si>
    <t>Acasia, Acasia Ventures, Afropreneurs, Breega, Data for Founders, DeveloPPP Ventures, Expert DOJO, Google Accelerator, Ian Yamey, Kepple Africa Ventures, LoftyInc Capital Management, Mistral Venture Partners, Renew Capital, Safaricom Spark Accelerator</t>
  </si>
  <si>
    <t>www.flexpay.co.ke</t>
  </si>
  <si>
    <t>497922-76</t>
  </si>
  <si>
    <t>Keye</t>
  </si>
  <si>
    <t>Operator of an AI system intended to help private market investors accelerate and enhance due diligence. The company platform offers access to data room analysis tools that simplify the time and effort required for deal review and turn the data rooms and deal folders directly into critical insights, providing investors with an analysis system that empowers them to work faster and smarter with AI tech.</t>
  </si>
  <si>
    <t>Broadshade Investments, Clark Valberg, Davidovs Venture Collective, DG Daiwa Ventures, Dunamu &amp; Partners, Entrepreneurs Roundtable Accelerator, Exitfund, General Catalyst, Kaz Nejatian, Lobster Capital, Multimodal Ventures, OpenAI, Orange Collective, Palm Drive Capital, Philip Rathle, Plug and Play Tech Center, Singularity Capital, Sorenson Ventures, Syntax Ventures, Terrence Murphy Companies, Tiferes Ventures, Venture Initiation Program, Y Combinator, Zain S Hasan Charitable Remainder Trust</t>
  </si>
  <si>
    <t>www.keye.co</t>
  </si>
  <si>
    <t>707769-55</t>
  </si>
  <si>
    <t>Limited</t>
  </si>
  <si>
    <t>Operator of a financial platform intended to offer premium card benefits typically reserved for traditional banking customers. The company's platform provides a comprehensive suite of financial tools, including virtual bank accounts, premium card programs, and cross-border payment options by combining the security of self-custody with the convenience of traditional banking, enabling businesses and individuals to access global payment rails while maintaining complete control of their funds through self-custody wallets.</t>
  </si>
  <si>
    <t>Arche Capital, Collab+Currency, North Island Ventures, SevenX Ventures, The House Fund, Third Prime</t>
  </si>
  <si>
    <t>www.limitedapp.com</t>
  </si>
  <si>
    <t>496402-84</t>
  </si>
  <si>
    <t>LUXUS</t>
  </si>
  <si>
    <t>Developer of a wealth technology platform designed to facilitate investment in luxury alternative assets. The company offers asset curation, securitization, monetization capabilities, and a marketplace for luxury collectibles, including jewelry, handbags, watches, exotic cars, and thoroughbreds, enabling family offices and high-net-worth investors to access and manage alternative investment opportunities in rare luxury assets.</t>
  </si>
  <si>
    <t>ATX Venture Partners, Belinda Johnson, Christie's Ventures, Veronica Miele Beard</t>
  </si>
  <si>
    <t>www.luxusco.com</t>
  </si>
  <si>
    <t>497838-16</t>
  </si>
  <si>
    <t>mattilda.</t>
  </si>
  <si>
    <t>Developer of an education management platform designed to streamline school operations and financial administration for private educational institutions. The company offers artificial intelligence-powered record management, automated collections management, payment aggregation, revenue financing, customer relationship management tools, operating agents, lending capabilities, and student information management features, enabling private schools to manage administrative and financial processes more efficiently and focus on delivering quality education.</t>
  </si>
  <si>
    <t>Addem Capital, DILA Capital, Emerge (London), FinTech Collective, GSV Ventures, Picus Capital, QED Investors, Spectra Investments, Stella Maris Partners, Wollef, Xochi Ventures</t>
  </si>
  <si>
    <t>www.mattilda.io</t>
  </si>
  <si>
    <t>434891-53</t>
  </si>
  <si>
    <t>Money Club</t>
  </si>
  <si>
    <t>Operator of a financial inclusion platform intended to improve financial resilience for low-income populations. The company offers an artificial intelligence-powered gamified platform that applies rotating savings and credit group mechanisms for saving, borrowing, and investing, enabling underserved individuals to access structured financial participation and build financial stability.</t>
  </si>
  <si>
    <t>1Crowd, Aabhas Khanna, Aloknath De, Astarc Ventures, Bharat Jaisinghni, Blume Venture Advisors, Dezerv, Dhruv Agarwala, Dominor, Gaurav Saraf, July Ventures, Keiretsu Forum, Lead Invest, LetsVenture AIF, LIV Advisors, Loyal VC, MyAsiaVC, Niranjan Bhandari, Orbit Ventures (Venture Capital), Prudent Investment Managers, Rockstud Capital, SOSV, Supermorpheous, Tushar Singh, Upsparks Capital, Venture Catalysts (Capital Markets/Institutions), z21 Ventures</t>
  </si>
  <si>
    <t>www.moneyclubber.com</t>
  </si>
  <si>
    <t>528444-73</t>
  </si>
  <si>
    <t>Morning Line Club</t>
  </si>
  <si>
    <t>Developer of a digital marketplace designed to provide fractional investment access to Thoroughbred racehorses and breeding rights. The company's platform offers regulated secondary trading, fractional ownership, and digital asset management, enabling retail and institutional investors, to buy, sell, and manage alternative equine investments.</t>
  </si>
  <si>
    <t>Ava Labs</t>
  </si>
  <si>
    <t>www.morningline.io</t>
  </si>
  <si>
    <t>435588-49</t>
  </si>
  <si>
    <t>Nvestiv</t>
  </si>
  <si>
    <t>Developer of an AI operating system for private investments designed to streamline and automate the full lifecycle of investment firm operations. The company offers an AI-native CRM with an embedded agentic CIO, custom agent builder, and real-time data integration, enabling family offices, asset managers, and institutional investors to reduce operational friction, enhance decision-making, and build long-term institutional memory.</t>
  </si>
  <si>
    <t>Versus Ventures</t>
  </si>
  <si>
    <t>www.nvestiv.com</t>
  </si>
  <si>
    <t>515849-23</t>
  </si>
  <si>
    <t>OneText</t>
  </si>
  <si>
    <t>Artificial Intelligence &amp; Machine Learning, Big Data, FinTech, Marketing Tech, Mobile, Mobile Commerce, SaaS</t>
  </si>
  <si>
    <t>Developer of a mobile-based e-commerce communication platform designed to optimize online sales performance. The company's platform supports text-to-buy, personalized product recommendations, conversational texting, AI-powered smart replies, cart recovery automation, campaign management, and integrations with systems like Shopify, Klaviyo, and Salesforce Commerce Cloud, enabling e-commerce merchants to increase customer engagement, simplify the purchase process, and drive higher revenue through mobile interactions.</t>
  </si>
  <si>
    <t>Citi Ventures, Coatue Management, Crescent Fund, Good Friends, Helium-3 Ventures, Khosla Ventures, Leonis Investissement, Lobster Capital, Matthew Bellamy, Pioneer Fund, Sterling Road, Y Combinator</t>
  </si>
  <si>
    <t>home.onetext.com</t>
  </si>
  <si>
    <t>471555-73</t>
  </si>
  <si>
    <t>Payze</t>
  </si>
  <si>
    <t>Developer of a financial platform designed to help businesses accept payments from around the world. The company's platform helps users to pay through split payments, email payments, recurring payments, and QR payments, which helps the customers and merchants to receive or make payments more quickly, enabling clients to make payments flexibly and securely through a single integration.</t>
  </si>
  <si>
    <t>Alan Rutledge, BYLD (Dubai), Class 5 Global, Flexport, Fox Capital Partners, Fox Ventures (United Arab Emirates), Gfc, Hard Yaka, Immeasurable, Matt Robinson, Michael Vaughan, Ryan Petersen, Shilling (Portugal), Soma Capital, Sturgeon Capital, Visa, Y Combinator</t>
  </si>
  <si>
    <t>www.payze.io</t>
  </si>
  <si>
    <t>499327-39</t>
  </si>
  <si>
    <t>PILLAR AI</t>
  </si>
  <si>
    <t>Developer of an artificial intelligence sales agent platform designed to automate lead qualification and customer engagement for financial institutions. The company's technology features real-time engagement adjustment, product-specific intelligence, automated lead qualification, enterprise-grade cloud infrastructure, encryption, and role-based access controls, enabling financial institutions to scale sales operations and increase conversion rates without increasing headcount.</t>
  </si>
  <si>
    <t>500 Global, 500 Southeast Asia, Arkana Ventures, Creative Gorilla Capital, Crestone Venture Capital, East Ventures, Flourish Ventures, GK Accelerate, Hustle Fund, Init 6, Iterative Accelerator, Kadan Capital, KDV Capital, Living Lab Ventures, Orvel Ventures, Sprouts Investments, Teja Ventures</t>
  </si>
  <si>
    <t>www.pillarlab.ai</t>
  </si>
  <si>
    <t>228737-62</t>
  </si>
  <si>
    <t>Pitchly</t>
  </si>
  <si>
    <t>Developer of a cloud-based data and content generation platform designed to manage enterprise information and automate workflow processes. The company's platform offers autonomous artificial intelligence agents, system integrations, dynamic content generation, multi-source data management, and workflow automation capabilities, enabling professional services teams to create accurate, consistent, and current pitch and proposal materials more efficiently.</t>
  </si>
  <si>
    <t>Angel Investors, Cabra VC, Great North Ventures, Homegrown Capital, InnoVenture Iowa, Iowa Economic Development Authority, ISA Ventures, LAUNCH Fund, M25, Nebraska Angels, Nelnet, Nelnet Ventures, Next Level Ventures, PGSA Venture Capital, SaaSCraft Ventures, Twelve19 Ventures</t>
  </si>
  <si>
    <t>www.pitchly.com</t>
  </si>
  <si>
    <t>597100-78</t>
  </si>
  <si>
    <t>Remitian</t>
  </si>
  <si>
    <t>Developer of an AI-enabled tax payment platform designed to automate tax payments for business and personal needs. The company's platform offers AI-driven analytics to improve productivity and prevent revenue loss in enterprises by automating tax payment and remittance tasks, enabling businesses and individuals to streamline their tax workflow and potentially avoid penalties associated with late or inaccurate tax filings.</t>
  </si>
  <si>
    <t>AICPA and CPA.com Startup Accelerator, Aprio, Cambrian Fintech, Craft Ventures, Daniel Eberhard, Fresh Founders, Futurefirm, Garage Capital, Graphite Ventures, N49P, North Exit Ventures, Rex Salisbury, Richard Kopelman, Ventured Synergy</t>
  </si>
  <si>
    <t>www.remitian.com</t>
  </si>
  <si>
    <t>152509-51</t>
  </si>
  <si>
    <t>S-Factor</t>
  </si>
  <si>
    <t>Provider of innovative fintech solutions intended to achieve industry milestones by empirically demonstrating the significance of social factors in investment decisions over a decade. The company's proprietary system collects and analyzes ESG data, assessing corporate social performance and provides comprehensive insights, mapping social themes materiality to specific companies and industries, enabling financial institutions to enhance investment strategies and performance.</t>
  </si>
  <si>
    <t>Government of Canada, Invest Nova Scotia, MassChallenge</t>
  </si>
  <si>
    <t>www.thesfactor.co</t>
  </si>
  <si>
    <t>491692-78</t>
  </si>
  <si>
    <t>Swell (Financial Software)</t>
  </si>
  <si>
    <t>Developer of trading software designed to help people manage their money. The company's software features an integrated checking account and line of credit built to cover purchases and access cash with one click, enabling investors to automatically control spending, tackle debt, and invest in exclusive private market opportunities.</t>
  </si>
  <si>
    <t>www.swellmoney.com</t>
  </si>
  <si>
    <t>266019-13</t>
  </si>
  <si>
    <t>Umba</t>
  </si>
  <si>
    <t>Provider of digital banking services intended to provide an ecosystem of connected financial services. The company lets users apply, receive, and repay microloans through their mobile phones while using machine learning to underwrite using a risk score, enabling users to have financial access and clients to optimize risk exposures in emerging markets.</t>
  </si>
  <si>
    <t>Act Venture Capital, Banana Capital, Chandaria Capital, Costanoa Ventures, Covalent Ventures (CV), David Naffis, Duro Ventures, Eridani Ventures, European Regional Development Fund (Brandenburg), European Structural and Investment Funds in Ireland, Everywhere Ventures, Frontline Ventures, Gaingels, Goodwater Capital, Ground Squirrel Ventures, Halo Business Angel Network, Joshua Bogart, Lachy Groom, London Venture Partners, Ludlow Ventures, Lux Capital, Mango.vc, MVP Ventures, Old Well Labs, Palm Drive Capital, Paul Singh, Streamlined Ventures Management, Thomas Blomfield, TrueSight Ventures, Two Culture Capital, Ullas Naik, Unpopular Ventures, Valia Ventures, VESTIN WOLF, Visa Accelerator, VTF Capital, Wave Capital</t>
  </si>
  <si>
    <t>www.umba.com</t>
  </si>
  <si>
    <t>277288-84</t>
  </si>
  <si>
    <t>Vested (Financial Software)</t>
  </si>
  <si>
    <t>Developer of an investment advisory platform designed to promote sustainable wealth creation by empowering local Indian investors to go global. The company's platform offers investment in fractional shares with zero commission charges, education on the US market, and tracking remittances and tax, enabling individual investors to invest in stocks and ETFs securely.</t>
  </si>
  <si>
    <t>100Unicorns, Aeroflex Enterprises, Akshat Shrivastava, Ankur Warikoo, Atrium Ventures (India), Ayon Capital, Berkeley SkyDeck, Dhruv Rathee, Dhruvil Sanghvi, Dorm Room Fund, Funnder, Hustle Fund, Inflection Point Ventures (India), Karan Sharma, Karman Ventures, LAUNCH Accelerator (Berkeley), Mars Shot Ventures, Mukul Malik, OVO Fund, Pankaj Naik, Realm Capital Ventures, Samyakth Capital, Saumil Parekh, Sharan Hedge, Shashank Udupa, Star Tech NG, Techstars, TenOneTen Ventures, Upscale Strategies Fund, Utsav Agarwal, Venture Catalysts (Capital Markets/Institutions), Wedbush Ventures</t>
  </si>
  <si>
    <t>www.vestedfinance.com</t>
  </si>
  <si>
    <t>433294-12</t>
  </si>
  <si>
    <t>WealthyPlanet</t>
  </si>
  <si>
    <t>Developer of a financial planning tool intended to offer free and holistic online financial planning to investors. The company's tool provides tax-optimized personal plans, cost of short-term and long-term debt analysis, low-fee products, and non-commissioned advisors, enabling customers to reach their financial goals and build confidence about their financial future.</t>
  </si>
  <si>
    <t>Mercanti Management</t>
  </si>
  <si>
    <t>www.wealthyplanet.com</t>
  </si>
  <si>
    <t>481419-01</t>
  </si>
  <si>
    <t>Bivial</t>
  </si>
  <si>
    <t>Operator of a fintech company intended to offer online businesses access to multi-currency international bank account numbers, global payment acceptance, and digital disbursement tools. The company's platform provides multi-currency accounts, cross-border payment processing, disbursement, commission management, regulatory compliance, and related services, enabling online businesses, digital entrepreneurs, merchants, and social media influencers to manage finances and expand their reach.</t>
  </si>
  <si>
    <t>payabl</t>
  </si>
  <si>
    <t>www.bivial.com</t>
  </si>
  <si>
    <t>438797-35</t>
  </si>
  <si>
    <t>Kolleno</t>
  </si>
  <si>
    <t>Operator of a financial platform intended to help with credit control, payment, and collection services for SMEs. The company's platform offers white-label late payment receivable management, amicable commercial debt collection that promotes and retains positive working relationships with customers, and integrated technology, enabling clients to accelerate payment recovery cycles, resulting in improved working capital, recovery rate, and customer care.</t>
  </si>
  <si>
    <t>Allianz Trade, Eurazeo, EY FinTech Growth Programme, Lambda Alpha, Mark Ransford, Michael Pennington, Stride.VC, William Neale</t>
  </si>
  <si>
    <t>www.kolleno.com</t>
  </si>
  <si>
    <t>107270-38</t>
  </si>
  <si>
    <t>First Access</t>
  </si>
  <si>
    <t>Developer of credit software designed to launch custom loan origination and decision engine to reach small businesses and consumers anywhere. The company's software configures roles for a team to maximize collaboration, compliance, and growth, digitize credit products, roles, and processes for the end-to-end customer lifecycle, enabling fintech and digital lenders to get access to flexibility, speed to market, and agility for quick growth.</t>
  </si>
  <si>
    <t>500 Global, Accion, Acumen Fund, Bamboo Capital Partners, Colle Capital Partners, Golden Seeds, Impact Engine, Mentor Capital Network, Nigel Morris, Peter Gonzalez, Pipeline Angels, Shamrock Capital Advisors, Unreasonable Group</t>
  </si>
  <si>
    <t>www.firstaccess.co</t>
  </si>
  <si>
    <t>493194-16</t>
  </si>
  <si>
    <t>Lecto (Financial Software)</t>
  </si>
  <si>
    <t>Developer of financial software designed to support operations design, debt collection, and management operations. The company's platform digitally manages debt management and collection functions that have been performed in analog and disjointed manners and optimize the collection contents according to customer attributes and characteristics, enabling operators to make decisions and improve cost efficiency and profitability.</t>
  </si>
  <si>
    <t>BEENEXT Capital Management, D4V, East Ventures, Mitsubishi UFJ Capital, Mizuho Capital, MUFG Innovation Partners, Resona Capital, Shizen Capital, Shota Horii, Shunsuke Oyu, SMBC Finance Service, SMBC Venture Capital</t>
  </si>
  <si>
    <t>lecto.co.jp</t>
  </si>
  <si>
    <t>437158-63</t>
  </si>
  <si>
    <t>Triangle Digital</t>
  </si>
  <si>
    <t>Big Data, CleanTech, Cryptocurrency/Blockchain, FinTech, Infrastructure</t>
  </si>
  <si>
    <t>Developer of a big data finance platform designed to offer stability and sustainability for infrastructure assets. The company's platform connects big data with financial services, reducing the costs and complexities of capital placement through operational compliance, data consolidation, and increased liquidity, enabling corporate service providers, issuers, and investors to securely and transparently access climate and infrastructure projects.</t>
  </si>
  <si>
    <t>A100x Ventures, Algorand Technologies, CivTech Alliance, Elbow Beach Capital, G2 Capital Advisors, MINTS (Michigan Investment in New Technology Startups), Start Path, Turtle &amp; Hughes</t>
  </si>
  <si>
    <t>www.triangle.digital</t>
  </si>
  <si>
    <t>459329-14</t>
  </si>
  <si>
    <t>GiveStar</t>
  </si>
  <si>
    <t>Developer of a vertical social network designed for fundraisers, donors, charities, and brands. The company's platform allows users to connect, raise, give, and volunteer, it offers contactless fundraising, ticketing, virtual events, quick response codes, and online giving pages, enabling charities to monitor, optimize, and manage donations.</t>
  </si>
  <si>
    <t>Anthony Bolton, Dominic Burke, E. Mervyn Davies, Ecclesiastical Insurance Office, Love Ventures, Martyn Lewis, Michael Spencer</t>
  </si>
  <si>
    <t>www.givestar.io</t>
  </si>
  <si>
    <t>436140-19</t>
  </si>
  <si>
    <t>Omega (Financial Software)</t>
  </si>
  <si>
    <t>Developer of a digital financial platform designed to streamline international business operations. The company's platform offers multi-currency business accounts, international payment capabilities, and integrated services for company registration, accounting and legal support, enabling global entrepreneurs to manage finances efficiently and operate across borders.</t>
  </si>
  <si>
    <t>MasterCard</t>
  </si>
  <si>
    <t>www.omg.one</t>
  </si>
  <si>
    <t>509891-32</t>
  </si>
  <si>
    <t>FYNXT</t>
  </si>
  <si>
    <t>Developer of a financial technology designed to provide a digital front office. The company offers plug-and-play cutting-edge technology alternatives for forex-CFD and multi-asset brokerages, remittance providers, banks, and other financial services, enabling financial institutions to accelerate digital transformation.</t>
  </si>
  <si>
    <t>www.fynxt.com</t>
  </si>
  <si>
    <t>226051-30</t>
  </si>
  <si>
    <t>Brocc</t>
  </si>
  <si>
    <t>Developer of a consumer lending platform designed to help consumers connect directly with each other and exchange financial services. The company's platform offers a safe, smart, and simple application where users can get stable investments or lend money at fair rates without the involvement of costly mediators, both parties get better and fairer terms and rates, enabling customers to get loans at better terms.</t>
  </si>
  <si>
    <t>AB Segulah, Creades, Neptunia Invest, YLD (Sweden)</t>
  </si>
  <si>
    <t>www.brocc.se</t>
  </si>
  <si>
    <t>463166-65</t>
  </si>
  <si>
    <t>Green-Got</t>
  </si>
  <si>
    <t>CleanTech, Climate Tech, FinTech, LOHAS &amp; Wellness, Mobile</t>
  </si>
  <si>
    <t>Operator of a green neo-bank intended to create a banking alternative accessible to everyone. The company reduces the impact of checking accounts, puts money in savings that finance the ecological transition, and preserves the ecosystems with every payment, enabling users to have a safe and secure payment application.</t>
  </si>
  <si>
    <t>Aera VC, Aonia Ventures, Daffourd Invest, Leia Capital, Mozza Angels, New Time Ventures, Pale Blue Dot Advisors, Super Capital, Wilco(Paris)</t>
  </si>
  <si>
    <t>www.green-got.com</t>
  </si>
  <si>
    <t>158420-62</t>
  </si>
  <si>
    <t>Murex</t>
  </si>
  <si>
    <t>Operator of a capital markets technology platform intended to offer cross-asset trading, risk management, and post-trade services. The company's platform offers trading, hedging, funding, risk management, and processing operations to support all types of clients, from global money centers to local banks, from large asset managers to medium-sized hedge funds, and from large corporations to energy utilities, enabling clients to meet regulatory requirements and to manage risk and IT costs.</t>
  </si>
  <si>
    <t>Berytech</t>
  </si>
  <si>
    <t>www.murex.com</t>
  </si>
  <si>
    <t>265004-02</t>
  </si>
  <si>
    <t>RegASK</t>
  </si>
  <si>
    <t>Developer of an artificial intelligence software-as-a-service (SaaS) platform designed to help companies manage regulatory compliance in global markets. The company's system routinely monitors, anticipates, and reports changes in regulations, providing instant alerts and including real-time environmental, social, and governance (ESG) monitoring, risk prediction, compliance, and regulatory strategy, enabling clients to reduce the time and costs involved in regulatory affairs, allowing them to focus on core competencies.</t>
  </si>
  <si>
    <t>Albrekca, Isay Yutkevich, Kim Edmund, Monograph Capital, Peter Kadas, Samuel Gillis, SPRIM Global Investments, Tikehau Capital</t>
  </si>
  <si>
    <t>www.regask.com</t>
  </si>
  <si>
    <t>492987-70</t>
  </si>
  <si>
    <t>Calculum</t>
  </si>
  <si>
    <t>Developer of a data analytics platform designed to help companies improve financial supply chains. The company's platform leverages artificial intelligence and helps to compare organizations with competitors as well as analyze all suppliers in terms of payment terms, financials, sustainability, and environmental, social, and governance, and seize all the necessary arguments to negotiate favorable terms, enabling companies to generate insights in financial supply chains and get paid earlier and pay invoices later.</t>
  </si>
  <si>
    <t>FinTech Sandbox, Humla Ventures, KD Venture Partners, MassChallenge, Nevcaut Ventures, Plug and Play Tech Center, Revolution (Washington DC), Start Path, Vestigo Ventures</t>
  </si>
  <si>
    <t>www.calculum.ai</t>
  </si>
  <si>
    <t>714080-26</t>
  </si>
  <si>
    <t>Youlify</t>
  </si>
  <si>
    <t>Artificial Intelligence &amp; Machine Learning, Digital Health, FinTech, SaaS</t>
  </si>
  <si>
    <t>Developer of a revenue cycle management platform designed to help medical practices improve their billing and collections. The company's platform offers an artificial intelligence-powered onboarding process that can get practices paid and provides business insights and financial analytics, enabling customers to appeal denied claims with a success rate.</t>
  </si>
  <si>
    <t>Bonfire Ventures, Brett Queener, Dan Roth, Illia Polosukhin, Top Harvest Capital</t>
  </si>
  <si>
    <t>www.youlify.ai</t>
  </si>
  <si>
    <t>103164-04</t>
  </si>
  <si>
    <t>Wealth Migrate</t>
  </si>
  <si>
    <t>Developer of a real estate investment platform designed to provide secure and transparent access to global commercial property opportunities. The company's platform offers a rigorous project screening process, open access to project and financial information, compliant cross-border direct equity structures, and transaction protection using blockchain technology, enabling individual and institutional real estate investors to participate in lower-risk commercial property investments with improved trust and returns.</t>
  </si>
  <si>
    <t>AlphaCode (South Africa), Cairi Legacy Partners, KrowdMentor, Network Society Ventures</t>
  </si>
  <si>
    <t>www.gloprop.com</t>
  </si>
  <si>
    <t>168389-29</t>
  </si>
  <si>
    <t>Investify</t>
  </si>
  <si>
    <t>Operator of a digital asset management company intended to offer individualized financial advice and investment portfolios. The company assists in managing assets by investing in various themes like an aging population, smart homes, technology, gold, ethical issues, and water, enabling retail and private customers with knowledge and personal guidance to manage, monitor, and track assets.</t>
  </si>
  <si>
    <t>Erzbistum Berlin, Georges Bock, Government of the Grand Duchy of Luxembourg, Ilavska Vuillermoz Capital, Kontora Family Office, Rakko</t>
  </si>
  <si>
    <t>www.investify.com</t>
  </si>
  <si>
    <t>522768-52</t>
  </si>
  <si>
    <t>Paysharp</t>
  </si>
  <si>
    <t>Developer of a focused payment gateway designed to offer business payment solutions. The company helps automate day-to-day payment reconciliation with an automatic reconciliation system and collects UPI payments in the website or app, enabling businesses to create virtual accounts and start accepting payments online quickly.</t>
  </si>
  <si>
    <t>www.paysharp.in</t>
  </si>
  <si>
    <t>185902-03</t>
  </si>
  <si>
    <t>CarPay</t>
  </si>
  <si>
    <t>Developer of a cloud-based loan management platform designed for buy here pay here dealers. The company's platform provides borrowers with easy ways to pay and helps keep those customers up-to-date with their car loans, enabling car dealers to spend less time handling customer payments and focus on enhancing revenue and customer satisfaction.</t>
  </si>
  <si>
    <t>Amplify.LA, Autotech Ventures, FJ Labs, Flight Ventures, Pasadena Angels, Pipeline Capital Partners, Social Leverage, Walter Frye, Wavemaker Partners</t>
  </si>
  <si>
    <t>www.carpay.com</t>
  </si>
  <si>
    <t>490752-64</t>
  </si>
  <si>
    <t>Ramify</t>
  </si>
  <si>
    <t>Developer of an online private wealth management bank platform designed to democratize investments. The company's platform facilitates simulation, comparison, and visualization tools to set up investment and savings strategies while optimizing taxes, enabling users to make informed decisions relating to investment and savings and manage their financial assets.</t>
  </si>
  <si>
    <t>13books Capital, AG2R La Mondiale, Apicil Group, Crédit Agricole Brie Picardie, Fidelity International Strategic Ventures, Hervé Schricke, Newfund Management, Opera Tech Ventures, Sphere Ventures</t>
  </si>
  <si>
    <t>www.ramify.fr</t>
  </si>
  <si>
    <t>464225-50</t>
  </si>
  <si>
    <t>IppoPay Technologies</t>
  </si>
  <si>
    <t>Developer of a payment gateway platform designed to offer secure banking transaction services to small businesses, SMEs, and freelancers. The company's platform offers developer-friendly APIs and hassle-free integration for businesses to manage their transactions and bank transfers, enabling businesses to accept, process, and disburse payments with its product suite and making the payment process convenient.</t>
  </si>
  <si>
    <t>AIC Raise, Archana Priyadarshini, Better Capital (California), Blume Venture Advisors, Kuberan Marimuthu, Kumar Srivatsan, Madhusudan Kannan, Mithun Sacheti, Prabhu Rangarajan, Sailesh Ramakrishnan, Siddhartha Sacheti, Sundararaman Ramasamy, V Hospitality Company</t>
  </si>
  <si>
    <t>www.ippopay.com</t>
  </si>
  <si>
    <t>483878-62</t>
  </si>
  <si>
    <t>Outmin</t>
  </si>
  <si>
    <t>Developer of a real-time accounting software designed to modernize bookkeeping with data. The company offers artificial intelligence-driven services for payroll management, accounting management, bookkeeping, tax compliance, tax credit management, and company secretarial and formation, enabling firms to streamline their finances and accounts.</t>
  </si>
  <si>
    <t>Enterprise Ireland, Fuel Ventures, IQ-EQ, Kellysan Enterprises, MiddleGame Ventures, Muneera Investments, Northern Powerhouse Investment Fund, Pxn Ventures</t>
  </si>
  <si>
    <t>www.outmin.io</t>
  </si>
  <si>
    <t>416542-78</t>
  </si>
  <si>
    <t>Founderpath</t>
  </si>
  <si>
    <t>Developer of a financing platform designed to help software-as-a-service-based companies thrive and develop. The company's platform offers collateral-free loans and equity-free short-term funding, providing fast financing to business-to-business software founders, and also offers Factoring and Term Loan products, enabling clients to launch their businesses without losing their stake.</t>
  </si>
  <si>
    <t>Active Capital, Andreas Klinger, Bill Boebel, Calm Ventures, Canaan Partners, Dan Martell, Dave Fowler, David Hauser, Gaingels, Lorenzo Thione, Mark MacLeod, Mucker Capital, Patrick Condon, Prototype Capital (San Francisco), Singh Capital Partners, Swifte (New York), Wedbush Ventures</t>
  </si>
  <si>
    <t>www.founderpath.com</t>
  </si>
  <si>
    <t>507281-32</t>
  </si>
  <si>
    <t>AlphaGeo</t>
  </si>
  <si>
    <t>Artificial Intelligence &amp; Machine Learning, Climate Tech, FinTech, Real Estate Technology, SaaS</t>
  </si>
  <si>
    <t>Developer of an AI-powered geospatial analytics platform designed to provide climate and location insights. The company's platform utilizes advanced geospatial models and a global spatial index to assess the resilience of locations worldwide, enabling real estate investors to make informed, data-driven decisions regarding climate risks and opportunities.</t>
  </si>
  <si>
    <t>Adam Levinson, Balaji Srinivasan, Barney Schauble, Bay Development, Big Sky Partners, Brent Morgans &amp; Sarita Singh, Canopy Generation Funds, DCVC, Enterprise Singapore, Gayatri Narayan, Generator Advisors, Gregory Manuel, Hanli Mangun, Hari Rajan, Howard Levkowitz, Jonathan Klein, Jungle Ventures, Lutfey Siddiqi, Masik Enterprises, McKinley Alaska Private Investment, Odyssey Capital, Pavel Bains, Presidio Bay Ventures, Presight AI-Startup Accelerator, PTK Investments, TC Capital, Thakral Corporation, Thunderbolt Capital, Thunderbolt Ventures, Yusuke Kono, Zurich Innovation Championship</t>
  </si>
  <si>
    <t>www.alphageo.ai</t>
  </si>
  <si>
    <t>268205-41</t>
  </si>
  <si>
    <t>Edly</t>
  </si>
  <si>
    <t>Provider of education financing services intended to improve access to academic funding. The company offers income-based repayment loans with streamlined qualification processes, enabling students to finance educational expenses with flexible repayment structures.</t>
  </si>
  <si>
    <t>10X Capital, Allied Venture Partners, Azure Ventures Group, Cooper Abbott, Gaingels, Joyance Partners, Linus Ventures, Makai VC, Mercurius Media Capital, Mistral Venture Partners, Pirque, Taher Savliwala</t>
  </si>
  <si>
    <t>edly.com</t>
  </si>
  <si>
    <t>232713-46</t>
  </si>
  <si>
    <t>Lendela</t>
  </si>
  <si>
    <t>Developer of an online loan brokering platform designed to simplify the loan application process by leveraging digital technology. The company's platform offers a reverse auction loan matching process by submitting a single online application, a borrower receives multiple personalised loan offers from a panel of licensed lenders, with rates and terms tailored to the borrower's profile and without repeated credit-score hits; it compares interest rates, repayment terms, and partner lenders, and guides the user from application through to disbursement, enabling consumers to compare options more transparently, reduce search time, and potentially secure more suitable loan terms.</t>
  </si>
  <si>
    <t>2be.lu Investments, Cocoon Capital, First Degree Global Asset Management, Genting Ventures, Grégoire Baudin, Hellmut Schutte, IMO Ventures, Investigate VC, Michael Blakey, Mikael Nikou, Nergaard Investments Partners, Phillip Private Equity, Pierre Lorinet, Promise Future International, Vulpes Investment Management, Vulpes Testudo Fund, Wings Capital Ventures, Zentro Founders</t>
  </si>
  <si>
    <t>www.sg.lendela.com</t>
  </si>
  <si>
    <t>756005-41</t>
  </si>
  <si>
    <t>Coverd (Entertainment Software)</t>
  </si>
  <si>
    <t>FinTech, Gaming, Mobile</t>
  </si>
  <si>
    <t>Operator of a gamified personal finance platform intended to help users pay off debts and fund expenses through games of chance. The company offers mobile and web-based games that allow users to risk small amounts for large cash rewards to cover credit card bills and major purchases, enabling customers to build better financial habits through an upcoming credit card featuring embedded gaming elements and cash back.</t>
  </si>
  <si>
    <t>Andreessen Horowitz, Arbitrum Gaming Ventures, Multifaceted Capital, Tusk Ventures, Yolo Investments</t>
  </si>
  <si>
    <t>www.coverd.us</t>
  </si>
  <si>
    <t>101171-62</t>
  </si>
  <si>
    <t>HaulPay</t>
  </si>
  <si>
    <t>Developer of a digital freight process and financing platform designed to democratize finance and technology for transportation and logistics industries. The company's platform attracts potential clients and increases the value and growth of current clients by financing and processing payments, enabling small and medium-sized companies in the transportation industry to work more efficiently and helping them by improving their cash flow, automating their tasks, and making their processes digital.</t>
  </si>
  <si>
    <t>Braid Theory, Christopher Hameetman, Hack VC, Initialized Capital, Ladder Ventures, MHS Capital, TCA Venture Group, Upper90 Capital Management</t>
  </si>
  <si>
    <t>www.haulpay.io</t>
  </si>
  <si>
    <t>510738-13</t>
  </si>
  <si>
    <t>Ocean AI</t>
  </si>
  <si>
    <t>Artificial Intelligence &amp; Machine Learning, E-Commerce, FinTech, Supply Chain Tech</t>
  </si>
  <si>
    <t>Developer of a cross-border trade platform intended to facilitate international supply chain transactions for small and medium enterprises. The company's platform integrates advanced AI technologies and offers financing options such as open credit and inventory management, enabling small and medium enterprises (SMEs) to optimize cash flow and streamline operations while accessing global markets effectively.</t>
  </si>
  <si>
    <t>First Check Ventures, Gaingels, Plug and Play Tech Center, Sprint VC, Sutton Capital, Valkin Group</t>
  </si>
  <si>
    <t>www.thisisocean.com</t>
  </si>
  <si>
    <t>121749-49</t>
  </si>
  <si>
    <t>Origin Markets</t>
  </si>
  <si>
    <t>Developer of a private share and bond issuance platform designed to simplify the process for bond issuance globally. The company's platform connects fixed-income dealers with corporate borrowers in the bond market and features term sheet generators, digital listing and settlement and real-time status updates, enabling dealers and businesses to grow their client base and diversify their funding.</t>
  </si>
  <si>
    <t>Akash Gupta, Andrew Redmond, Chris Adelsbach, Chronicled, Clearstream (Luxembourg), DB1 Ventures, Elliot Richmond, FinTech Innovation Lab, Greg Rogers, Haystack (Business/Productivity Software), Luxembourg Stock Exchange, Mandra Capital, Michael Hagen, Ryan Orr, Semil Shah, SparkLabs Group, Steven Rimmer, Techstars, Tekton Ventures, Will Brooks, Will Martin</t>
  </si>
  <si>
    <t>www.originmarkets.com</t>
  </si>
  <si>
    <t>167096-26</t>
  </si>
  <si>
    <t>Valid8 Financial</t>
  </si>
  <si>
    <t>Operator of an independent financial analytics platform intended to facilitate data preparation and analysis. The company's platform extracts and reconciles banking transactions from any PDF statement file, identifies transfers between accounts and legal entities to compress data preparation time, and simplifies asset discovery and finding fraudulent transfers, enabling investors, investigators, auditors, and accountants to track, analyze, and manage third-party financial transactions and establish independent, objective opinions about the financial operations of an enterprise.</t>
  </si>
  <si>
    <t>American Institute of Certified Public Accountants, Capital Midwest Fund, Cerity Partners Ventures, CPA.com, First Trust Capital Partners, FirstMile Ventures, Green Cow Venture Capital, Right Side Capital Management, Silverton Partners, Techstars</t>
  </si>
  <si>
    <t>www.valid8financial.com</t>
  </si>
  <si>
    <t>459673-75</t>
  </si>
  <si>
    <t>Venteur</t>
  </si>
  <si>
    <t>Artificial Intelligence &amp; Machine Learning, HealthTech, InsurTech, SaaS</t>
  </si>
  <si>
    <t>Developer of an artificial intelligence-powered health insurance marketplace designed to offer personalized health benefits to employees. The company's platform provides individual coverage health reimbursement arrangement plans that give employees control over healthcare purchasing decisions and give employers predictability in benefits budget and control over costs, enabling businesses to optimize plan selection and streamline plan administration.</t>
  </si>
  <si>
    <t>American Family Ventures, Catalyst by Wellstar, Harpeth Ventures, Headwater Ventures, Health Engine Accelerator, Houghton Street Ventures, Informed Ventures, Ingeborg Investments, Morgan Health, NJ Fast, Plug and Play Tech Center, Revelry Venture Partners, Tampa Bay Wave, Techstars, United Healthcare Accelerator</t>
  </si>
  <si>
    <t>www.venteur.com</t>
  </si>
  <si>
    <t>454716-10</t>
  </si>
  <si>
    <t>Vincent</t>
  </si>
  <si>
    <t>Operator of an alternative investment search engine platform intended to research and discover asset investing opportunities. The company's platform helps to review, research, and compare investment offers across real estate, venture capital, debt, collectibles, and digital assets, among others, enabling investors to explore new markets and diversify their portfolios.</t>
  </si>
  <si>
    <t>6th Man Ventures, 8VC, Alap Shah, Allied Venture Partners, BlueLotus Ventures, Bossa Invest, Broadhaven Capital Partners, Broadshade Investments, Digital Currency Group, EGR Partners, Entrepreneurs Roundtable Accelerator, Everywhere Ventures, GFR Fund, Humbition, Innova Capital Partners, Jeffrey Fagnan, Joseph Lonsdale, LAUNCH Fund, Lazslo Bock, Meltem Demirors, Relumin, Remarkable Ventures, SaaSCraft Ventures, Sahil Lavingia, SHL Capital (London), Stephen Garden, Studio Management, The Emprise Group, The Pay It Forward Company, Tribe Capital, Uncommon Denominator, Vishal Rao, Wahed Ventures (Cyprus)</t>
  </si>
  <si>
    <t>www.withvincent.com</t>
  </si>
  <si>
    <t>268497-19</t>
  </si>
  <si>
    <t>Staple</t>
  </si>
  <si>
    <t>Artificial Intelligence &amp; Machine Learning, SaaS, Supply Chain Tech</t>
  </si>
  <si>
    <t>Developer of an AI document processor platform designed to process structured and unstructured data. The company's platform helps to see extracted data and make edits to continuously improve data capture behavior and automate data extraction from documents it can read, understand, translate, reconcile, and index data from any document, regardless of type, file type, layout, or language, enabling businesses to liberate employees from mundane, repetitive financial workflows.</t>
  </si>
  <si>
    <t>500 Global, 500 Startups Vietnam, Alexander Browne, AVV (Ascend Vietnam Ventures), Brendon Blacker, C-shark Tank S5, Delivery Hero Ventures, Endless Frontier Labs, Entrepreneurs First, Expert DOJO, EY Foundry, FinTech Innovation Lab, Global Markets Incubator, Google Accelerator, Isle of Man Insurtech Accelerator Program, Kistech, Orvel Ventures, PortXL World Port Innovator, she1K, Suarez Miguel, SUTD Venture, Innovation and Entrepreneurship, Techplify Investment, Tenity, The Startup Wheel, Village Capital, Wavemaker Partners</t>
  </si>
  <si>
    <t>www.staple.ai</t>
  </si>
  <si>
    <t>481446-37</t>
  </si>
  <si>
    <t>HoneyCoin</t>
  </si>
  <si>
    <t>Developer of a financial platform designed to get earnings while also connecting creators and consumers in Africa. The company's platform helps clients monetize their content and reach consumers where they get paid for their talent, enabling creators to earn and withdraw earnings.</t>
  </si>
  <si>
    <t>4DX Ventures, Antler, Brendan McManus, Celo Camp, Chidinma Iwueke, Cliff Bernstein, Daniel McAuley, Debola Adesanye, Deborah Lgunma, Eusden Shing, Flori Ventures, Flourish Ventures, Hustle Fund, James Waugh, Joel Cazares, LAVA (Africa), Marek Olszewski, Microtraction, Musha Ventures, Patrick Matthews, Pioneer.app, Rene Reinsberg, Ryan Nesbitt, Sam Chappatte, Shola Akinlade, Stellar (Financial Software), Sunu Capital, Timon Capital, TLcom Capital, Ventures Platform, Visa Ventures, Yacob Berhane</t>
  </si>
  <si>
    <t>honeycoin.app</t>
  </si>
  <si>
    <t>233507-53</t>
  </si>
  <si>
    <t>Rivia Health</t>
  </si>
  <si>
    <t>Developer of a payment engagement platform designed to help healthcare organizations reduce patient bad debt and outstanding patient responsibility. The company's platform helps in consolidating all medical bills and payments in one place and enhances existing revenue cycle management systems, automating and digitizing patient payments, enabling clients to automate patient billing engagement, payment plan setup, and claim reconciliation within existing systems.</t>
  </si>
  <si>
    <t>AiSprouts VC, Alfred Castino, Arizona Commerce Authority, Arizona Tech Investors, Brenda Schmidt, Center for Entrepreneurial Innovation, DigitalDx Ventures, Dipalo Ventures, Edge Case Capital Partners, Flinn Foundation, Golden Seeds, HaloHealth, Heidi Jannenga, iiM (Merriam), Illuminated Funds Group, In Revenue Capital, Lily Chang, Matt Wandoloski, Mick Murray, Motley Fool Ventures, North Coast Ventures, PHX Ventures, Project W (US), Richard Boals, Sonoran Founders Fund, Suman Talukdar, Tale Venture Partners, Vance Moore, Warren Point Capital, Yoo &amp; Co Accelerator</t>
  </si>
  <si>
    <t>www.riviahealth.com</t>
  </si>
  <si>
    <t>547985-17</t>
  </si>
  <si>
    <t>Ezifin</t>
  </si>
  <si>
    <t>Developer of a personalized financial services technology designed to provide simplified money management for customers of banks and financial institutions. The company's technology provides financial support, which includes tracking customer transactions, a rental check service, a home loan lead generator, savings data, and providing personalized insights on financial health, enabling banking partners to empower their customers by simplifying their financial management.</t>
  </si>
  <si>
    <t>Beaverbrooks, Cambrian Capital (Malta), Hyper Capital (Sydney)</t>
  </si>
  <si>
    <t>www.ezifin.com</t>
  </si>
  <si>
    <t>119320-30</t>
  </si>
  <si>
    <t>Rabbet</t>
  </si>
  <si>
    <t>Operator of an enterprise platform intended to offer transparency for construction loan management. The company's platform ensures compliant documents, streamlines audits, and tracks lien releases directly to progress payments, reducing risk in construction lending as well as managing the regulatory environment, the construction disbursement of funds, enabling businesses to change the regulatory environment and update labor supply.</t>
  </si>
  <si>
    <t>Alumni Ventures, Austin Technology Incubator, Camber Creek, Central Texas Angel Network, D&amp;FG Elements, David Wolfson, Eric Bunting, Goldman Sachs Growth Equity, Henry Yoshida, Immad Akhund, Juan Scarlett, Michael Sandler, Nimble Ventures, QED Investors, Shadow Ventures, Tectonic Capital, Temerity Capital Partners, Texas Venture Labs, The Riverside Company, Unbank.Ventures, Y Combinator</t>
  </si>
  <si>
    <t>www.rabbet.com</t>
  </si>
  <si>
    <t>442740-61</t>
  </si>
  <si>
    <t>Prestalo</t>
  </si>
  <si>
    <t>Developer of a consumer lending platform designed to apply for loans. The company's platform uses algorithms and machine learning to analyze the data of each client and connect them with the financial entities that best suit their profile, helping users with a loan marketplace that helps them to compare, apply for, and receive loans easily.</t>
  </si>
  <si>
    <t>Keiretsu Forum, Keiretsu Forum Nordics, Segovia Capital, Zentro Founders</t>
  </si>
  <si>
    <t>www.prestalo.com</t>
  </si>
  <si>
    <t>114597-28</t>
  </si>
  <si>
    <t>CommLoan</t>
  </si>
  <si>
    <t>Mortgage Tech, Real Estate Technology, SaaS, TMT</t>
  </si>
  <si>
    <t>Developer of a commercial lending platform intended to match commercial mortgage borrowers with available loan products. The company's platform grants users access to a range of different lenders representing multiple loan products while providing the tools necessary to efficiently compare the loan terms, enabling borrowers to avail of streamlined processes and programs to find the right loan that fits their specific needs.</t>
  </si>
  <si>
    <t>Bend Venture Conference, Centerfire Capital, Kevin Malik, Social Leverage, Thomas Mangas, TYLT Ventures, ViaWest Group</t>
  </si>
  <si>
    <t>www.commloan.com</t>
  </si>
  <si>
    <t>63130-33</t>
  </si>
  <si>
    <t>Crowdfunder</t>
  </si>
  <si>
    <t>Developer of a crowdfunding platform designed to connect projects with the communities. The company's platform helps connect a large number of people who each contribute to raising money for businesses, charities, and social enterprises, enabling businesses to raise money and turn ideas into reality.</t>
  </si>
  <si>
    <t>Steele Ventures</t>
  </si>
  <si>
    <t>www.crowdfunder.co.uk</t>
  </si>
  <si>
    <t>518497-84</t>
  </si>
  <si>
    <t>Discai</t>
  </si>
  <si>
    <t>Developer of a digital platform designed to offer current fintech standards with proven artificial intelligence-based alternatives. The company's platform offers reliability and empowers financial service providers to fully focus on their core business, enabling businesses to unburden their financial ecosystem and keep up to pace with technological and regulatory developments.</t>
  </si>
  <si>
    <t>KBC Group</t>
  </si>
  <si>
    <t>www.discai.com</t>
  </si>
  <si>
    <t>306387-91</t>
  </si>
  <si>
    <t>PrimaTrade</t>
  </si>
  <si>
    <t>Developer of a digital supply chain finance platform designed to connect suppliers, buyers, funders and logistics in the international supply chain. The company's platform offers a collection of data using optical character recognition (OCR) based on machine learning to support comprehensive financial supply chain visibility, efficient management of supplier payments, automation of supply chain finance (SCF) and dynamic discounting and verification of environmental, social and governance (ESG) compliance at scale, enabling clients to trade efficiently, save on spend and operationalize ESG compliance.</t>
  </si>
  <si>
    <t>MSC Mediterranean Shipping Company, Orient Exel Investment, Plug and Play Tech Center, QBN Capital, RB Investments (Singapore), Tradeworks VC</t>
  </si>
  <si>
    <t>www.prima.trade</t>
  </si>
  <si>
    <t>439459-03</t>
  </si>
  <si>
    <t>Rosaly</t>
  </si>
  <si>
    <t>Developer of a financial platform intended to improve the financial well-being of the employees. The company's platform automatically manages advance payment requests and offers a financial management tool, without any impact on cash flow, enabling employees to save time and reduce their financial stress.</t>
  </si>
  <si>
    <t>Aonia Ventures, Audeo Ventures, Auxxo, Bankin', Clocktower Ventures, Dassault Systemes, Fin Capital, FJ Labs, Haymaker Ventures, Id4 Ventures, Karman Ventures, LeFonds, Mantu (Switzerland), Maya Ghayad, PayPlug, Plug and Play Tech Center, ProcessOut, Sie Ventures, Treasury (New York), Triton Capital (San Francisco), Wilco(Paris)</t>
  </si>
  <si>
    <t>www.rosaly.com</t>
  </si>
  <si>
    <t>51699-88</t>
  </si>
  <si>
    <t>Eligen</t>
  </si>
  <si>
    <t>Developer of a cloud-based business intelligence platform designed to drive engagement and sales opportunities for financial institutions. The company's platform applies machine learning to customer data and prescreens customer credit bureau data for creditworthiness and lending opportunities, enabling companies to start conversations, develop relationships, and build trust with new and existing customers and members.</t>
  </si>
  <si>
    <t>BankTech Ventures, Donald Layden, Experian Ventures, Harbor Light Capital Partners, Todd Warden, TTV Capital, Vestigo Ventures</t>
  </si>
  <si>
    <t>eligen.io</t>
  </si>
  <si>
    <t>467734-06</t>
  </si>
  <si>
    <t>Mirai Savings</t>
  </si>
  <si>
    <t>Operator of a retirement savings information platform intended to support future financial well-being. The company's platform offers detailed investment support, personalized mobile applications, educational seminars and detailed operational support tailored to each customer for asset formation after retirement to defined contribution pension members, enabling retirement plan participants to effectively manage their assets and enhance their financial literacy.</t>
  </si>
  <si>
    <t>Incubate Fund, Minkabu The Infonoid, Nagoya TV Ventures, Resona Capital, SBI Investment, SV-FINTECH Fund</t>
  </si>
  <si>
    <t>www.mr-c.jp</t>
  </si>
  <si>
    <t>489313-45</t>
  </si>
  <si>
    <t>Crowded</t>
  </si>
  <si>
    <t>Developer of a compliance-first CFO platform designed to manage financial operations for nonprofit organizations. The company offers collections, budget allocation, spending management, reporting, e-filing, agentic workflows tailored to nonprofit requirements, enabling nonprofit organizations to maintain financial stability and streamline administrative processes while ensuring compliance and accuracy.</t>
  </si>
  <si>
    <t>Antony Catalano, Bird Capital, David Nathanson, Flashpoint Venture Capital Group, Florida Opportunity Fund, Jean Lhuillier, Joey Fridman, Mana Ventures, Michael Marks, Nelnet, Nelnet Ventures, Philippe Bouaziz, Sarona Ventures, The Garage (Israel), Visa, Western Technology Investment, Wilson's Bird Capital</t>
  </si>
  <si>
    <t>bankingcrowded.com</t>
  </si>
  <si>
    <t>126189-01</t>
  </si>
  <si>
    <t>Listo</t>
  </si>
  <si>
    <t>Provider of insurance advisory services intended to offer consumer financial services. The company offers responsible credit, auto insurance, and life insurance products both through physical retail stores and online, enabling customers to make smart decisions that are optimal as per their investment situation.</t>
  </si>
  <si>
    <t>Acumen America, Acumen Fund, Annex Ventures, Continental Advisors, FJ Labs, Fondo de Fondos, Great Oaks Venture Capital, L'ATTITUDE Ventures, LEAP Global Partners, Mendoza Ventures, Peterson Partners, Sun Mountain Capital, TruStage Ventures, Wisdom Venture Capital, XSeed Capital</t>
  </si>
  <si>
    <t>www.listofin.com</t>
  </si>
  <si>
    <t>460105-84</t>
  </si>
  <si>
    <t>Verdata</t>
  </si>
  <si>
    <t>Operator of data and insight platform intended to empower POS financing companies to mitigate merchant risk. The company's platform offers underwriting, notifications, and portfolio health checks, enabling POS financing companies to avoid fraudulent and poorly behaving merchants.</t>
  </si>
  <si>
    <t>1st &amp; Main Growth Partners, Albert Goldstein, Continental Investors, Front Porch Venture Partners, Michael Heller, Overline, Shawn Budde, Siddharth Mehta, Timothy Li</t>
  </si>
  <si>
    <t>www.verdata.com</t>
  </si>
  <si>
    <t>539621-83</t>
  </si>
  <si>
    <t>Axiology DLT</t>
  </si>
  <si>
    <t>Developer of a digital capital markets infrastructure platform designed to enable regulated issuance, trading, custody, and settlement of digital securities. The company's platform offers an integrated Distributed Ledger Technology-based trading and settlement system supporting security issuance, secondary trading, custody, and delivery-versus-payment settlement, enabling financial institutions and issuers to access compliant digital capital markets infrastructure with reduced operational complexity.</t>
  </si>
  <si>
    <t>BSV Ventures, CoInvest Capital, e2vc, Exponential Science, FinTech Innovation Lab, Lemonade Stand (Estonia), Mastercard Lighthouse, NGL Ventures, Plug and Play Tech Center, Sofigama Investments, TIBAS Ventures</t>
  </si>
  <si>
    <t>www.axiology.lt</t>
  </si>
  <si>
    <t>442583-65</t>
  </si>
  <si>
    <t>Ruptok</t>
  </si>
  <si>
    <t>Provider of digital gold loan services intended to offer convenient financing options to customers at the comfort of their doorstep. The company's proprietary platform's low operating cost helps to provide loans at the low-interest rates while technological and logistical advancements make it faster and simpler in the industry, enabling customers to get gold loans at an affordable rate of interest.</t>
  </si>
  <si>
    <t>Manuvel Malabar Jewellers, Neeraj Aggarwala, Nivedan Sahay, Wurk (Canada)</t>
  </si>
  <si>
    <t>www.ruptok.com</t>
  </si>
  <si>
    <t>465164-11</t>
  </si>
  <si>
    <t>Edfundo</t>
  </si>
  <si>
    <t>Developer of a money management application designed to give kids and teens tools to manage money with parental control. The company's platform features the ability to upload funds and transfer allowance for the kids, set tasks or chores for the child to boost their earnings, a dedicated dashboard to track spending and savings, strict parental controls, setting up of spending rules, instant block or unblock cards, enabling children to make informed decisions about how to spend, save, earn and budget dependably.</t>
  </si>
  <si>
    <t>Village Capital</t>
  </si>
  <si>
    <t>www.edfundo.com</t>
  </si>
  <si>
    <t>277299-73</t>
  </si>
  <si>
    <t>Standage</t>
  </si>
  <si>
    <t>Developer of a blockchain-based trade settlement platform designed to digitize and simplify cross-border trade payments and related transactions. The company's platform combines international remittance processing, trade payment execution, and digital tools for managing trade workflows such as documentation, logistics coordination, and transaction tracking, enabling exporters, importers, and other businesses engaged in international trade to conduct transactions with greater transparency, reduced reliance on traditional banks, and improved operational efficiency.</t>
  </si>
  <si>
    <t>Adlib Tech Ventures, AirTrip, C&amp;R Incubation Lab, ERA Global, Intellectual Property Acceleration Program for Startups, Kepple Africa Ventures, NTT Data Group, Plug and Play Tech Center, Sankyu, Shoko Chukin Bank, Tokio Marine &amp; Nichido Fire Insurance</t>
  </si>
  <si>
    <t>www.standage.co.jp</t>
  </si>
  <si>
    <t>523004-95</t>
  </si>
  <si>
    <t>Statement Technologies</t>
  </si>
  <si>
    <t>Developer of a digital platform designed to help small and medium-sized businesses compare and select payment processing services. The company's platform exports the recent statement, analyzes the transaction mix, and identifies the monthly estimated cost with all processors, enabling small businesses to find the cost-effective processor for their company.</t>
  </si>
  <si>
    <t>ALSP21, Charles Songhurst, Chris Adelsbach, Christopher Mairs, Connect Ventures (UK), Entrepreneurs First, Frederick Kelly, Northzone Ventures, Notion Capital, Scout Ventures, Tiny Supercomputer Investment Company, Triple Point, Ventures Together</t>
  </si>
  <si>
    <t>tuza.ai</t>
  </si>
  <si>
    <t>122390-83</t>
  </si>
  <si>
    <t>6Estates</t>
  </si>
  <si>
    <t>Developer of a document processing platform designed to automate operational and technical processes of businesses. The company provides artificial intelligence-powered document processing services in the financial industry to automate and simplify processes and data extraction technology that can capture information from structured, semi-structured, and unstructured documents, enabling businesses to improve performance and replace the traditional way of doing business.</t>
  </si>
  <si>
    <t>Beijing Genuine Network Media Technology, Big Rainbow Investment, Enterprise Singapore, Farquhar Venture Capital, GDP Venture, National University of Singapore, SEEDS Capital, Sinar Mas</t>
  </si>
  <si>
    <t>www.6estates.com</t>
  </si>
  <si>
    <t>437594-32</t>
  </si>
  <si>
    <t>Vestd</t>
  </si>
  <si>
    <t>Developer of an equity management and share scheme platform designed for corporate governance and shareholder administration. The company's platform features automated cap table tracking, digital share issuance, enterprise management incentive scheme design, and real-time Companies House integration alongside regulatory compliance tools for valuations and statutory filings, enabling small to medium-sized enterprises and startups to eliminate manual administrative errors while fostering employee alignment through transparent ownership data and streamlined fundraising workflows.</t>
  </si>
  <si>
    <t>Foresight Group, Grow London</t>
  </si>
  <si>
    <t>www.vestd.com</t>
  </si>
  <si>
    <t>483315-94</t>
  </si>
  <si>
    <t>Cashinvoice (Financial Software)</t>
  </si>
  <si>
    <t>Developer of a payable and receivable management platform designed to digitize the way businesses pay and get paid. The company's platform automates cash invoice processes, leverages data, and employs deep insights to enhance working capital management, enabling firms to unlock their cash with cash invoices and optimize their finances efficiently.</t>
  </si>
  <si>
    <t>Accion, HDFC Bank, Pravega Ventures</t>
  </si>
  <si>
    <t>www.cashinvoice.in</t>
  </si>
  <si>
    <t>102839-05</t>
  </si>
  <si>
    <t>Visage Enterprise</t>
  </si>
  <si>
    <t>Developer of an application programming interface and web-based payments platform designed to pay, manage and support contractors. The company's platform navigates the complexities of banking, payments and the internal revenue service, enabling independent contractors and freelancers to make flexible payments from one unified system, including instant pay.</t>
  </si>
  <si>
    <t>Chartline Capital Partners, Discover Ventures, Edgar Schollmaier, Foundry Group, Green Dot, Jason Story, Jeffrey Rich, MassChallenge, Motley Fool Ventures, Revolution (Washington DC), Sam Sawyer, Stage 1 Ventures, Techstars, Westcott Industries</t>
  </si>
  <si>
    <t>www.gigwage.com</t>
  </si>
  <si>
    <t>399675-43</t>
  </si>
  <si>
    <t>ZTL</t>
  </si>
  <si>
    <t>Developer of a fintech platform designed to facilitate corporate payments and remittances. The company's platform offers smart technology that is integrated into the ERP systems through API building blocks to build customized payment solutions, enabling clients with customized payment options to make payments less costly.</t>
  </si>
  <si>
    <t>Analytika Ventures, Investinor, TRK Group</t>
  </si>
  <si>
    <t>www.ztlpay.io</t>
  </si>
  <si>
    <t>154309-78</t>
  </si>
  <si>
    <t>Alpha Teknologi Indonesia</t>
  </si>
  <si>
    <t>Developer of a bill payment platform designed to provide a variety of payment service options to businesses. The company's platform integrates an aggregator for utility, mobile and government-related billers, a distribution network, promotional tools, automated reconciliation, and a tech talent incubation program, enabling Indonesian enterprises and public institutions to streamline payments, expand their reach across multiple channels, foster customer engagement through targeted promotions, optimize financial operations with real-time data and reconciliation workflows, and build in-house technical capability for long-term digital growth.</t>
  </si>
  <si>
    <t>Alpha JWC Ventures, Bangkok Bank InnoHub, Beenos Partners, Captii Ventures, Chandra Tjan, Coffee Ventures, InnoVen Capital, Integrated Asset Management (Asia), Octava, Pt Karang Mas Investama, Stellar Dana Ventura</t>
  </si>
  <si>
    <t>alterrabills.id</t>
  </si>
  <si>
    <t>102748-33</t>
  </si>
  <si>
    <t>MyWallSt</t>
  </si>
  <si>
    <t>Developer of an investment learning application designed to transform a local investor into an informed, confident investor. The company's platform grooms amateur investors into buying stocks in the brands they love and building wealth over time as well as educates and teaches them about the stock market before beginning to invest, enabling local investors to make smart and safe investments in the future without the risk of losing money.</t>
  </si>
  <si>
    <t>Avondhu IFL, Enterprise Ireland, Motley Fool Ventures, Paul Coburn, University College Dublin</t>
  </si>
  <si>
    <t>www.mywallst.com</t>
  </si>
  <si>
    <t>90145-54</t>
  </si>
  <si>
    <t>ForwardLane</t>
  </si>
  <si>
    <t>Developer of an innovative AI-powered decision intelligence platform that revolutionizes how wealth management, asset management, and insurance companies leverage data to drive growth and enhance client engagement. The company's intuitive no-code interface allows users to quickly design and publish insights without the need for data wrangling, coding, or complex integration, and this empowers business users to create and test insights on the fly, reducing the time and effort required to generate meaningful intelligence from disparate data sources, enabling financial institutions to transform vast amounts of structured and unstructured data into actionable insights and personalized recommendations.</t>
  </si>
  <si>
    <t>Ashish Braganza, Benjamin Cirlin, CFV Ventures, Chris Adelsbach, FinTech Innovation Lab, gener8tor, MassChallenge, Mee-Jung Jang, RevTech Labs Capital, Right Side Capital Management, SEI Investments, SenaHill Partners, SixThirty Ventures, Techstars, Thomson Reuters</t>
  </si>
  <si>
    <t>www.forwardlane.com</t>
  </si>
  <si>
    <t>493749-82</t>
  </si>
  <si>
    <t>MARS Markets</t>
  </si>
  <si>
    <t>Developer of a music investment platform designed to celebrate and support artistic talent. The company's platform offers alternative trading by issuing securities of music creators to a network of traders in the music industry to facilitate connections, enabling investors to invest in different artists.</t>
  </si>
  <si>
    <t>www.marsmarkets.com</t>
  </si>
  <si>
    <t>267492-25</t>
  </si>
  <si>
    <t>CapBay</t>
  </si>
  <si>
    <t>Developer of a supply chain finance platform designed to provide small and medium-sized enterprises with accessible financing backed by trade receivables. The company offers AI-powered credit assessment, multi-funder participation, and trade-triggered financing, enabling small and medium-sized enterprises to improve cash flow and access funding with greater ease.</t>
  </si>
  <si>
    <t>AppWorks, Cradle Fund, Ericsenz Capital, Global FinTech Hackcelerator, Hong Leong Bank, Kenanga Investment Bank, KK Fund, Malaysia Digital Economy, Plug and Play Tech Center, The Startup Wheel</t>
  </si>
  <si>
    <t>www.capbay.com</t>
  </si>
  <si>
    <t>491388-22</t>
  </si>
  <si>
    <t>Finmo</t>
  </si>
  <si>
    <t>Developer of a financial payment platform designed to focus on interconnecting financial networks around the world into a single destination. The company's platform connects directly to local endpoints across major markets through direct local licenses to track and maintain payment records per consumer, enabling businesses to transact with relevant pay-in and payout methods that optimize for growth, speed, convenience, and cost.</t>
  </si>
  <si>
    <t>Addition, Alumni Ventures, Citi Ventures, Cradle Fund, Geometry Ventures Two LLC, Global Founders Capital, Gobi Partners, Insignia Ventures Partners, PayPal Ventures, Quona Capital, Soma Capital</t>
  </si>
  <si>
    <t>www.finmo.net</t>
  </si>
  <si>
    <t>503456-05</t>
  </si>
  <si>
    <t>Cascade</t>
  </si>
  <si>
    <t>Developer of an all-in-one debt platform intended to prepare, raise, and manage private debt from institutional investors. The company's platform helps leverage asset-backed debt facilities, venture debt, on-balance sheet loans, securitizations, and more as an avenue to smart growth, enabling companies to 
 streamline complicated and time-consuming debt processes.</t>
  </si>
  <si>
    <t>Bonfire Ventures, Everywhere Ventures, Founder Collective, Hypothesis Studio, KohFounders, New Stack Ventures, Simplex Ventures, SixPoint Capital Management</t>
  </si>
  <si>
    <t>www.cascadedebt.com</t>
  </si>
  <si>
    <t>265159-27</t>
  </si>
  <si>
    <t>Icon Savings Plan</t>
  </si>
  <si>
    <t>Developer of financial technology designed to modernize retirement and financial benefits. The company offers a portable, compliant, and embedded platform for the retirement industry, enabling payroll providers, HR platforms, and financial institutions to offer scalable 401(k)-alternative plans that enhance accessibility and long-term financial security.</t>
  </si>
  <si>
    <t>Alumni Ventures, BBG Ventures (North America), Ingeborg Investments, Mark Johnston, Money20/20, Plug and Play Tech Center, Portland Seed Fund, Rethink Impact, Tom Blaisdell, TTV Capital, Zeal Capital Partners</t>
  </si>
  <si>
    <t>www.iconsavingsplan.com</t>
  </si>
  <si>
    <t>54556-57</t>
  </si>
  <si>
    <t>MicroVentures</t>
  </si>
  <si>
    <t>Secondary Transaction - Open Market</t>
  </si>
  <si>
    <t>Operator of an online equity crowdfunding platform intended to assist startups and small businesses in raising capital online. The company's platform performs complete due diligence and offers both primary and secondary investment opportunities for both accredited and non-accredited users, enabling investors to purchase an equity stake in companies.</t>
  </si>
  <si>
    <t>Ecosystem Ventures, JKH Capital</t>
  </si>
  <si>
    <t>www.microventures.com</t>
  </si>
  <si>
    <t>459822-70</t>
  </si>
  <si>
    <t>Odynn</t>
  </si>
  <si>
    <t>Developer of an AI-powered financial technology and travel loyalty platform designed to help organizations launch embedded travel, loyalty, and rewards programs. The company's platform provides modular APIs and white-label services including real-time points-versus-cash search engines, smart credit card recommendation tools, and unified loyalty profile aggregators, enabling financial institutions and travel providers to boost cardholder engagement, optimize reward redemptions, and unlock new revenue streams.</t>
  </si>
  <si>
    <t>Abstraction Capital, Bonfire Ventures, CAFE Fintech Accelerator, Connetic Ventures, Fiat Ventures, Flair Ventures, Geoffrey Judge, High Water Venture Partners, Hilltop Venture Partners, Kathy Misunas, Leo Lion, ODF, On Deck Ventures, Plow Ventures, Southern Equity Advisors, Tampa Bay Wave, Team Ignite Ventures, Venture Initiation Program, Wharton Cypher, Y&amp;Z Ventures</t>
  </si>
  <si>
    <t>www.odynn.com</t>
  </si>
  <si>
    <t>704051-56</t>
  </si>
  <si>
    <t>Opal (Canada)</t>
  </si>
  <si>
    <t>AdTech, Artificial Intelligence &amp; Machine Learning, FinTech, Marketing Tech, SaaS</t>
  </si>
  <si>
    <t>Developer of a financial automation platform designed for agency operations. The company's platform integrates virtual card issuance, automated client invoicing, contract management, and real-time expense tracking across major advertising networks, enabling digital marketing firms and large-scale advertisers to eliminate financial liability and manual data entry while capturing cashback rewards through a unified back-office operating system.</t>
  </si>
  <si>
    <t>Founders' Co-op, North Exit Ventures</t>
  </si>
  <si>
    <t>www.opalspend.com</t>
  </si>
  <si>
    <t>186662-35</t>
  </si>
  <si>
    <t>Silvur</t>
  </si>
  <si>
    <t>Developer of a retirement planning application designed to improve scores and financial security. The company's application offers goal-planning tools and investment recommendations to extend retirement income and project lifetime income, including social security and Medicare costs, enabling credit unions and financial institutions to make an informed decision.</t>
  </si>
  <si>
    <t>Anthemis, Clocktower Ventures, Curql, ICCU, Inspired Capital (New York), Jake Gibson, James Walker, Next Level Ventures, One Washington Financial, Point72 Ventures, Reseda Group</t>
  </si>
  <si>
    <t>www.silvur.com</t>
  </si>
  <si>
    <t>454846-60</t>
  </si>
  <si>
    <t>Stirlingshire</t>
  </si>
  <si>
    <t>Operator of a financial company intended to support real estate and development projects. The company developed a model for asset management with full control of investment decisions and included services such as land surveying, property valuation, and consultancy, enabling investors and finance professionals to perform their jobs more easily and share in a greater percentage of the revenue while reducing operating costs.</t>
  </si>
  <si>
    <t>www.stirlingshire.com</t>
  </si>
  <si>
    <t>158220-64</t>
  </si>
  <si>
    <t>Tornado</t>
  </si>
  <si>
    <t>Developer of an AI research and reporting platform designed to scale human-quality analysis for financial institutions. The company offers secure, customizable AI tools for generating research and reports, enabling hedge funds, asset managers, VC/PE firms, and banks to gain deeper insights, reduce operational costs, and accelerate decision-making.</t>
  </si>
  <si>
    <t>Alexander Rodriguez, Ali Rana, Andrew Brown, Andrew Reid, Andy Eow, A-Rod, BoxOne Ventures, Christina Smedley, Dave Portnoy, Evan Wilder, Frank LaRosa, Increment Capital, Jerry Labowitz, John Liftin, Kan Liu, Marc Lore, MassChallenge, Multifaceted Capital, Peter Christodoulo, Phoenix Investment Club (San Francisco), Restive Ventures, Sean Brennan, Tony Florence, Von Lam</t>
  </si>
  <si>
    <t>www.tornado.com</t>
  </si>
  <si>
    <t>222226-30</t>
  </si>
  <si>
    <t>iPaymy</t>
  </si>
  <si>
    <t>Developer of an online expense and payment management platform designed to manage monthly payments using credit cards instead of cash. The company's platform offers interest-free payments with no delays, tax benefits, conversion of expenses into rewards and personalized financial customer services, enabling small and medium enterprises (SMEs) to manage their working capital and pay rent, invoices, taxes and employee salaries using the credit card of their choice.</t>
  </si>
  <si>
    <t>Adit Gadgil, BEENEXT Capital Management, DG Daiwa Ventures, DG Ventures, Digital Garage, Jean Sedaghat, Kane Lightowler</t>
  </si>
  <si>
    <t>www.ipaymy.com</t>
  </si>
  <si>
    <t>437880-97</t>
  </si>
  <si>
    <t>Bizao</t>
  </si>
  <si>
    <t>Developer of an integrated financial management platform intended to accelerate digital payment in Africa. The company's platform allows users to accept online payments via mobile money, credit cards, and electronic payment terminals, making international money transfers and accelerating payment cycles by centralizing flows between the company and local mobile operators, enabling businesses to manage financial flows with efficiency.</t>
  </si>
  <si>
    <t>Adelie Capital, Africinvest, LBO France, Orange Fab France, Seedstars Africa Ventures, Visa Accelerator</t>
  </si>
  <si>
    <t>www.bizao.com</t>
  </si>
  <si>
    <t>82116-82</t>
  </si>
  <si>
    <t>Abundance</t>
  </si>
  <si>
    <t>CleanTech, FinTech, Impact Investing</t>
  </si>
  <si>
    <t>Operator of a direct investment platform intended for retail investors to assist in project financing. The company's platform offers a crowdfunding opportunity for raising funds for sustainable projects and for councils taking action on climate emergencies, enabling investors to invest directly in companies and projects that help them make money.</t>
  </si>
  <si>
    <t>Delta2020, Imperial Create Lab, Innovate UK, Pario Ventures, Startup Incubator Berlin, Unreasonable Impact</t>
  </si>
  <si>
    <t>www.abundanceinvestment.com</t>
  </si>
  <si>
    <t>187504-03</t>
  </si>
  <si>
    <t>Chqbook</t>
  </si>
  <si>
    <t>FinTech, InsurTech, Mobile, Mortgage Tech, TMT</t>
  </si>
  <si>
    <t>Developer of a neo-bank platform designed to bring banks and non-banking financial companies, distributors, and customers together. The company's platform provides information on home loans, personal loans, credit cards, insurance, and banking services, enabling small business owners to get financial products easily.</t>
  </si>
  <si>
    <t>Aavishkaar Capital, Allana Corporate Venture, Amit Manocha, Amit Singal, Apurva Chamaria, Astir Ventures, Bharat Gupta, Bharat Shyam, Bhupesh Kumar, Earlsfield Capital, Harsha Bhogle, InnoVen Capital, Jeremy Lim, Ken Glass, Kishore Ganji, Nilesh Shrivastava, Rajiv Dadlani Group, Rohit Chanana, Sakshi Vij, SN Damani, Startup Buddy</t>
  </si>
  <si>
    <t>www.chqbook.com</t>
  </si>
  <si>
    <t>469347-49</t>
  </si>
  <si>
    <t>DMALINK</t>
  </si>
  <si>
    <t>Operator of a data-centric trading platform designed to address structural imperfections in the foreign exchange market and address issues raised by regulators. The company's platform provides a technology that creates an open, transparent, and accessible currency market for banks, funds, and corporations, along with its data analytics technology, which makes it possible to take enhanced trading decisions, enabling professional foreign-exchange traders to get access to institutional emerging markets foreign exchange pricing.</t>
  </si>
  <si>
    <t>Government of UK</t>
  </si>
  <si>
    <t>www.dmalink.com</t>
  </si>
  <si>
    <t>494372-98</t>
  </si>
  <si>
    <t>Givzey</t>
  </si>
  <si>
    <t>Artificial Intelligence &amp; Machine Learning, Legal Tech</t>
  </si>
  <si>
    <t>Developer of a gift documentation management platform designed for fundraisers to improve the donor experience. The company's platform utilizes artificial intelligence to facilitate the automation of manual processes like proposal and gift agreement documentation, approvals, and pledge reminders while ensuring compliance, enabling fundraisers to improve retention in mid-level giving programs, and formalizing and booking pledges of all sizes.</t>
  </si>
  <si>
    <t>Bantam Group, CJ Orr, Launchpad Venture Group, North Coast Ventures, Oyster Investment Funds, The Orr Group, York IE</t>
  </si>
  <si>
    <t>givzey.com</t>
  </si>
  <si>
    <t>506762-92</t>
  </si>
  <si>
    <t>Justhome</t>
  </si>
  <si>
    <t>Operator of a home financing platform intended to simplify the home search and financing process. The company's platform offers automated mortgage rate comparisons, interactive financing tools and expert guidance into the customer relationship management processes of partnering real estate agents by matching pre-qualified buyers with off-market properties from their partner network, enabling potential buyers to buy a home to explore personalized financing options and navigate the mortgage process with clarity and support.</t>
  </si>
  <si>
    <t>Heartfelt (Private Equity), Scale Now, Target Global</t>
  </si>
  <si>
    <t>www.justhome.com</t>
  </si>
  <si>
    <t>482159-08</t>
  </si>
  <si>
    <t>Tartan</t>
  </si>
  <si>
    <t>Developer of a unified API and AI agent platform designed to simplify and automate enterprise integrations. The company offers pre-built integrations across HR, payroll, CRM, ERP, and finance systems, real-time data sync and enrichment, identity and business verification APIs, low-code workflow builders, and AI-driven task automation, enabling enterprises to streamline onboarding, reduce manual effort, maintain compliance, and operate connected workflows securely.</t>
  </si>
  <si>
    <t>100Unicorns, 500 Global, DSP Investments, Emphasis Ventures (EMVC), Google Accelerator, Info Edge (India), InfoEdge Ventures, Naveen Kukreja, Sparkle Fund, The Fintech Meetup, The Manipal Group, Tifin, Titan Capital, Varanium Capital Advisors, Venture Catalysts, WorldQuant Ventures, Yatra Angel Network</t>
  </si>
  <si>
    <t>www.tartanhq.com</t>
  </si>
  <si>
    <t>178915-06</t>
  </si>
  <si>
    <t>Xelix</t>
  </si>
  <si>
    <t>Developer of enterprise software as a service company designed to offer an artificial intelligence-powered control center for accounts payable teams. The company's platform automates and enhances the financial control processes, providing a suite of products including overpayment and fraud prevention, automated vendor statement reconciliation, master data management, and predictive analytics, enabling large organizations across all sectors to automate and enhance their financial control processes.</t>
  </si>
  <si>
    <t>Ardour Capital Investments, Brenda Chan, FinTech Innovation Lab, Insight Partners (New York), Latitude (London), Nesta, Passion Capital, Paul Forster, Phoenix Court, Simon Burke</t>
  </si>
  <si>
    <t>www.xelix.com</t>
  </si>
  <si>
    <t>101981-89</t>
  </si>
  <si>
    <t>Pledge</t>
  </si>
  <si>
    <t>Operator of an online fundraising platform intended to conduct charitable fundraisers. The company's platforms allow brands to fund the causes that their audience cares about, to collect donations and demonstrate the positive effect of its giving program, by integrating fundraising into the platform user experience and to provide standalone fundraising tools, enabling clients to connect with their audience in engaging ways.</t>
  </si>
  <si>
    <t>www.pledge.to</t>
  </si>
  <si>
    <t>459799-75</t>
  </si>
  <si>
    <t>Card Dynamics</t>
  </si>
  <si>
    <t>Developer of global digital payment technology designed to help users enroll and update payment methods through application programming interface integration with banks and payment service providers. The company's platform allows users to autofill account details with reliable data from their bank and ensures merchants have accurate information about users, providing users with a quick, easy, and intuitive way to switch cards used to pay for all services at once from the bank's application.</t>
  </si>
  <si>
    <t>Abanca Innova, Archipelago Next, Big Sur Ventures, GAA Investments, Visa Innovation Program</t>
  </si>
  <si>
    <t>www.carddynamics.io</t>
  </si>
  <si>
    <t>492732-37</t>
  </si>
  <si>
    <t>Koxa</t>
  </si>
  <si>
    <t>Developer of a fintech API platform designed to connect enterprise resource planning and accounting software with corporate bank accounts. The company's platform offers cloud-based tools such as identifying and access management, permission and approvals of customer requests, as well as handling all the security, identity, and other banking operations, enabling banks and financial institutions to perform treasury-related operations efficiently.</t>
  </si>
  <si>
    <t>Alumni Ventures, BaseCamp Capital, Basecamp Fund, Clocktower Ventures, Crosslink Capital, Fin Capital, Findell Capital, This is Water</t>
  </si>
  <si>
    <t>www.koxa.io</t>
  </si>
  <si>
    <t>481205-26</t>
  </si>
  <si>
    <t>Paperstack</t>
  </si>
  <si>
    <t>Developer of a financial platform designed to provide working capital and business insights. The company's tool leverages technology to provide on-demand and customized funding and an easily integrated, transparent fee structure, enabling direct-to-consumer (D2C) and retail brands to accelerate their growth by providing working capital to purchase inventory, invest in advertising, and finance payroll.</t>
  </si>
  <si>
    <t>DayDream Ventures, Ecostar Capital, FinTech Sandbox, Gaingels, Google Accelerator, Jemison Alexander, Matchstick Ventures, Ontario Centre of Innovation, Saanvi Ventures, Sumit Madan, Tampa Bay Wave, Techstars, Tim Mayeur, ventureLAB Innovation Centre, Vinay Malhotra</t>
  </si>
  <si>
    <t>www.paperstack.ai</t>
  </si>
  <si>
    <t>264800-98</t>
  </si>
  <si>
    <t>Quiltt</t>
  </si>
  <si>
    <t>Developer of an open banking platform designed to simplify financial data connectivity for digital financial applications. The company offers a unified application programming interface, embeddable account-linking components, and access to multiple financial data aggregators and enrichment providers, enabling fintech companies and businesses to integrate bank account data and transaction information into their products and services.</t>
  </si>
  <si>
    <t>Abstraction Capital, Alumni Ventures, American University, Bridge Investments, Capital Factory, Covalent Ventures (CV), Cryptoverse Ventures, Early Light Ventures, Freesearch Ventures, Greycroft, Hustle Fund, Ian Paterson, Jason Richelson, K Street Capital, Marco Casas, Mintaka VC Management, Motivate Venture Capital, nvp capital, Plow Ventures, Plug and Play Tech Center, Start Path, Tectonic Capital, Van Wickle Ventures, Waterman Ventures, Yar Ventures(CA)</t>
  </si>
  <si>
    <t>www.quiltt.io</t>
  </si>
  <si>
    <t>469386-73</t>
  </si>
  <si>
    <t>Crezco</t>
  </si>
  <si>
    <t>Developer of payment processing software designed to reduce trade friction and help companies grow and earn. The company's software offers open banking facilities that promote cardless and contactless payments and sends payments account-to-account to eliminate unnecessary costs, enabling clients to get a reasonable and fast payment mode by bypassing unnecessary fee card schemes.</t>
  </si>
  <si>
    <t>13books Capital, Charles Delingpole, Chris Adelsbach, Firestartr, Grow London, Mainspring Holdings, MMC Ventures, Pareto Holdings, Solano Partners, United First Partners</t>
  </si>
  <si>
    <t>www.crezco.com</t>
  </si>
  <si>
    <t>495653-59</t>
  </si>
  <si>
    <t>Triple</t>
  </si>
  <si>
    <t>Developer of a transaction intelligence platform designed for financial institutions. The company's system combines artificial intelligence with human expertise to enrich transaction data for financial institutions, enabling banks to automate the categorization of transaction data to improve customer banking experiences.</t>
  </si>
  <si>
    <t>Azahar Global Capital, Barlon Capital, COREangels, Firstech Ventures, FIS Fintech Accelerator, Form Ventures, Heyford Trust, Neosfer, Peak Thomas, Plug and Play Tech Center, Portfolio Ventures, PV Nominees, Techmind, The Venture Center, TX Ventures</t>
  </si>
  <si>
    <t>www.jointriple.com</t>
  </si>
  <si>
    <t>494516-53</t>
  </si>
  <si>
    <t>YONDR Money</t>
  </si>
  <si>
    <t>Operator of a fintech platform intended to offer an intelligent and streamlined, customer-first alternative to mainstream banks. The company's platform has developed a software that combines the advantages of both traditional and digital money experiences by using artificial intelligence and other machine learning processes to offer a multi-currency account with physical and virtual cards accessible through its application, enabling users to keep track of their spending habits and learn how to handle their money smartly.</t>
  </si>
  <si>
    <t>First Avenue Ventures (Melbourne), Mike Smith, Qatar FinTech Hub Wave</t>
  </si>
  <si>
    <t>www.yondr.money</t>
  </si>
  <si>
    <t>119937-07</t>
  </si>
  <si>
    <t>RightCapital</t>
  </si>
  <si>
    <t>Developer of a financial planning platform designed to help advisors build, analyze, and communicate personalized financial plans across life stages and scenarios. The company offers interactive retirement modeling, tax and insurance planning tools, risk tolerance assessments, visual cash flow mapping, and secure client collaboration features, enabling financial advisors to work with households more collaboratively and deliver a clearer understanding of financial choices and long-term outcomes.</t>
  </si>
  <si>
    <t>Bruce Ferris, Camellia Venture Capital, Chanjuan Pan, Jacob Herschler</t>
  </si>
  <si>
    <t>www.rightcapital.com</t>
  </si>
  <si>
    <t>472230-01</t>
  </si>
  <si>
    <t>Refundid</t>
  </si>
  <si>
    <t>Developer of an instant refund platform designed for e-commerce customers. The company's platform offers a fintech service based on the buy now, pay later model, aiming to change how customers shop online by providing them instant refunds on their returned products, enabling customers to get instant refunds while helping retailers expedite their refund process and improve customer confidence and loyalty.</t>
  </si>
  <si>
    <t>Carvalho Capital, Cota Capital, INCUBATE, Paul Greenberg, Salesforce Ventures, Shearwater Capital, SpringCapital, Touch Ventures, Zehner</t>
  </si>
  <si>
    <t>www.refundid.com</t>
  </si>
  <si>
    <t>165938-14</t>
  </si>
  <si>
    <t>Cardlay</t>
  </si>
  <si>
    <t>Developer of a cards and payments management platform designed for businesses to handle cards, payments, and expenses.
 The company automates business processes by leveraging the integration between payment cards (virtual and plastic), card management, expense management, and automated value-added tax reclaim, enabling banks and payment providers to optimize processes, build new revenue, secure retention, and gain new market share.</t>
  </si>
  <si>
    <t>Global PayTech Ventures, Goose Valley Ventures, Gundersen, Jørgen Bardenfleth, Klaus Holse, Mastercard Lighthouse, PSV (Denmark), SEED Capital (Copenhagen), Skandinaviska Enskilda Banken, Thorleif Krarup, Torben Rasmussen, TPC Management (Denmark), Vidici Ventures</t>
  </si>
  <si>
    <t>www.cardlay.com</t>
  </si>
  <si>
    <t>170489-44</t>
  </si>
  <si>
    <t>Housers</t>
  </si>
  <si>
    <t>Developer of an investment platform intended to allow users to invest in the real estate sector. The company operates an online real estate investor community that helps developers connect with people who want to invest on a smaller scale in real estate projects, enabling investors to own properties and earn dividends from monthly rent and the future appreciation of the property.</t>
  </si>
  <si>
    <t>Bloomium, Christopher Reimold, Civeta Investments, Diana Cereda, Gerard Ribes, Jan Mischok, Jesús Sánchez, Media Digital Ventures, Miguel Aranda, Rodrigo García de la Cruz, Yusuf Yahaya-Kwande</t>
  </si>
  <si>
    <t>www.housers.com</t>
  </si>
  <si>
    <t>229663-09</t>
  </si>
  <si>
    <t>CreditEnable</t>
  </si>
  <si>
    <t>Developer of credit analytics technology designed to serve SME lenders. The company offers proprietary credit assessment tools, integrated data aggregation from verified sources, and peer benchmarking capabilities, enabling financial institutions to access transparent insights that support efficient underwriting and improved capital allocation.</t>
  </si>
  <si>
    <t>53 Degrees Capital, Aditya Ghosh, Alan Morgan, Alter Global, Andrew Honess, Astia, Blue Leaf Ventures, BlueLotus Ventures, Christopher Slater, Claire Diaz-Ortiz, Conduit Connect, Cristóbal Conde, FinTech Innovation Lab, Floreat Merchant Banking, Jayesh Parekh, OPCO Ventures, Peter Rigby, Shell Foundation, Supermorpheous, Tech Nation Group, Venture Catalysts (Capital Markets/Institutions), Vikram Gandhi</t>
  </si>
  <si>
    <t>www.creditenable.com</t>
  </si>
  <si>
    <t>466971-94</t>
  </si>
  <si>
    <t>Sikoia</t>
  </si>
  <si>
    <t>Developer of a unified data platform designed to support financial product delivery for consumer and business markets. The company's platform aggregates data, creates customer profiles, centralizes insights, and offers customizable dashboards, enabling financial service providers to improve decision-making and operational efficiency.</t>
  </si>
  <si>
    <t>Carolina Brochado, Charles Delingpole, Coalition Capital (Amsterdam), Crane Venture Partners, Earlybird Venture Capital, eSeed.vc, EY FinTech Growth Programme, Fabian Wesemann, Force Ventures, MassMutual Ventures, Plug and Play Tech Center, Raffael Johnen, Seedcamp, The Delta, Village Capital</t>
  </si>
  <si>
    <t>www.sikoia.com</t>
  </si>
  <si>
    <t>434483-65</t>
  </si>
  <si>
    <t>Alphaniti</t>
  </si>
  <si>
    <t>Developer of a technology-driven investment management platform designed to support institutional investment decision-making across multiple asset classes. The company offers artificial intelligence, machine learning algorithms, cognitive computing applications, quantitative research, portfolio construction, and analytics capabilities, enabling banks, wealth managers, NBFCs, payment banks, and financial advisors to improve investment analysis, reduce subjective decision-making, and enhance digital client engagement.</t>
  </si>
  <si>
    <t>Pinetree Capital</t>
  </si>
  <si>
    <t>www.alphaniti.com</t>
  </si>
  <si>
    <t>884813-05</t>
  </si>
  <si>
    <t>AIR Platforms</t>
  </si>
  <si>
    <t>Operator of an AI-powered credit rating and risk assessment platform intended to evaluate private and public market credit instantly. The company offers credit intelligence services and leverages advanced machine learning algorithms to offer real-time, transparent credit ratings for companies and credit risk scores generated from data analysis, providing clients with valuable insights for informed financial decisions.</t>
  </si>
  <si>
    <t>Lerer Hippeau, Work-Bench</t>
  </si>
  <si>
    <t>www.airplatforms.com</t>
  </si>
  <si>
    <t>98632-00</t>
  </si>
  <si>
    <t>CleanFund</t>
  </si>
  <si>
    <t>Provider of financial capital services intended to fund energy, water and other vital improvements to commercial properties. The company's financing program aligns with environmental, social, and governance (ESG) goals and is repaid through property taxes with the flexibility to pre-pay the financing if desired, allowing for early repayment and potential cost savings, enabling real estate developers to increase the value of their developments and attract tenants seeking energy-efficient buildings.</t>
  </si>
  <si>
    <t>Cercano Management, Fifth Era Blockchain Coinvestors Fund Manager, Lotus Infrastructure Partners, Starwood Capital Group</t>
  </si>
  <si>
    <t>www.cleanfund.com</t>
  </si>
  <si>
    <t>327506-23</t>
  </si>
  <si>
    <t>Instnt</t>
  </si>
  <si>
    <t>Artificial Intelligence &amp; Machine Learning, CloudTech &amp; DevOps, E-Commerce, FinTech, SaaS</t>
  </si>
  <si>
    <t>Developer of a customer acceptance platform designed to bring together inclusion and instant account opening experiences. The company's platform specializes in solving onboarding problems by forging collaboration between industry thought leaders, technology vendors, and the private and public sectors, enabling clients to maximize the number of customers being onboarded.</t>
  </si>
  <si>
    <t>Atypical Ventures, Charge Ventures, Cohen Circle, Colle Capital Partners, Fantail Ventures, MS&amp;AD Ventures, Plug and Play Tech Center, Revel Partners, Third Prime, Valued Ventures, ValueStream Ventures</t>
  </si>
  <si>
    <t>www.instnt.ai</t>
  </si>
  <si>
    <t>339780-88</t>
  </si>
  <si>
    <t>NewBanker</t>
  </si>
  <si>
    <t>Developer of customer relationship management software designed for wealth management industry. The company's platform provides a SaaS/PaaS business support system for wealth management organizations (Consultant Cloud Service, WBS) as well as a site acquisition system (Consultant Cloud Service, NTC). The company also provides technical support such as a product management system (Consultant Cloud Service FOF), providing customer acquiring, strategic research, industry information, investor education, high-end training and industry media promotion for China's wealth management industry and institutions. with comprehensive services.</t>
  </si>
  <si>
    <t>Ateliesi Capital, CICC Capital, Genesis Capital (Hong Kong), GP Capital (Shanghai), Hunan Xiangjiang New District State-owned Capital Investment Company, MindWorks Ventures, MPC (Beijing), Silverhorn Investment Advisors, Vantron Capital</t>
  </si>
  <si>
    <t>www.newbanker.com</t>
  </si>
  <si>
    <t>465216-67</t>
  </si>
  <si>
    <t>Shuzu Technology</t>
  </si>
  <si>
    <t>Developer of platform and software as a service for financial solutions. The company is an e-commerce full-process service integrator that integrates industry resources for payment, tax receipts, orders, delivery, operations, and finance to provide companies with payment channels, distribution services, online operations, and service capabilities, such as marketing innovation and financial products, etc.</t>
  </si>
  <si>
    <t>Zhengshan Capital</t>
  </si>
  <si>
    <t>www.shuzutech.com</t>
  </si>
  <si>
    <t>518011-03</t>
  </si>
  <si>
    <t>Cometa</t>
  </si>
  <si>
    <t>Developer of a comprehensive software system designed to streamline school administration and financial management. The company's platform offers integrated automated fee collection, online storefront management for school sales, streamlined admissions and re-enrollment processes, centralized communications through an app, and automatic conciliation and invoicing synced with tax authorities, enabling educational institutions to reduce manual work, improve cash flow, and enhance the experience for parents.</t>
  </si>
  <si>
    <t>500 Global, 500 Startups LatAm, Acrew Capital, Blue Zone Ventures, Courtney McColgan, Diego Diaz, Homebrew Management, Investo (San Francisco), Jorge Mazal, Kaszek, Latitud, Life is too short Capital, Reach Capital, Salkantay Ventures, Sebastián Kreiss, Sergio Monsalve</t>
  </si>
  <si>
    <t>www.cometaedu.com</t>
  </si>
  <si>
    <t>958320-28</t>
  </si>
  <si>
    <t>InvestStream</t>
  </si>
  <si>
    <t>Developer of AI-powered products designed for superannuation, wealth, trading, and data operations in financial institutions. The company utilizes artificial intelligence to offer products, including a conversational AI platform with calculation engines and personalized scenario planning for superannuation member engagement, enabling clients, including super funds, wealth platforms, financial advisers, and brokers, to achieve faster and more transparent operations with improved engagement, streamlined processes, and technology tailored to evolving regulatory and business needs.</t>
  </si>
  <si>
    <t>www.investstream.io</t>
  </si>
  <si>
    <t>692524-27</t>
  </si>
  <si>
    <t>New Range</t>
  </si>
  <si>
    <t>Operator of an API-based trade reporting and surveillance platform intended to provide transparency, precision and reliability. The company's platform offers services like risk profiles, regulatory requirements and parameters, analyzing and monitoring trade and transaction data, enabling businesses to automate repetitive tasks and fix problems before regulators find them.</t>
  </si>
  <si>
    <t>Fika Ventures, Plug and Play Tech Center, Torch Capital, Treasury (New York), Wedbush Ventures</t>
  </si>
  <si>
    <t>www.newrange.com</t>
  </si>
  <si>
    <t>174427-57</t>
  </si>
  <si>
    <t>Tight</t>
  </si>
  <si>
    <t>Developer of a financial planning application designed to manage accounting, finances, and taxes through a single interface. The company's application automatically tracks all business mileage, accounting data, expenses, income streams, and tax deductions in real-time, does financial reporting and invoicing, and generates insight and data-driven reports that can be downloaded and shared across multiple devices, enabling freelancers, realtors, drivers, and other independent entrepreneurs to track their expenses and manage finances for improved profit and business efficiency.</t>
  </si>
  <si>
    <t>Anywhere Real Estate, Chris Heller, Gene Zaino, REACH, Second Century Ventures, Tom Ferry, TTV Capital</t>
  </si>
  <si>
    <t>www.tight.com</t>
  </si>
  <si>
    <t>107715-79</t>
  </si>
  <si>
    <t>WealthArc</t>
  </si>
  <si>
    <t>Developer of a wealth management platform designed to manage financial data analysis and client interaction for private banks and wealth managers. The company's platform offers insights, investment guidelines, trading strategies, portfolio statistics, reporting and compliance strategies, and risk management guidelines, enabling companies to focus on the areas that are important for clients and offering an improved client experience.</t>
  </si>
  <si>
    <t>Google Accelerator, RJ Management, SICTIC</t>
  </si>
  <si>
    <t>www.wealtharc.com</t>
  </si>
  <si>
    <t>469027-90</t>
  </si>
  <si>
    <t>InsightGenie</t>
  </si>
  <si>
    <t>Developer of behavioral modeling software designed to help organizations make people decisions. The company's technology utilizes quantitative behavior models that combine multi-modal metrics including voice, video, and social data, with client data sources to generate a confidence index, enabling financial institutions and human resources professionals to predict loan repayment capabilities and assess candidate turnover likelihood.</t>
  </si>
  <si>
    <t>Accrete (Communications and Networking), Artesian, Artisan Ventures, Creative Capital Ventures, HSBC Venture &amp; Growth Investments, Hub71, Orbit Ventures (Venture Capital), Plug and Play Tech Center, SMU Institute of Innovation &amp; Entrepreneurship, SOSV, Vynn Capital</t>
  </si>
  <si>
    <t>www.insightgenie.ai</t>
  </si>
  <si>
    <t>493558-66</t>
  </si>
  <si>
    <t>SuperPe</t>
  </si>
  <si>
    <t>Developer of a banking platform designed to offer financial aggregator services. The company's platform helps to combine all accounts in one place by creating a super account to lend money and receive rewards for every card spent, enabling businesses to track their loans and payments effortlessly and conveniently.</t>
  </si>
  <si>
    <t>Accion, All In Capital, BEENEXT Capital Management, DG Daiwa Ventures, Goodwater Capital, Google Accelerator, Long Tail Ventures., Quona Capital</t>
  </si>
  <si>
    <t>superpe.in</t>
  </si>
  <si>
    <t>438181-48</t>
  </si>
  <si>
    <t>GrayQuest</t>
  </si>
  <si>
    <t>Provider of educational financing services intended to offer a flexible, convenient, and rewarding fee payment experience. The company's services include converting the annual education fee into suitable bite-sized monthly instalments, without any extra cost, enabling parents and students to get an economically viable alternative to paying fees to their institutes.</t>
  </si>
  <si>
    <t>Aakrit Vaish, Abhinav Sinha, Abhishek Goyal, Alliance (Mississauga), Ambit (Mumbai), Anuj Tejpal, Anupam Mittal, Apurva Parekh, Ashok Wadhwa's family office, Claypond Capital Partners, Crest Capital Ventures, Dabur, David Piexoto, Dharmendra Siraj, Dholakia Ventures, Dhyanesh Shah, Foundation Holdings, IIFL Finance, Jeejeebhoy family office, Kabita Kharbanda, Keshav Mishra, Kotta Enterprises, Kunal Shah, Mahansaria family office, Mahansaria Group, Mezzanine International, Miten Sampat, Nine Advisors, Nitin Gupta, P4 Capital, Pidilite Industries, Pravega Ventures, Pravin Jadhav, QED Innovation Labs, Revant Bhate, Rohit Dhoot, Samir Bhatia, Saswad Finance, Siddharth Patodia, Stallion Ventures, Sujeet Kumar, Telama Investments, VIC Enterprises, Weizmann</t>
  </si>
  <si>
    <t>www.grayquest.com</t>
  </si>
  <si>
    <t>398913-31</t>
  </si>
  <si>
    <t>Finli (Financial Software)</t>
  </si>
  <si>
    <t>B2B Payments, Big Data, FinTech, Mobile, SaaS</t>
  </si>
  <si>
    <t>Developer of a digital financial platform designed to provide financial services to small businesses. The company's platform allows transferring administrative tasks such as billing, payment collection, reconciliation, inventory management, and customer management seamlessly, enabling businesses to create a solid financial infrastructure to improve their business, livelihood, and community.</t>
  </si>
  <si>
    <t>1871, Alumni Ventures, Core Innovation Capital, Emerson Collective, Financial Health Network., FIS Fintech Accelerator, M13, MaC Venture Capital, Motley Fool Ventures, Muse Capital, Naples Technology Ventures, Slauson &amp; Co., Techstars, The Venture Center, Urban Innovation Fund</t>
  </si>
  <si>
    <t>www.finli.com</t>
  </si>
  <si>
    <t>327170-53</t>
  </si>
  <si>
    <t>Nimbly Technologies</t>
  </si>
  <si>
    <t>Developer of business operations software designed to automate operations and auditing. The company's software digitizes manual checklists and converts the collected data into real-time insights, enabling businesses to monitor, manage, and evaluate business operations effortlessly.</t>
  </si>
  <si>
    <t>Insignia Ventures Partners, Nathalia Sutantyo, Prasetia Dwidharma, Saison Capital, Sovereign's Capital, SYNRGY Accelerator</t>
  </si>
  <si>
    <t>www.hellonimbly.com</t>
  </si>
  <si>
    <t>434959-39</t>
  </si>
  <si>
    <t>Rewire Holding</t>
  </si>
  <si>
    <t>Developer of a digital process automation platform designed to enhance onboarding, payments, and fraud prevention. The company's platform offers digital banking facilities by linking bank accounts with the app for making and receiving payments through smartphones, permitting lending of money, earning interest, and attaining loans, enabling users to transfer money and protect their data.</t>
  </si>
  <si>
    <t>www.rewireholding.com</t>
  </si>
  <si>
    <t>225682-57</t>
  </si>
  <si>
    <t>Cerebro Capital</t>
  </si>
  <si>
    <t>Developer of an online loan management system designed to make lending efficient for corporate borrowers, intermediaries, lenders, and private equity firms. The company's platform integrates with credit metrics to provide access to capital and information, access to top market expertise, detailed term sheets, a continuous view of credit standing, debt capacity, and financing options, enabling borrowers with a transparent process to identify new sources of financing.</t>
  </si>
  <si>
    <t>FINTOP (US), Grotech Ventures, Inner Loop Capital, JAM FINTOP, Maryland Biotechnology Development Award, Point Field Partners, Sterling Partners, TCP Venture Capital, TEDCO, Ulu Ventures</t>
  </si>
  <si>
    <t>www.cerebrocapital.com</t>
  </si>
  <si>
    <t>170954-38</t>
  </si>
  <si>
    <t>Fleximize</t>
  </si>
  <si>
    <t>Operator of a digital business lending company intended to provide flexible finance. The company supports businesses with their growth plans across a variety of sectors, from professional services to hospitality, enabling clients to access flexible funding options tailored to business needs.</t>
  </si>
  <si>
    <t>Innovation Warehouse, Launcha.com</t>
  </si>
  <si>
    <t>www.fleximize.com</t>
  </si>
  <si>
    <t>491738-86</t>
  </si>
  <si>
    <t>Auric (Financial Software)</t>
  </si>
  <si>
    <t>Operator of a b2b embedded finance platform intended to enable businesses to integrate financial services into their customer experiences. The company offers white-labeled loyalty programs, payment processing via branded cards and QR/online payments, collaborative expense features like group expense &amp; cost splitting, and identity verification solutions, enabling organizations to embed payments, rewards, and user onboarding within their own interfaces.</t>
  </si>
  <si>
    <t>www.auric.cloud</t>
  </si>
  <si>
    <t>483472-72</t>
  </si>
  <si>
    <t>Tradewell Technologies</t>
  </si>
  <si>
    <t>Developer of an enterprise software intended to simplify and automate institutional fixed-income trading. The company's machine-learning-driven system optimally interacts with all of the available electronic liquidity in the corporate bond market, providing clients with easy execution of fixed-income trades and management of investment portfolios.</t>
  </si>
  <si>
    <t>Altari Ventures, Diameter Capital Partners, Flying Point Industries, Laurion Capital Management, Raptor Group, Seaport Global, Tamiami Angel Funds</t>
  </si>
  <si>
    <t>www.tradewelltech.co</t>
  </si>
  <si>
    <t>512473-51</t>
  </si>
  <si>
    <t>Pi-xcels</t>
  </si>
  <si>
    <t>Developer of a retail technology platform designed to provide data, connecting offline and online shopper purchase behaviors through IoT and analytics. The company's platform helps augment existing point-of-sale infrastructure to issue paperless, interactive e-receipts via a single tap to eliminate the use of wasteful, poisonous materials, providing retailers with cost savings and a data advantage via shopper data.</t>
  </si>
  <si>
    <t>Amand Ventures, Black Kite Capital, Gyeonggido Business &amp; Science Accelerator, Headline, Hustle Fund, Incubateur HEC Paris, K-Startup Grand Challenge, Plug and Play Tech Center, Seedstars International Ventures, Shizen Capital, Visa Accelerator, Wavemaker Partners</t>
  </si>
  <si>
    <t>www.pi-xcels.com</t>
  </si>
  <si>
    <t>501876-19</t>
  </si>
  <si>
    <t>Goliaths</t>
  </si>
  <si>
    <t>Developer of a trading application designed for young people to invest. The company offers a platform for trading shares, cryptocurrencies, exchange-traded funds (ETFs), and commodities, as well as a financial community and action categories such as sports, health, and energy, which can be chosen according to individual preferences, enabling clients to learn about investments.</t>
  </si>
  <si>
    <t>www.goliaths.io</t>
  </si>
  <si>
    <t>492930-82</t>
  </si>
  <si>
    <t>VRGL</t>
  </si>
  <si>
    <t>Developer of a wealth management data analytics software designed to score the portfolio of clients and prospects. The company's platform helps wealth managers and registered investment advisors score a portfolio based on performance, diversification, risk, taxes and fees, helping advisors guide clients with quantitative views of their portfolios and leading them to smarter investment strategies.</t>
  </si>
  <si>
    <t>Checchi Capital Advisers, Compound (New York), Dynasty Financial Partners, Fin Capital, FINTOP (US), Flyover Capital, MissionOG, Northwestern Mutual Future Ventures, Park Partners Capital, Sallyport</t>
  </si>
  <si>
    <t>www.vrglwealth.com</t>
  </si>
  <si>
    <t>522631-81</t>
  </si>
  <si>
    <t>Renew Risk</t>
  </si>
  <si>
    <t>Artificial Intelligence &amp; Machine Learning, CleanTech, Climate Tech, FinTech, InsurTech</t>
  </si>
  <si>
    <t>Developer of risk modeling and analytics software designed to drive financing and insurance for new renewable energy assets, specifically offshore wind farms. The company's software offers proprietary models for hurricane and earthquake offshore wind farms, as well as large cloud simulations utilizing machine learning and enhanced credit analysis for reduced financing risks, enabling large insurers, reinsurers and insurance brokers to minimize insurance losses, generate insurance capacity and efficiently cost potential offshore wind farm locations.</t>
  </si>
  <si>
    <t>Chris Adelsbach, Gateway Seed II, Grow London, Insurtech Gateway, Lloyd's Lab, Lloyd's of London, Molten Ventures, One Planet Capital, University of Surrey</t>
  </si>
  <si>
    <t>www.renew-risk.com</t>
  </si>
  <si>
    <t>148986-46</t>
  </si>
  <si>
    <t>Yolo Bank</t>
  </si>
  <si>
    <t>Developer of a financial management platform designed to predict student loan defaults. The company's platform utilizes artificial intelligence to map the user's spending and suggests a discount rate along with benefits, cashback, personalized credit options, bill payments, and debit and credit cards, enabling students to avoid defaulting on their loans.</t>
  </si>
  <si>
    <t>Impulsiona Program, Marathon Ventures, STRIVE (São Paulo)</t>
  </si>
  <si>
    <t>www.yolobank.com</t>
  </si>
  <si>
    <t>521574-58</t>
  </si>
  <si>
    <t>Theia Insights</t>
  </si>
  <si>
    <t>Developer of artificial intelligence infrastructure intended to structure and interpret global economic and corporate data for investment research. The company's platform offers natural language processing, quantitative modelling, knowledge graph architecture, dynamic industry classification, and thematic analytics tools, enabling asset managers, hedge funds, banks, index providers, and fintech platforms to analyze financial information and support investment research and portfolio evaluation.</t>
  </si>
  <si>
    <t>AWS Startups, Clocktower Ventures, Creative Destruction Lab, Fidelity International Strategic Ventures, FinAccelerate, Further Ventures, MiddleGame Ventures, Sequoia Capital, Unusual Ventures</t>
  </si>
  <si>
    <t>www.theiainsights.com</t>
  </si>
  <si>
    <t>168818-95</t>
  </si>
  <si>
    <t>UnDosTres</t>
  </si>
  <si>
    <t>Operator of an online payment platform intended to offer secure and reliable payment alternatives. The company's platform facilitates payments for various services, including mobile and TV recharge, electricity bills, water bills, movie tickets, and other utility bills via credit and debit cards, bank transfers, and wallets, enabling users to streamline online transactions.</t>
  </si>
  <si>
    <t>A.GAIN, Alpha Impact 8, Amador Holdings, Cabiedes &amp; Partners, Dalus Capital, Daniel Esponda, Dark Horse Ventures (México City), Grant Taylor, IGNIA, Ignition Partners, MassChallenge, Rakesh Agrawal, Saba Investments, Sinia Renovables, Soldiers Field Angels, Telegraph Hill Capital, Village Capital, Wayra</t>
  </si>
  <si>
    <t>www.undostres.com.mx</t>
  </si>
  <si>
    <t>340878-52</t>
  </si>
  <si>
    <t>Agora Digital Capital Markets</t>
  </si>
  <si>
    <t>Developer of financial software designed to offer a digital market for the entire life cycle of bonds. The company's software provides a source of critical bond information, digitally signed and available to all participants in a deal from the pre-mandate stage throughout the secondary life of the security until its final redemption through its digital ledger technology, enabling investors to eliminate costly reconciliations whilst maintaining privacy.</t>
  </si>
  <si>
    <t>AmTrust (New York), Churchtown Investments, David Rutter, IPGL, Jacques Aigrain, Lambda Alpha, Michael Spencer, Rutter Family Investments</t>
  </si>
  <si>
    <t>www.agoradcm.com</t>
  </si>
  <si>
    <t>490342-96</t>
  </si>
  <si>
    <t>beatBread</t>
  </si>
  <si>
    <t>Developer of a financing platform intended to offer funds to musicians. The company's platform empowers artists to take control of their careers without giving away ownership of their music or their decision-making power and helps them choose their partners and advance their careers on their terms, enabling artists to receive financial advances that are repaid through a limited share of revenues from streaming and airplay.</t>
  </si>
  <si>
    <t>A2im, Advantage Capital (Louisiana), Afore Capital, Angel Ventures Mexico, Association For Electronic Music, Association of Independent Music (aim), Capria Ventures, Citigroup, Deciens Capital, Downtown Music Publishing, GMO Venture Partners, IAG Capital Partners, Jason Guss, Mindset Ventures, Mucker Capital, Music Managers Forum, Pandeavor Ventures, Pier Capital, Triple 8 Management, Variant Investments, Westrie Capital</t>
  </si>
  <si>
    <t>www.beatbread.com</t>
  </si>
  <si>
    <t>466972-84</t>
  </si>
  <si>
    <t>OneBanc</t>
  </si>
  <si>
    <t>Operator of a neobank intended for personalized experiential banking. The company offers a technical interface between customers and its banking partners and provides mobile-first digital banking, as well as financial services such as online investing, analytics, savings accounts, payments, cards, and other related services, enabling customers to access personalized banking experiences.</t>
  </si>
  <si>
    <t>First Cheque, Harpreet Grover, InfoEdge Ventures, Kettleborough VC, Kshitij Jain, Leo Capital, LVX, Maninder Gulati, Nitin Sethi, Saison Capital, Saurabh Aggarwal, Startup Haryana, Work Capital (India)</t>
  </si>
  <si>
    <t>www.onebanc.ai</t>
  </si>
  <si>
    <t>538994-80</t>
  </si>
  <si>
    <t>KeySavvy</t>
  </si>
  <si>
    <t>Developer of a peer-to-peer payment platform designed to reduce fraud, increase convenience and foster trust between vehicle buyers and sellers. The company helps to include a payment link in their ad on any car-selling site, that can be used to securely pay online with a bank account and help vehicle marketplaces facilitate transactions, enabling sellers to have the right to extract the most value from their vehicle and buyers have the right to purchase at the most affordable price.</t>
  </si>
  <si>
    <t>Bonfire Ventures, Daher Investment Management, Experian Ventures, Founders' Co-op, Porsche Ventures</t>
  </si>
  <si>
    <t>www.keysavvy.com</t>
  </si>
  <si>
    <t>497234-26</t>
  </si>
  <si>
    <t>Adsum</t>
  </si>
  <si>
    <t>Operator of a fintech company intended to specialize in value-added tax refunds and tax credits for businesses. The company's software infrastructure processes immediate value-added tax refunds as a standalone solution via embedded software integrations with partner organizations, and it uses artificial intelligence and machine learning to simplify tax credit processes, enabling businesses to eliminate human error and boost growth.</t>
  </si>
  <si>
    <t>D2 Fund (London), Episode 1 Ventures, Kinled Holding, Launchbay Capital</t>
  </si>
  <si>
    <t>www.adsum-works.com</t>
  </si>
  <si>
    <t>463230-19</t>
  </si>
  <si>
    <t>Velocity (Specialized Finance)</t>
  </si>
  <si>
    <t>Provider of banking and financial services intended to fund companies or offer credit based on their sales. The company provides a range of financial services including term loans, revenue-based financing, overdrafts, payments as well as analytics for businesses with zero equity dilution or personal guarantees, enabling clients to avail an alternative to venture capital or loan where repayments happen as a fixed percentage of future revenues.</t>
  </si>
  <si>
    <t>Clearco, CRED, Dhruv Arora, DST Global, EGR Partners, Erik Podzuweit, FJ Labs, Florian Prucker, GetVantage, ISEED, iSeed (India), Klub, KredX, Maninder Gulati, Mato Peric, Oliver Jung, Peter Thiel, Philippe De Mota, Presight Capital, Robert Frohwein, Tom Stafford, Valar Ventures, Wayflyer, Zachary Prince</t>
  </si>
  <si>
    <t>www.velocity.in</t>
  </si>
  <si>
    <t>229228-48</t>
  </si>
  <si>
    <t>CoinTribe</t>
  </si>
  <si>
    <t>Developer of an online lending platform designed to assist small and medium businesses to get custom loan offers. The company's platform offers unsecured term and working capital financing to small businesses, for which the risk assessment is done using an online lending algorithm, enabling banks and non-banking finance businesses to connect with borrowers, offering inputs for risk assessment, transaction fulfillment, repayment management and borrower servicing.</t>
  </si>
  <si>
    <t>www.cointribe.com</t>
  </si>
  <si>
    <t>166114-81</t>
  </si>
  <si>
    <t>Transfer Galaxy</t>
  </si>
  <si>
    <t>Developer of a money transfer application designed to make remittances cheaper, safer, and smarter. The company's application assists users in sending money anytime and anywhere within a few seconds, which the receiver receives in the mobile wallet, enabling people to instantly transfer money to their loved ones.</t>
  </si>
  <si>
    <t>Alfvén &amp; Didrikson, BackingMinds, Emad Zand</t>
  </si>
  <si>
    <t>www.transfergalaxy.com</t>
  </si>
  <si>
    <t>442411-57</t>
  </si>
  <si>
    <t>Booksalon</t>
  </si>
  <si>
    <t>Developer of salon payment and appointment platform designed for hair, beauty, and wellness companies. The company's platform operates an automated and integrated payment processing, online appointment booking, automatic customer registration, employee shift management, and price list management, enabling salons to manage their working hours and reservations.</t>
  </si>
  <si>
    <t>Big Bets, Joint Effects, Lennu Keinänen, Maria 01, Mastercard Lighthouse, Sontek</t>
  </si>
  <si>
    <t>pro.booksalon.com</t>
  </si>
  <si>
    <t>489051-91</t>
  </si>
  <si>
    <t>Elements</t>
  </si>
  <si>
    <t>Developer of a financial wellness platform designed to simplify financial planning and advice delivery. The company's platform offers standardized assessment frameworks, data collection tools, AI-driven insights, automated progress tracking, and client engagement features, enabling financial advisors and planners to deliver clear guidance and manage client relationships efficiently.</t>
  </si>
  <si>
    <t>Dan Wiener, Dave Grow, Flybridge (New York), Flyover Capital, Forward VC, Grand Ventures, SaaS Ventures, The Graduate Syndicate, Tyler Hogge</t>
  </si>
  <si>
    <t>www.getelements.com</t>
  </si>
  <si>
    <t>97985-26</t>
  </si>
  <si>
    <t>FEV Analytics</t>
  </si>
  <si>
    <t>Developer of data analytics software designed to enhance financial and operational decision-making for market participants. The company's platform includes data visualization tools, market forecasting, customizable dashboards, automated reporting features, and real-time analytics, enabling clients, asset managers, and analysts to access actionable insights that support risk management, strategic planning, and performance optimization.</t>
  </si>
  <si>
    <t>fevanalytics.com</t>
  </si>
  <si>
    <t>902546-38</t>
  </si>
  <si>
    <t>June Point Lending</t>
  </si>
  <si>
    <t>Provider of unsecured financial products intended to support the companies. The company offers access to fixed-rate installment loans with customizable terms, fast approval, and credit monitoring tools, enabling small and medium businesses to manage short-term borrowing needs through a digital interface that incorporates automated underwriting, real-time eligibility checks, and secure disbursement features.</t>
  </si>
  <si>
    <t>Deciens Capital, Startup Virginia</t>
  </si>
  <si>
    <t>www.junepointlending.com</t>
  </si>
  <si>
    <t>119415-88</t>
  </si>
  <si>
    <t>Leapfin</t>
  </si>
  <si>
    <t>Developer of a financial operations automation platform designed for data integrity and immutability. The company's platform consolidates, cleans, and unifies financial and revenue transaction data for businesses, enabling users to streamline and automate complex, manual tasks with greater accuracy while eliminating the risk of clerical errors.</t>
  </si>
  <si>
    <t>www.leapfin.com</t>
  </si>
  <si>
    <t>1078312-51</t>
  </si>
  <si>
    <t>Tilt (Other Financial Services)</t>
  </si>
  <si>
    <t>Developer of AI-powered investment research software designed for thematic index creation. The company's platform automates the entire lifecycle from idea refinement to portfolio construction and trade execution, featuring tools for semantic re-ranking, real-time news monitoring, custom weighting strategies, and ontology shaping, enabling financial institutions and ETF issuers to accelerate research workflows, reduce operational costs, and respond dynamically to market trends with scalable, data-driven investment products.</t>
  </si>
  <si>
    <t>Cumberland Place Investments, FJ Labs, Golden Ventures, Lerer Hippeau, Portage, Real Ventures, Sagard</t>
  </si>
  <si>
    <t>www.tilt.io</t>
  </si>
  <si>
    <t>521589-34</t>
  </si>
  <si>
    <t>Aktos</t>
  </si>
  <si>
    <t>Developer of a SaaS-based AI-powered debt collection platform designed to power the accounts receivable management industry. The company offers collection software that empowers agencies to interact with consumers in a more efficient and compliant way, enabling creditors, agencies, and borrowers to gain access to a better collection and recovery process.</t>
  </si>
  <si>
    <t>8VC, Crew Capital, Fractal Software, UiPath</t>
  </si>
  <si>
    <t>www.aktos.ai</t>
  </si>
  <si>
    <t>496037-98</t>
  </si>
  <si>
    <t>martini.ai</t>
  </si>
  <si>
    <t>Developer of a corporate bond investing platform designed to simplify fixed-income investing. The company's platform leverages deep learning and artificial intelligence technology and develops methodological and systematic tools for the challenging problems in fixed income, enabling investors to experience lower transaction costs, liquidity prediction, and portfolio management automation.</t>
  </si>
  <si>
    <t>www.martini.ai</t>
  </si>
  <si>
    <t>571794-40</t>
  </si>
  <si>
    <t>Dexif</t>
  </si>
  <si>
    <t>Developer of a financial engineering technology designed to enable novel fixed-income products with precise risk-reward and duration in investor-friendly denominations. The company's platform offers access a tailor made credit options, coverage across the fixed income class, enabling users with customized credit options for growing companies and attractive opportunities for investors.</t>
  </si>
  <si>
    <t>RTP Global, TDV Partners</t>
  </si>
  <si>
    <t>www.dexif.in</t>
  </si>
  <si>
    <t>461804-50</t>
  </si>
  <si>
    <t>BASIC Home Loan</t>
  </si>
  <si>
    <t>Operator of a home loan platform intended to automate the loan process for middle and low-income households. The company's platform provides paperless online home loan sanctions and ensures end-to-end fulfillment to efficiently guide customers, from initial research all the way to getting the loan approved and disbursed, enabling users to get secured lending with a special focus on the affordable housing segment.</t>
  </si>
  <si>
    <t>100Unicorns, Aeroflex Enterprises, Alex Babu, Alex Lin, Amit Nanavati, Ashish Kacholia, Astir Ventures, Bertelsmann India Investments, Bharat Founders Fund, Binitha Dalal, CE-Ventures, CommsCredible, Dexter Ventures, Dhruv Bahl, Earlsfield Capital, Good Capital (India), Gruhas, Haldiram's Family Office, IIM Indore Alumni Angel Fund, Jatin &amp; Mohit Goel, Karishma Thakker, LVX, Parag Shah, Picus Capital, Qi Ventures, Sadev Ventures, Sapient Wealth, Sprint VC, SRI Capital, VC Grid, Venture Catalysts (Capital Markets/Institutions), Z Nation Lab</t>
  </si>
  <si>
    <t>www.basichomeloan.com</t>
  </si>
  <si>
    <t>464463-01</t>
  </si>
  <si>
    <t>Lenkie</t>
  </si>
  <si>
    <t>Developer of a financial platform intended to offer flexible funding to help businesses grow. The company's platform allows one to choose repayment periods, simplifies international transactions and provides access to analytics dashboards that provide real-time visibility into business performance, enabling companies to manage cash flow and scale efficiently.</t>
  </si>
  <si>
    <t>Ambridge Capital, Bullet Ventures, Entrepreneurs First, Google Accelerator, Ground Up Ventures, Groundupp Ventures, Grow London, MENA Venture Investments, Olima Ventures, Verissimo Ventures</t>
  </si>
  <si>
    <t>www.lenkie.com</t>
  </si>
  <si>
    <t>482516-83</t>
  </si>
  <si>
    <t>Incard</t>
  </si>
  <si>
    <t>Operator of a vertical banking platform intended for e-commerce, entrepreneurs, drop shippers and influencers to streamline their financial management. The company's platform offers multi-currency accounts, payment services, payment tracking, real-time reports and other related services, enabling users to access business accounts, automated expense management, real-time financial insights and compliance support.</t>
  </si>
  <si>
    <t>Founders Capital, Funders, Globaleye Ventures, MountFund, Notion Capital, Smartfin(Brussels), SyndicateRoom, Vauban (Financial Software)</t>
  </si>
  <si>
    <t>www.incard.com</t>
  </si>
  <si>
    <t>483381-01</t>
  </si>
  <si>
    <t>Novatus Global</t>
  </si>
  <si>
    <t>Provider of financial services intended to provide specialized consultancy and deep technical expertise. The company specializes in compliance, ESG, outsourcing, risk advisory, transaction reporting, and prudential and operational resilience, enabling financial firms to meet their complex regulatory requirements through specialist technology and expert-led advisory services.</t>
  </si>
  <si>
    <t>Maven Capital Partners UK, Silversmith Capital Partners</t>
  </si>
  <si>
    <t>novatus.com</t>
  </si>
  <si>
    <t>459899-20</t>
  </si>
  <si>
    <t>Aeqium</t>
  </si>
  <si>
    <t>Developer of a compensation analysis platform designed for a better way to understand, decide, and automate how businesses pay employees. The company's platform allows tech company employees to calculate their salary components, such as bonuses, performance bonuses, equity, stock option calculations, vesting period rules, and more, enabling employees to understand their overall compensation.</t>
  </si>
  <si>
    <t>CoFound Partners, Ridge Ventures, SHRM Labs, Vestigo Ventures</t>
  </si>
  <si>
    <t>www.aeqium.com</t>
  </si>
  <si>
    <t>462040-30</t>
  </si>
  <si>
    <t>Finary</t>
  </si>
  <si>
    <t>Developer of an investment management platform designed to help users to get a clear overview of their asset allocation. The company's platform offers tailor-made management of personal finance, real estate, cryptocurrencies, insurance, and other securities, enabling users to monitor and analyze their assets to make the right decisions and optimize their investments.</t>
  </si>
  <si>
    <t>Alexandre Prot, Amand Ventures, Axel Weber, Eric Demuth, Harsh Sinha, Hedosophia, Kima Ventures, PayPal Ventures, Phoenix Court, platform58, Raphaël Vullierme, Shapers, Source Ventures (Paris), Speedinvest, Steve Anavi, Y Combinator</t>
  </si>
  <si>
    <t>www.finary.com</t>
  </si>
  <si>
    <t>483749-38</t>
  </si>
  <si>
    <t>Tot</t>
  </si>
  <si>
    <t>Developer of a banking platform designed to digitize administrative and financial management. The company offers account and digital banking, credit, and payments services, enabling businesses to monitor and manage expenditures, collections, earnings, and tax provisioning.</t>
  </si>
  <si>
    <t>Alessandro Rimassa, Azimut Group, Banca Sella, CDP Venture Capital (Rome), Chapeau Media, Francesco Fiorese, Gianluca Cocco, Giuseppe Ramonda, Matteo Pichi, Paolo Galvani, Pietro Marchetti, Sella Direct Ventures, The Techshop, Ulixes Capital Partners, Weltix, XEquity</t>
  </si>
  <si>
    <t>www.tot.money</t>
  </si>
  <si>
    <t>467944-84</t>
  </si>
  <si>
    <t>Fintuity</t>
  </si>
  <si>
    <t>Developer of an online financial platform designed to provide bespoke financial advice to its clients. The company's platform utilizes artificial intelligence to match the exact client circumstances with bespoke financial products and a roadmap strategy to help optimize their portfolio, enabling clients to access financial advisory services including pensions, protections, investments, and mortgage support at an affordable rate.</t>
  </si>
  <si>
    <t>Innovate UK, Metropolis Ventures</t>
  </si>
  <si>
    <t>www.fintuity.com</t>
  </si>
  <si>
    <t>481397-59</t>
  </si>
  <si>
    <t>Namdev Finvest</t>
  </si>
  <si>
    <t>Operator of a non-banking finance platform intended to give loans to rural and semi-urban agriculture, and the priority sector. The company's platform offers commercial vehicle loans, car loans, business loans, two-wheeler loans, as well as gold loans, helping unserved and unreached farmers and entrepreneurs to access funds for their needs.</t>
  </si>
  <si>
    <t>British International Investment, Incofin Investment Management, LC Nueva AIF, Maj Invest</t>
  </si>
  <si>
    <t>www.namfin.in</t>
  </si>
  <si>
    <t>517170-25</t>
  </si>
  <si>
    <t>Vegapay</t>
  </si>
  <si>
    <t>Developer of a banking technology platform designed to enable financial institutions to build and launch digital banking products. The company's platform offers an API-first, cloud-native, and hyper-configurable system with pre-integrated services for cards, credit on UPI, lending, and program management, enabling banks and fintech companies to deliver customized financial products with faster go-to-market and improved scalability.</t>
  </si>
  <si>
    <t>Arun Venkatachalam, Capri Global Capital, Climber capital, DSP HMK, Elevation Capital (India), Eximius Ventures, LVX, MGA Ventures, Pratekk Agarwal, Upsparks Capital</t>
  </si>
  <si>
    <t>www.vegapay.tech</t>
  </si>
  <si>
    <t>589541-05</t>
  </si>
  <si>
    <t>Nextesy</t>
  </si>
  <si>
    <t>Developer of an AI-based accounting management platform designed for managing businesses. The company's platform offers services for accounting, time tracking, vacation tracking, document management, and business analytics, enabling clients to improve payroll management.</t>
  </si>
  <si>
    <t>Business Technology Incubator of Technical Faculties Belgrade, Fifth Quarter Ventures, Katapult Accelerator, Science Technology Park Belgrade, SICTIC</t>
  </si>
  <si>
    <t>www.nextesy.com</t>
  </si>
  <si>
    <t>522086-41</t>
  </si>
  <si>
    <t>Focalpay</t>
  </si>
  <si>
    <t>Developer of a commerce platform designed to integrate retail and payments. The company's platform offers a patent-pending service with open architecture, a cloud-native checkout that can be accessed via SDK, API, or web-based application, a payment initiation gateway, and back-office support, enabling clients to lower their fees, reduced emissions, and simplified payments.</t>
  </si>
  <si>
    <t>SKEL</t>
  </si>
  <si>
    <t>www.focalpay.se</t>
  </si>
  <si>
    <t>117808-30</t>
  </si>
  <si>
    <t>CreditMantri</t>
  </si>
  <si>
    <t>FinTech, Impact Investing, TMT</t>
  </si>
  <si>
    <t>Developer of credit-facilitating software designed to help customers improve their credit scores. The company's platform keeps track of customers' credit health with month-on-month reports on their credit activities, payment alerts, enabling consumers to assess and calculate their credit potential and apply for loans, and make optimal credit decisions.</t>
  </si>
  <si>
    <t>Accion, Elevar Equity, Madison India Capital, Quona Capital, Trifecta Capital</t>
  </si>
  <si>
    <t>www.creditmantri.com</t>
  </si>
  <si>
    <t>496096-57</t>
  </si>
  <si>
    <t>HedgeFlows</t>
  </si>
  <si>
    <t>Developer of a SaaS-based financial platform designed to plan, manage, and protect cash flows. The company's platform automatically tracks exchange rates, secures international payments, prebooks exchange rates in advance, utilizes one rate for multiple payments, and provides performance and benchmarking analysis, enabling clients to save time, avoid financial losses, and safely grow their trade with partners and customers in any part of the world.</t>
  </si>
  <si>
    <t>Grow London</t>
  </si>
  <si>
    <t>www.hedgeflows.com</t>
  </si>
  <si>
    <t>292368-61</t>
  </si>
  <si>
    <t>Next Quarter</t>
  </si>
  <si>
    <t>Operator of a business analytics platform intended to serve sales, finance, and operations teams. The company's cloud-based platform provides custom alternatives including predictive analytics sales forecasting, revenue forecasting, and demand forecasting along with our analytics and sales performance services, enabling firms with accounting growth using generative AI and accelerating the sales process.</t>
  </si>
  <si>
    <t>Ringbolt Capital, Vattikuti Ventures</t>
  </si>
  <si>
    <t>www.nextq.ai</t>
  </si>
  <si>
    <t>539748-28</t>
  </si>
  <si>
    <t>Block Scholes</t>
  </si>
  <si>
    <t>Developer of a blockchain-based analytics and data management platform designed to provide insights on digital currencies. The company's platform delivers interactive analytical tools, advanced quantitative models, custom visualization capabilities, and original research, enabling professional traders, retail market participants, and the public sector to analyze the markets, identify trading opportunities, and manage their investments.</t>
  </si>
  <si>
    <t>CoinSwitch Ventures, Dair Capital, FunFair Ventures, Investcorp, Record Financial Group, Saison Capital</t>
  </si>
  <si>
    <t>www.blockscholes.com</t>
  </si>
  <si>
    <t>403983-64</t>
  </si>
  <si>
    <t>Eve Financial</t>
  </si>
  <si>
    <t>Developer of a financial assistance platform designed to help small business owners. The company's platform is backed by machine learning technology and offers consumer experience and lending relationships to deliver a better funding experience, enabling small business owners who want to pursue their dreams to be funded.</t>
  </si>
  <si>
    <t>Allegis Capital, Convoi Ventures</t>
  </si>
  <si>
    <t>www.eve.co</t>
  </si>
  <si>
    <t>746654-41</t>
  </si>
  <si>
    <t>Sympera AI</t>
  </si>
  <si>
    <t>Developer of a financial intelligence and sales enablement support platform intended to scale relationship banking. The company's platform leverages artificial intelligence, open-source models, and domain-specific language models to interpret client behavior, predict client needs, conduct market intelligence, manage pipelines, and generate tailored sales strategies, enabling bankers with recommendations, conversational dialog references, and objection handling tips to grow client portfolios.</t>
  </si>
  <si>
    <t>Nyca Partners, Viola Ventures</t>
  </si>
  <si>
    <t>www.sympera.ai</t>
  </si>
  <si>
    <t>227248-48</t>
  </si>
  <si>
    <t>Just Technologies</t>
  </si>
  <si>
    <t>Developer of a financial exchange information aggregator application designed to offer real-time information and updates on exchange rates. The company's application tracks market trends, pools, stores, and updates forex information and offers access to real-time market information on current exchange rates and currency value, enabling users to uncover hidden fees and negotiate fair currency exchange rates.</t>
  </si>
  <si>
    <t>FinStart Nordic, Kjell Inge Rokke, Pooja Skogstad, RunwayFBU, Startuplab Ventures, Village Capital</t>
  </si>
  <si>
    <t>www.gojust.com</t>
  </si>
  <si>
    <t>94039-21</t>
  </si>
  <si>
    <t>Swarna Pragati Housing</t>
  </si>
  <si>
    <t>Provider of housing microfinance services intended to build a society where everyone has a conducive habitat to live and work in with dignity. The company's services include loan financing with average loan terms of two and a half to three months, enabling consumers to get loans in an affordable way to improve their health, education, and livelihood opportunities.</t>
  </si>
  <si>
    <t>Aavishkaar Capital, Action For India, Caspian, Goodwell Investments, Intellecap Impact Investment Network, Omidyar Network, PAG, Pramod Bhasin, Primarc iVenture, Vikram Gandhi, Zephyr Peacock</t>
  </si>
  <si>
    <t>www.sphm.co.in</t>
  </si>
  <si>
    <t>470731-24</t>
  </si>
  <si>
    <t>GradRight</t>
  </si>
  <si>
    <t>Developer of an AI-powered platform designed to simplify the process of studying abroad from selection to financing. The company's platform provides data about colleges for higher education, especially abroad, and helps aspirants to select, connect, apply, fund, and maximize return on education with the comparison provided to efficiently pursue higher education abroad while overcoming financial barriers, enabling students to access a simplified process of college selection and securing the low cost of higher education.</t>
  </si>
  <si>
    <t>Alteria Capital, InnoVen Capital, IvyCap Ventures, Sutra Ventures</t>
  </si>
  <si>
    <t>www.gradright.com</t>
  </si>
  <si>
    <t>490795-48</t>
  </si>
  <si>
    <t>365 Finance</t>
  </si>
  <si>
    <t>Provider of direct financial services intended to help manage the cash flow of a business. The company offers quality merchant cash advance products to convert future credit and debit card sales into cash to utilize for any business purpose, allowing small and medium-sized businesses to get unsecured business funding with no fixed terms, repayments, or annual percentage rate.</t>
  </si>
  <si>
    <t>Kendal:cap, Westbrooke</t>
  </si>
  <si>
    <t>www.365finance.co.uk</t>
  </si>
  <si>
    <t>496489-24</t>
  </si>
  <si>
    <t>FINQ (Financial Software)</t>
  </si>
  <si>
    <t>Operator of an AI-powered investment platform intended to manage all investment options available in the market from anywhere in the world. The company's platform uses big data and cutting-edge science, analyzes the entire market continuously to offer objective and practical investment recommendations, eliminates the biases and shortcomings of human intermediaries, and allows everyone to invest with confidence and clarity, enabling clients to make optimal decisions through cost-effective financial products.</t>
  </si>
  <si>
    <t>Nir Zuk</t>
  </si>
  <si>
    <t>www.finqai.co.il</t>
  </si>
  <si>
    <t>462315-43</t>
  </si>
  <si>
    <t>Quants (Financial Software)</t>
  </si>
  <si>
    <t>Operator of a banking platform intended to provide payment agency and accounts receivable guarantee business. The company's platform provides a billing business outsourcing service with no prepaid accounts receivable fees, a full guarantee rate, and a low fee, and also engages in credit guarantee, settlement agency, and bank agency business, enabling corporations and individuals to gain access to necessary funds without hassle.</t>
  </si>
  <si>
    <t>Aidma Holdings, AirTrip, Angel Torch, eGuarantee Investment, Elements Capital (Tokyo), FLAG-41, Fuva Brain, GMO Aozora Net Bank, H.I.S., HigashishoSono Bright, Kiyo Capital Management, Vortex (Consulting Services), Xiu inter</t>
  </si>
  <si>
    <t>www.quants-grp.co.jp</t>
  </si>
  <si>
    <t>180465-85</t>
  </si>
  <si>
    <t>Stable</t>
  </si>
  <si>
    <t>Developer of a price risk management technology designed to assist businesses in managing their exposure to volatile commodity prices. The company's tool provides government indices and sophisticated financial algorithms to hedge against volatile prices and input costs, enabling businesses to protect their profit margins from commodity price volatility.</t>
  </si>
  <si>
    <t>Acrew Capital, Agroinncuba, Alumni Ventures, Anthemis, Ascot Group, Conti Ventures, CPP Investments, Gaingels, Greycroft, Notion Capital, Nuffield Farming Scholarships Trust, Syngenta Group Ventures</t>
  </si>
  <si>
    <t>www.stableprice.com</t>
  </si>
  <si>
    <t>267065-11</t>
  </si>
  <si>
    <t>TOI Pay</t>
  </si>
  <si>
    <t>Developer of a financial security software designed to serve the workforce. The company's platform offers low banking fees, remittance, bill payment, and free international calling among others, enabling companies to have the flexibility to save money without having to leave the workplace on payday.</t>
  </si>
  <si>
    <t>www.toipay.com</t>
  </si>
  <si>
    <t>531352-36</t>
  </si>
  <si>
    <t>Fluid AI (Singapore)</t>
  </si>
  <si>
    <t>Developer of a payment checkout platform designed for business-to-business trades. The company's platform offers a variety of features, including payouts, risk-free payments, real-time credit checks, and automatic reconciliation, enabling businesses to improve their cash flow, reduce risk, and streamline their payment processes.</t>
  </si>
  <si>
    <t>Grab Holdings, Insignia Ventures Partners, Iterative Accelerator, Jeremy Fai, New Stack Ventures, Startupbootcamp Holding, YONG JUN</t>
  </si>
  <si>
    <t>www.getfluid.ai</t>
  </si>
  <si>
    <t>502628-86</t>
  </si>
  <si>
    <t>VeraScore</t>
  </si>
  <si>
    <t>Developer of a financial health platform intended to make financial resources accessible to everyone. The company's platform utilizes artificial intelligence to analyze and categorize the activity in all of the consumer's financial accounts, evaluates the consumer's historic financial behavior, and provides a cash flow analysis and a net worth display, enabling consumers to take control of their financial health and lenders to get flexible and predictive modeling and a reduced risk of defaults to expand their customer base and save time and money on underwriting.</t>
  </si>
  <si>
    <t>Harold Lowe, Kevin Burke</t>
  </si>
  <si>
    <t>www.myverascore.com</t>
  </si>
  <si>
    <t>503956-27</t>
  </si>
  <si>
    <t>Ackoo</t>
  </si>
  <si>
    <t>Developer of a fincom application designed to help e-commerce businesses acquire and retain customers. The company's platform builds technology for the intersection of fintech and e-commerce spaces, enabling users to access a cash-back rewards program that helps them generate more revenue using a suite of fincom products.</t>
  </si>
  <si>
    <t>www.ackoo.app</t>
  </si>
  <si>
    <t>81873-19</t>
  </si>
  <si>
    <t>Afluenta</t>
  </si>
  <si>
    <t>Developer of an online-based peer-to-peer lending platform designed to disrupt traditional banking services through personal credit availability. The company's platform connects lenders and borrowers to bypass traditional financial service providers and middlemen by offering convenient loans to borrowers while delivering attractive yields to lenders and investors, enabling clients to get online loans easily.</t>
  </si>
  <si>
    <t>IGNIA, Invermaster, NXTP Ventures, QAPU Ventures</t>
  </si>
  <si>
    <t>www.afluenta.com</t>
  </si>
  <si>
    <t>234049-15</t>
  </si>
  <si>
    <t>Bareksa</t>
  </si>
  <si>
    <t>Developer of an online mutual fund marketplace designed to buy and sell mutual funds online. The company's platform helps investors to invest in mutual funds and continuously collaborates with other financial technology portals, enabling users to monitor the performance of their mutual fund portfolios and liquidate their investments anytime.</t>
  </si>
  <si>
    <t>Gemilang Sentosa, Grab Holdings, OVO (Financial Software)</t>
  </si>
  <si>
    <t>www.bareksa.com</t>
  </si>
  <si>
    <t>466011-19</t>
  </si>
  <si>
    <t>BharatX</t>
  </si>
  <si>
    <t>Developer of credit technology designed to enable consumer-facing platforms to enable credit-as-a-feature. The company's software allows customers to purchase multiple products and services within the partner network by providing a credit-as-a-service feature, enabling businesses to provide buy now, pay later options to the end customers at the time of checkout.</t>
  </si>
  <si>
    <t>www.bharatx.tech</t>
  </si>
  <si>
    <t>277859-71</t>
  </si>
  <si>
    <t>Bloc</t>
  </si>
  <si>
    <t>Developer of a banking-as-a-service platform designed to empower fintech companies with technology, licenses, and certifications. The company's platform specializes in transaction processing and payment collection, aggregation, and reconciliation, enabling businesses to reduce compliance complexities at lower costs.</t>
  </si>
  <si>
    <t>Astir Ventures, HoaQ, Kickoff Africa, Kube VC, Lamar Holding, LoftyInc Capital Management, Microtraction, Musha Ventures, Rally Cap VC, Timon Capital, TrechCircle, Ventures Platform</t>
  </si>
  <si>
    <t>www.blochq.io</t>
  </si>
  <si>
    <t>607475-80</t>
  </si>
  <si>
    <t>Bridge (Boston)</t>
  </si>
  <si>
    <t>Developer of a private markets investing platform designed to provide access to private funds for non-institutional investors. The company's platform offers non-institutional speculators access to a curated choice of chief private reserves, empowering the opportunity for portfolio expansion and improved returns, enabling clients with wealth management with a tech-enabled foundation for the private markets.</t>
  </si>
  <si>
    <t>Bob White, Dani Fava, Nate Sleeper, Thicket Ventures, William Lewis</t>
  </si>
  <si>
    <t>www.bridgeinvest.io</t>
  </si>
  <si>
    <t>437239-54</t>
  </si>
  <si>
    <t>Briskly</t>
  </si>
  <si>
    <t>FinTech, Internet of Things, Manufacturing, Mobile, Mobile Commerce, SaaS</t>
  </si>
  <si>
    <t>Developer of a technological trading platform designed to promote contactless payment. The company's platform has an autonomous trading technology that helps customers scan product barcodes and pay for them directly on their smartphones, enabling businesses to sell and run their business in a hassle-free manner, without expanding staff and retail space and customers to buy fresh food and goods without queues.</t>
  </si>
  <si>
    <t>Gauss Ventures, Hive(US), Ilya Rybalkin, Innovation Promotion Fund, Maxim Poletaev</t>
  </si>
  <si>
    <t>www.briskly.online</t>
  </si>
  <si>
    <t>460072-45</t>
  </si>
  <si>
    <t>Bump</t>
  </si>
  <si>
    <t>Developer of a financial platform designed to eliminate creators' hassles while providing access to their money. The company's platform helps track and collect unclaimed revenue and qualification for micro-financing and gives creators their real-time market value on a per-content basis across digital platforms, enabling clients to eliminate traditional barriers faced while receiving the requisite resources.</t>
  </si>
  <si>
    <t>100KM Ventures, 500 Global, Arabian Prince, Bell Bank, Cap Table Coalition, Capitalize VC, Capitoria, Christopher Schwartz, Connetic Ventures, Creators Ventures, Expert DOJO, Founders First CDC, Founders Fund, Gaingels, Ganas Ventures, gener8tor, Grid110, H/L Ventures, Heirloom Investment Management, ImpactX, IOVC, Latimer Ventures, Long Beach Accelerator, Luke Cooper, Mana Ventures, MasterCard, Meridian Ventures, Morgan Stanley Inclusive &amp; Sustainable Ventures, Next Gen HQ, NextGen Nutrition Investment Partners, Niija Kuykendall, Noor Holding, Northwestern Mutual Future Ventures, Orbit Ventures (Venture Capital), PledgeLA, Plug and Play Tech Center, RevTech Labs, Root and Shoot Ventures, Serac Ventures, Shuo Chen, Sixty8 Capital, Snapchat, Start Path, Sunstone Management, Symphonic Capital, Trapital Ventures, Unpopular Ventures, VentureHue, Warner Bros. Entertainment, Zeal Capital Partners, Zu Capital</t>
  </si>
  <si>
    <t>www.usebump.com</t>
  </si>
  <si>
    <t>607757-95</t>
  </si>
  <si>
    <t>Caspian (San Francisco)</t>
  </si>
  <si>
    <t>Developer of an AI-native trade advisory platform designed to simplify the recovery of duty refunds for businesses engaged in international trade. The company's platform offers automated claims processing, real-time trade data reconciliation and compliance monitoring, enabling importers and exporters to reclaim overpaid tariffs with speed and visibility.</t>
  </si>
  <si>
    <t>Activant Capital, Blank Ventures, FJ Labs, Primary Venture Partners, Stratus Ventures Management, SuperAngel.Fund</t>
  </si>
  <si>
    <t>www.meetcaspian.com</t>
  </si>
  <si>
    <t>214446-34</t>
  </si>
  <si>
    <t>Direct Commerce</t>
  </si>
  <si>
    <t>Provider of invoicing and payment management services intended to offer an automated and paperless source-to-pay environment. The company's services offer cloud-based automation services like discount management, order management, electronic data interchange integration, payment remittance, hosted imaging, and vendor management, enabling clients to get services for accounts payable, treasury, and procurement.</t>
  </si>
  <si>
    <t>W3 Capital</t>
  </si>
  <si>
    <t>www.directcommerce.com</t>
  </si>
  <si>
    <t>435027-88</t>
  </si>
  <si>
    <t>Equity Shift</t>
  </si>
  <si>
    <t>Developer of equity transfer software designed to offer complete digital control of private securities. The company offers a reactive web-based interface that automates the burdensome process of managing transactional compliance for private transactions, including new issuances, incentive compensation plans, event-based conversions, and secondary transfers, enabling firms to issue, sell, and transfer their restricted securities with complete digital control.</t>
  </si>
  <si>
    <t>Center For Entrepreneurial Development, NC Tweener Fund</t>
  </si>
  <si>
    <t>www.equityshift.com</t>
  </si>
  <si>
    <t>489523-33</t>
  </si>
  <si>
    <t>Ezra (Specialized Finance)</t>
  </si>
  <si>
    <t>Operator of a financing platform intended to provide funding to climate companies. The company offers financing programs designed to deploy climate finance in the economy and to drive a climate finance revolution, enabling companies to secure funding to meet their climate goals.</t>
  </si>
  <si>
    <t>Andreessen Horowitz, City Light Capital, Climate Capital, Congruent Ventures, Designer Fund, Fresh.Fund, KDX Ventures, Leap Forward Ventures, LMNT Ventures, Orrick, Herrington &amp; Sutcliffe, Penny Jar Capital, Planeteer Capital, Stepchange Ventures, Telegraph Hill Capital, The Impact Venture, Wireframe Ventures</t>
  </si>
  <si>
    <t>www.ezra.fi</t>
  </si>
  <si>
    <t>588817-45</t>
  </si>
  <si>
    <t>Fasten Rewards</t>
  </si>
  <si>
    <t>Operator of a credit card service company intended to provide rewards on consumer auto loan payments. The company offers D2C enrollment, its primary distribution channel is a proprietary network of auto dealer partners, and its rewards and points on auto loan transactions are made each month, its rewards program incentivizes redemption across its network of dealers, serving as a customer retention tool with additional processing capabilities to reduce merchant fees, enabling users to redeem them for maintenance, services and down payments, at auto dealerships and track the payment.</t>
  </si>
  <si>
    <t>Soma Capital</t>
  </si>
  <si>
    <t>www.fasten.cc</t>
  </si>
  <si>
    <t>182918-53</t>
  </si>
  <si>
    <t>FinConecta</t>
  </si>
  <si>
    <t>Developer of an interconnected financial marketplace designed to bring together digital financial tools and businesses. The company's platform offers a unique integration model in one single integration, and accelerates time to market at a fraction of the cost, enabling clients to create a modular, flexible, and scalable structure capable of providing open banking and open innovation products.</t>
  </si>
  <si>
    <t>Endeavor Miami, TheVentureCity</t>
  </si>
  <si>
    <t>www.finconecta.com</t>
  </si>
  <si>
    <t>462392-47</t>
  </si>
  <si>
    <t>Fingo Africa</t>
  </si>
  <si>
    <t>Developer of a digital banking platform designed to facilitate online mobile payments. The company's platform provides digital banking services such as transferring funds, online utilities, bill payments, and many more, enabling customers to transfer money to friends, family, or businesses.</t>
  </si>
  <si>
    <t>www.fingo.africa</t>
  </si>
  <si>
    <t>691562-89</t>
  </si>
  <si>
    <t>FoX-i</t>
  </si>
  <si>
    <t>Developer of algorithm-driven trading strategies designed to enhance performance and generate alpha in the foreign exchange market. The company offers advanced automation and quantitative tools, enabling hedge funds, family offices, proprietary trading firms, and wealth managers to meet the demands of modern foreign exchange trading.</t>
  </si>
  <si>
    <t>5i Ventures</t>
  </si>
  <si>
    <t>www.fox-i.com</t>
  </si>
  <si>
    <t>226049-95</t>
  </si>
  <si>
    <t>Freebird (Media and Information Services (B2B))</t>
  </si>
  <si>
    <t>Mobile Commerce, Mobility Tech, Ridesharing</t>
  </si>
  <si>
    <t>Operator of a reward-based application intended to help people earn rewards for their travel. The company's application pays for or contributes to the cost of a user's ride to restaurants, bars, and everywhere they go via ride-sharing platforms, and its mobility marketplace drives consumers to businesses and delivers a customer spend, enabling users to receive cashback and rewards for traveling.</t>
  </si>
  <si>
    <t>AMEX Ventures, Citi Ventures, Ducera Growth Ventures, Eric Howlett, General Catalyst, TTV Capital</t>
  </si>
  <si>
    <t>www.freebirdrides.com</t>
  </si>
  <si>
    <t>134235-01</t>
  </si>
  <si>
    <t>Grantd</t>
  </si>
  <si>
    <t>Developer of an equity compensation planning platform designed to help financial advisors unlock and manage stock-based wealth for their clients. The company offers an AI-powered, tax-aware equity compensation platform built on StockOpter's proven logic, enabling customers to make confident, timely decisions around equity grants through personalized alerts, dynamic insights and intuitive planning tools.</t>
  </si>
  <si>
    <t>Dynasty Financial Partners, Edward Jones Ventures, Tifin</t>
  </si>
  <si>
    <t>www.grantdequity.com</t>
  </si>
  <si>
    <t>65247-67</t>
  </si>
  <si>
    <t>Intrinio</t>
  </si>
  <si>
    <t>Operator of a data platform intended to make financial data affordable and accessible. The company's platform offers financial data feeds including fundamentals, economic data, insider transactions, institutional holdings, executive compensation, stock prices, options prices, and earnings estimates, enabling investors to get valuable insights from SEC filings, delivered in easy-to-use formats.</t>
  </si>
  <si>
    <t>Alumni Ventures, Atlanta Seed Company, Connor Davidson, Deb Bronston-Culp, Erin Carr, Five Points Family Ventures, John Morrow, Kimberly Ritrievi, Nyca Partners, Scott Bellefleur, Tech Square Ventures, VilCap Investments, Village Capital, Wavemaker Partners</t>
  </si>
  <si>
    <t>www.intrinio.com</t>
  </si>
  <si>
    <t>467199-28</t>
  </si>
  <si>
    <t>Kanmon</t>
  </si>
  <si>
    <t>Developer of an application programming interface (API)-driven platform designed to access valuable working capital needed to grow their business. The company offers a software API for term loans, lines of credit, invoice financing, and purchase order financing to solve a broad range of use cases, enabling software companies and financial institutions to leverage their existing customer base to add another revenue stream.</t>
  </si>
  <si>
    <t>305 Ventures, Alumni Ventures, Bessemer Venture Partners, Blank Ventures, Homebrew Management, Infinity Ventures (San Francisco), Inspired Capital (New York), Soma Capital, TruStage Ventures, UpHonest Capital</t>
  </si>
  <si>
    <t>www.kanmon.com</t>
  </si>
  <si>
    <t>439376-95</t>
  </si>
  <si>
    <t>Kashier</t>
  </si>
  <si>
    <t>Developer of a payment management platform designed to help businesses simplify the payment process. The company's platform facilitates professional and customized invoices, regular billing, and subscription payment automation, enabling businesses to process and accept payments from their customers, vendors, and partners through a variety of payment methods and channels.</t>
  </si>
  <si>
    <t>Digital Currency Group, First Circle Capital, Kepple Africa Ventures, Lateral Frontiers VC, Outlierz Ventures, Sawari Ventures, The Fintech Fund, Unpopular Ventures</t>
  </si>
  <si>
    <t>www.kashier.io</t>
  </si>
  <si>
    <t>97491-07</t>
  </si>
  <si>
    <t>Moneypool</t>
  </si>
  <si>
    <t>Developer of an online financial platform designed to facilitate the process of sending and receiving payments without bank details. The company's platform helps divide expenses, receive payments, and send reminders, enabling users to pay and charge on the spot without complications.</t>
  </si>
  <si>
    <t>99 Startups, Adrian Viesca, Alejandro Morante, Alice Curcó, Andrew Vigneault, Angel Hub, Arturo Galvan, Bossa Invest, Christian Niedermueller, Daniel Arturo Espino, Edward Shenderovich, Ferter, FINK, Goodwater Capital, Life is too short Capital, Naranya Labs, NXTP Ventures, Raphaël Carteni, Riverside Ventures, Singularity Capital, The Ark Fund, Transpose Platform Management</t>
  </si>
  <si>
    <t>www.moneypool.mx</t>
  </si>
  <si>
    <t>503513-47</t>
  </si>
  <si>
    <t>MyCredit</t>
  </si>
  <si>
    <t>Developer of an online lending platform designed to provide short-term consumer loans directly to bank cards. The company's platform offers digital applications, automated credit assessment, instant card disbursement, flexible repayment and extension options, promotional pricing for new and returning users, secure data protection, and mobile account management, enabling individual borrowers seeking quick access to funds to handle short-term financial needs with convenience, control, and clear terms.</t>
  </si>
  <si>
    <t>TAS (Milan)</t>
  </si>
  <si>
    <t>www.mycredit.ua</t>
  </si>
  <si>
    <t>466823-17</t>
  </si>
  <si>
    <t>Payfactory</t>
  </si>
  <si>
    <t>Operator of a tech-enabled payment facilitation platform intended to minimize the financial risk for its users. The company's platform effortlessly provides immediate onboarding, payment acceptance, and payouts through a suite of RESTful APIs, enabling enterprise software companies to achieve higher levels of security, service, and speed.</t>
  </si>
  <si>
    <t>www.payfactory.io</t>
  </si>
  <si>
    <t>497699-29</t>
  </si>
  <si>
    <t>Pebble Finance</t>
  </si>
  <si>
    <t>Developer of a Artificial Intelligence based technologies to help investors to connect the dots between what's going on in the real world and their financial portfolios. The company offers a web app that allows users to personalize passive investment strategies using direct indexing, enabling users to trade and guidance to invest and the brokerage executes trades quickly.</t>
  </si>
  <si>
    <t>Cendana Capital, Jump Capital, NextView Ventures, Padhmanaban Durairaj</t>
  </si>
  <si>
    <t>pebble.finance</t>
  </si>
  <si>
    <t>522082-18</t>
  </si>
  <si>
    <t>Quorus (Financial Services)</t>
  </si>
  <si>
    <t>Developer of a financing platform designed to simplify the process of personalized investing. The company offers customized investment strategies and oversees day-to-day portfolio management, including tax-loss harvesting as well as tax management, enabling advisors to spend less time trading accounts and more time building their business.</t>
  </si>
  <si>
    <t>Connecticut Innovations, Nassau Financial Group, Nassau ReImagine, New Stack Ventures, The Founders Arena, WisdomTree</t>
  </si>
  <si>
    <t>www.quorus.io</t>
  </si>
  <si>
    <t>52902-91</t>
  </si>
  <si>
    <t>Regent Education</t>
  </si>
  <si>
    <t>Developer of financial aid management software intended to serve higher education institutions. The company offers cloud-based financial aid software, financial aid automation, verification, award packaging, scholarship management, enrollment management, compliance management, and system integrations, thereby helping clients streamline financial aid processes and manage student funding requirements.</t>
  </si>
  <si>
    <t>Ares Capital Corporation BDC, Ares Management, Attain Capital, Chrysalis Ventures, Edison Partners, EVA Equity Partners, New Markets Venture Partners, Poplar Ventures, Windcrest Partners, Yearling Management</t>
  </si>
  <si>
    <t>www.regenteducation.com</t>
  </si>
  <si>
    <t>465638-32</t>
  </si>
  <si>
    <t>Revere VC</t>
  </si>
  <si>
    <t>Developer of a portfolio management tool designed to optimize the entire post-investment process, from data ingestion to performance analysis. The company's platform helps to streamline, capture, automate, and visualize data and provides customized key performance indicator sheets along with quarterly account reviews, enabling investors to improve management efficiency and increase return on time invested.</t>
  </si>
  <si>
    <t>Ariel Shtarkman, Benhamou Global Ventures, BFP-Q Management, Chadd Evans, Cherubic Ventures, David Chang, Doug Ma, Funnder, Invariantes Fund, Jeremy Au, Kevin Lin, Mark Klopp, Michael Downing, Michael Garrow, Morgan Stanley Inclusive &amp; Sustainable Ventures, Nattaphol Vimolchalao, Paul Bricault, Root System (San Francisco), Uma Ventures, Utopian Ventures (San Francisco)</t>
  </si>
  <si>
    <t>www.reverealts.com</t>
  </si>
  <si>
    <t>513145-63</t>
  </si>
  <si>
    <t>Savvly</t>
  </si>
  <si>
    <t>Developer of a longevity-focused retirement investment product designed to bridge the financial gap between traditional savings depletion and increasing life expectancy. The company offers an SEC-registered investment structure that combines S&amp;P 500 index fund participation with a pooled longevity bonus mechanism, enabling employers, financial advisors, and retirement plan providers to deliver structured post-retirement income payouts at milestone ages without replacing existing retirement plans.</t>
  </si>
  <si>
    <t>AgeTech Collaborative from AARP, J4.Ventures, Olam Capital, Techstars, Tenacity Venture Capital</t>
  </si>
  <si>
    <t>www.savvly.com</t>
  </si>
  <si>
    <t>481553-56</t>
  </si>
  <si>
    <t>Sika Health</t>
  </si>
  <si>
    <t>Developer of a payment technology designed to unlock savings with health wallets. The company's technology partners with health and wellness brands and converts new customers by discovering and qualifying them for wallet purchases at the point of sale, with no risk of cart abandonment, enabling consumers to use their health benefits accounts in ways that are personally relevant and impactful as they continue their long-term health journey.</t>
  </si>
  <si>
    <t>Atacama Ventures, Forerunner Ventures, One Planet Group, Pacific Health Ventures, Prime Set, Shine Capital, Socially Financed, Ulu Ventures, William Hockey</t>
  </si>
  <si>
    <t>www.sikahealth.com</t>
  </si>
  <si>
    <t>706881-16</t>
  </si>
  <si>
    <t>Sphinx (San Francisco)</t>
  </si>
  <si>
    <t>Developer of an AI-powered compliance management platform specifically designed to automate and streamline know-your-customer processes within fintech companies. The company offers a blend of natural language processing (NLP) and machine learning (ML) with automated risk screening, alert resolution, and data enrichment, enabling businesses to deploy intelligent chatbots and virtual assistants that can handle complex customer inquiries, improve engagement, and free up human agents for strategic tasks.</t>
  </si>
  <si>
    <t>Cherry Ventures, Deel Ventures, Exitfund, Rebel Fund, Rebel Venture Fund, SBXi, Singularity Capital, Sterling Road, Y Combinator, Zain S Hasan Charitable Remainder Trust</t>
  </si>
  <si>
    <t>www.sphinxhq.com</t>
  </si>
  <si>
    <t>182206-54</t>
  </si>
  <si>
    <t>StockSnips</t>
  </si>
  <si>
    <t>Operator of an artificial intelligence (AI) platform intended to change the investing paradigm by making advanced AI technologies and investor sentiment available to asset managers and investment advisors. The company's platform combines natural language processing, neural networks, and data science, partnering with investment experts to validate their signals and portfolio strategies, enabling investment professionals to deliver better outcomes and downside protection to clients.</t>
  </si>
  <si>
    <t>Innovation Works, Reinforced Ventures, Urban Redevelopment Authority of Pittsburgh, Walter Winshall</t>
  </si>
  <si>
    <t>www.stocksnips.ai</t>
  </si>
  <si>
    <t>56811-52</t>
  </si>
  <si>
    <t>The Arcview Group</t>
  </si>
  <si>
    <t>Cannabis, E-Commerce, FinTech, TMT</t>
  </si>
  <si>
    <t>Operator of an angel network intended to invest in cannabis firms. The company's network connects investors and entrepreneurs to help cannabis cultivators, dispensaries and customers, enabling startups to make investments and grow their businesses.</t>
  </si>
  <si>
    <t>Chris Burggraeve, David Wenger, Edward Feighan, Entourage Effect Capital, Etienne Fontan, Francis Priznar, Lindy Snider, New Age Ventures, Orange Island Ventures, Sumit Mehta, Tim Schick, Trivergance, Vincent Keber, Westchester Angels</t>
  </si>
  <si>
    <t>www.arcviewgroup.com</t>
  </si>
  <si>
    <t>513360-46</t>
  </si>
  <si>
    <t>TRAiNED (Business/Productivity Software)</t>
  </si>
  <si>
    <t>Developer of a digital artificial intelligence platform designed to automate manual processes and enhance productivity. The company's platform provides data labeling and machine learning services with accuracy and attention to detail, enabling clients to accomplish tasks such as loan processing with less human intervention.</t>
  </si>
  <si>
    <t>Expanse Venture Partners, Innovation Works, TMC Emerging Technology Fund</t>
  </si>
  <si>
    <t>www.gettrained.ai</t>
  </si>
  <si>
    <t>509424-13</t>
  </si>
  <si>
    <t>Transparently.AI</t>
  </si>
  <si>
    <t>Operator of an artificial intelligence-based software company intended for the automated detection of accounting manipulation and fraud in companies globally. The company provides the probability of manipulation in listed companies and uses AI to predict the likelihood of corporate failure due to accounting manipulation and fraud, it provides vital information that enables pension plans, investment managers, sovereign wealth funds, insurers, auditors, banks, regulators and stock exchanges to improve their corporate monitoring processes, enabling the clients with the early detection of corporate accounting manipulation and fraud.</t>
  </si>
  <si>
    <t>Franklin Resources, Google Accelerator, Haymarket HQ, Move Asset Management, Pacific Channel, Presight AI-Startup Accelerator</t>
  </si>
  <si>
    <t>www.transparently.ai</t>
  </si>
  <si>
    <t>186851-80</t>
  </si>
  <si>
    <t>Tribevest</t>
  </si>
  <si>
    <t>Developer of a collaborative investment platform designed to bring people with shared dreams together to unify and leverage their collective resources. The company offers technology, which provides predictive services throughout the group's multi-year journey, enabling clients to collaborate, formalize, pool capital, and manage their investor partnership business.</t>
  </si>
  <si>
    <t>10X Capital, Ankur Nagpal, Anthony Leslie, Chris Gonzales, Dillon Hattab, Founders Committee, Gaingels, I2BF Global Ventures, LR Holding, Moneyus Capital, Mucker Capital, Peter Kight, Rashad Bilal, Troy Millings, Vibe Capital, WndrCo, Yusuf Saeed</t>
  </si>
  <si>
    <t>www.tribevest.com</t>
  </si>
  <si>
    <t>399233-53</t>
  </si>
  <si>
    <t>Trustmore</t>
  </si>
  <si>
    <t>Developer of an escrow-focused payment platform designed to bridge the trust gap in digital payments. The company's platform is a digital payment gateway that protects the interests of all parties in contingent-based transactions by creating a safe, secure, transparent, and digital escrow-centered ecosystem of payments that serves startups, SMEs, enterprise clients, unicorns, and listed companies on the stock exchange and is a neo bank for small business owners, enabling users to set up an account and transact conveniently in minutes.</t>
  </si>
  <si>
    <t>Atrium Ventures (India), Bennett, Coleman and Company, Chhattisgarh Investments, Gaurav Singhvi Ventures, Inflection Point Ventures (India), JB Ventures, Keiretsu Forum, Robin Chauhan, Startup Nexus, Tano Capital, We Founder Circle, Zenith Global</t>
  </si>
  <si>
    <t>www.itrustmore.com</t>
  </si>
  <si>
    <t>279625-78</t>
  </si>
  <si>
    <t>UpEquity</t>
  </si>
  <si>
    <t>Developer of a licensed mortgage platform designed to automate the application and approval process for loans efficiently. The company's platform empowers customers to close offers fast by leveraging its proprietary combination of free cash offers, automated underwriting, and low mortgage rates, enabling customers to effectively solve the broken home-buying process.</t>
  </si>
  <si>
    <t>Alumni Ventures, Context Ventures, Corse Ventures, Deco Ventures, Early Light Ventures, Flybridge (New York), Gaingels, Lago Innovation Fund, Launchpad Capital, Next Coast Ventures, Origin Ventures Group, Riptide Ventures, S3 Ventures, Terrence Murphy Companies, The Graduate Syndicate, The MBA Fund, VentureSouq, Y Combinator</t>
  </si>
  <si>
    <t>www.upequity.com</t>
  </si>
  <si>
    <t>481876-57</t>
  </si>
  <si>
    <t>Vaya Technologies</t>
  </si>
  <si>
    <t>Developer of an embedded credit API designed to offer contextualized credit products. The company's technology seamlessly integrates with any platform, pre-qualifies customers for credit, and offers benefits to both lenders and sellers as it can supercharge seller acquisition, increase seller stickiness and retention, and offer reduced borrower acquisition costs, enabling lenders to customize credit products on the go, whereas sellers can generate new revenue streams.</t>
  </si>
  <si>
    <t>Bharat Founders Fund, Clocktower Ventures, Daft Capital, Fin Capital, Good Capital (India), Human Capital, Pioneer Fund, Village Global</t>
  </si>
  <si>
    <t>www.embedvaya.com</t>
  </si>
  <si>
    <t>496568-98</t>
  </si>
  <si>
    <t>Zulu</t>
  </si>
  <si>
    <t>Developer of a money transferring platform designed to help users buy digital dollars and protect people from the devaluation of their local currencies. The company specializes in making international payments in a secure and agile manner, allowing users to top up or withdraw dollars from an account by paying with local currency, with any of the available payment methods, providing users with a digital wallet that allows them to save in dollars from their cell phone.</t>
  </si>
  <si>
    <t>0BS (Mexico), Ahmed Chaudhary, Andrew Chang, Cadenza Capital, Carolina Garcia, Caterine Castillo, CMT Digital Holdings, Gaingels, Iluminar Ventures, Jose Jair Bonilla, Man Lou, Neblio Technologies, Nexo Ventures, Oscar Sarria, Simplex (Tokyo), Simplex Ventures</t>
  </si>
  <si>
    <t>www.zulu.com.co</t>
  </si>
  <si>
    <t>264604-15</t>
  </si>
  <si>
    <t>Bleckwen</t>
  </si>
  <si>
    <t>Developer of a fraud detection platform designed to secure banking transactions with AI-powered security. The company's platform optimizes irregularity detection performance, adapts to new fraud schemes, monitors and controls system performance, and makes decisions with explainable machine learning models, enabling banks to grow their business by reducing customer friction and enhancing fraud detection and banking security.</t>
  </si>
  <si>
    <t>Bpifrance, Engie, Ercom, Ineo Eiendom, Ring Capital, TempoCap</t>
  </si>
  <si>
    <t>www.bleckwen.ai</t>
  </si>
  <si>
    <t>279545-59</t>
  </si>
  <si>
    <t>QuickCheck (Consumer Finance)</t>
  </si>
  <si>
    <t>Developer of a digital platform designed to provide financial services to entrepreneurs and underserved consumers. The company provides instant online loan services with flexible loan durations and quick repayment options, enabling clients to access credit quickly through an AI-powered loan process.</t>
  </si>
  <si>
    <t>Knuru Capital, Seedstars International Ventures</t>
  </si>
  <si>
    <t>www.quickcheck.ng</t>
  </si>
  <si>
    <t>467166-61</t>
  </si>
  <si>
    <t>Mazepay</t>
  </si>
  <si>
    <t>Developer of financial software designed to help procurement and finance professionals expedite long-tail procurement. The company's software assists companies in building a sustainable business, where procurement is seen as a business enhancer that drives efficiency, facilitates growth, and ensures financial stability, enabling large enterprises to simplify long-tail spending.</t>
  </si>
  <si>
    <t>Keystones (Denmark), Outward Venture Capital, Salica Investments, Scale Capital, Vendep Capital</t>
  </si>
  <si>
    <t>www.mazepay.com</t>
  </si>
  <si>
    <t>181574-47</t>
  </si>
  <si>
    <t>Cube Wealth</t>
  </si>
  <si>
    <t>Developer of a financial advisory platform intended to provide working professionals with investment recommendations. The company's platform helps to automate, simplify, and track all investments, along with personalized guidance from a dedicated wealth coach, enabling clients to manage their portfolios and gain guidance for any investment opportunities.</t>
  </si>
  <si>
    <t>500 Global, BEENEXT Capital Management</t>
  </si>
  <si>
    <t>www.bankoncube.com</t>
  </si>
  <si>
    <t>512735-05</t>
  </si>
  <si>
    <t>InPrime</t>
  </si>
  <si>
    <t>Operator of an online financial lending platform intended for middle-class emerging segments. The company offers customized financial products tailored to target class evolving needs by combining field assessments with analysis of customers' digital footprints to comprehensively evaluate creditworthiness, and risk profiles, enabling customers to get affordable credit facilities.</t>
  </si>
  <si>
    <t>Alteria Capital, Amit Mantri, Bipin Shah, Chakradhar Gade, Group of Marquee Investors, InfoEdge Ventures, Kettleborough VC, Manu Midha, Pravega Ventures, Pritesh Gupta, Samit Ghosh, Satish Perala, Savi Jain, Shashank Kumar, Shonam Khaitan, Titan Capital, Z47</t>
  </si>
  <si>
    <t>www.inprime.in</t>
  </si>
  <si>
    <t>459064-36</t>
  </si>
  <si>
    <t>Finbee (Other Financial Services)</t>
  </si>
  <si>
    <t>Operator of a financial platform intended to promote savings among consumers. The company's platform includes an automatic saving application that operates in tandem with the bank account of the user, permitting the user to readily use auto-saving by setting the purpose of saving and the rules for saving, enabling users to feasibly save money in a fun way toward what they need.</t>
  </si>
  <si>
    <t>Biprogy, Infcurion, Itochu, Mitsubishi UFJ Capital, SMBC Venture Capital</t>
  </si>
  <si>
    <t>www.finbee.jp</t>
  </si>
  <si>
    <t>228705-94</t>
  </si>
  <si>
    <t>Tallarium</t>
  </si>
  <si>
    <t>Big Data, FinTech, Mobile, SaaS, TMT</t>
  </si>
  <si>
    <t>Developer of a data science and machine learning platform designed to build data alternatives for commodity markets. The company's platform offers better algorithms, real-time quote aggregation, and integrations that help to save time, find trading opportunities, and stay connected to the market, enabling traders and risk managers to identify the best opportunities and manage risk with unparalleled accuracy, driving better trading outcomes and improved profitability.</t>
  </si>
  <si>
    <t>Alexander Gerko, Argus Media, Frank Sica, Reciprocal Ventures, Tait Simpson, William Armitage, XTX Ventures</t>
  </si>
  <si>
    <t>www.tallarium.com</t>
  </si>
  <si>
    <t>471999-16</t>
  </si>
  <si>
    <t>Embargo</t>
  </si>
  <si>
    <t>Artificial Intelligence &amp; Machine Learning, FinTech, Marketing Tech, Mobile, SaaS</t>
  </si>
  <si>
    <t>Developer of a loyalty platform designed to help restaurants, bars, and coffee shops identify and increase their loyal customer base. The company's platform acts as a digital wallet that also captures and provides access to customer insights, analytics, and easy-to-read summaries to create customer management strategies to drive business, enabling hospitality businesses to embrace digital transformation by connecting them directly with their customers by delivering bespoke loyalty rewards and allowing communication.</t>
  </si>
  <si>
    <t>Adam Radzki, Christo Georgiev, CobinAngels, Faraz Nagree, From Start-to-Table, Hampton Finance, Horseplay Ventures, Innovate UK, InVance Capital, Loui Blake, Nicholas Telson, Oh Polly, Opoka Fundusz Inwestycji Zamkniętych, Paul Statham, Paweł Fornalski, Paweł Masalski, Stephen Zinser, Tomasz Woźniak, Unicorn Factory Lisboa</t>
  </si>
  <si>
    <t>www.embargoapp.com</t>
  </si>
  <si>
    <t>1318945-51</t>
  </si>
  <si>
    <t>Sponsor</t>
  </si>
  <si>
    <t>Artificial Intelligence &amp; Machine Learning, CleanTech, FinTech, SaaS</t>
  </si>
  <si>
    <t>Developer of an AI-powered climate fintech platform designed to scale climate finance and fast-track climate mitigation projects worldwide. The company's technology combines project finance advisory with AI-driven tools to structure deals and make clean energy initiatives investment-ready, enabling project stakeholders and institutional investors to collaborate efficiently, secure capital, and close the global climate funding gap.</t>
  </si>
  <si>
    <t>Bret Dandoy, Le Village by CA, Richard Folsom</t>
  </si>
  <si>
    <t>www.sponsorgo.com</t>
  </si>
  <si>
    <t>484232-86</t>
  </si>
  <si>
    <t>Volume (Financial Software)</t>
  </si>
  <si>
    <t>Developer of a one-click checkout platform designed to provide customers with a seamless payment experience. The company's platform uses biometric authentication to verify payments and detects the customer's favorite bank, enabling businesses to improve their conversion rates and increase revenue with instant account-to-account payments, lower fees and easy integration.</t>
  </si>
  <si>
    <t>Christian Faes, Endeavor Italy, Fabrick, Firstminute Capital, Haatch, Russ Carroll, Seed X Liechtenstein, United Ventures, VISION (United Kingdom)</t>
  </si>
  <si>
    <t>www.getvolume.com</t>
  </si>
  <si>
    <t>155726-47</t>
  </si>
  <si>
    <t>CG24 Group</t>
  </si>
  <si>
    <t>Developer of an online crowdlending platform designed to connect borrowers with private and institutional lenders. The company's platform the required creditworthiness and flexible financing at reasonable terms through straightforward online credit application processes while providing them to choose lenders from a broad array of different loans that meet their desired risk-return profiles, enabling lenders to choose from a broad array of different loans that meet their requirements.</t>
  </si>
  <si>
    <t>Daniel Gutenberg, Impact51, Swissnex</t>
  </si>
  <si>
    <t>www.cg24.com</t>
  </si>
  <si>
    <t>506634-40</t>
  </si>
  <si>
    <t>PrivEx Group</t>
  </si>
  <si>
    <t>Developer of an online digital exchange platform designed to facilitate the secondary trading of corporate loans anonymously. The company offers a digital loan trading platform with anonymous trading, liquidity management, transaction processing, and market data tools, enabling financial institutions and institutional investors to manage loan trading activities with improved operational efficiency and market visibility.</t>
  </si>
  <si>
    <t>Ewing-chow Kuang, Golden Hill Investments, Point Nine Capital</t>
  </si>
  <si>
    <t>www.privexgroup.com</t>
  </si>
  <si>
    <t>629419-60</t>
  </si>
  <si>
    <t>6lock</t>
  </si>
  <si>
    <t>Developer of a payment platform intended for private equity firms. The platform features user verifications, dashboard tracking, and notifications, and integrates with banking platforms that help private equity firms send funds, track funds, and rest assured of 24/7 fraud monitoring, enabling clients to get a secure payment platform</t>
  </si>
  <si>
    <t>www.6lock.com</t>
  </si>
  <si>
    <t>497824-93</t>
  </si>
  <si>
    <t>Blossom Social</t>
  </si>
  <si>
    <t>Developer of a social investing platform designed to build a community to promote financial literacy. The company's platform allows users to view the portfolios and trades of friends and top investors and discover new investment ideas from the community, sharing portfolios, trades, and investment ideas, supported by portfolio tracking tools and Duolingo-style investing education, enabling clients to make better financial decisions.</t>
  </si>
  <si>
    <t>Goodwater Capital, Google Accelerator, Kepler Acquisition, LOI Venture, Pareto Holdings, The Digital Commerce Calgary Fintech Award Contest, Weave VC, WMNfintech, Zac Dolesky</t>
  </si>
  <si>
    <t>www.blossomsocial.com</t>
  </si>
  <si>
    <t>469369-45</t>
  </si>
  <si>
    <t>Fishtail</t>
  </si>
  <si>
    <t>Developer of a fintech platform designed to provide low-cost supply chain financing for businesses. The company's platform offers timely access to cash using outstanding purchase orders and invoices at any point of a shipment's lifecycle and helps with payment management, supply chain management, receipt generation and shipping management, enabling companies to deliver products sustainably with mobile-based invoice processing.</t>
  </si>
  <si>
    <t>Amara Ventures, Baoning Fan, Beat Ventures, Bluewater Companies, Christian Jochnick, FinTech Sandbox, Huntington Avenue Ventures, Jason Duboe, Jett McCandless, Jordan Thibodeau, Motion Ventures, Plug and Play Tech Center, Rackhouse Venture Capital, Service Provider Capital, Thursday Ventures, Washington Maritime Blue, WillowTree Investments</t>
  </si>
  <si>
    <t>www.fishtail.ai</t>
  </si>
  <si>
    <t>502626-25</t>
  </si>
  <si>
    <t>Jia</t>
  </si>
  <si>
    <t>Operator of a financial platform intended to help businesses unlock capital quickly through rapid invoice financing. The company's platform offers various services such as invoice factoring, inventory financing, supply chain financing and platform financing among others, enabling businesses to grow revenue by financing merchants, distributors and suppliers in their networks.</t>
  </si>
  <si>
    <t>A100x Ventures, Adam Verhhasselt, Alexis Gauba, Ami Gosalia, Anand Iyer, Angelo Madrid, Avi Zurlo, Awesome People Ventures, Better Tomorrow Ventures, Brian Cu, Canonical (California), Coinbase Ventures, Compa Capital, D'Arcy Coolican, David Phelps, David Roos, Draft Ventures, Flori Ventures, Fortified Ventures, Global C (Pristina), Hashed Emergent, Hub71, Jared Gross, Jared Hecht, Jimmy Ku, Kinjal Shah, Lepi Fishman, Michael Segal, Nate Glassman, Not Boring, Patrick McCormick, Rory Eakin, Saison Capital, Spice Capital, Stellar (Financial Software), Stephanie Palmeri, Strobe Ventures, The Chernin Group, Thomas Smyth</t>
  </si>
  <si>
    <t>www.jia.xyz</t>
  </si>
  <si>
    <t>494008-21</t>
  </si>
  <si>
    <t>MakersHub</t>
  </si>
  <si>
    <t>Developer of an accounts payable platform designed for businesses to handle bill data. The company's platform helps to eliminate the need for any manual data entry and improve accuracy, signature gathering, creating new items, vendors, and jobs/customers with a single click, setting auto-mapping rules for the reliable item and expense coding, bill control with approvals tracking, approval thresholds, and multi approvers, enabling businesses to capture data and utilizing it in a meaningful way in the accounting system.</t>
  </si>
  <si>
    <t>Canapi Ventures, Dash Fund, Nine Four Ventures, QED Investors, Saluda Grade, TRB Advisors, TTV Capital, Venture Initiation Program</t>
  </si>
  <si>
    <t>www.makershub.com</t>
  </si>
  <si>
    <t>551292-31</t>
  </si>
  <si>
    <t>Sendola</t>
  </si>
  <si>
    <t>Developer of a cross-border payment platform intended to facilitate global money transfers. The company's platform offers features including multi-currency accounts, low-cost international transfers, and localized payment options, enabling businesses and individuals to send and receive funds across borders with enhanced affordability and accessibility.</t>
  </si>
  <si>
    <t>sendola.com</t>
  </si>
  <si>
    <t>267161-32</t>
  </si>
  <si>
    <t>Tickr</t>
  </si>
  <si>
    <t>Developer of an impact investment application designed to generate social and environmental influence alongside a financial return. The company's platform is encrypted, protected, and complies with the financial conduct authority to make money through investing in themes that make a positive impact on the world, enabling investors to get a safe investment medium.</t>
  </si>
  <si>
    <t>500 Global, Ada Ventures, Conduit Connect, Love Ventures, Possible Ventures, Rising Stars Ventures, SLJ Investments Partners, SyndicateRoom, Tech Nation Group, Tekton Ventures, VentureSouq</t>
  </si>
  <si>
    <t>www.tickr.co.uk</t>
  </si>
  <si>
    <t>530547-04</t>
  </si>
  <si>
    <t>Mimo (Financial Software)</t>
  </si>
  <si>
    <t>Developer of a financial platform designed to provide faster supplier payments. The company's platform offers quick invoice payments automatically reconciled with no manual data entry and an instant credit line to extend payment terms, accurate transaction data, and auto-reconciliation, enabling businesses to make faster payouts, without hurting their cash flow.</t>
  </si>
  <si>
    <t>Cocoa Ventures, Fost Capital, Northzone Ventures, Project A Ventures, Seedcamp, Upfin Management</t>
  </si>
  <si>
    <t>www.mimohq.com</t>
  </si>
  <si>
    <t>314607-43</t>
  </si>
  <si>
    <t>Vested.</t>
  </si>
  <si>
    <t>Developer of a fintech platform designed to facilitate employee with funding to exercise their stock options. The company's platform has the ability to offer tools to help employees of startup companies get their compensation and also democratizes access to equity, ensuring that startup employees both understand and have a real chance to tangibly benefit from the shares they're granted, enabling employees to manage and evaluate their equity.</t>
  </si>
  <si>
    <t>Boston Seed Capital, Breachway Capital, Echelon Capital (Evanston), KDX Ventures, Underscore VC</t>
  </si>
  <si>
    <t>www.vested.co</t>
  </si>
  <si>
    <t>490900-87</t>
  </si>
  <si>
    <t>NoFrixion</t>
  </si>
  <si>
    <t>Developer of a money operations platform designed to help enterprises manage regulated financial transactions and payment activities. The company offers electronic money institution infrastructure, payment processing capabilities, and financial operations tools, enabling enterprises to manage money movement within a regulated framework and maintain operational control over financial activities.</t>
  </si>
  <si>
    <t>Black Label Diagnostics, David O'Reilly, DELTA Equity Partners, Delta Partners, Enterprise Ireland, Furthr VC, MiddleGame Ventures, Paddy Holohan, Start Path, Tom Kennedy</t>
  </si>
  <si>
    <t>www.nofrixion.com</t>
  </si>
  <si>
    <t>222389-65</t>
  </si>
  <si>
    <t>Lysa</t>
  </si>
  <si>
    <t>Provider of portfolio management services intended to serve investors by monitoring, rebalancing, and improving portfolios. The company offers automatic fund selection based on the risk profile, invests money in funds with high-risk spreads, and produces an individually tailored investment proposal, enabling users to invest money without any hassle.</t>
  </si>
  <si>
    <t>Anders Borg, Carl Wilsson, Christer Gardell, Inbox Capital, Karl-Johan Persson, Michael Storakers, Neudi &amp; Co., Nicklas Storåkers, Ramsbury Invest, Skandinaviska Enskilda Banken</t>
  </si>
  <si>
    <t>www.lysa.se</t>
  </si>
  <si>
    <t>171022-06</t>
  </si>
  <si>
    <t>SkenarioLabs</t>
  </si>
  <si>
    <t>Artificial Intelligence &amp; Machine Learning, Real Estate Technology, SaaS</t>
  </si>
  <si>
    <t>Developer of an AI-powered data analytics platform designed to provide detailed diagnostics on property portfolios. The company's platform uses artificial intelligence to plan maintenance and renovations, as well as determine the technical risks and their effects on real estate value, rent, and income projections, enabling enterprises to enhance and optimize the performance of their buildings in their local conditions and get a return on investment on real estate properties.</t>
  </si>
  <si>
    <t>Accelerace, Barclays Eagle Lab, Copenhagen Fintech Lab, Fusion Partners (Switzerland), GovTech Connect, Grow London, L Marks, MHV (Netherlands), Plug and Play Tech Center, StartAD, Startup Sauna, Taronga Group, Techstars, Tenity</t>
  </si>
  <si>
    <t>www.skenariolabs.com</t>
  </si>
  <si>
    <t>521466-31</t>
  </si>
  <si>
    <t>Flaunt</t>
  </si>
  <si>
    <t>Artificial Intelligence &amp; Machine Learning, Big Data, Marketing Tech, SaaS</t>
  </si>
  <si>
    <t>Developer of an artificial intelligence-powered customer analytics platform designed to help businesses turn their first-party data into revenue-driving audiences, actions, and workflows. The company's platform connects order, campaign, subscription, and support ticket data to automatically generate tailored retention reports, track key metrics such as churn and customer lifetime value in real time, and surface actionable recommendations, enabling marketing, growth, and retention teams to obtain instant, context-aware insights without relying on data analysts and to improve customer retention and revenue performance more efficiently.</t>
  </si>
  <si>
    <t>High Alpha, Service Provider Capital, Square Deal Capital</t>
  </si>
  <si>
    <t>www.flaunt.ai</t>
  </si>
  <si>
    <t>497309-32</t>
  </si>
  <si>
    <t>Lumx</t>
  </si>
  <si>
    <t>Developer of payments infrastructure designed for business use. The company's platform offers APIs to create multi-currency virtual accounts, smart wallets with flexible custody options, instant settlement between fiat and stablecoins, built-in compliance, automated reconciliation, and integration with multiple payment rails, enabling fintechs, banks, and other financial service providers to streamline cross-border money flows with reduced cost, speed, and operational complexity.</t>
  </si>
  <si>
    <t>Antler, Bitso, Chukwuma Okpalugo, CMT Digital Holdings, Escala Capital, Honey Island Capital, Indicator Capital, Josh Weiss, Mynt Crypto Tecnologia, Nomad Capital (Portugal)</t>
  </si>
  <si>
    <t>www.lumx.io</t>
  </si>
  <si>
    <t>541073-89</t>
  </si>
  <si>
    <t>Aslan</t>
  </si>
  <si>
    <t>Developer an on-demand salary access and cashback rewards platform intended to transform employees' financial lives. The company's platform allows employees to access a portion of their earned wages daily and receive cashback on purchases, aiming to improve employee financial well-being and engagement, enabling businesses to attract and retain talent by offering a more competitive compensation package.</t>
  </si>
  <si>
    <t>Notion Capital, Odin Investments, Redstone VC, UPTEC</t>
  </si>
  <si>
    <t>www.aslan.io</t>
  </si>
  <si>
    <t>366545-62</t>
  </si>
  <si>
    <t>Invoier</t>
  </si>
  <si>
    <t>Operator of a financial marketplace intended to offer digital services for liquidity and payment management for invoices. The company's marketplace helps simplify financial services and create a transparent marketplace for invoice trading, and also uses credit information permits and debt collection permits through partnerships, enabling companies to get easy financial assistance, get paid directly, plan liquidity, and grow their business.</t>
  </si>
  <si>
    <t>Aggregate, European Commission, European Innovation Council, Horizon Europe, KTH Innovation, NFT Ventures</t>
  </si>
  <si>
    <t>www.invoier.com</t>
  </si>
  <si>
    <t>231203-26</t>
  </si>
  <si>
    <t>Weltix</t>
  </si>
  <si>
    <t>Operator of a private crowdfunding platform intended to facilitate investments in made-in-Italy startups. The company's platform connects growth-ready entrepreneurs and startups with high-net-worth investors seeking alternatives to conventional equity investments, enabling companies to grow and develop and the institutional and HNI investors to get an insight into emerging start-ups.</t>
  </si>
  <si>
    <t>BFC Media, CDP Venture Capital (Rome), Cristiano Busnardo, Giacinto D'onofrio, Luca Valaguzza, Portobello (Internet Retail), Trilantic Europe</t>
  </si>
  <si>
    <t>weltix.tech</t>
  </si>
  <si>
    <t>501516-37</t>
  </si>
  <si>
    <t>Arro</t>
  </si>
  <si>
    <t>Developer of a financial platform designed to build credit history and improve scores. The company's platform offers a credit card and a mobile application that helps to track spending, set goals, and learn about personal finance using behavioral science and education, helping users establish financial stability.</t>
  </si>
  <si>
    <t>BAM Ventures, Bling Capital, Bullpen Capital, Crosslink Capital, D3VC, Elevation Capital (Canada), Fundamental Ventures, Gaingels, Global Founders Capital, Hawke Ventures, Larkin Street, Plug and Play Tech Center, Untapped Ventures, Western Technology Investment</t>
  </si>
  <si>
    <t>www.arrofinance.com</t>
  </si>
  <si>
    <t>820758-25</t>
  </si>
  <si>
    <t>Avid</t>
  </si>
  <si>
    <t>Developer of an AI-powered fundraising automation and intelligence platform designed to turn nonprofit data into actionable strategies. The company's platform connects customer relationship management, email, and donation platforms into one unified system and delivers AI-powered insights and automates execution, enabling organizations to enhance donor engagement and drive fundraising success.</t>
  </si>
  <si>
    <t>Silverton Partners</t>
  </si>
  <si>
    <t>www.avidai.com</t>
  </si>
  <si>
    <t>459915-31</t>
  </si>
  <si>
    <t>Monto</t>
  </si>
  <si>
    <t>Developer of an AI-driven accounts receivable automation platform designed to streamline invoice processing and payment collection. The company's platform provides AI agents that automate portal interactions, submit and track invoices, verify data, integrate with ERP systems, and centralize payment workflows, enabling finance teams to reduce manual effort, minimize errors, and accelerate collections.</t>
  </si>
  <si>
    <t>Ariel Maislos, F2 Venture Capital, FirsthandVC, ICON (Other Commercial Services), Room40 Ventures, Scale Venture Partners, Verissimo Ventures</t>
  </si>
  <si>
    <t>www.montopay.com</t>
  </si>
  <si>
    <t>484686-37</t>
  </si>
  <si>
    <t>Penelope (Financial Software)</t>
  </si>
  <si>
    <t>Developer of a retirement savings platform designed for small businesses and entrepreneurs. The company's platform offers retirement plans to streamline decision-making for busy business owners, enabling small businesses to use a technology platform that automates employee investing, streamlines costs and paperwork, and provides learning tools for employees.</t>
  </si>
  <si>
    <t>Altari Ventures, Amplify.LA, Gaingels, Global FinTech Venture Partners, HDS Capital, New Jersey Commission on Science, Innovation and Technology, NJ Fast, Plug and Play Tech Center, Primetime Partners, Slauson &amp; Co.</t>
  </si>
  <si>
    <t>www.penelope.co</t>
  </si>
  <si>
    <t>130609-45</t>
  </si>
  <si>
    <t>Plinqit</t>
  </si>
  <si>
    <t>Developer of a digital savings management tool designed for personal financial goal setting and automated saving. The company's platform helps both brick-and-mortar and virtual banks attract and retain depositors through a set of powerful age-specific interactive applications, enabling customers and their children to save as well as learn modern money management techniques and grow through its savings gamification system.</t>
  </si>
  <si>
    <t>4Front Credit Union, Fidelity National Information Services, FINTOP (US), Invest Detroit Ventures, Invest Michigan, JAM FINTOP, Michigan Angel Fund, Michigan Rise, Red Cedar Ventures, SixThirty Ventures, Stout Street Capital, WMNfintech</t>
  </si>
  <si>
    <t>www.plinqit.com</t>
  </si>
  <si>
    <t>494992-18</t>
  </si>
  <si>
    <t>Surmount</t>
  </si>
  <si>
    <t>Developer of a modern infrastructure for investment management, designed to support personalized portfolio construction and automated management at scale. The company offers rapid deployment, customizable architecture, and seamless integration, enabling RIAs, fintechs, and consumer investing apps to better serve younger investors with tailored, scalable wealth management.</t>
  </si>
  <si>
    <t>Andrew Ballester, David Magerman, Hyper Accelerator, Morgan Stanley, NGC Capital, Susquehanna Structured Capital, Techstars</t>
  </si>
  <si>
    <t>www.surmount.ai</t>
  </si>
  <si>
    <t>99167-14</t>
  </si>
  <si>
    <t>Visible.vc</t>
  </si>
  <si>
    <t>Developer of an investor relationship management platform designed to be used for tracking performance and key metrics of a business. The company's platform helps users to track and report on the performance of their individual and aggregate investments, enabling portfolio companies with tools to simplify investor communication, capitalization table management, and ongoing performance tracking.</t>
  </si>
  <si>
    <t>Connetic Ventures, Eclipse Capital, Gravity Ventures, High Alpha, Kima Ventures, Kyle Jackson, Real Ventures, Sproutbox</t>
  </si>
  <si>
    <t>www.visible.vc</t>
  </si>
  <si>
    <t>437464-36</t>
  </si>
  <si>
    <t>GoParity</t>
  </si>
  <si>
    <t>Operator of an impact investment platform intended to connect companies with investors. The company's platform attracts supporters across the world who pledge their money to make the projects successful, enabling businesses to find the resources required through funding.</t>
  </si>
  <si>
    <t>3xP Global, Casa do Impacto, Critical Software, i.d.e.a. Fund, Inclusion Plus, InvestEco Capital, Maze X, MSM, Mustard Seed + Partners, Regenerative (Swiss), Schneider Electric, Ship2B, TechAlliance, Visa Innovation Program, Western Accelerator</t>
  </si>
  <si>
    <t>www.goparity.com</t>
  </si>
  <si>
    <t>469686-61</t>
  </si>
  <si>
    <t>Elite Capital and Management Services</t>
  </si>
  <si>
    <t>Developer of a property crowdfunding platform intended to make home ownership easier. The company's platform provides the right match for investors with projects, debt-free and interest-free partnerships, and equity financing with no mortgage, enabling home buyers the ability to purchase the home they want and benefiting the investors from the future gain.</t>
  </si>
  <si>
    <t>Qatar FinTech Hub Wave, REACH</t>
  </si>
  <si>
    <t>www.bayuti.com</t>
  </si>
  <si>
    <t>160133-41</t>
  </si>
  <si>
    <t>Gimi</t>
  </si>
  <si>
    <t>FinTech, LOHAS &amp; Wellness, Mobile, SaaS</t>
  </si>
  <si>
    <t>Developer of a financial application designed to educate children and youth on managing their finances. The company's platform is a smart tool for pocket money, chores, and putting money aside, enabling children and teenagers to earn, save and spend money together with their parents and other supporters.</t>
  </si>
  <si>
    <t>Aggregate, Anders Pettersson, Caygan Capital, Crest Eight, DHS Venture Partners, Eva Cederbalk, Harald Mix, Johan Qviberg, Mastercard Lighthouse, Matilda Hannäs, Michael Rosencrantz, NFT Ventures, Norion Bank, Oscar Sahlen, Oskar Arndt, Patrick Söderlund, Quinary Investment, Stefan Beam, Stefan Persson, Tobias Hysén</t>
  </si>
  <si>
    <t>www.gimi.com</t>
  </si>
  <si>
    <t>230990-05</t>
  </si>
  <si>
    <t>Wayhome</t>
  </si>
  <si>
    <t>Operator of a property mortgage agency intended for people to own houses without needing to take out a mortgage. The company's partnered institutional investors offer to co-buy a home with a small deposit from the client, along with minimal monthly rent, enabling people to buy a home worth more than their income.</t>
  </si>
  <si>
    <t>Allianz X, Anthemis, Augmentum Fintech, Cur8 Capital, Love Ventures, Pemberstone Group, Seedrs, Volution Ventures</t>
  </si>
  <si>
    <t>www.wayhome.co.uk</t>
  </si>
  <si>
    <t>469743-85</t>
  </si>
  <si>
    <t>Simpler</t>
  </si>
  <si>
    <t>E-Commerce, FinTech, Mobile Commerce, SaaS</t>
  </si>
  <si>
    <t>Developer of a comprehensive checkout-as-a-service software designed to streamline and optimize the checkout process for e-commerce merchants. The company's platform integrates payments, shipping, and loyalty programs into a unified, one-click buying system, enabling e-commerce merchants to reduce development costs, boost conversion rates, and provide a seamless purchasing journey across all channels.</t>
  </si>
  <si>
    <t>Endeavor Greece, Grow London, Lamda Development, MMC Ventures, VentureCEO, VentureFriends, VGC Partners</t>
  </si>
  <si>
    <t>www.simpler.so</t>
  </si>
  <si>
    <t>235247-77</t>
  </si>
  <si>
    <t>Digilytics</t>
  </si>
  <si>
    <t>Developer of deep vertical AI-enabled fintech products designed to automate document-heavy lending processes and enable faster, more confident credit decisions. The company offers an agentic AI platform with document intelligence and real-time insights, enabling lenders across mortgage, asset, commercial, and personal lending to reduce borrower friction and accelerate access to funds.</t>
  </si>
  <si>
    <t>Maven Capital Partners UK</t>
  </si>
  <si>
    <t>www.digilytics.ai</t>
  </si>
  <si>
    <t>893705-77</t>
  </si>
  <si>
    <t>Zango</t>
  </si>
  <si>
    <t>Operator of an AI-based platform intended for automating compliance processes and regulations. The company's platform offers horizontal scanning to filter real-time alerts about changing regulations, identify and act on regulatory changes with automated tracking and updates, gap analysis, and personalized regulatory alerts, and generate compliance checklists for regulations, enabling businesses and companies with reading and interpret complex regulations helping financial services automate manual workflows in compliance.</t>
  </si>
  <si>
    <t>Alan Morgan, Mark Ransford, Nexus Venture Partners, No Label Ventures, Notion Capital, Richard Davies, Rohit Mathur, South Park Commons, Start Ventures</t>
  </si>
  <si>
    <t>www.zango.ai</t>
  </si>
  <si>
    <t>264775-96</t>
  </si>
  <si>
    <t>Accelerated Payments</t>
  </si>
  <si>
    <t>Provider of invoice finance services intended to help businesses free up the cash trapped in their receivables. The company's platform extends finance to businesses with an immediate need for working capital to fund new opportunities for growth and services, including offering flexible invoice finance, long-term contracts, and many more, enabling businesses to improve their cash flow, build their business, and improve their finances.</t>
  </si>
  <si>
    <t>Enterprise Ireland, Fasanara Capital, First Line Capital, Harrier, Payvation, SETU Xcelerate Centre</t>
  </si>
  <si>
    <t>www.acceleratedpayments.com</t>
  </si>
  <si>
    <t>459165-52</t>
  </si>
  <si>
    <t>Caura</t>
  </si>
  <si>
    <t>Developer of a vehicle management platform designed to pay for parking, congestion charging, tolls, and taxes. The company's platform offers vehicle-related payments, code-based parking payments, car tax payments, and congestion charge payments, enabling drivers to manage all aspects of car ownership.</t>
  </si>
  <si>
    <t>Alidad Moghaddam, Antony Sheriff, Creative Destruction Lab, European Startup Prize for Mobility, FinTech Innovation Lab, Full Circle Africa, Google Accelerator, InMotion Ventures, Jonathan Oringer, Joyance Partners, Lloyds Banking Group, Onstage (London), Pareto Holdings, Quiet Capital, Road Ventures, Rob Wilmot, Tech Nation Group, TwinFocus (Financial Management)</t>
  </si>
  <si>
    <t>www.caura.com</t>
  </si>
  <si>
    <t>461934-64</t>
  </si>
  <si>
    <t>Degas</t>
  </si>
  <si>
    <t>AgTech, Artificial Intelligence &amp; Machine Learning, Climate Tech, FinTech</t>
  </si>
  <si>
    <t>Operator of an agriculture-related business intended to increase smallholder farmers' income in Sub-Saharan Africa. The company offers agricultural inputs and farming knowledge, aggregates commodities and facilitates the sale of products, enabling farmers to have increased yield, income, and maximized potential.</t>
  </si>
  <si>
    <t>15th Rock, AIZAWA Investments, Akatsuki, Animal Spirits, Dawn Capital (Tokyo), DEEPCORE, Global Catalyst Partners Japan, Hakuhodo DY Ventures, Ikemori Venture Support GK, Inclusion Japan, Monex Ventures, Nanto Capital Partners, Primal Capital (Japan), Sojitz, Suitz Tokyo</t>
  </si>
  <si>
    <t>www.degasafrica.com</t>
  </si>
  <si>
    <t>500651-74</t>
  </si>
  <si>
    <t>Ynet Interactive</t>
  </si>
  <si>
    <t>Provider of integrated digital transformation solutions, designed to enhance operational efficiency and development for banks. The company's software features a range of services including mobile and online banking, open banking, and business intelligence, supported by their digital banking application platform, providing a holistic solution for banks seeking to digitize their operations and stay competitive in the financial industry.</t>
  </si>
  <si>
    <t>Jirui Capital</t>
  </si>
  <si>
    <t>www.echplus.com</t>
  </si>
  <si>
    <t>515498-68</t>
  </si>
  <si>
    <t>Endavu</t>
  </si>
  <si>
    <t>Operator of an investment platform intended to provide a financial ecosystem for investors. The company creates a mobile-based financial system curated with stock collections to make small and big investments, enabling people and investors to handle personal finances and diversify their portfolios.</t>
  </si>
  <si>
    <t>Copenhagen Fintech Lab, Vaekstkapital</t>
  </si>
  <si>
    <t>www.endavu.com</t>
  </si>
  <si>
    <t>228755-80</t>
  </si>
  <si>
    <t>Tiller Technologies</t>
  </si>
  <si>
    <t>Developer of an online financial platform designed to offer automated wealth management services. The company's platform offers a tool required for the management of wealth for retail, professional and institutional investors as well as features client onboarding and investment management processing to boost operational efficiency, enabling clients to leverage prebuilt, customizable services and accelerating digital transformation.</t>
  </si>
  <si>
    <t>Pwcom.Co.Uk, Tiller (Holding Companies), West Hill Capital</t>
  </si>
  <si>
    <t>www.tillertech.com</t>
  </si>
  <si>
    <t>442735-30</t>
  </si>
  <si>
    <t>Boardroom Alpha</t>
  </si>
  <si>
    <t>Developer of a governance analytics platform designed to provide transparency into board and executive activities. The company's platform aggregates and analyzes data on directors, boards, and officers, offering real-time alerts on leadership changes, comprehensive dashboards for tracking governance trends, and advanced filtering tools, enabling institutional investors, corporate governance professionals, and consultants to efficiently monitor executive movements, identify potential risks or opportunities, and enhance due diligence with timely, actionable insights.</t>
  </si>
  <si>
    <t>B. Riley Venture Capital, Jeremy Kroll, Jules Kroll, Kevin Seth, LeFrak, Peter Cohen</t>
  </si>
  <si>
    <t>www.boardroomalpha.com</t>
  </si>
  <si>
    <t>267454-99</t>
  </si>
  <si>
    <t>Sky Systemz</t>
  </si>
  <si>
    <t>Operator of digital payment, business management, and operations platforms designed to yield actionable business insights through analytics. The company's platform gives businesses what they need to operate while providing insights from analytics to grow larger and cut unnecessary costs in real-time and offers general business insights and real-time insights derived from sales, costs, products sold, employee effectiveness, pricing trends, payroll, customer tendencies, enabling businesses to improve the odds for business success.</t>
  </si>
  <si>
    <t>Ballard Cassady, Brian Nichols, Cory Holman, Larry Glenn Jr, Michael Conover, Oxbow Reserve, Reed's Spray foam Insulation, Sonny Ransdell, Vel Kanniappan</t>
  </si>
  <si>
    <t>www.skysystemz.com</t>
  </si>
  <si>
    <t>527220-01</t>
  </si>
  <si>
    <t>Infact Systems</t>
  </si>
  <si>
    <t>Developer of a real-time credit information platform designed to increase responsible lending through fair, transparent, and up-to-date credit reporting. The company's platform provides a single API for lenders to search, report, and manage credit information in real-time, enabling lenders to streamline the credit assessment process and make informed lending decisions.</t>
  </si>
  <si>
    <t>13books Capital, Albion Crown VCT, AlbionVC, Daniel Cobley, Form Capital, Form Ventures, Kings Arms Yard VCT, Michele Attisani, Outward Venture Capital, Portfolio Ventures</t>
  </si>
  <si>
    <t>infact.io</t>
  </si>
  <si>
    <t>540909-46</t>
  </si>
  <si>
    <t>Wealthcome</t>
  </si>
  <si>
    <t>Developer of a wealth management platform designed to manage assets and portfolios. The company's platform allows users to manage their assets, including bank accounts, investments and real estate and offers tools for tracking expenses, optimizing fees and analyzing investment performance, enabling clients to take back control of their assets.</t>
  </si>
  <si>
    <t>Alexandre Lacharme, Antoine Darcet, BlackFin Capital Partners, Bordeaux Technowest, Morgan Emmery, Olivier Agnola, Techno'Start</t>
  </si>
  <si>
    <t>www.wealthcome.fr</t>
  </si>
  <si>
    <t>437447-98</t>
  </si>
  <si>
    <t>TiiCKER</t>
  </si>
  <si>
    <t>Operator of a digital financial platform intended to provide publicly traded companies a way to measure and engage their retail investors and convert consumers to shareholders. The company's platform provides verified shareholder perks, direct-to-shareholder marketing, insights and content, and commission-free trading, enabling companies to engage, verify, and reward consumer shareholders, attract new investors, and measure shareholder lifetime value.</t>
  </si>
  <si>
    <t>Baysore Advisory Group, Flipturn Ventures, Lambert Global, Michigan Rise, Red Cedar Ventures</t>
  </si>
  <si>
    <t>www.tiicker.com</t>
  </si>
  <si>
    <t>532917-28</t>
  </si>
  <si>
    <t>TripSuite</t>
  </si>
  <si>
    <t>Developer of a financial platform intended to grow the travel agency business. The company's platform generates supplier invoices that automatically match payments, resolve unknown commissions, and manage the revenue, enabling travel agencies to efficiently run their business.</t>
  </si>
  <si>
    <t>Bienville Capital, Derive Ventures, F-Prime Capital, Fractal Software</t>
  </si>
  <si>
    <t>www.tripsuite.com</t>
  </si>
  <si>
    <t>465449-05</t>
  </si>
  <si>
    <t>Relio</t>
  </si>
  <si>
    <t>Provider of digital banking services intended to create an online business account for small and medium-sized enterprises. The company offers savings accounts, money transfers, online/offline purchases, and bill payments with useful tools, integrated software, and a dashboard for monitoring transactions, and gives the benefits of a digital business account to complex companies in need, with a customized approach, enabling businesses to save time and be productive.</t>
  </si>
  <si>
    <t>daFUND, Elsa Invests, High-Tech Gründerfonds, Katapult Accelerator, NINJA Accelerator, QBIT Capital, Richard Davies, SICTIC, SIX FinTech Ventures, Tenity, TS Ventures Fund, TX Ventures</t>
  </si>
  <si>
    <t>www.relio.ch</t>
  </si>
  <si>
    <t>465299-65</t>
  </si>
  <si>
    <t>FutureRent</t>
  </si>
  <si>
    <t>Developer of a real estate lending platform designed to reinvent the way property investors get paid. The company's platform lets residential property investors pay up to a whole year's rent upfront on demand by eliminating the hassle, reducing the risk, and lowering the cost of ownership, enabling individual property owners to gain the benefits yearly to manage their cash flow.</t>
  </si>
  <si>
    <t>BridgeLane Group, David Shein, Global Investors, iPartners, Jonathan Lui, MFO Investments, Mulpha International, OIF Ventures, REACH, Second Century Ventures</t>
  </si>
  <si>
    <t>www.futurerent.com.au</t>
  </si>
  <si>
    <t>267668-83</t>
  </si>
  <si>
    <t>Kani Payments</t>
  </si>
  <si>
    <t>Operator of a payments data automation platform intended to streamline reconciliation, reporting, and compliance across fragmented payments data. The company's platform offers end-to-end high-volume reconciliation, flexible data reporting with pre-formatted and bespoke reports, analytics and business intelligence, card scheme reporting, and safeguarding controls, enabling payments and fintech companies to achieve accurate reconciliations, reliable reporting and audit-ready compliance at scale.</t>
  </si>
  <si>
    <t>Fidelity National Information Services, FIS Fintech Accelerator, MasterCard, Maven Capital Partners UK, Tech Nation Group, The Venture Center</t>
  </si>
  <si>
    <t>www.kanipayments.com</t>
  </si>
  <si>
    <t>184161-16</t>
  </si>
  <si>
    <t>Goodstack</t>
  </si>
  <si>
    <t>Developer of an online fundraising platform designed to help clients raise money for different causes. The company's platform allows businesses to embed donation experiences directly into their checkout flow, choose a cause, link their credit or debit card and spend at different retailers within the application, enabling organizations to integrate social good into their operations.</t>
  </si>
  <si>
    <t>General Catalyst, Morpheus Ventures, Repeat Ventures</t>
  </si>
  <si>
    <t>www.goodstack.io</t>
  </si>
  <si>
    <t>136370-08</t>
  </si>
  <si>
    <t>Inngot</t>
  </si>
  <si>
    <t>Developer of a web-based software designed to help unlock the commercial potential of the intellectual property and intangibles. The company offers an accessible and affordable online tool to define and value an organization's intellectual property and intangible assets, along with expert services, enabling firms to maximize the commercial potential of their asset portfolios to obtain growth finance.</t>
  </si>
  <si>
    <t>David Hulston, Delta2020, Hamish Williams, Innovate UK, Rouse, Simon Thorpe, Unilever Ventures</t>
  </si>
  <si>
    <t>www.inngot.com</t>
  </si>
  <si>
    <t>455058-46</t>
  </si>
  <si>
    <t>Pocketly</t>
  </si>
  <si>
    <t>Provider of microlending services intended to focus on college students. The company's platform employs artificial intelligence and machine learning to offer short-term loans with various features such as credit extensions, online support and transparent costs, enabling students to get instant cash &amp; make them financially independent.</t>
  </si>
  <si>
    <t>100X.VC, Aaryaman Shah, Apurva Parekh, Ashneer Grover, Dholakia Ventures, Gaurang Shetty, Jaimin Bhatt, Jehan Karanjia, Kunal Shah, Riidl, Scale Venture Partners, Siddharth Somaiya</t>
  </si>
  <si>
    <t>www.pocketly.in</t>
  </si>
  <si>
    <t>507423-07</t>
  </si>
  <si>
    <t>Ballerine</t>
  </si>
  <si>
    <t>Developer of a financial risk management platform designed to automate fraud detection and merchant risk assessment. The company offers artificial intelligence agents for analyzing business verification, web activity, transaction monitoring, and merchant lifecycle risk management, enabling payment providers and merchant acquirers to improve onboarding decisions and reduce manual review efforts.</t>
  </si>
  <si>
    <t>Dallas Venture Capital, Iron Nation Fund, Marco Ronning, Moneta Venture Capital, Start Path, Team8, Treasury (New York), Vera Equity, Y Combinator</t>
  </si>
  <si>
    <t>www.ballerine.com</t>
  </si>
  <si>
    <t>506866-69</t>
  </si>
  <si>
    <t>Charm Solutions</t>
  </si>
  <si>
    <t>Operator of an AI-powered analytics platform intended to enhance the lending process for small and medium-sized businesses. The company offers features such as continuous self-learning models that analyze financial data, real-time risk assessment tools, and integration capabilities with existing applications, enabling financial institutions to optimize their underwriting processes, improve decision-making accuracy, and better serve their SMB clients while driving operational efficiency and growth.</t>
  </si>
  <si>
    <t>BootstrapLabs, Emerging Enterprise Center - New Castle County Chamber Of Commerce, Mac Equity</t>
  </si>
  <si>
    <t>www.charmsolutions.ai</t>
  </si>
  <si>
    <t>481396-78</t>
  </si>
  <si>
    <t>Enduring Planet</t>
  </si>
  <si>
    <t>Operator of a funding platform intended to provide growth capital for climate entrepreneurs. The platform offers non-dilutive financing for startups and small businesses with government or commercial contracts, along with back-office financial support such as bookkeeping, accounting, financial modeling, and reporting, enabling entrepreneurs to accelerate development and manage cash flow without dilution, personal guarantees, or collateral.</t>
  </si>
  <si>
    <t>Avesta Fund, Cisco Foundation, Climate Capital, Climate Venture Partners, Common Sense Growth, Dangerous Ventures, E8 (Seattle), Euphemia (Melbourne), Impact Assets, K Street Capital, KD Venture Partners, Keiki Capital, Portland Seed Fund, Resolute Ventures, Susquehanna Foundation</t>
  </si>
  <si>
    <t>www.enduringplanet.com</t>
  </si>
  <si>
    <t>458581-96</t>
  </si>
  <si>
    <t>fileAI</t>
  </si>
  <si>
    <t>Developer of an enterprise intelligence platform designed to automate complex business processes using governed AI (artificial intelligence) workflows. The company offers data capture, preparation, governance, orchestration, auditability, and SOP (Standard Operating Procedure)-driven workflow capabilities, enabling enterprises across finance, insurance, supply chain, healthcare, and business operations to transform unstructured and semi-structured data into trusted process intelligence and reliable automation.</t>
  </si>
  <si>
    <t>1982 Ventures, Antler, Century Oak Ventures, Gebr. Heinemann, GHARAGE, GIFT International Fintech Innovation Hub, Google Accelerator, Illuminate Financial, Insignia Ventures Partners, Investible, JRE Ventures, Kistefos, Krungsri Finnovate, Plug and Play Tech Center, Xero Developer</t>
  </si>
  <si>
    <t>www.file.ai</t>
  </si>
  <si>
    <t>597665-80</t>
  </si>
  <si>
    <t>FinOpsly</t>
  </si>
  <si>
    <t>Developer of a technology cost management platform designed to optimize spending across AI, cloud, and data workloads. The company offers cost forecasting tools, embedded financial intelligence, and automated governance capabilities, enabling enterprise technology teams to improve budget control and align technology investments with business performance.</t>
  </si>
  <si>
    <t>71/70 Angels, Cintrifuse Capital, Cultivation Capital, Hyde Park Venture Partners, Narayan Surabhi, North Coast Ventures, R1 Capital (Columbus)</t>
  </si>
  <si>
    <t>www.finopsly.com</t>
  </si>
  <si>
    <t>470078-65</t>
  </si>
  <si>
    <t>Fintastic</t>
  </si>
  <si>
    <t>Developer of a financial planning platform designed for corporate performance management. The company's platform specializes in integrating and adapting to the relevant organizational systems by using artificial intelligence in an automatic exploratory process to derive the meaning and relationships of all the financial data, helping businesses to visualize data efficiently and set up complex financial models.</t>
  </si>
  <si>
    <t>Benhamou Global Ventures, D&amp;FG Elements, Group 11, Verissimo Ventures</t>
  </si>
  <si>
    <t>www.fintastic.ai</t>
  </si>
  <si>
    <t>434530-99</t>
  </si>
  <si>
    <t>Foodie Card</t>
  </si>
  <si>
    <t>Operator of a subscription-based dining platform intended to help people save money. The company's platform provides discounts on the dine-in bill at participating restaurants while helping feed those in need through its buy-a-card program, enabling users to save money on their meals and increase business at restaurants.</t>
  </si>
  <si>
    <t>Eric Sobotka, Gary Vaynerchuk, Jamie Schweid, Nathaniel Brogadir, Ruttenberg Gordon Investments, Ryan Harwood</t>
  </si>
  <si>
    <t>www.foodiecard.com</t>
  </si>
  <si>
    <t>433627-30</t>
  </si>
  <si>
    <t>GreatDay HR</t>
  </si>
  <si>
    <t>Operator of a human resource management platform intended to improve employee management. The company's platform facilitates document approval requests, company announcements, and reminders of employees' status, and handles financial calculations, attendance records, leave requests, and reimbursement management, enabling employers and HR personnel to automate human-resource-related tasks with ease and without any hassles.</t>
  </si>
  <si>
    <t>Humanica, Otium Ventures, Viko Technologies</t>
  </si>
  <si>
    <t>www.greatdayhr.com</t>
  </si>
  <si>
    <t>589563-55</t>
  </si>
  <si>
    <t>GreenLyne</t>
  </si>
  <si>
    <t>Developer of an inclusive finance platform designed for the housing mortgage sector. The company's platform is integrated with risk management and inclusive housing finance, and its AI-based search technology identifies the optimal combination of size and price to generate fairness-optimized results, enabling lenders to make informed decisions and borrowers to secure mortgages.</t>
  </si>
  <si>
    <t>Aperture Venture Capital, Collab Capital, Cross Impact Capital, Flintlock Capital, Resilience VC, Serac Ventures, TruStage Ventures</t>
  </si>
  <si>
    <t>www.greenlyne.ai</t>
  </si>
  <si>
    <t>433986-85</t>
  </si>
  <si>
    <t>Income Lab</t>
  </si>
  <si>
    <t>Developer of retirement management software designed to manage and handle income for a steady future. The company's software allows the incorporation of real data and behavior into financial plans and features economic and market conditions, income strategies, dynamic spending, realistic age-based spending, and an automated plan monitoring system, enabling clients to streamline the planning management and mitigate future uncertainties.</t>
  </si>
  <si>
    <t>David Agostine, Robert Pinkerton, Thomas Florence</t>
  </si>
  <si>
    <t>www.incomelaboratory.com</t>
  </si>
  <si>
    <t>519388-75</t>
  </si>
  <si>
    <t>Kontango</t>
  </si>
  <si>
    <t>Operator of a commodity workflow platform intended for the chemical industry. The company's product offers price discovery, cross-channel market intelligence capture, and real-time trading optimization, enabling traders to optimize their trading activities</t>
  </si>
  <si>
    <t>Andrew Vigneault, Asymmetric Capital Partners, Centre Street Partners, Flexcap Ventures, Junction Venture Partners</t>
  </si>
  <si>
    <t>www.kontango.com</t>
  </si>
  <si>
    <t>589676-68</t>
  </si>
  <si>
    <t>Low Rate Co.</t>
  </si>
  <si>
    <t>Operator of direct online mortgage lender services intended to offer secure, low-rate mortgages through an online process to homebuyers and homeowners. The company's platform offers a streamlined online application process with access to various loan options and real-time rate quotes, along with guidance from licensed loan rate managers available throughout the process, enabling customers to make informed financial decisions, save money on their mortgages, and achieve their homeownership goals.</t>
  </si>
  <si>
    <t>Chicago Early Growth Ventures</t>
  </si>
  <si>
    <t>www.lowrateco.com</t>
  </si>
  <si>
    <t>481196-62</t>
  </si>
  <si>
    <t>Mahila Money</t>
  </si>
  <si>
    <t>Provider of financial services intended to support women entrepreneurs. The company provides a variety of services including opening bank accounts digitally, access to credit for business ventures, digital credit card service, loans for education, and housing loans, with financial advice and support, enabling customers to become financially independent.</t>
  </si>
  <si>
    <t>Astir Ventures, Cloud Capital (India), F7 Ventures, Innopact, Samsung NEXT Ventures, TRTL Ventures, Wealthing VC Club</t>
  </si>
  <si>
    <t>mahila.money</t>
  </si>
  <si>
    <t>493098-31</t>
  </si>
  <si>
    <t>Payzel</t>
  </si>
  <si>
    <t>Operator of an artificial intelligence-driven sales platform intended to provide insights and workflows to drive sales and generate more revenue. The company's platform can be integrated into existing sales processes and it leverages advanced analytics to uncover hidden patterns and trends, enabling sales teams across various organizations to boost efficiency and productivity by making data-driven decisions.</t>
  </si>
  <si>
    <t>Friesens Corporation, Holt Xchange</t>
  </si>
  <si>
    <t>www.payzel.com</t>
  </si>
  <si>
    <t>181313-20</t>
  </si>
  <si>
    <t>Prelim</t>
  </si>
  <si>
    <t>Developer of a modern digital origination platform intended to automate the origination, maintenance, and servicing of financial products. The company's platform easily integrates with core banking systems to streamline the customer journey and serves as the employee operating system for financial institutions, enabling banks and credit unions to onboard new accounts quickly and enhance customer experience.</t>
  </si>
  <si>
    <t>EJF Ventures, Fidelity National Information Services, FIS Fintech Accelerator, Fuel Capital, Liquid 2 Ventures, Max Altman, Ryan Petersen, S2 Capital, Y Combinator</t>
  </si>
  <si>
    <t>www.prelim.com</t>
  </si>
  <si>
    <t>153722-26</t>
  </si>
  <si>
    <t>RealKey</t>
  </si>
  <si>
    <t>Developer of a mortgage lending platform designed to close loans faster. The company's platform utilizes AI algorithms that account for every loan type in any state and organize all the information that an underwriter needs for clean approvals with less effort, enabling lenders to convert leads and get more applications completed.</t>
  </si>
  <si>
    <t>2enable Partners, Band of Angels, Bill Cherman, Cameron Drummond, Charles Oppenheimer, Chicago Early Growth Ventures, Frank Willemsen, Google Accelerator, HBS Alumni Angels of Greater New York, Houston Angel Network, Joe Boyle, Keiretsu Capital, Little Green Bamboo Capital, Lubbock Angel Network, MassChallenge, Pasadena Angels, Pramod Rustagi, REACH, Robert Hess, Sand Hill Angels, Sandalphon Capital, Second Century Ventures, The Batchery, Venture Twelve, Zulu Assets</t>
  </si>
  <si>
    <t>www.realkey.com</t>
  </si>
  <si>
    <t>325258-66</t>
  </si>
  <si>
    <t>SS&amp;C Technologies (Texas)</t>
  </si>
  <si>
    <t>Developer of an asset management platform designed to manage and organize mineral holdings, including leases, royalties, and working interests. The company's platform automates revenue and data capture processes, eliminates tedious manual data entry, and offers a map interface to visualize all interests, including well, permit, and production information, enabling organizations with insights needed to maximize returns, reduce risk, and ensure compliance.</t>
  </si>
  <si>
    <t>www.sscmineralware.com</t>
  </si>
  <si>
    <t>914196-88</t>
  </si>
  <si>
    <t>TradeGauge</t>
  </si>
  <si>
    <t>Developer of a financial intelligence platform designed to streamline business evaluation using automated analysis. The company's platform offers artificial intelligence (AI)-based valuation tools, earnings report generation, and executive-level insights for mergers and acquisitions, enabling business owners and investors to reduce manual errors, accelerate decision-making, and access accurate metrics.</t>
  </si>
  <si>
    <t>Atlantic Gulfstream Partners</t>
  </si>
  <si>
    <t>www.tradegauge.ai</t>
  </si>
  <si>
    <t>503576-83</t>
  </si>
  <si>
    <t>Biza</t>
  </si>
  <si>
    <t>Developer of compliance software designed to facilitate standardized data sharing and regulatory adherence within the national consumer data right ecosystem. The company offers automated testing tools, secure metadata management, and consent-tracking modules that align with mandatory technical specifications, enabling financial institutions to meet legal data-sharing obligations while reducing the technical complexity and resource costs of maintaining interoperable digital infrastructure.</t>
  </si>
  <si>
    <t>Jelix Ventures, OIF Ventures, OneVentures</t>
  </si>
  <si>
    <t>www.biza.io</t>
  </si>
  <si>
    <t>182273-14</t>
  </si>
  <si>
    <t>C2A</t>
  </si>
  <si>
    <t>Operates a payment and fuel card designed for the transport industry. The company's payment card combines the advantages of a bank card and a fuel card and gives access to a multitude of sales outlets, products, and professional services with expenditure control, fleet management, and savings, enabling businesses to streamline payments and potentially reduce fuel costs.</t>
  </si>
  <si>
    <t>Aquiti</t>
  </si>
  <si>
    <t>www.c2a-card.com</t>
  </si>
  <si>
    <t>150073-75</t>
  </si>
  <si>
    <t>Brickowner</t>
  </si>
  <si>
    <t>Operator of a crowdfunding platform intended to connect investors with property investments. The company's platform connects certified investors with property developers and asset managers, provides access to a residential property fund, facilitates assessment, investment, and management with simple tools, offers investment opportunities ranging from portfolios to property-backed lending, monitors investments, updates investors, allows secondary market trading, and features a stringent due diligence process, enabling investors to professionally managed property investments and diversification of their portfolio</t>
  </si>
  <si>
    <t>Marco Pardo</t>
  </si>
  <si>
    <t>www.brickowner.com</t>
  </si>
  <si>
    <t>507457-63</t>
  </si>
  <si>
    <t>Preczn</t>
  </si>
  <si>
    <t>Developer of a fintech operating platform designed to accelerate monetization with a single integration. The company's platform has payment features that are built with API first with an end-to-end microservice architecture and offer multi-provider orchestration, payment flexibility, real-time migration, volume controls, reporting and recommendation and quality of service assurance, enabling clients to precisely control commerce to optimize results.</t>
  </si>
  <si>
    <t>Blank Ventures, Flyover Capital, Gilgamesh Ventures, Grand Ventures, In Revenue Capital, Kearny Jackson, Nelnet Ventures, Owl Capital, PayPal Holdings, Rosecliff Venture Partners, SaaS Ventures</t>
  </si>
  <si>
    <t>www.preczn.com</t>
  </si>
  <si>
    <t>227668-69</t>
  </si>
  <si>
    <t>Supply Finance</t>
  </si>
  <si>
    <t>Developer of trade financing software designed to provide financing tools to SMEs across Europe. The company's technology contains a portfolio of trade finance products made for small and medium businesses through a network of partner brands, enabling businesses to expand their offerings and deliver services and products to small businesses in their backyards.</t>
  </si>
  <si>
    <t>Addition Capital, Elevate Innovation Partners, Enterprise Ireland, Fenway Summer, Michael Mager, Ridge Road Partners</t>
  </si>
  <si>
    <t>www.supply.finance</t>
  </si>
  <si>
    <t>55767-25</t>
  </si>
  <si>
    <t>Seed&amp;Spark</t>
  </si>
  <si>
    <t>Operator of a crowdfunding and digital distribution platform intended for diverse storytelling. The company's platform helps filmmakers and audiences join forces to fund, promote and watch new independent films, enabling filmmakers to support new film projects and audiences to watch more independent movies.</t>
  </si>
  <si>
    <t>Front Porch Venture Partners, Graham &amp; Walker, Mohannad El-Khairy, NEXUS (New York), Ruthless for Good, SourceN, Tidal Impact, University Growth Fund</t>
  </si>
  <si>
    <t>www.seedandspark.com</t>
  </si>
  <si>
    <t>463974-58</t>
  </si>
  <si>
    <t>Versa (Petaling Jaya)</t>
  </si>
  <si>
    <t>Developer of a digital wealth management application designed to provide users with return rates on idle cash. The company's application offers an alternative to fixed deposits by allowing users to earn returns while maintaining the flexibility to withdraw their cash and accrued interest at any time without penalties, enabling individuals to access their funds as needed without being locked into fixed-term commitments.</t>
  </si>
  <si>
    <t>Affin Hwang Investment Bank, Aham Asset Management, Arecacapital, Cradle Fund, HPRY Ventures, KB Investment, Mohd Shazwan Bin Noorazman, OSK Ventures International, Principal Asset Management Berhad, RHL Ventures, Ta Wee Dher, TH Capital (Malaysia)</t>
  </si>
  <si>
    <t>www.versa.com.my</t>
  </si>
  <si>
    <t>483425-83</t>
  </si>
  <si>
    <t>Ekko (Financial Services)</t>
  </si>
  <si>
    <t>CleanTech, Climate Tech, FinTech, LOHAS &amp; Wellness</t>
  </si>
  <si>
    <t>Developer of a sustainability integration platform for financial products designed to help people understand and reduce their environmental impact through everyday transactions. The company's platform offers real-time purchase impact tracking, banking and payment system integration, environmental project contributions, partner-supported conservation programs, and customizable cause selection, enabling banks and payment providers to embed environmental action into customer experiences and deliver measurable, transparent impact.</t>
  </si>
  <si>
    <t>Archie Growth, Fuel Ventures, Grow London, Mishcon de Reya, MOHARA, Sorven Capital</t>
  </si>
  <si>
    <t>www.ekko.earth</t>
  </si>
  <si>
    <t>459290-53</t>
  </si>
  <si>
    <t>TransactionLink</t>
  </si>
  <si>
    <t>CloudTech &amp; DevOps, FinTech, HR Tech, Marketing Tech</t>
  </si>
  <si>
    <t>Developer of a financial infrastructure platform intended to update and automate KYC/KYB workflows without getting engineering involved. The company's platform offers a drag-and-drop builder for onboarding flows that lets KYB teams build and manage their digital onboarding processes without coding, enabling clients to automate their business onboarding.</t>
  </si>
  <si>
    <t>Avi Eyal, Charles Delingpole, Entrée Capital, Gautham Radhakrishnan, Gielda Papierow Wartosciowych w Warszawie, Jakub Zakrzewski, Lukas Klinser, Mark Ransford, Nicholas Kopp, Target Global, Timo Meyer, Tiny Supercomputer Investment Company, White Star Capital</t>
  </si>
  <si>
    <t>www.transactionlink.io</t>
  </si>
  <si>
    <t>443285-29</t>
  </si>
  <si>
    <t>MAIA (London)</t>
  </si>
  <si>
    <t>Developer of a cloud-based portfolio management platform intended for asset managers and hedge funds. The company's platform offers customizable workflows for managing diverse asset portfolios through an open architecture, enabling users to have significant control over their operations and the ability to adapt and scale their technological infrastructure as their business evolves.</t>
  </si>
  <si>
    <t>Molten Ventures</t>
  </si>
  <si>
    <t>www.maiatech.io</t>
  </si>
  <si>
    <t>438321-25</t>
  </si>
  <si>
    <t>Thriday</t>
  </si>
  <si>
    <t>Developer of business banking account management software designed for automating banking and accounting functions for small businesses. The company's software offers features such as expense tracking, invoicing, reconciling, payroll, artificial intelligence features for budgeting, taxes, accounting, and more, enabling small businesses and professionals to track their expenses better while also saving time and money.</t>
  </si>
  <si>
    <t>www.thriday.com.au</t>
  </si>
  <si>
    <t>103548-16</t>
  </si>
  <si>
    <t>VentureCrowd</t>
  </si>
  <si>
    <t>Developer of a multi-asset class crowdfunding platform designed to offer handpicked investment opportunities. The company's platform offers complete transparency and drives portfolio diversification through early-stage businesses, premium residential properties and alternative debt investments, enabling investors with direct access to curated alternative investment opportunities.</t>
  </si>
  <si>
    <t>www.venturecrowd.com.au</t>
  </si>
  <si>
    <t>495591-22</t>
  </si>
  <si>
    <t>Vibrant</t>
  </si>
  <si>
    <t>Developer of an online payment application designed to receive contactless card payments through a smartphone. The company's platform provides technology that converts digital devices into a point of sale, simplifying, securing, and making payments accessible, enabling merchants to conduct transactions efficiently.</t>
  </si>
  <si>
    <t>byFounders, Luminar Ventures, Mastercard Lighthouse</t>
  </si>
  <si>
    <t>www.vibrant.io</t>
  </si>
  <si>
    <t>462636-64</t>
  </si>
  <si>
    <t>Appital</t>
  </si>
  <si>
    <t>Developer of an equity market information platform intended to innovate and automate equity capital markets and unlock latent liquidity. The company's platform offers real-time visibility and control over the book-building and deals distribution process, enabling investors to proactively source latent liquidity and drive the book-building process.</t>
  </si>
  <si>
    <t>Engine (Accelerator), Frontline Ventures, Gregory Bennett, Silverstripe Investment Management</t>
  </si>
  <si>
    <t>www.appital.io</t>
  </si>
  <si>
    <t>183086-47</t>
  </si>
  <si>
    <t>Emergent Business Group</t>
  </si>
  <si>
    <t>Provider of receivables management services intended for debt servicing purposes. The company provides asset investigation, legal network management, and advanced loan collection with regulatory standards through efficient and secure operational processes, allowing financial institutions and consumer lenders to optimize portfolio management, recover distressed assets, and ensure compliance.</t>
  </si>
  <si>
    <t>Strandview</t>
  </si>
  <si>
    <t>www.emergentbg.com</t>
  </si>
  <si>
    <t>521405-20</t>
  </si>
  <si>
    <t>FundMiner</t>
  </si>
  <si>
    <t>Developer of a fund management software designed for fundraising organizations, universities and community foundations. The company's software aggregates and organizes data and information, which helps users track their funds easily, and includes compliance tracking, data visualization, workflow automation, and secure storage, enabling users to manage their gifts, funds, and endowments effectively.</t>
  </si>
  <si>
    <t>Blackbaud Social Good Startup Program, Cascade Seed Fund, Dan Arvizu, Ferter, Jay Love, Sonoran Founders Fund, Techstars, University of Texas, El Paso</t>
  </si>
  <si>
    <t>www.fundminer.com</t>
  </si>
  <si>
    <t>482383-72</t>
  </si>
  <si>
    <t>Thola</t>
  </si>
  <si>
    <t>Artificial Intelligence &amp; Machine Learning, CleanTech, Climate Tech, Real Estate Technology</t>
  </si>
  <si>
    <t>Developer of an energy intelligence network designed to manage energy use across industrial corridors and improve coordination with the power grid. The company offers AI-based forecasting, load management, and integration with existing sensors, enabling manufacturers, mining operations, and commercial buildings to reduce consumption, avoid downtime, and support grid stability.</t>
  </si>
  <si>
    <t>ACCEL Program, Baobab Network, BonBillo, Catalyst Fund, Forum Ventures, Google Accelerator, Greentown Labs, Halcyon Incubator, Hustle Fund, Roux Institute at Northeastern University, SDG Impact Accelerator, Sharjah Entrepreneurship Center, South African Government, Techstars</t>
  </si>
  <si>
    <t>www.getthola.com</t>
  </si>
  <si>
    <t>99490-42</t>
  </si>
  <si>
    <t>Kickfurther</t>
  </si>
  <si>
    <t>Developer of an inventory crowdfunding platform designed to provide consignment opportunities. The company's platform facilitates users to participate in a crowdfunding campaign to purchase the inventory that the campaigner needs without requiring debt or equity to maintain stock levels and meet growing demand, enabling businesses to raise cash to support and propel growth and scale efficiently, and eliminate cash flow bottlenecks.</t>
  </si>
  <si>
    <t>43North, ACTAI Ventures, Alexander Bogusky, B. Golisano, Boomtown Innovation, Break Trail Ventures, David Brown, Denver Ventures, Draper Associates, Frontier Angels, Gore Creek Partners, Grand Oaks Capital, Impellent Ventures, IT-Farm, John Donovan, Jose Vieitez, Julien Nguyen, Monfort, Rochester Angel Network, Sangha Capital, Teddy Goldstein, UPC Capital Ventures, Western New York Venture Association, William Tai, Yoshiyuki Chiba</t>
  </si>
  <si>
    <t>www.kickfurther.com</t>
  </si>
  <si>
    <t>520105-33</t>
  </si>
  <si>
    <t>Kaldi (Financial Software)</t>
  </si>
  <si>
    <t>Developer of a mobile application designed to help young adults build savings and begin investing through everyday spending. The company offers a payment application that provides cashback rewards and automatic investment into stock market index funds, enabling young adults to grow savings through simplified and low-stress investing activities.</t>
  </si>
  <si>
    <t>British Business Bank, Oxford Innovation Finance, SeedLegals, SFC Capital, VentureCEO, Woodside Holdings</t>
  </si>
  <si>
    <t>www.kaldiapp.co.uk</t>
  </si>
  <si>
    <t>469743-94</t>
  </si>
  <si>
    <t>Anyday</t>
  </si>
  <si>
    <t>Developer of financial software designed to split purchases into multiple installments. The company's platform offers interest-free financing resolutions and supports standard payment options along with features such as splitting payments, enabling consumers to manage their budgets more effectively and merchants to increase conversion rates and retention.</t>
  </si>
  <si>
    <t>Accelerace, Denmark's Export and Investment Fund, Inventure, Jørgen Olesen, Mastercard Lighthouse, Redpill (Stockholm), TechHub Invest, Thomas Jensen</t>
  </si>
  <si>
    <t>www.anyday.io</t>
  </si>
  <si>
    <t>459708-76</t>
  </si>
  <si>
    <t>Themis</t>
  </si>
  <si>
    <t>Artificial Intelligence &amp; Machine Learning, Cybersecurity, E-Commerce, FinTech, SaaS</t>
  </si>
  <si>
    <t>Developer of a risk management company intended to help understand the financial crime and strategic threats through an ESG and socio-economic lens. The company's technology provides insights and intelligence on the latest threats, trends, and criminal techniques, enabling organizations to identify and manage their financial crime risks and manage the risks they are exposed to through a powerful combination of insight and intelligence.</t>
  </si>
  <si>
    <t>Adfisco, Quadri Ventures, StarSeed (Angel Group), SyndicateRoom, Targa Ventures</t>
  </si>
  <si>
    <t>www.wearethemis.com</t>
  </si>
  <si>
    <t>454709-71</t>
  </si>
  <si>
    <t>Respaid</t>
  </si>
  <si>
    <t>Developer of a debt collection platform designed to manage and recover outstanding payments. The company's platform employs data analysis to locate current contact information, determine the reasons for non-payment, facilitate direct payment options, and optimize communication strategies, enabling businesses to recover outstanding debts more efficiently and improve customer relationships by understanding payment obstacles.</t>
  </si>
  <si>
    <t>5M Ventures, Alexandre Fretti, Babilou, CFP Energy, Eric Dayan, Eric Mignot, Guillaume Sarkozy, Innovate Calgary, Kima Ventures, Laurent Dassault, Liquid 2 Ventures, Moonfire, Motier Ventures, Orange Collective, platform58, Ross McInnes, Y Combinator</t>
  </si>
  <si>
    <t>www.respaid.com</t>
  </si>
  <si>
    <t>496320-40</t>
  </si>
  <si>
    <t>Further (London)</t>
  </si>
  <si>
    <t>Developer of a fund operating system software designed to power top venture capital funds in investing in startups. The company offers a modern fund and custodian operational backbone and fee management to tax documentation, investment allocations to inheritance transfers, every major fund administration, enabling funds to automate investor onboarding, fund administration, compliance, and investor reporting, reducing manual work and driving efficiency for fund service providers.</t>
  </si>
  <si>
    <t>Antler, Arāya Ventures, Haatch, Repeat Ventures, Tenity</t>
  </si>
  <si>
    <t>www.joinfurther.com</t>
  </si>
  <si>
    <t>494251-12</t>
  </si>
  <si>
    <t>Findependent</t>
  </si>
  <si>
    <t>Developer of a financial application designed to control investment conveniently from a smartphone. The company provides information about investments, earnings, and fees, and also offers to keep track of transactions and profit at all times, enabling users to invest and take advantage of the financial markets.</t>
  </si>
  <si>
    <t>BackBone Ventures, BlueLion Incubator, Roland Brack, SICTIC, Ziano Ventures</t>
  </si>
  <si>
    <t>www.findependent.ch</t>
  </si>
  <si>
    <t>481379-32</t>
  </si>
  <si>
    <t>Wedo AI</t>
  </si>
  <si>
    <t>Developer of a neo-banking platform designed to manage, schedule, and host events and live streams. The company's platform operates both on and offline and helps to earn in real-time, as well as send and receive payments with a community, enabling users to get free seamless technology bookings, communications, billing, payments, live streaming, and publishing all in one platform.</t>
  </si>
  <si>
    <t>Deswal Investment Group, Entangle (Luxembourg)</t>
  </si>
  <si>
    <t>www.wedo.ai</t>
  </si>
  <si>
    <t>482497-84</t>
  </si>
  <si>
    <t>Prograd</t>
  </si>
  <si>
    <t>Developer of a financial marketplace intended to make borrowing understandable and repayment rewarding for young people. The company's marketplace allows users to find ways to save, invest, borrow, or earn money through various companies on the marketplace and incorporates artificial intelligence in credit scoring to lend responsibly, enabling lenders to find young customers and reduce lender defaults.</t>
  </si>
  <si>
    <t>AGAM., Arlington Group Asset Management, Escape Velocity (New York), Grow London, Kli Capital, Mandeep Singh, National Westminster Bank, Techstars, ZAKA VC</t>
  </si>
  <si>
    <t>www.prograd.uk</t>
  </si>
  <si>
    <t>435164-59</t>
  </si>
  <si>
    <t>Armalytix</t>
  </si>
  <si>
    <t>Developer of a data intelligence software intended to operate in open banking and deliver financial insights to firms. The company's software collects, organizes, and sends account information securely and automates the verification processes around account holders and payments, enabling legal and accounting firms to request and receive financial information about their clients, directly from the bank, in a hassle-free manner.</t>
  </si>
  <si>
    <t>Brian Schweiger, Jon Beebe</t>
  </si>
  <si>
    <t>www.armalytix.com</t>
  </si>
  <si>
    <t>489223-99</t>
  </si>
  <si>
    <t>TLX Labs</t>
  </si>
  <si>
    <t>Developer of custom software and Web3-focused technology services intended to empower businesses with operational excellence and sustainable growth. The company's platform and services include platform development, UI/UX design and development, and blockchain development tailored for developers, supporting pioneering Web3 projects through a venture studio model and offering scalable decentralized applications and robust blockchain technology for Web3, fintech-oriented software that optimizes customer experience and operational efficiency for finance, and engaging game development enabling businesses to enhance user engagement.</t>
  </si>
  <si>
    <t>Beta Lab, Jeejeebhoy family office, KPB Family Trust, Leo Capital</t>
  </si>
  <si>
    <t>www.tlxhq.com</t>
  </si>
  <si>
    <t>279688-24</t>
  </si>
  <si>
    <t>Agora Financial Technologies</t>
  </si>
  <si>
    <t>Developer of a modular banking platform designed to enhance digital experiences without replacing existing core systems. The company offers customizable banking modules, API-driven integrations, and a challenger bank framework, enabling banks, credit unions, and fintechs to accelerate digital transformation, launch innovative financial products, and increase customer engagement and revenue.</t>
  </si>
  <si>
    <t>Inv FinTech, Start Path, The Venture Center</t>
  </si>
  <si>
    <t>www.agoraft.com</t>
  </si>
  <si>
    <t>527611-69</t>
  </si>
  <si>
    <t>Ampere (Financial Software)</t>
  </si>
  <si>
    <t>Developer of a business banking platform intended to provide in-hand access and hassle-free payment processing. The company's platform offers multi-currency accounts, integrated payments, invoicing tools, and access to business financing, enabling startups, small businesses, and enterprises to manage transactions, accept payments, and access funds through a unified interface.</t>
  </si>
  <si>
    <t>Funders, theIntelligent VC, Vilandes VC</t>
  </si>
  <si>
    <t>www.ampere.co.uk</t>
  </si>
  <si>
    <t>463654-36</t>
  </si>
  <si>
    <t>Cadana</t>
  </si>
  <si>
    <t>Developer of a global payment infrastructure designed to transform workforce payouts from a cost center into a profit center. The company offers white-label APIs, real-time local payouts, embedded financial services, and automated compliance, enabling talent marketplaces, staffing platforms, and payroll providers to pay contractors across countries with speed, reliability, and new revenue generation.</t>
  </si>
  <si>
    <t>500 Global, Better Tomorrow Ventures, Broadhaven Capital Partners, Costanoa Ventures, Resilience17, Serunjogi Ventures</t>
  </si>
  <si>
    <t>www.cadanapay.com</t>
  </si>
  <si>
    <t>522142-57</t>
  </si>
  <si>
    <t>Capizate</t>
  </si>
  <si>
    <t>Developer of due diligence financial technology company designed to screen and prepare candidates for investment. The company specializes in providing investor research tools for the early-stage investment community, including venture capitalists, family offices, and angel syndicates, enabling investors to access real-time, accurate key performance indicator insights for both their existing portfolio companies and potential investment opportunities in their pipeline.</t>
  </si>
  <si>
    <t>www.capizate.com</t>
  </si>
  <si>
    <t>104832-19</t>
  </si>
  <si>
    <t>ChitChat (Social/Platform Software)</t>
  </si>
  <si>
    <t>Developer of a digital platform designed to combine messaging with financial transactions. The company's platform offers a wallet that holds multiple currencies, virtual and physical debit cards, group wallets with roles and permissions, and the ability to send payments within chats, enabling individuals and business teams across different countries to manage money, make purchases, and transfer funds securely and efficiently.</t>
  </si>
  <si>
    <t>ACE Ventures (Geneva), Babatunde Ogundeyi, DFS Lab, Dotforge, Earl Grey Capital, Future Africa, Gbenga Ajayi, Goodwater Capital, HoaQ, LoftyInc Capital Management, Marc Ménasé, Michael Sidgmore, Negma Group, Not Boring, Rally Cap VC, Risana Zitha, Runa Capital, Serunjogi Ventures, Suya Ventures, Target Global, Tiger Global Management, Todd &amp; Rahul Capital, Ventures Platform, Vibe Capital, Y Combinator, Zrosk Investment Management</t>
  </si>
  <si>
    <t>www.onchitchat.com</t>
  </si>
  <si>
    <t>518412-43</t>
  </si>
  <si>
    <t>CredHub</t>
  </si>
  <si>
    <t>Developer of a credit building and automated reporting tool intended to increase revenue. The company's platform reports rental payments to the credit bureaus on behalf of property managers and their residents, enabling renters to receive credit for their monthly payments.</t>
  </si>
  <si>
    <t>www.credhub.com</t>
  </si>
  <si>
    <t>496450-81</t>
  </si>
  <si>
    <t>Grazzy</t>
  </si>
  <si>
    <t>Developer of a digital payment portal designed to make cashless tipping seamless and personal. The company's portal helps reduce operating costs, increase wages, and enhance the customer experience through tip enablement and compensation, allowing travelers to maximize earnings and gain real-time visibility.</t>
  </si>
  <si>
    <t>Copper Sky Capital, In Revenue Capital, Iron Skillet Partners, Next Coast Ventures, Tuesday Capital</t>
  </si>
  <si>
    <t>www.grazzy.com</t>
  </si>
  <si>
    <t>442609-30</t>
  </si>
  <si>
    <t>Pye (Commercial Products)</t>
  </si>
  <si>
    <t>Developer of self-service kiosks designed to enhance customer interactions in the restaurant and retail sectors. The company offers customizable interfaces, secure payment options and various hardware designs that facilitate efficient transactions while minimizing errors, enabling businesses to streamline operations, reduce labor costs and improve overall customer satisfaction through a modernized ordering experience.</t>
  </si>
  <si>
    <t>Ana Ceretto, Bolaji Kukoyi, Bryan Thomas, Gabriel Tajeu, gener8tor, GrowthX Capital, Li Deng, Sebastian Kole, Terry Brasseale</t>
  </si>
  <si>
    <t>www.mypyepos.com</t>
  </si>
  <si>
    <t>438087-88</t>
  </si>
  <si>
    <t>Quid Global</t>
  </si>
  <si>
    <t>Developer of a business and banking operations management platform designed to streamline the process of launching new businesses. The company's platform offers multi-currency payment tools to streamline tasks like company incorporation, setting up accounts for payments, and managing expenses, enabling clients to set up and progress ventures efficiently.</t>
  </si>
  <si>
    <t>Ephelia Group, Starboard Capital</t>
  </si>
  <si>
    <t>www.quidglobal.com</t>
  </si>
  <si>
    <t>470842-39</t>
  </si>
  <si>
    <t>StandardC</t>
  </si>
  <si>
    <t>Developer of compliance and risk management software designed for regulated financial services institutions. The company's platform offers automated know-your-customer and know-your-business screening, identity verification, sanctions and watchlist monitoring, adverse media detection, criminal record checks, corporate registration validation, virtual site inspections, transaction monitoring, document management, audit logging, and underwriting workflow tools, enabling banks, lenders, payroll providers, insurers, and merchant processors to streamline onboarding, reduce regulatory risk, and maintain ongoing due diligence across their client portfolios.</t>
  </si>
  <si>
    <t>Confatalis, Hard Yaka, Humberto Mata, Paul Funk, Skip Smith</t>
  </si>
  <si>
    <t>www.standardc.com</t>
  </si>
  <si>
    <t>591530-05</t>
  </si>
  <si>
    <t>Storyline AI</t>
  </si>
  <si>
    <t>Developer of a data visualization platform intended for transforming complex data sets into personalized, AI-powered videos. The company's platform integrates with various data sources and uses storytelling techniques to create engaging content, enabling organizations to communicate information more effectively and achieve goals like customer education, sales conversion, and client engagement.</t>
  </si>
  <si>
    <t>Groundshift, Neman Ventures, Venture Forward Capital</t>
  </si>
  <si>
    <t>www.storyline.com</t>
  </si>
  <si>
    <t>223908-49</t>
  </si>
  <si>
    <t>Tabz</t>
  </si>
  <si>
    <t>B2B Payments, FinTech, HealthTech, SaaS</t>
  </si>
  <si>
    <t>Developer of a SaaS-based online ordering and payments platform designed to facilitate the delivery of prescriptions for pharmacies. The company's platform reduces the number of phone calls and patient enrollment forms pharmacies receive through fax, by allowing patients to pay co-payments, schedule deliveries, and enter pertinent medical information all online without a mobile app, enabling pharmacies to connect to their patients for a fast onboarding and outreach process through technology.</t>
  </si>
  <si>
    <t>Alabama Futures Fund, Bonfire Ventures, Entrepreneurs Roundtable Accelerator, Impulsum Ventures, Impulsum Ventures (Medellin), Navigate Ventures, New Age Capital, Open Opportunity Fund, Redhawk Advisory, Remarkable Ventures, SoftBank Group, Walkabout Ventures</t>
  </si>
  <si>
    <t>www.runontabz.com</t>
  </si>
  <si>
    <t>169785-55</t>
  </si>
  <si>
    <t>Canopy Rent</t>
  </si>
  <si>
    <t>FinTech, InsurTech, Mobile, Real Estate Technology, SaaS</t>
  </si>
  <si>
    <t>Developer of a digital rental ecosystem designed to replace cash deposits with a risk-based insurance policy. The company's ecosystem offers insight into tenant risk and affordability profile and provides an insurance policy to replace deposits and rental fees, enabling tenants to rent apartments with minimal deposit and facilitating landlords and agents to manage and screen, saving tenant referencing costs.</t>
  </si>
  <si>
    <t>Alchemy Crew, Aryza, Catherine Hardiman, Charles Burgess, Christopher Raymond McKee, Direct Line Insurance Group, Experian Ventures, FinTech Innovation Lab, Grow London, Growth Lending, Hay Wain, Nick Martin, Pollen Street Capital, Round Hill Capital, Round Hill Ventures, UK Innovation Agency, Wealth Club, West Hill Capital</t>
  </si>
  <si>
    <t>www.canopy.rent</t>
  </si>
  <si>
    <t>495886-78</t>
  </si>
  <si>
    <t>Finbots.AI</t>
  </si>
  <si>
    <t>Developer of an AI-powered credit risk platform designed to make decisions efficiently and accurately. The company's platform uses machine learning algorithms to analyze large amounts of data, which can help lenders make more informed credit decisions, which help businesses to build, validate, and deploy credit models across their customers' entire credit lifecycle of applications, behavior, and collections, enabling firms to make credit decisions based on customers' past credit performance.</t>
  </si>
  <si>
    <t>Accel, AI Venture Labs, Scaler8</t>
  </si>
  <si>
    <t>www.finbots.ai</t>
  </si>
  <si>
    <t>268727-95</t>
  </si>
  <si>
    <t>Risika</t>
  </si>
  <si>
    <t>Developer of financial risk management software to save money by avoiding losses and by automating manual processes. The company's platform translates internal and external data into solid decision-making using secure algorithms, enabling B2B companies to predict bankruptcies and minimize financial losses.</t>
  </si>
  <si>
    <t>Danish Business Innovation Fund, InnoFounder, Morph Capital, SEED Capital (Copenhagen), Vestrian</t>
  </si>
  <si>
    <t>www.risika.com</t>
  </si>
  <si>
    <t>484628-50</t>
  </si>
  <si>
    <t>EVY</t>
  </si>
  <si>
    <t>Provider of warranty extension services intended to offer protection plans for businesses. The company offers an extension of warranty on a wide range of products, including home appliances, sports equipment, and office supplies, enabling businesses to increase their income.</t>
  </si>
  <si>
    <t>Adrien Nussenbaum, Financière Saint James, Global Founders Capital, Kima Ventures, La Famiglia, Motier Ventures, Peregrine (Australia), Plug and Play Tech Center, Quadrille Capital, Raphaël Vullierme, Saint James, Sequoia Capital, Snaw Ventures, Xavier Niel</t>
  </si>
  <si>
    <t>www.evy.eu</t>
  </si>
  <si>
    <t>223746-94</t>
  </si>
  <si>
    <t>TradeCore</t>
  </si>
  <si>
    <t>Developer of a financial technology platform designed to build next-generation crypto, banking, and investment products. The company's platform provides onboarding, ID verification, payments, execution, and market data services that operate across a wide range of verticals, enabling companies to manage, automate, and grow customer-friendly banking and investment products.</t>
  </si>
  <si>
    <t>George Sarcevich, South Central Ventures, Tech Nation Group</t>
  </si>
  <si>
    <t>www.tradecore.com</t>
  </si>
  <si>
    <t>497458-27</t>
  </si>
  <si>
    <t>Rodeo (Financial Software)</t>
  </si>
  <si>
    <t>Developer of an operating system designed to manage and control the work and finances of the gig economy. The company's platform helps workers access and control their data, provides critical insights and securely connected accounts, and builds the tools to take control of business and finances, helping gig workers boost their earnings and improve their experience.</t>
  </si>
  <si>
    <t>Everywhere Ventures, Form Ventures, Mozilla Ventures, Phoenix Court, Seedcamp, YNN Ventures</t>
  </si>
  <si>
    <t>www.gorodeo.app</t>
  </si>
  <si>
    <t>464039-74</t>
  </si>
  <si>
    <t>Finarkein Analytics</t>
  </si>
  <si>
    <t>Developer of a data analytics platform designed to eliminate information asymmetry to make informed decisions and democratize financial well-being. The company offers a platform that lets users connect and put that data to use in an ecosystem, enabling businesses to create customer journeys with consent managers seamlessly.</t>
  </si>
  <si>
    <t>Bharat Inclusion Seed Fund, BlueLotus Ventures, Capital 2B, Cephalopod Teknik, Chirag Jain, CrossBorder Venture Partners, DSP Family Office, Eximius Ventures, IIMA Ventures, Info Edge (India), Max Life Innovation Labs, Nexus Venture Partners, Nitin Gupta, Redstart Labs, Sampad Swain, Shalini Chhabra, Vikas Agarwal</t>
  </si>
  <si>
    <t>www.finarkein.com</t>
  </si>
  <si>
    <t>535323-61</t>
  </si>
  <si>
    <t>Mysa (Financial Software)</t>
  </si>
  <si>
    <t>Developer of a smart banking platform designed for automation of cash flow management, accounting, and taxes. The company's platform allows businesses to set up current and sweep bank accounts, automatically manage funds across operating accounts and investments, and streamline payables, payroll, receivables, and taxes with user controls and total compliance, enabling businesses to understand their cash flows in real-time in human-readable language.</t>
  </si>
  <si>
    <t>Antler, Blume Venture Advisors, Emphasis Ventures (EMVC), Google Accelerator, Guru Prasad, IIMA Ventures, Ikemori Venture Support GK, Mohit Kumar, Naiyya Saggi, Neon Fund, Nishith Rastogi, Nitin Gupta, NSRCEL-IIMB, Piper Serica Advisors, QED Innovation Labs, Raise Fintech Ventures, Sayali Karanjkar, Sriharsha Majety, Vinayak Narasimhan</t>
  </si>
  <si>
    <t>www.mysa.io</t>
  </si>
  <si>
    <t>494568-01</t>
  </si>
  <si>
    <t>Pluto Markets</t>
  </si>
  <si>
    <t>Developer of an investment software application designed to make investing social by creating a group with friends.The company's software offers to auto-invest, where users can save in shares continuously and avoid stock taxation as on ETFs, enabling investors to collaborate, compete, and co-invest, powered by fractional shares zero-commission trading.</t>
  </si>
  <si>
    <t>Copenhagen Fintech Lab, Goodwater Capital, Hersir Ventures, Likeminded.vc, Lysgaard, Magnetic (Berlin), Nordic Makers, Quick Coffee Ventures, SEED Capital (Copenhagen), Thomas Delaney, Y Combinator</t>
  </si>
  <si>
    <t>www.pluto.markets</t>
  </si>
  <si>
    <t>465594-13</t>
  </si>
  <si>
    <t>Okticket</t>
  </si>
  <si>
    <t>Operator of an expense platform intended to digitize travel expenses. The company offers an automated expense management platform that digitizes travel expenses with an OCR (Optical Character Recognition) system and it optimizes the user experience and covers the entire expense report management process, from digitization to validation and control in real-time, enabling customers to save time and manage professional expenses with ease.</t>
  </si>
  <si>
    <t>Angels Capital, Asterius, Encomenda, ESC Venture Capital, Grupo GVC Gaesco, Lanzadera Accelerator, Scaleup Spain Network, Sociedad Regional de Promoción del Principado de Asturias</t>
  </si>
  <si>
    <t>www.okticket.es</t>
  </si>
  <si>
    <t>592487-11</t>
  </si>
  <si>
    <t>Desia</t>
  </si>
  <si>
    <t>Developer of an AI-driven financial insights platform designed to manage finances through data-driven automation. The company's platform searches across all data sources to provide key insights relevant to a company, market, potential investments, and person, and leverages agents to perform complex analyses and enhance workflows, enabling financial institutions and professionals to redefine knowledge management in financial systems and focus on strategic decision-making and drive growth.</t>
  </si>
  <si>
    <t>2100 Ventures, DIG Ventures, Exor, Foreword, Launchbay Capital, Mark Ransford, Massimo Ragione, Niccolo Maisto, Octopus Ventures, Plug and Play Tech Center, Vento (Venture Capital)</t>
  </si>
  <si>
    <t>www.desia.ai</t>
  </si>
  <si>
    <t>597129-67</t>
  </si>
  <si>
    <t>Allasso</t>
  </si>
  <si>
    <t>Developer of a financial data platform intended to provide advanced financial analytics and software keys for professionals in the derivatives markets. The company's platform offers a curated selection of market data, quality-performance modelling, and the ability to ask questions in natural language with manual data inputs, managing risk, and delivering instant answers to all your questions, enabling clients to trade and invest efficiently and manage their financial data.</t>
  </si>
  <si>
    <t>Fuel Ventures</t>
  </si>
  <si>
    <t>www.allasso.ch</t>
  </si>
  <si>
    <t>108925-57</t>
  </si>
  <si>
    <t>Backer</t>
  </si>
  <si>
    <t>Developer of an investment platform designed to guide college students to save money. The company's platform offers a simple, fast, and efficient way to create a college savings plan, provides a link for family and friends to contribute easily, and allows for tax-free investment of savings, enabling parents and families to save smartly for their children's education and future.</t>
  </si>
  <si>
    <t>Andrew McCollum, Ayush Agarwal, Bharat Mediratta, Correlation Ventures, Crosslink Capital, Daniel Macklin, Expansion Venture Capital, Great Oaks Venture Capital, Jeff Grimes, Princeton Alumni Entrepreneurs Fund, Princeton University Investment Company, Rally Ventures, Samuel Yam, Sequoia Capital, Steven Fram, Tom Blaisdell, Tuck Social Venture Fund, Ulu Ventures, USC Education Technology Accelerator, USC Marshall School of Business, WndrCo</t>
  </si>
  <si>
    <t>www.backer.com</t>
  </si>
  <si>
    <t>228534-58</t>
  </si>
  <si>
    <t>Goin</t>
  </si>
  <si>
    <t>Artificial Intelligence &amp; Machine Learning, Cryptocurrency/Blockchain, FinTech, Mobile</t>
  </si>
  <si>
    <t>Developer of a fintech platform designed to unify money management through automated savings, investments, and digital asset oversight. The company offers an AI-driven financial automation engine, multi-bank aggregation via PSD2, portfolio tools, and integrated rewards, enabling young European consumers to centralize their finances and improve everyday financial decisions.</t>
  </si>
  <si>
    <t>A3 Mediaco, Alejandro García, AngelClub, AngelHack, Anthemis, Appdome, Atresmedia, Christopher Begg, Circle Partners, Civeta Investments, Clara Bullrich, Dídac Lee, Dominik Pasalic, Eddy de Heij, Eduardo Vilar, Elena Garcia Pont, Elies Campo, Enrique Dubois, Enrique Linares, ESC Venture Capital, Fattoria San Michele a Torri, FJ Labs, Hard Yaka, Horizon 2020, Inaki Berenguer, Institut Català de Finances Holding, Javier Olivan, Jordi Castelló, Josep Adserà, K2 Global Ventures, Kai Sotto, KFund, Lanzadera Accelerator, Laura González-Estéfani, Leandro Sigman, Monica Vidal, Myelin VC, RSBC Private Equity, ScaleLab, Sur Ventures (VC), TA Ventures, The K Funds, TheVentureCity, Token Ventures</t>
  </si>
  <si>
    <t>www.goin.app</t>
  </si>
  <si>
    <t>470047-06</t>
  </si>
  <si>
    <t>Islamic Finance Guru</t>
  </si>
  <si>
    <t>Developer of a personal finance platform designed to bridge the gap between classical Islamic scholarship and modern-day commercial awareness. The company's platform offers investment guides, reviews, alternative investment opinions, halal mortgages, as well as investing tips, enabling Muslim communities to get help with their investment, personal finance, and entrepreneurial journeys.</t>
  </si>
  <si>
    <t>B&amp;Y Venture Partners, Hub71, Innate Capital Partners, Outward Venture Capital</t>
  </si>
  <si>
    <t>www.islamicfinanceguru.com</t>
  </si>
  <si>
    <t>596540-89</t>
  </si>
  <si>
    <t>Briskpe</t>
  </si>
  <si>
    <t>Developer of a cutting-edge platform intended to simplify cross-border payments for businesses and marketplace sellers. The company's platform offers secure account-to-account transfers, payment links for hassle-free collections via cards and paypal, and local virtual accounts in multiple currencies, enabling micro, small, and medium enterprises to expand their global reach effortlessly, transforming the way they handle international transactions.</t>
  </si>
  <si>
    <t>PayU, Prosus</t>
  </si>
  <si>
    <t>www.briskpe.com</t>
  </si>
  <si>
    <t>232190-38</t>
  </si>
  <si>
    <t>Praxis Solutions</t>
  </si>
  <si>
    <t>Developer of an autonomous investment technology platform designed to deliver automated, accessible, cost-efficient tools for institutional, wealth, and retail clients. The company's platform offers predictive investments to outperform benchmarks, an automated trading platform, and multiple investment products, enabling investors to get good returns in any market condition.</t>
  </si>
  <si>
    <t>Analytics Ventures, Perch Bay Group</t>
  </si>
  <si>
    <t>www.praxissolutions.com</t>
  </si>
  <si>
    <t>102699-37</t>
  </si>
  <si>
    <t>Proplend</t>
  </si>
  <si>
    <t>Operator of an investment platform intended to provide income through commercial property lending. The company platform offers secured commercial property loans with multiple risk tranches, tax-efficient investment options, and regular monthly interest payouts, enabling individual and corporate investors to earn passive income while managing risk exposure.</t>
  </si>
  <si>
    <t>Eamonn O'Hare, HBS Alumni Angels of Brazil, Peter Johnson, Salamanca Group</t>
  </si>
  <si>
    <t>www.proplend.com</t>
  </si>
  <si>
    <t>152288-74</t>
  </si>
  <si>
    <t>Opencell</t>
  </si>
  <si>
    <t>Developer of a monetization platform designed to automate billing and revenue management. The company's technology provides an open-source billing engine with rest api access, single-tenant SaaS deployment, real-time transaction processing, multi-currency collection, and multi-vendor environment support, enabling businesses in the telecommunications and software sectors to manage complex subscription and usage-based revenue models.</t>
  </si>
  <si>
    <t>Alliance Entreprendre, Capital Grand Est, OVHcloud Startup Program, Seventure</t>
  </si>
  <si>
    <t>www.opencellsoft.com</t>
  </si>
  <si>
    <t>221823-01</t>
  </si>
  <si>
    <t>Cygnetise</t>
  </si>
  <si>
    <t>Developer of a blockchain-empowered enterprise platform designed to help maintain and distribute authorized signatory lists. The company's platform helps mitigate the opportunities for fraud from a mandatory paper-based process by real-time editing and maintenance of authorized signatory lists and data encryption and increased security through access management, enabling organizations to easily manage their signatory lists and bank mandates, whilst decreasing the risk of signatory fraud.</t>
  </si>
  <si>
    <t>1414 Ventures, Adjuvo, Apex Group, Bank of New York Mellon, Bloccelerate, Calibrate Management, Chris Adelsbach, EFG International, Engine (Accelerator), Grow London, JTC Group, Luxembourg House of Financial Technology, Massive Capital Partners, Paul Gripari, Plug and Play Tech Center, Vistra (Legal Services (B2B))</t>
  </si>
  <si>
    <t>www.cygnetise.com</t>
  </si>
  <si>
    <t>459758-26</t>
  </si>
  <si>
    <t>IIMMPACT</t>
  </si>
  <si>
    <t>Developer of application programming interface-driven technology designed to transform businesses into super apps quickly and efficiently. The company platform offers integration of services such as mobile recharge, bill payments, eSIM connectivity, and digital gift cards, enabling businesses to enhance user experiences, drive customer satisfaction, and unlock new revenue streams with reliability and security.</t>
  </si>
  <si>
    <t>Cradle Fund, Peak XV Partners, Pitch Nominees, Sajith Sivanandan, ScaleUp Malaysia, Surge (Accelerator), Yi Chung</t>
  </si>
  <si>
    <t>www.iimmpact.com</t>
  </si>
  <si>
    <t>163925-65</t>
  </si>
  <si>
    <t>Flowcast</t>
  </si>
  <si>
    <t>Developer of an analytics platform designed to help financial institutions make informed credit decisions. The company's platform leverages its patented machine learning algorithms to create quality-performing predictive models that demonstrate accuracy in predicting the ability of a business to repay its loans, the likelihood of dilution, and the risk of delinquency, enabling financial institutions to turn complex data and insights into actions without writing a single line of code.</t>
  </si>
  <si>
    <t>Alchemist Accelerator, Alpana Ventures, BitRock Capital (SG), Enspire Capital, Experian Ventures, Garage Technology Ventures, ING Ventures, Katalyst Ventures, Plug and Play Tech Center, Polytech Ventures Holding, Right Side Capital Management, SAP.iO, StartX (US), The House Fund, Tirto Adji, TSV Capital (Los Altos), Visionnaire Ventures</t>
  </si>
  <si>
    <t>www.flowcast.ai</t>
  </si>
  <si>
    <t>530539-12</t>
  </si>
  <si>
    <t>Glim</t>
  </si>
  <si>
    <t>Developer of a compensation and financial wellness platform designed to support employee financial well-being through flexible pay and guidance. The company offers tax-efficient benefit vouchers, salary advances, employee savings accounts, and financial education and coaching, enabling employers and their employees to manage pay, savings, and financial decisions with greater stability and understanding.</t>
  </si>
  <si>
    <t>Alex Robbio, Asif Ramji, DCG Expeditions, Digital Currency Group, Esteban Alonso, Jeffrey Carter, Luis Daniel Alegria, MatterScale Ventures, Matthew Bryson, Newtopia VC, ParaFi Capital, Peter Stroeve, Robustiano Freixas, Skandia, Wayra</t>
  </si>
  <si>
    <t>www.getglim.com</t>
  </si>
  <si>
    <t>184613-14</t>
  </si>
  <si>
    <t>IMTC</t>
  </si>
  <si>
    <t>Developer of a cloud-native portfolio and order management platform designed to manage fixed-income assets for their clients. The company's platform allows buy-side investors with analytics and portfolio management applications spanning the entire investment decision-making process from idea generation to trade allocation and everything in between, enabling investment management firms to generate alpha by enhancing operational efficiency and optimizing performance.</t>
  </si>
  <si>
    <t>Boro Capital, Loeb.nyc, Lord Abbett, Nyca Partners, Seraph Group, Temperance Partners, The compound Capital, Tribeca Early Stage Partners</t>
  </si>
  <si>
    <t>www.imtc.com</t>
  </si>
  <si>
    <t>549449-38</t>
  </si>
  <si>
    <t>KarmaSuite</t>
  </si>
  <si>
    <t>Developer of a financial management platform designed to streamline operations and increase efficiency and transparency for nonprofit companies. The company's platform provides financial management tools for managing grants, automating manual tasks and optimizing fund allocation without altering the existing general ledger system, enabling clients to spend more time planning and strategizing their future instead of manually manipulating data daily.</t>
  </si>
  <si>
    <t>Bienville Capital, Blackbaud Social Good Startup Program, Fractal Software, Urban Innovation Fund</t>
  </si>
  <si>
    <t>www.karmasuitesoftware.com</t>
  </si>
  <si>
    <t>172187-02</t>
  </si>
  <si>
    <t>Klear</t>
  </si>
  <si>
    <t>Developer of a cashflow management platform intended to streamline procurement, financing, insurance and logistics. The company's platform helps investors support portfolio companies with proper visibility and liquidity, powering growth while bringing clarity to performance and progress, enabling governments, NGOs and corporates to complete large-scale projects in underserved communities.</t>
  </si>
  <si>
    <t>BootstrapLabs, Charles &amp; Potomac Capital, Kirk Bradley, Lateral Frontiers VC, MS&amp;AD Ventures, Position A Partners, Reluco Financial, Stage 1 Ventures</t>
  </si>
  <si>
    <t>www.klear.capital</t>
  </si>
  <si>
    <t>128422-63</t>
  </si>
  <si>
    <t>Lendable</t>
  </si>
  <si>
    <t>Operator of an online lending platform intended to connect alternative lenders. The company's platform specializes in providing debt to fintech firms in emerging and frontier markets, bridging the gap between institutional debt investors and high-growth alternative lenders in Africa, enabling lenders to grow their loan book and companies to acquire financing.</t>
  </si>
  <si>
    <t>Access Ventures, Australian Development Investments, Ceniarth, Dillon McDonald, Fenway Summer, Flourish Ventures, FSD Africa Investments, John Bautista, Joshua Green Corporation, KawiSafi Ventures, Larry Rosenberger, Liberty Equity Management, Mitchell Lowe, Omidyar Network</t>
  </si>
  <si>
    <t>www.lendable.io</t>
  </si>
  <si>
    <t>481257-10</t>
  </si>
  <si>
    <t>RegGenome</t>
  </si>
  <si>
    <t>Operator of a regulatory technology company intended to develop and support the adoption of an open standard framework for classifying content. The company's platform provides machine-readable regulatory content that is dynamic, granular, and interoperable, all powered by artificial intelligence (AI) based textual information extraction techniques, enabling regulatory authorities to increase accessibility and dissemination of regulatory information and empowering organizations to deepen their regulatory intelligence and digitize their compliance and risk management processes.</t>
  </si>
  <si>
    <t>AlbionVC, Aperture, Cambridge Enterprise Ventures, Evolution Equity Partners, MasterCard, Ted Briscoe, University of Cambridge</t>
  </si>
  <si>
    <t>www.reg-genome.com</t>
  </si>
  <si>
    <t>520937-20</t>
  </si>
  <si>
    <t>Skarlett</t>
  </si>
  <si>
    <t>FinTech, InsurTech, Real Estate Technology</t>
  </si>
  <si>
    <t>Developer of a web platform designed to improve the financial well-being of people in France. The company offers insurance products, home equity release options, mortgage life loans, and real estate services, including annuity and bare ownership sales, enabling older adults to unlock property value and access tailored financial support.</t>
  </si>
  <si>
    <t>115K, Alven Capital Partners, Farmers., Kima Ventures, Motier Ventures, Philippe Englebert, RAISE Group, Sequoia Capital, Xavier Niel</t>
  </si>
  <si>
    <t>www.skarlett.fr</t>
  </si>
  <si>
    <t>135237-61</t>
  </si>
  <si>
    <t>Qvalia</t>
  </si>
  <si>
    <t>Developer of a process automation platform intended to redesign the finance process. The company's platform digitizes, unifies and structures customers' transactional data and automates manual work in accounts payable, accounts receivable, transactional accounting and analytics, enabling teams and organizations to have improved capabilities and a set of cloud tools to transform daily tasks such as invoice management, analytics and accounting resulting in improved efficiency, reduced capital leakage and increased visibility into organizational costs.</t>
  </si>
  <si>
    <t>Spiltan, Stella Capital</t>
  </si>
  <si>
    <t>www.qvalia.com</t>
  </si>
  <si>
    <t>126392-86</t>
  </si>
  <si>
    <t>Instinct Digital</t>
  </si>
  <si>
    <t>Developer of a digital reporting technology designed to simplify financial services across web, mobile, and touch-enabled devices. The company's platform offers the ability to automate complex reports, localize content, and distribute reports quickly with visuals and user experience, enabling asset managers to digitally engage with their end clients, sharing insightful and impactful information resulting in personalized value-added services and new sales opportunities.</t>
  </si>
  <si>
    <t>AlbionVC, Engine (Accelerator), Enterprise Investment Scheme, West Hill Capital</t>
  </si>
  <si>
    <t>www.instinctdigital.io</t>
  </si>
  <si>
    <t>161735-14</t>
  </si>
  <si>
    <t>Fama Cash</t>
  </si>
  <si>
    <t>Developer of a digital payment platform designed to assist in paying and marketing needs. The company's platform provides products for all components of the payment ecosystem, including money transfer, bills, airtime recharge, loyalty, coupons, and deals, as well as the processing and big data assistance services via mobile applications, enabling both merchants and consumers to pay or accept payments by scanning a QR code.</t>
  </si>
  <si>
    <t>Flying Point Industries</t>
  </si>
  <si>
    <t>www.famacash.com</t>
  </si>
  <si>
    <t>227734-12</t>
  </si>
  <si>
    <t>Silot</t>
  </si>
  <si>
    <t>Developer of intelligent banking software designed to change the future of banking. The company's software uses artificial intelligence and blockchain to connect the various silos at banks, such as for payments, onboarding, merchant management, and anti-fraud, enabling financial institutions to increase their efficiency and capability by connecting data and functionality silos.</t>
  </si>
  <si>
    <t>Arbor Ventures, Eight Roads, Krungsri Finnovate, NTUitive, Plug and Play Tech Center, SBI Holdings, SBI Investment, Sumitomo Corporation Equity Asia, The Venture Center, ZhenFund</t>
  </si>
  <si>
    <t>www.silot.ai</t>
  </si>
  <si>
    <t>107194-24</t>
  </si>
  <si>
    <t>FilmChain</t>
  </si>
  <si>
    <t>Artificial Intelligence &amp; Machine Learning, FinTech, Industrials, SaaS, TMT</t>
  </si>
  <si>
    <t>Developer of a digital collection agent platform designed to serve the global film and TV industry. The company modernizes payments for producers, financiers, sales agents, and talent who struggle to get paid their correct entitlements and helps find the right crew, enabling clients to get the collection and payment of revenues and production of films efficiently and transparently.</t>
  </si>
  <si>
    <t>Creative Destruction Lab, DeBa Ventures, Department for International Trade, DTN Ventures, FinTech Circle, Grow London, HearstLab, Holt Xchange, Innovate UK, Innvotec, Oxygen Accelerator, Project W (US), Roca X, SFC Capital, Stadiem, TechAngels, University of Toronto, University of Toronto Entrepreneurship</t>
  </si>
  <si>
    <t>www.filmchain.co</t>
  </si>
  <si>
    <t>529356-88</t>
  </si>
  <si>
    <t>Perlib</t>
  </si>
  <si>
    <t>Developer of an insurance planning platform intended to help individuals and businesses save for retirement. The company's platform offers a variety of features, including investment options, tax benefits and flexible withdrawal options, enabling individuals and businesses to save for retirement in a way that meets their individual needs.</t>
  </si>
  <si>
    <t>Arnaud de Louvent, Geoffroy Bragadir</t>
  </si>
  <si>
    <t>www.perlib.fr</t>
  </si>
  <si>
    <t>55172-44</t>
  </si>
  <si>
    <t>Atyati</t>
  </si>
  <si>
    <t>Developer of a fintech company intended to specialize in technology platforms for rural banking and financial inclusion. The company's platform is a mobility-based solution designed to deliver a comprehensive suite of banking services, including an automated and secure banking platform with smart card and biometrics-based authentication capabilities.</t>
  </si>
  <si>
    <t>www.atyati.com</t>
  </si>
  <si>
    <t>466616-08</t>
  </si>
  <si>
    <t>SGeBIZ</t>
  </si>
  <si>
    <t>Developer of a procure-to-pay platform designed to make the lives of small and medium business owners easier. The company's common secured cloud platform offers upfront to backend control, MIS reporting, corporate governance, and more, enabling buyers and suppliers to maximize profitability, productivity, and cash flow.</t>
  </si>
  <si>
    <t>Origin Capital Management, Startup-O</t>
  </si>
  <si>
    <t>www.sgebiz.com</t>
  </si>
  <si>
    <t>432914-05</t>
  </si>
  <si>
    <t>Candor (Software)</t>
  </si>
  <si>
    <t>Operator of an autonomous mortgage underwriting platform intended to automate mortgage and secondary market underwriting procedures. The company's artificial intelligence-powered platform automates the critical expert thinking and problem-solving required to underwrite a mortgage loan without human assistance, or review improves loan quality and reduces repurchase risk, enabling users to scale and match seasonal or market cycle demand with no change in staff.</t>
  </si>
  <si>
    <t>Arthur Ventures, Assurant Ventures, Detroit Venture Partners, Rice Park Capital</t>
  </si>
  <si>
    <t>www.candortechnology.com</t>
  </si>
  <si>
    <t>523403-38</t>
  </si>
  <si>
    <t>Foyer Holdco</t>
  </si>
  <si>
    <t>Developer of a savings account platform designed to create credible first-time homebuyer savings accounts. The company platform brings together market savings accounts with potential state tax savings as well as rewards for contributions to accelerate the home-buying process, enabling customers to save for their down payments for their new homes.</t>
  </si>
  <si>
    <t>Accion, Alpaca VC, ANIMO Ventures, Clocktower Ventures, Detroit Venture Partners, Hometeam Ventures, Marco Ronning, Plug and Play Tech Center, REACH, Resilience VC</t>
  </si>
  <si>
    <t>www.foyersavings.com</t>
  </si>
  <si>
    <t>439554-43</t>
  </si>
  <si>
    <t>Our Mayberry</t>
  </si>
  <si>
    <t>The company's platform helps consumers to make purchases that support the causes they champion to generate a sustainable source of funding for the causes they are passionate about, enabling businesses to grow their business, gain community recognition and develop customer loyalty by supporting the causes that are important to the community.</t>
  </si>
  <si>
    <t>Cypress Ascendant</t>
  </si>
  <si>
    <t>www.ourmayberry.com</t>
  </si>
  <si>
    <t>453569-77</t>
  </si>
  <si>
    <t>Prestamype</t>
  </si>
  <si>
    <t>Provider of financial services intended for business financing and investment purposes. The company's platform offers mortgage-backed loans, invoice factoring services that enable early payment of receivables, and investment options with defined entry amounts and timelines, enabling small and medium-sized enterprises and individual investors to access liquidity, manage cash flow, and participate in financing activities through structured digital processes and risk-screened transactions monitored for compliance with financial regulations.</t>
  </si>
  <si>
    <t>Alive Ventures, AVP Ventures, Inca Ventures, José Sarrio, Lendable, Oikocredit, Roberto Huby, Salkantay Ventures, TNN Capital</t>
  </si>
  <si>
    <t>www.prestamype.com</t>
  </si>
  <si>
    <t>117907-66</t>
  </si>
  <si>
    <t>Fiskl</t>
  </si>
  <si>
    <t>Developer of an AI-powered multi-currency accounting platform designed for small businesses and freelancers to manage finances. The company's platform offers features such as invoicing, expense tracking, payment processing, automated bank synchronization with banks worldwide, tax tracking, and real-time financial reporting, enabling small business owners and freelancers to streamline financial management and maintain financial control.</t>
  </si>
  <si>
    <t>Angel Academe, Dubai Angel Investors, Force Over Mass Capital, Grow London, Lyall Ventures, Start Path, Tech Nation Group</t>
  </si>
  <si>
    <t>www.fiskl.com</t>
  </si>
  <si>
    <t>168863-95</t>
  </si>
  <si>
    <t>Rubric (Australia)</t>
  </si>
  <si>
    <t>Developer of a campus management platform intended to streamline administrative tasks for student unions and clubs while fostering a vibrant community. The company's platform offers tools for managing club memberships and facilitating communication, and offers dashboard and reporting features that analyze student participation and engagement levels, enabling university administrators to foster an engaged and supportive campus environment while simplifying management processes.</t>
  </si>
  <si>
    <t>American Express, Andrew Chick, AngelCube, Artesian, Canberra Innovation Network, Charles Carnegie, Naomi Simson, Romain Bonjean, Shayne Shepherd, Startmate, Steve Baxter, Sudeep Gohil, Sydney Angels, TEN13, Thomas Rice</t>
  </si>
  <si>
    <t>hellorubric.com</t>
  </si>
  <si>
    <t>507104-11</t>
  </si>
  <si>
    <t>Bits Technology</t>
  </si>
  <si>
    <t>Developer of automation software designed to simplify and democratize business onboarding and ensure secure and compliant operations. The company's software connects data sources and orchestrates workflows for financial tech services and helps deploy new products in multiple markets, enabling clients to quickly create onboarding workflow and concentrate on generating significant customer outcomes.</t>
  </si>
  <si>
    <t>Alliance Venture Capital, Alliance Ventures, ALSTIN Capital, Anamcara Capital, Cherry Ventures, Fin Capital, Foreword, Greens Ventures, Haval Van Drumpt, Mastercard Lighthouse, Sophia Bendz, Unusual Ventures</t>
  </si>
  <si>
    <t>www.bits.bi</t>
  </si>
  <si>
    <t>512381-80</t>
  </si>
  <si>
    <t>Uniify</t>
  </si>
  <si>
    <t>Developer of a no-code onboarding software designed to handle all necessary financial data sources in one unified platform. The company's platform offers services including digital onboarding, a credit assessment, know your customer (KYC) and know your business (KYB), unified Application Programming Interface (API) as well as features such as a custom form builder, digital onboarding flows and Customer Relationship Management (CRM) system, enabling financial companies to make informed business decisions with digital systems that make onboarding process significantly rapid, reasonable and manageable.</t>
  </si>
  <si>
    <t>Copenhagen Fintech Lab, Forward VC, Heini Zachariassen, Jannick Malling, Leif Abraham, Mastercard Lighthouse, People Ventures, Spring Capital</t>
  </si>
  <si>
    <t>www.uniify.io</t>
  </si>
  <si>
    <t>437912-74</t>
  </si>
  <si>
    <t>Alphathena</t>
  </si>
  <si>
    <t>Developer of artificial intelligence software designed for enhancing investment management. The company's software provides analytical insights on securities of interest, vast financial and economic datasets, and managed products personalized for risk tolerance, enabling users to identify alpha opportunities more accurately and reliably than manual reactive or passive approaches.</t>
  </si>
  <si>
    <t>Archon.Capital, ETFS Capital, gener8tor, Hyde Park Angels, Leazar Capital, Slojo Investments</t>
  </si>
  <si>
    <t>www.alphathena.com</t>
  </si>
  <si>
    <t>226743-13</t>
  </si>
  <si>
    <t>Delphia</t>
  </si>
  <si>
    <t>Operator of a data platform intended for leveraging data as the cornerstone of capital formation and economic empowerment. The company platform incentivizes the contribution of proprietary data by creating a competitive advantage in financial markets by strategically managing individuals' data to unlock novel avenues for wealth creation, benefiting both individual and institutional investors, enabling clients to make informed decisions and drive sustainable growth.</t>
  </si>
  <si>
    <t>Black Jays, BoxOne Ventures, Creative Destruction Lab, Cumberland, Day One Ventures, Dennis Bennie, Ethan Buchman, FJ Labs, Harley Finkelstein, Hedgewood, Lattice Capital, Lattice Ventures, Lerer Hippeau, Multicoin Capital, Next (Consulting Services), Real Ventures, Ribbit Capital, Road Capital Management, Satish Kanwar, Thomas Bailey, Tobias Lütke, Tom Williams, Trajectory Ventures, University of Toronto, Valor Equity Partners, Y Combinator</t>
  </si>
  <si>
    <t>www.delphia.com</t>
  </si>
  <si>
    <t>525369-52</t>
  </si>
  <si>
    <t>Abby</t>
  </si>
  <si>
    <t>Developer of business management application software designed to help entrepreneurs get rid of administrative tasks and improve their organization. The company's platform offers an invoicing module, simplified financial management, automated declarations to state bodies, sends invoices automatically, and follows projects, enabling organizations to automate their activity of financial management.</t>
  </si>
  <si>
    <t>Grand Nancy Innovation, ILP Group, Kima Ventures, Myrtus Venture, Tomcat Invest, TomCat Ventures, Yeast (France)</t>
  </si>
  <si>
    <t>www.abby.fr</t>
  </si>
  <si>
    <t>894327-94</t>
  </si>
  <si>
    <t>BridgePort (New York)</t>
  </si>
  <si>
    <t>Developer of institutional crypto middleware designed to streamline settlement and credit allocation across custodians, exchanges, and trading venues. The company offers infrastructure for real-time asset movement, inventory management, low-latency messaging, and scalable deployment on cloud systems, enabling financial institutions and digital asset platforms to access interoperable trading environments that reduce fragmentation, improve liquidity, and support secure, high-throughput operations.</t>
  </si>
  <si>
    <t>Blockchain Founders Fund, FunFair Ventures, Further Ventures, Humla Ventures, Virtu Financial, XBTO Ventures</t>
  </si>
  <si>
    <t>www.bridgeportmq.com</t>
  </si>
  <si>
    <t>481266-01</t>
  </si>
  <si>
    <t>Cybera</t>
  </si>
  <si>
    <t>Developer of a financial cybersecurity platform designed to prevent motivated cybercrime for financial institutions. The company's platform facilitates an outsourced cybercrime support center, online reporting of incidents, and a watchlist to reduce losses globally, enabling banks, crypto exchanges, and law enforcement globally to improve the status quo and reduce online fraud.</t>
  </si>
  <si>
    <t>Argon Ventures, Armada Investment, Bantam Group, Blu Venture Investors, Converge Venture Partners, Correlation Ventures, CV VC, Dreamit Ventures, Everywhere Ventures, Founder Collective, K20 Fund, Konstantin Mehl, Marcel Rohner, New North Ventures, Plug and Play Tech Center, Serpentine Ventures</t>
  </si>
  <si>
    <t>www.cybera.io</t>
  </si>
  <si>
    <t>482427-19</t>
  </si>
  <si>
    <t>Double</t>
  </si>
  <si>
    <t>Developer of a bookkeeping software designed to manage key performance indicators. The company's software offers quick sync, management reports, task management, and client communications, enabling startups and small businesses to maintain financial records.</t>
  </si>
  <si>
    <t>AICPA and CPA.com Startup Accelerator, Album VC, Born Capital (California), Jack Altman, Mathilde Collin, Rahul Vohra, Twenty Two Ventures, William Hockey, Y Combinator</t>
  </si>
  <si>
    <t>www.doublehq.com</t>
  </si>
  <si>
    <t>632901-16</t>
  </si>
  <si>
    <t>Float Technologies</t>
  </si>
  <si>
    <t>Developer of an AI-native platform designed to enhance connectivity and automation in capital markets. The company offers intelligent workflow automation, robust security features, and seamless collaboration tools, enabling financial institutions to improve operational efficiency, maintain compliance, and innovate rapidly within their existing technology ecosystems.</t>
  </si>
  <si>
    <t>BoxGroup, Cowie Capital Partners, Lightspeed Venture Partners, Point72 Ventures</t>
  </si>
  <si>
    <t>www.float.tech</t>
  </si>
  <si>
    <t>515114-38</t>
  </si>
  <si>
    <t>Holdings</t>
  </si>
  <si>
    <t>Provider of financial tools designed for efficient business banking. The company's platform offers high-yield savings integrated with checking account features, no fees or minimums, FDIC insurance, and compliance with investment regulations, enabling businesses to manage finances securely and maximize returns.</t>
  </si>
  <si>
    <t>Album VC, Allegis Capital, Convoi Ventures, Fin Capital, Frame VC, Hustle Fund, Spacestation (UK), University Growth Fund</t>
  </si>
  <si>
    <t>www.getholdings.com</t>
  </si>
  <si>
    <t>126187-30</t>
  </si>
  <si>
    <t>LendingFront</t>
  </si>
  <si>
    <t>Operator of an integrated cash flow lending platform intended to automate processes and risk management activities. The company's tool offers a set of integrated or standalone modules covering all aspects of the financing process, including application intake and workflow, underwriting, offer presentation, monitoring, and servicing, enabling businesses to automate the lending process while retaining full control and manual oversight where desired.</t>
  </si>
  <si>
    <t>Argonautic Ventures, Contour Venture Partners, David Dziekanski, Information Venture Partners, Las Olas Venture Capital, MassChallenge, Newark Venture Partners, Perry Dziekanski, Ponce Financial Group, Revel Partners, SixThirty Ventures, Socialatom Group, Start Path, Struck Capital, The Venture Center, ValueStream Ventures</t>
  </si>
  <si>
    <t>www.lendingfront.com</t>
  </si>
  <si>
    <t>489183-49</t>
  </si>
  <si>
    <t>ManaDia</t>
  </si>
  <si>
    <t>Artificial Intelligence &amp; Machine Learning, Cryptocurrency/Blockchain, FinTech, Gaming, Mobile</t>
  </si>
  <si>
    <t>Developer of a financial application designed to introduce reward-based gaming. The company's application offers a checking account and debit card for people who enjoy playing video games and want to get rewarded, as well as provides access to events, gaming hardware, and betas, enabling gamers to earn points from making everyday purchases as well as playing their favorite games.</t>
  </si>
  <si>
    <t>www.mana.app</t>
  </si>
  <si>
    <t>518123-35</t>
  </si>
  <si>
    <t>Paykeeper</t>
  </si>
  <si>
    <t>Construction Technology, FinTech, Mobile, Real Estate Technology</t>
  </si>
  <si>
    <t>Operator of an automated escrow platform intended for reducing cash transactions for construction projects. The company's platform offers various services, including protecting all parties, with fast and easy-to-create project escrow accounts, making digital payments into escrow, tracking a project's progress, enabling the homeowner and contractor to make timely payments and eliminating hassle and payment risk.</t>
  </si>
  <si>
    <t>www.paykeeper.com</t>
  </si>
  <si>
    <t>325139-59</t>
  </si>
  <si>
    <t>StoreCash</t>
  </si>
  <si>
    <t>Developer of a payment application designed to manage and make settlements instantly. The company allows unbanked teens to request, receive and redeem funds from a mobile device without needing a bank account, enabling customers to make payments hassle-free.</t>
  </si>
  <si>
    <t>10X Capital, 43North, Aaron Szekel, Alumni Ventures, Black Operator Ventures, Correlation Ventures, Entrepreneur Ventures (Los Angeles), Gaingels, MaC Venture Capital, Mucker Capital, Popular, Techstars, Western New York Venture Association, Western Union</t>
  </si>
  <si>
    <t>www.storecashapp.com</t>
  </si>
  <si>
    <t>111805-84</t>
  </si>
  <si>
    <t>Supernova Technology</t>
  </si>
  <si>
    <t>Developer of digital lending software designed to automate the securities-based lending process. The company's software provides access to origination and servicing technology, enabling clients to pledge taxable investment portfolios as collateral and achieve financial wellness by increasing flexibility in financing the things individuals need in life.</t>
  </si>
  <si>
    <t>Continuum Capital Managers, DNS Capital, Huizenga Capital Management, Joseph Mansueto, Sandalphon Capital</t>
  </si>
  <si>
    <t>www.supernovacompanies.com</t>
  </si>
  <si>
    <t>746603-11</t>
  </si>
  <si>
    <t>Termblocks</t>
  </si>
  <si>
    <t>Developer of an artificial intelligence native private credit software platform based in New York. The company's platform streamlines and automates many of the manual, inefficient processes involved in managing private credit investments and facilities, enabling clients to bridge traditional barriers and empower private credit participants.</t>
  </si>
  <si>
    <t>Innovent Capital Group, KDX Ventures, Third Prime</t>
  </si>
  <si>
    <t>www.termblocks.com</t>
  </si>
  <si>
    <t>462809-98</t>
  </si>
  <si>
    <t>Wert</t>
  </si>
  <si>
    <t>Developer of embedded payment modules intended for websites and mobile apps. The company offers a customizable checkout interface, simplified identity verification (KYC), and real-time user insights to support the purchase of digital assets to make purchases using traditional payment methods without leaving the host platform, enabling NFT marketplaces, DeFi platforms, and Web3 wallets to onboard users with minimal friction and maintain regulatory compliance.</t>
  </si>
  <si>
    <t>13books Capital, JDAC Capital, Launchbay Capital, Mastercard Lighthouse, Parallax Ventures, Redstone VC, Tezos, VR Ventures, XFounders</t>
  </si>
  <si>
    <t>www.wert.io</t>
  </si>
  <si>
    <t>482338-36</t>
  </si>
  <si>
    <t>When</t>
  </si>
  <si>
    <t>Developer of offboarding and health insurance navigation systems designed for employers and employees. The company's artificial intelligence platform provides a streamlined offboarding process, personalized health insurance recommendations, and financial assistance for premiums, enabling businesses to reduce healthcare costs and improve the employee experience during a traditionally stressful transition.</t>
  </si>
  <si>
    <t>7wire Ventures, Alumni Ventures, B Capital Group, BrokerTech Ventures, Chicago Early Growth Ventures, Enfield Capital Partners, Joyance Partners, Lofty Ventures, ManchesterStory, MTT Ventures, Network Ventures, Service Provider Capital, TTV Capital</t>
  </si>
  <si>
    <t>www.forwhen.com</t>
  </si>
  <si>
    <t>128371-60</t>
  </si>
  <si>
    <t>LendingCrowd</t>
  </si>
  <si>
    <t>Developer of a fintech platform designed to provide fast and flexible business loans to small and medium-sized enterprises. The company offers a user-friendly application process, cutting-edge technology, and loan terms ranging from six months to five years, enabling small businesses across the UK to bridge funding gaps and support their growth ambitions.</t>
  </si>
  <si>
    <t>Bill Dobbie, Chanrossa, David Murray, Equity Gap, Murray Capital, Scottish Enterprise, Tech Nation Group</t>
  </si>
  <si>
    <t>www.lendingcrowd.com</t>
  </si>
  <si>
    <t>266480-20</t>
  </si>
  <si>
    <t>Perl Street</t>
  </si>
  <si>
    <t>Developer of a deal structuring platform designed to help hardware companies raise capital for continuous and sustainable expansion. The company's platform streamlines investments in urban technologies by providing transparency for investors and automated onboarding for startups, enabling businesses to showcase verified unit economics and simulate deal terms to investors.</t>
  </si>
  <si>
    <t>Climate Capital, Cool Climate Collective, Daft Capital, Energy Laboratory, Exelon Foundation, FJ Labs, Fourth Realm, Garage Capital, H.E.N.R.Y Collective, Impact Ventures, Keiki Capital, MS&amp;AD Ventures, Quake Capital, RevTech Labs Capital, Third Derivative, Third Sphere, Y Combinator</t>
  </si>
  <si>
    <t>www.perlstreet.com</t>
  </si>
  <si>
    <t>230371-93</t>
  </si>
  <si>
    <t>CashDirector</t>
  </si>
  <si>
    <t>Operator of a business banking platform intended to digitalize the daily financial tasks of small and medium enterprises. The company's platform, integrated with the online banking of partnered banks, offers real-time accounting data and cash-flow forecasting, helping small and medium enterprises to manage cash flow properly and get easy and automated access to financing, and banks to automate scoring and the small and medium enterprises' lending process, enabling clients to get into an organized financial structure.</t>
  </si>
  <si>
    <t>28DIGITAL, AI Technologies, Barclays, Cybersecurity Investments, EEC Ventures, Luma Holding, PFR Ventures, Plug and Play Tech Center, Techstars, Visa Innovation Program</t>
  </si>
  <si>
    <t>www.cashdirector.com</t>
  </si>
  <si>
    <t>435723-13</t>
  </si>
  <si>
    <t>Clockwork</t>
  </si>
  <si>
    <t>Developer of an AI-powered financial modeling software designed to provide financial planning and analysis. The company's software uses real-time information to automatically build out intelligent financial projections and cash flow forecasts in minutes rather than days, enabling businesses to customize the assumptions, collaborate, and create scenarios without going through different platforms and spreadsheets.</t>
  </si>
  <si>
    <t>11.2 Ventures, Alumni Ventures, Arch Grants, G20 Ventures, Service Provider Capital, Underscore VC</t>
  </si>
  <si>
    <t>www.clockwork.ai</t>
  </si>
  <si>
    <t>463945-06</t>
  </si>
  <si>
    <t>Reworth</t>
  </si>
  <si>
    <t>Developer of a fintech-adtech platform designed to transform banks into high-margin, performance-based media channels. The company offers a Financial Media Network that integrates personalized, merchant-funded cashback offers directly into banking apps, enabling banks to monetize their cardholder base, merchants to pay only for verified sales, and consumers to benefit from seamless rewards experiences. Through partnerships with major financial institutions and card networks, it supports banks and retailers in multiple regions, enhancing engagement, loyalty, and recurring revenue opportunities.</t>
  </si>
  <si>
    <t>Actyus, Alfonso Rios, Barclays, Bluewatch Ventures, Daniel Vogel, FJ Labs, GG Capital (Santiago), Gilgamesh Ventures, Hi Ventures, Iluminar Ventures, JAM Fund, Justin Mateen, K5 Global, K5 Ventures, Latitud, Lotux, Magma Partners, Max Burger, NOA Capital, Peachscore, Rally Cap VC, Ricardo Weder, Sebastien Breteau, Soma Capital, Verve Capital</t>
  </si>
  <si>
    <t>www.reworth.co</t>
  </si>
  <si>
    <t>433293-49</t>
  </si>
  <si>
    <t>Fintso</t>
  </si>
  <si>
    <t>Developer of a wealth management platform designed to help independent financial advisors nurture client relationships. The company's platform offers full-stack wealth management solutions like AI-powered advisory support that offers the ability to deliver micro-advisory and cross-sell effectively, increase outreach and digital adoption through co-branded client apps and content, enabling independent financial product providers to have access to insights, research, recommendations, and model portfolios to operate their business of serving their investors and growing their brand and identity.</t>
  </si>
  <si>
    <t>Brijesh Agarwal, Desai Ventures, Dilipkumar Khandelwal, Kanwaljit Singh, Nikhil Vora, Piyush Gupta, Pratul Shroff, Rajeev Juneja, Tomorrow Capital</t>
  </si>
  <si>
    <t>www.fintso.com</t>
  </si>
  <si>
    <t>715442-77</t>
  </si>
  <si>
    <t>Frontlands</t>
  </si>
  <si>
    <t>Provider of a mineral rights-backed lending platform intended to provide financing without requiring asset sales. The company offers revolving lines of credit secured by mineral rights, flexible repayment options, and lending without credit score impact, enabling mineral rights owners to access liquidity while retaining ownership of their assets.</t>
  </si>
  <si>
    <t>Cambrian Fintech, Fiat Ventures, Lime Rock Partners, Wischoff Ventures</t>
  </si>
  <si>
    <t>www.frontlands.com</t>
  </si>
  <si>
    <t>438496-93</t>
  </si>
  <si>
    <t>Rellevate</t>
  </si>
  <si>
    <t>Provider of digital banking services intended to help people access, move, and use their money. The company's services include a digital account with earnings credit and a Visa debit card and provide access to bill payment and money transfer facilities, enabling users to make payments anytime and anywhere.</t>
  </si>
  <si>
    <t>Connecticut Innovations, IAG Capital Partners, Naples Technology Ventures, RevTech Labs Capital, Tamiami Angel Funds, Texas Halo Fund</t>
  </si>
  <si>
    <t>www.rellevate.com</t>
  </si>
  <si>
    <t>482146-57</t>
  </si>
  <si>
    <t>Vint</t>
  </si>
  <si>
    <t>Operator of an investment platform intended for wine investing. The company's platform allows investors to invest in the wine market, it sources wines and spirits through the use of data models, analytics, and a team of industry experts and takes a sourcing fee, enabling investors to diversify their portfolio by investing in the wine market.</t>
  </si>
  <si>
    <t>Allied Venture Partners, Arrington Capital, Blue Equity, Cooley, Fiat Ventures, FinTech Ventures Fund, Goat Rodeo Capital, Great Oaks Venture Capital, Hands On Angel, irrvrntVC, Menlo Ventures, Montage Ventures, MS&amp;AD Ventures, Plug and Play Tech Center, Service Provider Capital, Slow Ventures, Startup Virginia, Wisconsin Investment Partners</t>
  </si>
  <si>
    <t>www.vint.co</t>
  </si>
  <si>
    <t>265390-84</t>
  </si>
  <si>
    <t>Cardo AI</t>
  </si>
  <si>
    <t>Developer of a financial technology designed for fintech lenders to modernize and reinvent structured finance. The company's platform simplifies data integration and mapping, and can easily solve any challenge that may arise in the process, enabling asset managers, fintech lenders, and banks to improve portfolio performance, operational efficiency, and transparency.</t>
  </si>
  <si>
    <t>Andy Horwitz, Auriga (Financial Software), Banca Valsabbina, Blackstone, Endeavor Italy, ERA Global, Fasanara Capital, FinTech Innovation Lab, FINTOP (US), JAM FINTOP, Kevin MacDonald, TechItalia Lab</t>
  </si>
  <si>
    <t>www.cardoai.com</t>
  </si>
  <si>
    <t>231163-84</t>
  </si>
  <si>
    <t>FounderNest</t>
  </si>
  <si>
    <t>Developer of a scouting technology-based market intelligence platform designed to improve market landscaping, exploration, and insights availability. The company's platform understands and identifies the needs of the business and connects with proper partnerships, investment, and acquisition targets promptly by using artificial intelligence, enabling businesses to make informed decisions, optimize strategies, and stay ahead of the competition.</t>
  </si>
  <si>
    <t>Acequia Capital, Alexia Ventures, Atacama Ventures, BlueRun Ventures, Cardinal Ventures, Dunamu &amp; Partners, Ethos Angel Funds, Failup Ventures, NextBlue, Stanford LaunchPad, Ulu Ventures, Vela Partners</t>
  </si>
  <si>
    <t>www.foundernest.com</t>
  </si>
  <si>
    <t>482368-33</t>
  </si>
  <si>
    <t>Yoii Fuel</t>
  </si>
  <si>
    <t>Operator of a revenue based financing system designed for providing funding based on projected future revenue rather than equity or collateral. The company analyzes past sales data and predicts future sales that are future receivables enabling procurement of growth funds and uses future debt to turn future sales into current cash, providing businesses with financial access to those that are unable to reach the existing financial system or do not want to choose existing means.</t>
  </si>
  <si>
    <t>Emellience Partners, FFG Venture Business Partners, Global Brain, HiJoJo Partners, Inclusion Japan, ITOCHU Technology Ventures, Mamoru Taniya, Mitsubishi UFJ Trust and Banking, One Capital (Tokyo), Plug and Play Tech Center, Takashi Yokomichi, The University of Tokyo Founder's Association Support Fund, UTokyo Innovation Platform Company</t>
  </si>
  <si>
    <t>www.yoii.jp</t>
  </si>
  <si>
    <t>529046-92</t>
  </si>
  <si>
    <t>Communion Saves</t>
  </si>
  <si>
    <t>Developer of a savings application designed for millennials to open up access to financial advice and wealth building amid a cost-of-living squeeze. The company's fintech product offers an easy-access savings account through an application, enabling users to build a buffer against the world and fix their relationship with money.</t>
  </si>
  <si>
    <t>Erin Lantz, Gregory Marsh, Maximilian Rofagha, Target Global</t>
  </si>
  <si>
    <t>www.communionsaves.com</t>
  </si>
  <si>
    <t>172819-45</t>
  </si>
  <si>
    <t>Saffe</t>
  </si>
  <si>
    <t>Developer of artificial intelligence face recognition and liveness detection software designed to facilitate payments and secure authentications with a privacy-first antifraud resolution. The company's software leverages artificial intelligence, facial biometrics, cryptography, and distributed computing, enabling clients to protect their businesses against online fraud while meeting personal data protection standards.</t>
  </si>
  <si>
    <t>365x, Banco de Desenvolvimento de Minas Gerais, Bossa Invest, CFV Ventures, DIFC Innovation Hub, Huge Thing, ING Group, InovaBRA, Labs Lisboa, NatWest Group, NTT DoCoMo, Plug and Play Tech Center, RevTech Labs Capital, RuiDa Controller, Santander UK, Stacked Capital, Telefonica Germany, Wayra</t>
  </si>
  <si>
    <t>www.saffe.ai</t>
  </si>
  <si>
    <t>92515-96</t>
  </si>
  <si>
    <t>Payever</t>
  </si>
  <si>
    <t>Developer of an online merchant platform designed to integrate payment gateways into parent sites. The company's platform offers all payment options and facilitates merchants to get paid via mail, invoice, website, online shop, in their local retail store, and even through social media accounts, enabling small businesses to access customers in the same way big companies can.</t>
  </si>
  <si>
    <t>Banco Santander, Innovationsstarter, Microsoft for Startups, Santander Bank, Seven Accelerator</t>
  </si>
  <si>
    <t>www.payever.de</t>
  </si>
  <si>
    <t>277215-04</t>
  </si>
  <si>
    <t>OSYTE</t>
  </si>
  <si>
    <t>Developer of a multi-asset investment technology platform designed for portfolio monitoring of liquid public markets, semi-liquid alternatives, and illiquid private markets. The company's platform features asset allocation and rebalancing of multi-asset portfolios with various liquidity terms, trade management for both liquid and illiquid assets, including automated workflows for subscription documents, liquidity management, cash flow management, and capital call management, enabling clients to manage portfolios and make investment decisions to keep up with changing market conditions.</t>
  </si>
  <si>
    <t>Altari Ventures, Bill Gillies, Brian Mock, Bryan Weeks, Charles Anselm, First Trust Capital Partners, Greg Nordquist, Ian Battye, Joe Hoffman, Jon Herlocker, Joseph Pensinger, Josh Smith, Matt McLaughlin, Moneta Ventures, Paul Stiff, Peter Mueller, SeaChange Fund, Sigmas Group, SixThirty Ventures, Stephen Backholm, Tacoma Venture Fund, Taso Sofikitis</t>
  </si>
  <si>
    <t>www.osyte.com</t>
  </si>
  <si>
    <t>433936-18</t>
  </si>
  <si>
    <t>Bridge (Chicago)</t>
  </si>
  <si>
    <t>Developer of a mobile banking platform designed to build wealth in financially underserved communities by removing the barriers to upward economic mobility.
The company's platform provides free checking accounts, check deposits through mobile phones, free ATM access, and zero overdraft fees, enabling customers to access a hassle-free banking experience and get ahead financially.</t>
  </si>
  <si>
    <t>Aaron Rankin, Abhishek Choudhary, Acumen America, Acumen Fund, Alumni Ventures, Bread &amp; Butter Ventures, Chicago Early Growth Ventures, Christopher Deutsch, Daren Cotter, Founder Collective, Gurtin Ventures, Hilltop Venture Partners, Jeffrey Eschbach, Kapor Capital, Lofty Ventures, Margaret Georgiadis, Michael Suchsland, Paul Sims, Plug and Play Tech Center, Rankin Ventures, Revolution (Washington DC), Swizzle Ventures, Synetro Group, TMV (Trail Mix Ventures), Todd Benson, Ulu Ventures, Village Capital</t>
  </si>
  <si>
    <t>www.bridgemoney.co</t>
  </si>
  <si>
    <t>222566-32</t>
  </si>
  <si>
    <t>Edda</t>
  </si>
  <si>
    <t>Developer of an investment management platform intended to manage deal flow and track portfolio performances. The company's platform specializes in tracking new deals and keeping limited partners up to date by building tools tailored for investors, enabling businesses to manage existing investments and stay in touch with portfolio companies.</t>
  </si>
  <si>
    <t>Anges Québec, Anthony Fadell, Arnaud Bonzom, Build Collective, CSA Partners, FJ Labs, Inovexus Ventures, Jude Gomila, Kima Ventures, Mucker Capital, Panache Ventures, Plug and Play Tech Center, Techmind</t>
  </si>
  <si>
    <t>www.edda.co</t>
  </si>
  <si>
    <t>54817-39</t>
  </si>
  <si>
    <t>Dhani Pay</t>
  </si>
  <si>
    <t>Developer of a digital payment platform designed to offer secure payment experiences. The company's platform offers an interactive payment ecosystem for all offline and online payments, enabling individuals, corporates, and merchants to transact via digital medium without dealing with hard cash.</t>
  </si>
  <si>
    <t>IDFC, Indiabulls Consumer Finance, Micromax Informatics, Nirvana Ventures Advisors</t>
  </si>
  <si>
    <t>www.dhanipay.in</t>
  </si>
  <si>
    <t>538919-38</t>
  </si>
  <si>
    <t>Node (Menlo Park)</t>
  </si>
  <si>
    <t>Developer of an online transaction convenience platform intended to make transacting easier and more secure for both merchants and consumers. The company's platform aims to eliminate the tedious steps in online transactions by letting consumers manage, retrieve, and save all of their online interactions, purchases, and profiles only on their devices, enabling merchants to provide an easier and faster way for people to shop on their sites.</t>
  </si>
  <si>
    <t>Gary Marino, Neotribe Ventures</t>
  </si>
  <si>
    <t>www.nodeconnects.com</t>
  </si>
  <si>
    <t>519028-21</t>
  </si>
  <si>
    <t>Eko (Financial Services)</t>
  </si>
  <si>
    <t>Developer of a financial platform designed to enable financial institutions to offer a digital investment product directly on their existing banking platform. The company's platform offers investments as a service that delivers a quality digital product to credit unions and banks, enabling clients to have an additional non-interest revenue stream.</t>
  </si>
  <si>
    <t>Alloy Labs, Bankers Helping Bankers Fund, IrishAngels, Motivate Venture Capital, NXTUS, Simplex Ventures, Simplexity Ventures, Team Ignite Ventures, Techstars</t>
  </si>
  <si>
    <t>www.eko.investments</t>
  </si>
  <si>
    <t>516972-34</t>
  </si>
  <si>
    <t>Covalt - SaaS platform for lenders</t>
  </si>
  <si>
    <t>Operator of a fintech platform intended to provide digital credit collateral management services. The company's SaaS platform simplifies the management of guarantees and reduces the cost of use to make them competitive and suitable tools from an operational and financial point of view, enabling lenders to optimize the cost and control the risk on their outstanding loans.</t>
  </si>
  <si>
    <t>115K, Kima Ventures, Newfund Management, platform58</t>
  </si>
  <si>
    <t>www.covalt.eu</t>
  </si>
  <si>
    <t>432437-32</t>
  </si>
  <si>
    <t>Grafterr</t>
  </si>
  <si>
    <t>Operator of a hospitality software platform intended to enhance ordering processes, create efficiencies within service delivery, reduce overheads, and elevate the customer experience. The company's platform offers digital ordering, self-checkout kiosks, electronic point-of-sale (ePOS) systems, and payment tools, enabling restaurants, takeaways, pubs, and bars to carry out their business efficiently.</t>
  </si>
  <si>
    <t>www.grafterr.com</t>
  </si>
  <si>
    <t>167533-75</t>
  </si>
  <si>
    <t>4G Capital</t>
  </si>
  <si>
    <t>Provider of a microfinance platform intended to provide accessible credit and business training to self-employed informal market traders. The company offers short-term loans, integrated business training, machine learning-based credit assessment, and tailored credit products, enabling micro-enterprises to access affordable financing and improve financial management and business growth.</t>
  </si>
  <si>
    <t>Emergo Partners, Global Innovation Fund, Ground Squirrel Ventures, Lateral Frontiers VC, Lightrock, Zephyr Management</t>
  </si>
  <si>
    <t>www.4g-capital.com</t>
  </si>
  <si>
    <t>437306-59</t>
  </si>
  <si>
    <t>Fennech Financial</t>
  </si>
  <si>
    <t>Developer of a modular treasury infrastructure platform designed to unify and automate treasury, payments, and liquidity management. The company's platform offers real-time dashboards, API-based payment orchestration, AI-powered forecasting, and easy ERP and bank integrations to scale and reduce the cost of finance and treasury operations, enabling corporates, banks, and fintechs to gain comprehensive control over their financial operations and improve agility.</t>
  </si>
  <si>
    <t>Grow London, Lloyds Banking Group</t>
  </si>
  <si>
    <t>www.fennech.com</t>
  </si>
  <si>
    <t>518028-13</t>
  </si>
  <si>
    <t>Numeral</t>
  </si>
  <si>
    <t>Developer of a financial data management and accounting automation platform designed to offer a sub-ledger for high-volume businesses. The company's platform automates cash reconciliation, eliminates accounting errors, enhances cash forecasting, and offers features that include a rule engine to execute revenues, enabling companies to get fully automated revenue recognition and transaction-level cash reconciliation.</t>
  </si>
  <si>
    <t>Bienville Capital</t>
  </si>
  <si>
    <t>www.gonumeral.com</t>
  </si>
  <si>
    <t>439050-34</t>
  </si>
  <si>
    <t>Able (Business/Productivity Software)</t>
  </si>
  <si>
    <t>Developer of a data and analytics platform designed to allow professionals to make informed decisions. The company's platform offers profound, multi-layered maps of the world's complex information space, formulates concepts, entities, capabilities, and patterns, and uncovers valuable dynamics to solve problems of risk detection, quantum mathematics, financial management, and healthcare operations, enabling investment and commercial teams to get informations and simplify their operations.</t>
  </si>
  <si>
    <t>FinTLV Ventures, Fujitsu, Mensch Capital Partners, R-Squared Ventures, Stanley Capital</t>
  </si>
  <si>
    <t>www.ableinsights.com</t>
  </si>
  <si>
    <t>180681-76</t>
  </si>
  <si>
    <t>TradeOff</t>
  </si>
  <si>
    <t>Developer of a trading platform designed for traders and investors. The company's performance analytics helps to validate competence and test strategies in a risk-free environment, enabling users to develop their trading skills.</t>
  </si>
  <si>
    <t>www.tradeoff.com</t>
  </si>
  <si>
    <t>537311-26</t>
  </si>
  <si>
    <t>Eunice</t>
  </si>
  <si>
    <t>Artificial Intelligence &amp; Machine Learning, Cryptocurrency/Blockchain, FinTech, Legal Tech, SaaS</t>
  </si>
  <si>
    <t>Developer of an asset due diligence and monitoring platform designed to support investment evaluation and asset oversight. The company offers high-quality data integration, AI-powered analysis, and monitoring capabilities, enabling investors and asset managers to assess assets more effectively and maintain ongoing visibility into asset performance.</t>
  </si>
  <si>
    <t>ALSP21, Atomico (UK) Partners, Benjamin Fernandes, Bitdeer Technologies Limited, Ceteris Paribus Holding Limited, Charles Delingpole, Christian Faes, Fredrik Hjelm, Grow London, Keith Grose, Michael Li, Moonfire, Nathan McCauley, Ocular VC, Openspace Capital, Paul Forster, SCOUT VI-A, Speedinvest, Steyer Taylor Revocable Trust, Tiny Supercomputer Investment Company, Vivian Liu, Zehan Wang</t>
  </si>
  <si>
    <t>www.eunice.ai</t>
  </si>
  <si>
    <t>497662-12</t>
  </si>
  <si>
    <t>Deciml</t>
  </si>
  <si>
    <t>Developer of an investment application designed for micro-investing by rounding up online transactions. The company's application facilitates the investment of spare change from online purchases into selected mutual funds or lending platforms and online transactions, including unified payments interface transactions and card payments, enabling users to increase savings through mutual funds and fixed-return funds.</t>
  </si>
  <si>
    <t>Abhishek Oswal, Abhishek Ponia, Agility Venture Partners, Bhuvan Bam, Blaze Management Labs LLP, Chirag Gandhi, Gaurav Munjal, Hemant Ruprell, Jainam, Mukund Jha, MyAsiaVC, Praful Billore, Raj Shamani, Ranveer Allahbadia, Rasiklal Thakker, Ritesh Malik, Rohit Raj, Sandeep Chawda, Saurabh Abbi, Shashank Deshpande, Suhani Shah, Varun Thakur, Vinit Pardeshi, Viraj Sawant, Viraj Sheth, Zakir Khan</t>
  </si>
  <si>
    <t>www.deciml.in</t>
  </si>
  <si>
    <t>520933-15</t>
  </si>
  <si>
    <t>FutureMoney</t>
  </si>
  <si>
    <t>Developer of a financial platform designed to help parents invest in their children's future. The company offers expertly managed, diversified investment portfolios and simplifies wealth-building, making powerful financial strategies, enabling families and couples to invest together for shared goals and allowing friends and family to contribute to a child's financial future.</t>
  </si>
  <si>
    <t>Aaron Hashim, Brian Payne, Bulletpitch, Capacity Capital (Chattanooga), Flybridge (New York), gener8tor, Harvest Venture Partners, Hustle Fund, Mistral Venture Partners, Next Wave Impact, Next Wave NYC, RevTech Labs Capital, Serac Ventures, Telegraph Hill Capital, The Pitch Fund &amp; Syndicate</t>
  </si>
  <si>
    <t>www.futuremoney.co</t>
  </si>
  <si>
    <t>431355-61</t>
  </si>
  <si>
    <t>MoGu AI</t>
  </si>
  <si>
    <t>Developer and provider of financial application software products and related technical consulting and technical services. The company is committed to providing solutions that serve wealth management companies through the application of artificial intelligence and big data, enabling the companies to achieve a differentiated business layout, identify customers' needs, improve investment research capabilities and risk management.</t>
  </si>
  <si>
    <t>www.mogu-ai.com</t>
  </si>
  <si>
    <t>489897-19</t>
  </si>
  <si>
    <t>SupportPay</t>
  </si>
  <si>
    <t>Operator of a payment platform intended to help single, divorced, separated, and blended families manage their financial relationships. The company's platform provides an application to manage child support payments and share expenses directly between parents, enabling users to easily track expenses, store receipts, dispute items, and make and receive payments.</t>
  </si>
  <si>
    <t>Alaina Sloo, Catorce Ventures, Comeback Capital, Connetic Ventures, EV Private Investments, gener8tor, Hands On Angel, HearstLab, Houston Angel Network, Hustle Fund, Jason Calacanis, Joanna Drake, Labor Capital, LAUNCH Fund, Mark Ghermezian, Michigan Capital Network, Morgan Stanley Inclusive &amp; Sustainable Ventures, NC Tweener Fund, Panasonic Well, Relumin, Render Capital, SaaSCraft Ventures, StageNext Fund, Stas Khirman, The Angels' Forum, The Perkins Fund, United Venture Capital, Victorum Capital Club</t>
  </si>
  <si>
    <t>www.supportpay.com</t>
  </si>
  <si>
    <t>264579-31</t>
  </si>
  <si>
    <t>PayLead</t>
  </si>
  <si>
    <t>Developer of a personalized marketing and data analysis platform designed to provide consumer-centric marketing. The company uses consumer insights and business intelligence generated with the use of anonymized bank transaction data to create personalized reward experiences in consumer daily banking applications, enabling fintech, merchants, and retailers to drive online and in-store sales, and get the insight and tools needed to execute targeted and personalized marketing campaigns.</t>
  </si>
  <si>
    <t>Courtin Investment, Hugues Le Bret, Open CNP, Plug and Play Tech Center, SIDE Capital, SideAngels, Viralety Ventures</t>
  </si>
  <si>
    <t>www.paylead.fr</t>
  </si>
  <si>
    <t>489618-01</t>
  </si>
  <si>
    <t>Iceberg Data Lab</t>
  </si>
  <si>
    <t>Operator of a financial technology company intended to provide environmental data to financial institutions. The company develops assessment tools and methodologies to calculate the various environmental impacts of issuers and assets throughout the value chain, from supply chain to end-use, enabling financial institutions to assess the impact of their portfolios on the environment.</t>
  </si>
  <si>
    <t>AXA Investment Managers, Beringea, BNP Paribas Asset Management, Capital Croissance, Mirova, Natixis, Solactive, Ternel</t>
  </si>
  <si>
    <t>www.icebergdatalab.com</t>
  </si>
  <si>
    <t>167701-51</t>
  </si>
  <si>
    <t>1Crowd</t>
  </si>
  <si>
    <t>Developer of an equity crowdfunding platform designed to connect investors with a host of promising Indian start-ups and early-stage ventures. The company's platform is a co-investing model and commoditized fundraising ecosystem that provides services including deal origination and structuring, screening proposals, and due diligence, enabling domestic as well as international investors to mentor Indian startups and to get them nurtured to their potential.</t>
  </si>
  <si>
    <t>Angel Network Middle East, Aniruddha Malpani, Ganesh Natarajan, Krishnakumar Natarajan, M. A. Ravi Kumar, Shankar Narayanan</t>
  </si>
  <si>
    <t>www.1crowd.co</t>
  </si>
  <si>
    <t>171952-30</t>
  </si>
  <si>
    <t>Edebex</t>
  </si>
  <si>
    <t>Developer of a digital invoice trading platform designed to improve business cash flow by allowing early access to funds tied up in unpaid invoices. The company's platform offers an online marketplace for selling and buying non-performing receivables to investors that have an excess of cash available, enabling businesses seeking working capital and investors with surplus cash to access liquidity faster and deploy funds efficiently.</t>
  </si>
  <si>
    <t>Finance&amp;Invest.Brussels, Pascal Berend</t>
  </si>
  <si>
    <t>www.edebex.com</t>
  </si>
  <si>
    <t>490134-52</t>
  </si>
  <si>
    <t>Debbie</t>
  </si>
  <si>
    <t>Developer of a financial wellness platform designed to help users pay off debt, build emergency funds, and achieve savings goals. The company offers a psychology-based financial program with goal tracking, financial education modules, and rewards for eligible financial activities, enabling users to improve financial habits, pay off debt, and build savings.</t>
  </si>
  <si>
    <t>10X Capital, 1745 Ventures, 6igma Ventures, Alumni Ventures, BDMI, Benjamin Cirlin, Gaingels, Geek Ventures, GoodPaper Ventures, Green Egg Ventures, Hustle Fund, If Then Ventures, Innovent Capital Group, Lafayette Federal Credit Union, Liquid 2 Ventures, Michigan State University Federal Credit Union, Nurture Ventures, One Way Ventures, Outside Venture Capital, Reseda Group, TA Ventures, TruStage Ventures, Village Global, Zeal Capital Partners</t>
  </si>
  <si>
    <t>www.joindebbie.com</t>
  </si>
  <si>
    <t>471327-13</t>
  </si>
  <si>
    <t>Tangible</t>
  </si>
  <si>
    <t>Developer of capital markets software intended to help hard-tech companies design and manage scalable debt capital structures. The company offers debt strategy development, lender matching, facility management, reporting automation, transaction lifecycle tools, and capital structure planning, enabling hard-tech companies to access debt financing and manage lending facilities.</t>
  </si>
  <si>
    <t>Aperture, BetterWay Ventures, Blackwood Ventures (Denmark), Future Positive Capital, HCVC, MMC (Malaysia), Pale Blue Dot Advisors, Prototype Capital, San Diego Angel Conference, Synerleap, Systemiq Capital, Unruly (Media and Information Services (B2B)), Unruly Capital, YADAY</t>
  </si>
  <si>
    <t>www.tangible.finance</t>
  </si>
  <si>
    <t>478946-98</t>
  </si>
  <si>
    <t>Oxceed</t>
  </si>
  <si>
    <t>Provider of cloud-based financial and budget management services intended to make it easy to create financial reports and decision-making documents for companies. The company specializes in financial forecasting, budgeting, document management, data visualization, business monitoring, and cash flow management, enabling companies with reports and key figures, creating more credible budgets and forecasts, getting financial overviews for information that help management and the board to make better decisions and increase profitability.</t>
  </si>
  <si>
    <t>Alsteron, Northislet, Skandinaviska Enskilda Banken</t>
  </si>
  <si>
    <t>www.oxceed.com</t>
  </si>
  <si>
    <t>170686-63</t>
  </si>
  <si>
    <t>Yelloan</t>
  </si>
  <si>
    <t>Developer of a bank deposit system designed to access credit via a participatory guarantee of friends. The company's platform offers users to apply for financing entirely online through a guided application process, incorporates conversational interfaces and automated decision support, allows participation of personal contacts who can contribute funds as collateral guarantees, connects with financial institutions for loan approval and disbursement, and offers personalized loan simulations and management tools, enabling individual borrowers those with limited traditional credit access to obtain financing with additional assurance mechanisms and simplified application workflows.</t>
  </si>
  <si>
    <t>www.yelloan.com</t>
  </si>
  <si>
    <t>494981-47</t>
  </si>
  <si>
    <t>PaySprint</t>
  </si>
  <si>
    <t>Developer of an open banking API platform designed to facilitate third-party applications to synchronize and connect to a bank's tools and services. The company's platform offers payment gateways, cash deposits, payout API, insurance payment API, digital customer verification, pan card creation and travel payment API, enabling clients to have a single view of customers' finances while being able to control, track and analyse financial movements in one place.</t>
  </si>
  <si>
    <t>Fino Paytech, Singhvi Heritage</t>
  </si>
  <si>
    <t>www.paysprint.in</t>
  </si>
  <si>
    <t>437938-66</t>
  </si>
  <si>
    <t>Boom (Financial Software)</t>
  </si>
  <si>
    <t>Developer of an online rent payment platform designed to create a simpler, flexible, and rewarding way to pay rent. The company's platform offers features such as rent reporting, a resident application, payment processing, and fraud reduction tools, enabling property management professionals to drive on-time payments, reduce risk, and increase revenue throughout the renter lifecycle.</t>
  </si>
  <si>
    <t>10X Capital, 20VC, Actyus, Affirm syndicate, Akuna Capital, Allison Stoloff, Bernardo Cordero, Bungalow Capital, Candy VC, Chingona Ventures, Clocktower Ventures, Company Ventures, Creditas, Cyril Berdugo, Everywhere Ventures, Fox Ventures (United Arab Emirates), Gaingels, Gilgamesh Ventures, Intuit Canada, Landis, Mana Ventures, Mischief, Misha Esipov, MIT Delta V, NextView Ventures, Nova Credit, Operator Partners, Plaid, Sergio Furio, Siesta Ventures, Starting Line, Todd Benson, Tom Petit, William Hockey, William Lucas, Zachary Perret</t>
  </si>
  <si>
    <t>www.boompay.app</t>
  </si>
  <si>
    <t>469645-12</t>
  </si>
  <si>
    <t>Krea</t>
  </si>
  <si>
    <t>Provider of business financing services intended for various corporate needs. The company provides loans, corporate credit and leasing, factoring and mortgage loans, with compare and apply for loans from multiple lenders, enabling companies find funding options, optimize their financial strategies, and achieve better financial stability and growth.</t>
  </si>
  <si>
    <t>ExM Investment Partners, FBTC Invest, Peter Lindström, RoosGruppen, Tomas Billing</t>
  </si>
  <si>
    <t>www.krea.se</t>
  </si>
  <si>
    <t>267354-82</t>
  </si>
  <si>
    <t>Kafang</t>
  </si>
  <si>
    <t>Developer of quantitative trading and transaction systems designed for financial services companies and hedge funds. The company develops advanced algorithmic models capable of conducting automated and complex dark pool trading for pension funds, investment banks, mutual funds and hedge funds, providing institutional clients with efficient and reliable quantitative transaction solutions.</t>
  </si>
  <si>
    <t>Block.one, Eight Roads, Future Capital Discovery Fund, GF Xinde Investment Management, Guotai Junan Securities, Huagai Capital, M31 Capital (China), Ningbo Meishan Bonded Port Area Zhuchi Yunding Investment Management Partnership, Orient Securities Capital Investment Company, Quant Investment, SBVA</t>
  </si>
  <si>
    <t>www.kafangtech.com</t>
  </si>
  <si>
    <t>295320-97</t>
  </si>
  <si>
    <t>HostBooks</t>
  </si>
  <si>
    <t>Operator of accounting and invoicing software intended to make informed decisions and ensure smooth operation. The company offers software modules for different business sizes, including features for accounting, invoicing, and tax filing to maintain accounting, tax, GST, TDS, e-way bill, and payroll records, enabling companies to manage financial and regulatory requirements more efficiently, automate accounting, compliance, and operational processes.</t>
  </si>
  <si>
    <t>Orange Orbit LLP, Razorpay, Ulu Ventures</t>
  </si>
  <si>
    <t>www.hostbooks.com</t>
  </si>
  <si>
    <t>600123-07</t>
  </si>
  <si>
    <t>Bourn</t>
  </si>
  <si>
    <t>Provider of fintech services intended to help businesses simplify their credit control and free up cash to grow. The company offers financial services and leverages process automation and generative AI tools to transform clients' credit control operations and financing, enabling businesses to simplify working capital processes from invoice to cash to working capital finance.</t>
  </si>
  <si>
    <t>Aperture, Chris Adelsbach, Haatch, Love Ventures, McPike Global Family Office, MNL Nominees, NatWest Group, Portfolio Ventures, PV Nominees</t>
  </si>
  <si>
    <t>www.bourn.ai</t>
  </si>
  <si>
    <t>570287-98</t>
  </si>
  <si>
    <t>People Hero</t>
  </si>
  <si>
    <t>Operator of a fintech company intended to handle payment processing, accounts receivable factoring and focus on underserved businesses. The company handles online and offline payments for businesses and helps improve cash flow by providing settlement services based on their payment data, enabling businesses to provide financial services.</t>
  </si>
  <si>
    <t>www.gomipayments.com</t>
  </si>
  <si>
    <t>166180-87</t>
  </si>
  <si>
    <t>One Sigma Technologies</t>
  </si>
  <si>
    <t>Developer of an e-payment platform designed to assist users in avoiding repetitive payments and automating the procedure. The company's platform uses algorithms and payment engineering and offers only one bill for all their orders across multiple partner merchants and service providers, enabling customers and merchants to make monetary transactions and interactions effortlessly.</t>
  </si>
  <si>
    <t>Boillot Family Trust, DIA Investments, FJ Labs, Graph Ventures, Green Visor Capital, Hard Yaka, IA Ventures, LFH Ventures, Recruit Strategic Partners, Russell Byrne, SF Capital, Snow Leopard Ventures, The Fintech Fund, The Oliver R. Grace, Jr. Millennium Trust, Valar Ventures, Zone Startups India</t>
  </si>
  <si>
    <t>my.getsimpl.com</t>
  </si>
  <si>
    <t>1231453-99</t>
  </si>
  <si>
    <t>Porters</t>
  </si>
  <si>
    <t>Developer of an AI-driven banking operations platform designed to automate and manage complex financial processes in line with regulatory requirements. The company's platform brings together AI-based processing, human review, end-to-end case handling, compliance controls, and secure EU-based data hosting, enabling banks and fintechs to process account seizures, insolvencies, and chargebacks with accuracy and controlled risk.</t>
  </si>
  <si>
    <t>Adrien Treccani, Alexandre Prot, Casper Wahler, Earlybird Venture Capital, Jonathan Brander, Lukas Zörner, Martin Kassing, Seedcamp</t>
  </si>
  <si>
    <t>www.withporters.com</t>
  </si>
  <si>
    <t>469876-69</t>
  </si>
  <si>
    <t>Flexee</t>
  </si>
  <si>
    <t>Developer of a payment gateway platform designed to offer constant access to users' salaries. The company's on-demand payment platform allows employers to pay salaries before the end of the month, and advance payments are financed, enabling employees to access their salary in case of emergency or sudden expense.</t>
  </si>
  <si>
    <t>JRH, Koronea, Maciej Duda</t>
  </si>
  <si>
    <t>www.flexee.eu</t>
  </si>
  <si>
    <t>467570-98</t>
  </si>
  <si>
    <t>Borrox</t>
  </si>
  <si>
    <t>Provider of financial services intended to facilitate access to financing for SMEs and freelancers through advance payment of invoices or discount promissory notes. The company's services offer agile, efficient, and effective financial service through the implementation of technological resources and a client-oriented process, also manages invoice advance requests in less time without any paperwork, enabling firms and freelancers to have access to financing while covering the potential risk of non-payment by their clients.</t>
  </si>
  <si>
    <t>CAV Investment Group, Marta Huidobro, Pinama Inversiones, Tadium Invest</t>
  </si>
  <si>
    <t>www.borrox.com</t>
  </si>
  <si>
    <t>268597-90</t>
  </si>
  <si>
    <t>Nemuru</t>
  </si>
  <si>
    <t>Developer of a financial infrastructure platform designed to bridge the gap between lenders and borrowers. The company's platform allows service sales professionals in the renovation sector to offer flexible financing options to their customers at the point of sale, enabling clients to increase their approval rate by sending financing proposals to multiple lenders.</t>
  </si>
  <si>
    <t>Antai Ventures, Bankia, Consorci de la Zona Franca, Enisa National Innovation Company, ESC Venture Capital, Extension Fund, Grupo HS3, Label Investments, Lánzame Capital, Plug and Play Tech Center, PropTechBiz, Scale Lab Andorra</t>
  </si>
  <si>
    <t>www.nemuru.com</t>
  </si>
  <si>
    <t>518814-73</t>
  </si>
  <si>
    <t>Acctual</t>
  </si>
  <si>
    <t>Developer of an accounts payable and receivable automation platform designed to help crypto companies manage their bills. The company's platform syncs to accounting systems with contextual journal entries that extract information from forwarded invoices and automate crypto payments from the wallet, enabling businesses to bring a well-built standard of procedure to their financial operations.</t>
  </si>
  <si>
    <t>Adventure Fund, Alchemy Ventures (Sydney), IDEO CoLab Ventures, Leyden Ventures, Ligature (Colorado), Meridian Ventures, Nonagon Capital, Orange DAO, Plassa Capital, Prajit Nanu, Ryan Selkis, Soma Capital, Third Prime</t>
  </si>
  <si>
    <t>www.acctual.com</t>
  </si>
  <si>
    <t>233014-69</t>
  </si>
  <si>
    <t>Asset Direct</t>
  </si>
  <si>
    <t>Developer of an online personal loan search platform designed to connect consumers with poor credit to finance goods or services with loan organizations. The company's platform offers instant approval credit from providers, on-the-spot financing through lenders for all consumers, and an agent network, enabling large business owners and small local shop owners to easily launch and build a business selling financial products and services.</t>
  </si>
  <si>
    <t>519 Growth Fund, Artesian, DMZ (Toronto), Holt Xchange, Hub71, MaRS Discovery District, Orbit Ventures (Venture Capital), Plug and Play Tech Center, Push Ventures (Kenya), SOSV, Southwestern Ontario Angel Group, Startup Réseau</t>
  </si>
  <si>
    <t>www.assetdirect.io</t>
  </si>
  <si>
    <t>600490-72</t>
  </si>
  <si>
    <t>Asseta AI</t>
  </si>
  <si>
    <t>Developer of an artificial intelligence (AI)-powered design automation platform designed to streamline the creation of branded marketing assets for businesses of all sizes. The company's platform offers generative AI-driven asset creation, automated brand consistency enforcement, rapid scaling for large campaigns, integration of brand guidelines, and cost-efficient workflows, enabling marketing teams, agencies, and enterprises to reduce design time, maintain uniform branding, and improve operational efficiency while supporting scalable production of high-quality campaign materials across multiple channels.</t>
  </si>
  <si>
    <t>Motive Partners, Nyca Partners</t>
  </si>
  <si>
    <t>www.asseta.ai</t>
  </si>
  <si>
    <t>433370-89</t>
  </si>
  <si>
    <t>Bee (Financial Software)</t>
  </si>
  <si>
    <t>FinTech, Mobile, Mortgage Tech, SaaS</t>
  </si>
  <si>
    <t>Developer of an e-mortgage application designed to redefine the mortgage industry with a simple and convenient process. The company's application makes getting a mortgage easy with instant pre-approvals, low rates and payments, and fast closings, enabling homebuyers to get an affordable mortgage by working with multiple lenders, ensuring buyers have access to lower rates, and helping people buy their desired homes.</t>
  </si>
  <si>
    <t>Bay Wharf Capital, ICBM Venture Capital, Knockout Capital</t>
  </si>
  <si>
    <t>www.beemortgageapp.com</t>
  </si>
  <si>
    <t>905261-41</t>
  </si>
  <si>
    <t>Bliink AI</t>
  </si>
  <si>
    <t>Provider of an artificial intelligence-powered financial crime prevention platform intended to identify and stop illicit activity in payment systems before escalation.The company offers real-time fraud, money laundering, and sanctions detection using machine learning, cross-channel intelligence, and privacy-focused architecture, enabling banks and payment providers to meet regulatory requirements while reducing risk and operational burden.</t>
  </si>
  <si>
    <t>Nivesha Ventures, PranaTech Ventures</t>
  </si>
  <si>
    <t>www.bliinkai.com</t>
  </si>
  <si>
    <t>481286-08</t>
  </si>
  <si>
    <t>Bree</t>
  </si>
  <si>
    <t>Operator of a financial technology company intended to provide cash advances and budgeting tools to help Canadians achieve financial wellness. The company provides zero-interest cash advances up to a hundred dollars without charging late fees or penalties, enabling users to avail overdraft facility to meet their upcoming expenses.</t>
  </si>
  <si>
    <t>BBQ Capital, C100 (Commercial Services), Dispatch Ventures, FoundersX Ventures, Friale, Global Founders Capital, Y Combinator</t>
  </si>
  <si>
    <t>www.trybree.com</t>
  </si>
  <si>
    <t>492999-22</t>
  </si>
  <si>
    <t>Bridgecard</t>
  </si>
  <si>
    <t>Developer of a fintech platform designed to manage all cards and bank accounts in one place. The company's tool offers a card that works anywhere in the world, with features like tokenisation, and facilitates the management of money along with security, enabling users with global transactions and improving financial management.</t>
  </si>
  <si>
    <t>Alpha Bridge Ventures, Berrywood Capital, Duke Ekezie-Joseph, Ingressive (Nigeria), Johnson Yaya, Miracle Anyanwu, Onstage (London), Pioneer Fund, Plug and Play Tech Center, Singularity Capital, Stradford Venture Partners, Team Ignite Ventures, Velocity Digital, Ventures Platform, Visa Accelerator, Voltron Capital, Y Combinator</t>
  </si>
  <si>
    <t>bridgecard.cards</t>
  </si>
  <si>
    <t>537095-89</t>
  </si>
  <si>
    <t>Concentro</t>
  </si>
  <si>
    <t>Operator of a renewable energy tax credits platform intended to help clean energy developers monetize tax credits via transfers to tax-paying corporations, with a focus on middle-market transactions. The company's platform offers features such as access to investment opportunities and streamlined processes for tax credit optimization, enabling clean energy developers and investors to engage effectively while capitalizing on sustainable investment prospects.</t>
  </si>
  <si>
    <t>Analog Ventures, Avesta Fund, Calafia, Clim8 Ventures, Contour Venture Partners, Dorm Room Fund, Firstminute Capital, Life Extension Ventures, Phoenix Investment Club (San Francisco), Plug and Play Tech Center, Silence VC, The MBA Fund</t>
  </si>
  <si>
    <t>www.concentro.io</t>
  </si>
  <si>
    <t>343466-38</t>
  </si>
  <si>
    <t>Dollarize</t>
  </si>
  <si>
    <t>Operator of a chat-based payment system intended to make international and domestic money transfers instant and effortless. The company offers a platform that allows users to send funds using only the recipient's name across multiple countries, enabling individuals and businesses to exchange money easily and securely across borders.</t>
  </si>
  <si>
    <t>Alta Ventures Mexico, Angel Hub, Dalus Capital, G2 Momentum Capital, Harvard Alumni Entrepreneurs Accelerator, Kick-Start, Kickstart (US), Techstars, Tribe Capital</t>
  </si>
  <si>
    <t>www.dollarize.me</t>
  </si>
  <si>
    <t>541459-63</t>
  </si>
  <si>
    <t>Growthsphere</t>
  </si>
  <si>
    <t>Developer of an artificial intelligence-based platform designed to digitize and support investment decision-making. The company generates fund-specific memos and structured analyses based on an investor's documents, strategy, and decision logic, enabling clients to produce consistent evaluations, improve the efficiency of capital allocation processes, and maintain an auditable record of investment assumptions.</t>
  </si>
  <si>
    <t>Jim Smith, KDX Ventures, Michael Shepherd, Paul Constantinides, Saar Gillai, Sriram Samu, University of California</t>
  </si>
  <si>
    <t>spheresmith.com</t>
  </si>
  <si>
    <t>495664-21</t>
  </si>
  <si>
    <t>Hedge</t>
  </si>
  <si>
    <t>Developer of a collaborative investing platform designed to help communities build financial futures and make investments. The company operates a social stock brokerage platform that allows retail investors to make a hedge fund with their friends, and that offers both individual and group investing, as well as community-based social and interactive learning resources, enabling users to grow and build a brighter financial future.</t>
  </si>
  <si>
    <t>Communitech, CreatorLed, Dream Ventures, Firstminute Capital, Jeffrey Cruttenden, Knockout Capital, Litquidity Capital, MS&amp;AD Ventures, Nima Capital, Orange DAO, Rose Street Capital, SaxeCap, Starting Line, Startupfon, Vibora Capital</t>
  </si>
  <si>
    <t>www.hedge.io</t>
  </si>
  <si>
    <t>433222-39</t>
  </si>
  <si>
    <t>Infima</t>
  </si>
  <si>
    <t>Developer of deep learning technologies designed to transform mortgage security analytics. The company's system offers actionable predictive insights into the future borrower, security, and market behavior, enabling investors, dealers, and other market participants to make better decisions to drive performance.</t>
  </si>
  <si>
    <t>345 Partners, EvoNexus, Ferocity Capital, Franklin Resources, Small Business Innovation Research and Small Business Technology Transfer Programs, ThirdStream Partners</t>
  </si>
  <si>
    <t>www.infima.io</t>
  </si>
  <si>
    <t>171460-90</t>
  </si>
  <si>
    <t>KapitalWise</t>
  </si>
  <si>
    <t>Developer of a micro-investment platform designed to help provide personalized recommendations for its customers by connecting client data through engagement automation. The company's platform uses machine learning and artificial intelligence to detect and predict personal and financial events, enabling financial institutions to leverage data to engage their customers with the right products and services at the right time.</t>
  </si>
  <si>
    <t>Bay Wharf Capital, Breega, Bregal Capital, CSI Technology Incubator, Esalen Ventures, Holdum, Holt Xchange, Independent Community Bankers of America, Meyer Global Management, Plug and Play Tech Center, SDG Impact Accelerator, The Venture Center, Village Capital, Yossi Hasson</t>
  </si>
  <si>
    <t>www.kapitalwise.com</t>
  </si>
  <si>
    <t>535745-44</t>
  </si>
  <si>
    <t>Kiwii</t>
  </si>
  <si>
    <t>AdTech, E-Commerce, Marketing Tech</t>
  </si>
  <si>
    <t>Developer of a comprehensive ecosystem designed to transform the complex landscape of loyalty, cashback, and credit card rewards. The company's platform streamlines this intricate system for the consumer while enhancing the overall e-commerce experience, enabling consumers to connect with brands and opportunities they might not have discovered otherwise.</t>
  </si>
  <si>
    <t>www.addkiwii.com</t>
  </si>
  <si>
    <t>170162-38</t>
  </si>
  <si>
    <t>Latipay</t>
  </si>
  <si>
    <t>Developer of a payment gateway designed to offer a comprehensive range of global collection and payout options. The company's gateway facilitates online purchases from foreign businesses in their local currency, and foreign merchants receive payment in their own currency, enabling retail customers to send money to family overseas and businesses to save on cross-border transaction costs.</t>
  </si>
  <si>
    <t>Alistair Nicolson, Icehouse Ventures, Jubilee Capital Management, Zino Ventures</t>
  </si>
  <si>
    <t>www.latipay.net</t>
  </si>
  <si>
    <t>399076-12</t>
  </si>
  <si>
    <t>LoanGlide</t>
  </si>
  <si>
    <t>Developer of a financing platform designed to embed lending services into business workflows. The company offers a cloud-based platform featuring instant installment loan applications, lender matching, workflow automation, borrower qualification, financing management, application programming interfaces, and multi-lender integration, enabling service providers to offer financing options to their customers and automate lending processes.</t>
  </si>
  <si>
    <t>Builders VC, Match Group, Moneta Ventures</t>
  </si>
  <si>
    <t>www.loanglide.com</t>
  </si>
  <si>
    <t>266703-94</t>
  </si>
  <si>
    <t>Lobus</t>
  </si>
  <si>
    <t>Operator of an art management platform intended to help art owners manage their digital assets. The company's platform provides reports and news of artists, industry news, art financials, and financial management tools with an artist-centric marketplace, enabling clients to easily manage the value and decision-making necessary for their business.</t>
  </si>
  <si>
    <t>8VC, Boost VC, Cal Henderson, Dream Machine (San Francisco), EvoNexus, Franklin Resources, Henry Ward, Lex Sokolin, Oren Michels, Rebecca Henderson, Robert Hayes, Rosecliff Venture Partners, Shatter Fund, Suzy Ryoo, Troy Carter, Weekend Fund</t>
  </si>
  <si>
    <t>www.lobus.io</t>
  </si>
  <si>
    <t>489070-90</t>
  </si>
  <si>
    <t>Monet (Financial Software)</t>
  </si>
  <si>
    <t>Developer of an online credit services platform intended to offer financial assistance to individuals with regular income. The company offers a platform that analyzes bank transactions to determine credit eligibility, provides fixed service costs without interest, and allows users to manage their credit through a mobile app, enabling individuals with stable income to access financial resources, providing users with quick and secure access to funds when needed.</t>
  </si>
  <si>
    <t>2080 Ventures, Comfama, First Serve Partners, Fondation Botnar, Gaingels, Iluminar Ventures, Inca Ventures, K5 Global, New Ventures Capital, Riverside Ventures, Y Combinator</t>
  </si>
  <si>
    <t>www.monet.com.co</t>
  </si>
  <si>
    <t>472114-18</t>
  </si>
  <si>
    <t>MyFO</t>
  </si>
  <si>
    <t>Developer of digital wealth management software designed to streamline financial oversight and asset management for individuals and family offices. The company's platform offers asset tracking, financial analytics, secure document storage, and advisor collaboration tools, enabling family offices and investors, to monitor financial portfolios and support informed financial decision-making.</t>
  </si>
  <si>
    <t>Graphite Ventures, Metalab Ventures, Practical Venture Capital, Rhino Ventures, The51 Ventures, Umana</t>
  </si>
  <si>
    <t>www.myfotech.com</t>
  </si>
  <si>
    <t>503962-39</t>
  </si>
  <si>
    <t>Narvi Payments</t>
  </si>
  <si>
    <t>Developer of a cross-border financial infrastructure platform designed for business banking purposes. The company's platform delivers regulated accounts with international payment connectivity, API-based access, digital onboarding, multi-account management, currency exchange, treasury functionality, and embedded compliance and security controls, enabling fintech companies to manage payments, liquidity, and account structures while maintaining regulatory alignment and operational control.</t>
  </si>
  <si>
    <t>www.narvi.com</t>
  </si>
  <si>
    <t>567579-79</t>
  </si>
  <si>
    <t>Nearpays</t>
  </si>
  <si>
    <t>Provider of a fintech platform intended to simplify and modernize payment acceptance and management for businesses in emerging markets. The company offers soft POS technology that converts smartphones into secure contactless payment terminals along with AI-powered tools for automation, fraud detection, and business insights, enabling merchants and small businesses in emerging markets to process payments efficiently, reduce operational costs, and improve financial management.</t>
  </si>
  <si>
    <t>LvlUp Ventures, Plug and Play Tech Center, Visa Accelerator</t>
  </si>
  <si>
    <t>www.nearpays.com</t>
  </si>
  <si>
    <t>527352-22</t>
  </si>
  <si>
    <t>Neofin (Sao Paulo)</t>
  </si>
  <si>
    <t>Developer of a B2B payments platform designed to optimize accounts receivable and billing processes. The company offers multiple payment methods, reduced transactional fees, automated and personalized billing, and real-time reconciliation, enabling finance teams to save time and make informed decisions for their business.</t>
  </si>
  <si>
    <t>1616 Ventures, 17Sigma, BetaVentures, BFF VC, Canaan Partners, Cesar Carvalho, Endeavor Promessas, FOVC, Norte Ventures, Patrick Sigrist, Quona Capital, Upload Ventures (Sao Paulo)</t>
  </si>
  <si>
    <t>www.neofin.com.br</t>
  </si>
  <si>
    <t>169908-76</t>
  </si>
  <si>
    <t>Noonum</t>
  </si>
  <si>
    <t>Developer of a fintech knowledge engine designed to offer a comprehensive analysis of companies through machine learning and artificial intelligence. The company's cloud-based platform leverages big data, artificial intelligence, and natural language processing all on one system to instantly provide relevant data after searching millions of data points, enabling investors to reduce hours of research on companies, equities, industries, and sectors and make more informed business decisions.</t>
  </si>
  <si>
    <t>BECU Fintech Incubator, Credem Euromobiliare Asset Management Sgr, EvoNexus, Franklin Resources, MassChallenge, University of Washington, UW CoMotion Labs</t>
  </si>
  <si>
    <t>www.noonum.ai</t>
  </si>
  <si>
    <t>492755-77</t>
  </si>
  <si>
    <t>Opalvest</t>
  </si>
  <si>
    <t>Developer of an investing platform designed to allow users to invest in alternative funds. The company's platform offers an investment application that connects individual investors with capital to alternative investment classes, enabling clients to gain immediate access to investment options.</t>
  </si>
  <si>
    <t>www.opalvest.com</t>
  </si>
  <si>
    <t>180160-03</t>
  </si>
  <si>
    <t>PTO Exchange</t>
  </si>
  <si>
    <t>Developer of a SaaS-based human resource-financial software intended to transform the value of paid time off. The company's platform lets employees convert unused paid time off into tangible goods and services, including vacations, retirement funding, student loan payments, and charitable donations, enabling employers to offer a benefits package that effectively retains their talent base while managing their budgets.</t>
  </si>
  <si>
    <t>Allied Venture Partners, CFV Ventures, Fin Capital, Forefront Venture Partners, Manifold Group, RevTech Labs Capital, SpringTime Ventures, TTV Capital, WestRiver Group</t>
  </si>
  <si>
    <t>www.ptoexchange.com</t>
  </si>
  <si>
    <t>264289-87</t>
  </si>
  <si>
    <t>Quipu (Specialized Finance)</t>
  </si>
  <si>
    <t>Developer of a digital financial platform designed to offer unsecured business loans with credit evaluation. The company specializes in developing AI-driven credit assessments for micro, small, and medium enterprises, based on alternative data along with platform provides a marketplace to create a free digital store where users can record their sales, get them verified and create an alternate credit history, create and create new community networks, and provide training to grow business, enabling businesses with productive loans at better conditions than the market.</t>
  </si>
  <si>
    <t>Addem Capital, Aurora Tech Award, Borderless Capital, Caffeinated Capital, Claribay Capital, Comfama, Corteza Capital, Decelera Ventures, E14 Fund, Fast Forward (California), Finnovista, Flori Ventures, G2 Momentum Capital, Gaingels, Grupo Cibest, Impacta VC, IMPAQTO Capital, Irrazonables, Massachusetts Institute of Technology, MasterCard, MetLife Foundation, Moody's, PayPal Holdings, Polymath Capital Partners, The MET Fund, Verda Ventures, Vertical Partners, Village Capital, Visa</t>
  </si>
  <si>
    <t>www.quipu.com.co</t>
  </si>
  <si>
    <t>464132-89</t>
  </si>
  <si>
    <t>Rares</t>
  </si>
  <si>
    <t>Developer of a social investing platform designed to provide access to vintage, collectible, and iconic sneakers. The company's platform allows users to invest and trade fractional shares of iconic assets and collections while encouraging social engagement, involvement, and education, enabling users to get a stock market for sneakers and culture.</t>
  </si>
  <si>
    <t>Alumni Ventures, Cake Ventures, Captain Partners, Crush Ventures, Evolution (Venture Capital), Fintech Next, MaC Venture Capital, Portfolia, RareBreed Ventures, Sand Hill Angels, Techstars, Urban Capital Network, W Fund, Warner Music Group</t>
  </si>
  <si>
    <t>rares.io</t>
  </si>
  <si>
    <t>518272-30</t>
  </si>
  <si>
    <t>Spendr</t>
  </si>
  <si>
    <t>Cannabis, FinTech, Mobile Commerce, SaaS</t>
  </si>
  <si>
    <t>Developer of a mobile payments and rewards platform designed to combine rewards and marketing for the cannabis industry. The company's platform offers a bank-linked digital wallet with QR code-based checkout, integrated rewards tracking, secure payment authorizations, and customer account management features, enabling cannabis dispensaries and their customers to complete purchases without cash or card fees while earning rewards and accessing store-specific discounts.</t>
  </si>
  <si>
    <t>www.spendr.com</t>
  </si>
  <si>
    <t>223908-31</t>
  </si>
  <si>
    <t>SPIN Analytics</t>
  </si>
  <si>
    <t>Developer of an artificial intelligence (AI) infrastructure platform designed to automate and govern credit risk modelling for regulated financial institutions. The company's platform offers model development, validation, documentation, monitoring, explainability, and governance capabilities, enabling banks and asset managers to manage credit risk models and transactions with greater transparency, auditability, and regulatory oversight.</t>
  </si>
  <si>
    <t>Angel, Chris Adelsbach, COMEUP STARS, Creative Destruction Lab, Entrepreneurs Roundtable Accelerator, FinTech Innovation Lab, First Avenue Ventures (Melbourne), Future Labs, NJ Fast, Protechting, RevTech Labs Capital, X-Europe</t>
  </si>
  <si>
    <t>www.spin-analytics.com</t>
  </si>
  <si>
    <t>43104-70</t>
  </si>
  <si>
    <t>The Neat Company</t>
  </si>
  <si>
    <t>Developer of receipt tracking software designed to simplify expense and document management. The company's platform extracts key information from scanned receipts, allows sharing of the receipts, offers mobile scanning, document importing, everywhere access, and others as such, enabling transportation, retail, medical, and small businesses to reduce manual data entry, automate bookkeeping and spend time on growing their business.</t>
  </si>
  <si>
    <t>Ben Franklin Technology Partners of Southeastern Pennsylvania, Brett Topche, Eastward Capital Partners, Forum Ventures, Hercules Capital (San Mateo), Linear Capital, Marshall Yang, Michael Aronson, MMV Capital Partners, Robert Finn, Sagamore, Visa Ventures</t>
  </si>
  <si>
    <t>www.neat.com</t>
  </si>
  <si>
    <t>711774-73</t>
  </si>
  <si>
    <t>Topogy</t>
  </si>
  <si>
    <t>Developer of a FinOps platform designed to optimize financial impact through engineering-driven solutions. The company offers system-level tools for code, configuration, network, and architecture optimization, enabling engineering and finance teams to gain a holistic understanding of infrastructure spend while proactively addressing cost-driving issues.</t>
  </si>
  <si>
    <t>Argon Ventures, Flex Capital, Generationship, Modern Technical Fund, Ripple Ventures, Work-Bench</t>
  </si>
  <si>
    <t>www.topogy.com</t>
  </si>
  <si>
    <t>484535-35</t>
  </si>
  <si>
    <t>Velvet (Financial Services)</t>
  </si>
  <si>
    <t>Operator of an investment marketplace intended to provide accredited investors with access to global private market opportunities. The company offers primary and secondary investment options vetted by select managers, enabling offshore accredited investors to diversify portfolios and participate in startup share transactions.</t>
  </si>
  <si>
    <t>velvet.investments</t>
  </si>
  <si>
    <t>647517-07</t>
  </si>
  <si>
    <t>VMetrix</t>
  </si>
  <si>
    <t>Developer of a portfolio management platform designed to automate and streamline the management of investment portfolios. The company offers services like streamlining investment, automating business processes, and managing portfolios, enabling clients to simplify processes, reduce manual tasks, and scale operations efficiently.</t>
  </si>
  <si>
    <t>Kayyak Ventures, Nazca</t>
  </si>
  <si>
    <t>www.vmetrix.com</t>
  </si>
  <si>
    <t>513393-40</t>
  </si>
  <si>
    <t>Wallbit</t>
  </si>
  <si>
    <t>Developer of a global banking and investment platform designed to provide international access to USD and EUR accounts, debit cards, and US investment opportunities. The company offers personal USD and EUR accounts, virtual and physical debit cards, investment access to US stocks, ETFs, and bonds, real-time currency conversion, and local bill payments, enabling individuals and businesses living outside the US to manage global finances and invest across borders seamlessly.</t>
  </si>
  <si>
    <t>Goodwater Capital, Maiora Ventures, Parallel18, Rebel Fund, Y Combinator, Zentani Capital</t>
  </si>
  <si>
    <t>wallbit.io</t>
  </si>
  <si>
    <t>552532-69</t>
  </si>
  <si>
    <t>Zephlex</t>
  </si>
  <si>
    <t>Developer of a financial technology designed to balance information inequality by providing investors with a broader perspective on market data. The company's technology uses data analysis to identify trends in the stock market and presents them with understandable figures and graphs, enabling investors to make informed decisions by combining the decision-making process with analysis.</t>
  </si>
  <si>
    <t>Bilgiyi Ticarileştirme Merkezi, ESI Ventures, İdeal Data Finansal Teknolojiler</t>
  </si>
  <si>
    <t>www.zephlex.com</t>
  </si>
  <si>
    <t>128428-39</t>
  </si>
  <si>
    <t>One Utility Bill</t>
  </si>
  <si>
    <t>Developer of a utility consolidation platform designed to bundle utilities, broadband and media into one simple monthly payment. The company's platform combines the billing process for a range of utilities including gas, electricity, water, internet, media subscriptions and TV licenses into one monthly bill, enabling tenants to split bills, save money and streamline property management processes.</t>
  </si>
  <si>
    <t>Conviction Investment Partners, DSW Ventures, Middleton Enterprises, North East Finance, Northstar Ventures, Pi Labs, START UP Founderships</t>
  </si>
  <si>
    <t>www.oneutilitybill.co</t>
  </si>
  <si>
    <t>161789-23</t>
  </si>
  <si>
    <t>FutureVault</t>
  </si>
  <si>
    <t>Developer of a secure document exchange and digital vault platform designed to manage internal connectivity, client-centric data, and document intelligence. The company's platform lets users digitally deposit, store, collaborate, and manage financial, legal, and personal documents via bi-directional integrations and connections with other wealth tech providers, enabling institutions, advisors, and clients to streamline workflow using an artificial intelligence (AI) strategy.</t>
  </si>
  <si>
    <t>Bonfire Ventures, Paterson Partners</t>
  </si>
  <si>
    <t>www.futurevault.com</t>
  </si>
  <si>
    <t>530716-51</t>
  </si>
  <si>
    <t>Finres</t>
  </si>
  <si>
    <t>AgTech, Artificial Intelligence &amp; Machine Learning, SaaS</t>
  </si>
  <si>
    <t>Developer of an agricultural platform intended to help build food system resilience in climate change. The company's platform offers scientific and artificial intelligence automation in the agricultural sector, with understanding and assessing climate risks to prioritize investment decisions, enabling financial institutions and farmers to increase crop yields in the face of climate constraints.</t>
  </si>
  <si>
    <t>AFI Ventures (Paris), Anna Katharina Alex, Better Angle, Illuminate Financial, Kima Ventures, Michaël Diguet, Plug and Play Tech Center, RAISE Sherpas, Renaud Visage, Speedinvest, Tiny Supercomputer Investment Company, Valentine Baudouin, Ventech (Paris)</t>
  </si>
  <si>
    <t>www.finres.org</t>
  </si>
  <si>
    <t>154980-01</t>
  </si>
  <si>
    <t>Ftcash</t>
  </si>
  <si>
    <t>FinTech, Mobile, Mobile Commerce, SaaS, TMT</t>
  </si>
  <si>
    <t>Developer of a mobile payments platform designed to provide micro-merchants and SMEs financial inclusion using digital payments and loans. The company's platform can accept payments through multiple payment instruments including debit cards, credit cards, and mobile wallets, enabling merchants to accept electronic payments without any additional hardware or point-of-sale (POS) device.</t>
  </si>
  <si>
    <t>Accion, FMO Entrepreneurial Development Bank, IvyCap Ventures, Meta Platforms, Microsoft AI Innovate, Singapore Angel Network, Start Path, T-Hub</t>
  </si>
  <si>
    <t>www.ftcash.com</t>
  </si>
  <si>
    <t>539661-79</t>
  </si>
  <si>
    <t>AnyKrowd</t>
  </si>
  <si>
    <t>Developer of an all-in-one cashless payments and ticketing platform intended to help event organizers deliver a better experience for their visitors. The company's platform offers a variety of features such as cashless payments, ticketing, access control, and data analytics, enabling event organisers to improve cashless payments, ticketing, access control, and data analytics for their events.</t>
  </si>
  <si>
    <t>David Mary, Finance&amp;Invest.Brussels, Frank Van Raemdonck, Gio Canini, Tony Mary</t>
  </si>
  <si>
    <t>www.anykrowd.com</t>
  </si>
  <si>
    <t>293101-66</t>
  </si>
  <si>
    <t>Shrap</t>
  </si>
  <si>
    <t>Developer of a fintech platform designed to enable an autonomous and efficient cash management network. The company offers coin automation, real-time settlement of cash deposits, and end-to-end cash recycling capabilities for withdrawals, enabling banks, retailers, and cash-handling institutions to manage cash circulation and settlement more efficiently.</t>
  </si>
  <si>
    <t>SyndicateRoom</t>
  </si>
  <si>
    <t>www.shr.app</t>
  </si>
  <si>
    <t>139599-64</t>
  </si>
  <si>
    <t>BankBI</t>
  </si>
  <si>
    <t>Developer of a cloud-based financial data and insight platform designed to improve financial performance. The company's platform delivers daily insight to stakeholders, helps in growing the balance sheet, managing profitability, delivering efficiencies, streamlining financial processes, enhancing collaboration, and automating reporting, enabling CFOs, finance departments, and management teams with data-driven decision-making capabilities.</t>
  </si>
  <si>
    <t>The FSE Group, TruStage Ventures</t>
  </si>
  <si>
    <t>www.bankbi.com</t>
  </si>
  <si>
    <t>438449-41</t>
  </si>
  <si>
    <t>TiPJAR</t>
  </si>
  <si>
    <t>Developer of a digital tipping and tip distribution platform designed to streamline the collection and allocation of tips. The company's platform offers automated tip distribution, real-time visibility into earnings, integration with payment and scheduling systems, and flexible tip-sharing rules, enabling hospitality businesses and service staff to manage tips efficiently and ensure fair and transparent access to earnings.</t>
  </si>
  <si>
    <t>Active Partners, Alexander Moore, Ayanda Capital, Gary Dolman, Imagine Ventures Management, Innovate UK, Philip Eeles, Simon Bocca, Thomas Barton, YFM Equity Partners</t>
  </si>
  <si>
    <t>www.wearetipjar.com</t>
  </si>
  <si>
    <t>749327-14</t>
  </si>
  <si>
    <t>KUN</t>
  </si>
  <si>
    <t>Provider and operator of the cryptocurrency and Web 3 services intended to serve the digital payment industry. The company is mainly focused on the research and development of innovative fintech technology, providing one-stop Web2+Web3 digital payment services, leveraging payment licenses and crypto regulatory frameworks.</t>
  </si>
  <si>
    <t>BAI Capital, GSR Ventures, Hash Global, MOG Digitech Holdings</t>
  </si>
  <si>
    <t>www.kun.global</t>
  </si>
  <si>
    <t>431215-03</t>
  </si>
  <si>
    <t>Operator of a digital investment platform intended to offer its investors the possibility of investing in startups or real estate through the entry into capital or debt. The company's platform allows retail and institutional investors to access unlisted capital and debt products by further diversifying clients' portfolios through capital and debt operations while taking into account their predefined risks and terms, enabling investors to become partners or financiers of a growing company that is obtaining revenues.</t>
  </si>
  <si>
    <t>Angels Capital, Grupo GVC Gaesco, J.A. Consulting</t>
  </si>
  <si>
    <t>www.segofinance.com</t>
  </si>
  <si>
    <t>494946-37</t>
  </si>
  <si>
    <t>Splitero</t>
  </si>
  <si>
    <t>Provider of financial services intended to help homeowners to access home equity. The company's platform specializes in providing a lump sum of cash in exchange for a share of the home's appreciation or depreciation, enabling homeowners to decrease the cost without new debt or monthly payments.</t>
  </si>
  <si>
    <t>Colchuck, Dream Ventures, Fiat Ventures, Fortified Ventures, Goodwater Capital, Greenpoint Capital, Joint Effects, Madrona Venture Group, Mana Ventures, Oyster Investment Funds, PBJ Capital, Permit Ventures, Spark Growth Ventures, Stackpoint</t>
  </si>
  <si>
    <t>www.splitero.com</t>
  </si>
  <si>
    <t>157481-47</t>
  </si>
  <si>
    <t>Verve Ventures</t>
  </si>
  <si>
    <t>Operator of a startup investment platform intended to offer convenient access to investment opportunities and screening services for start-up companies. The company invests in promising startups as well as offers deal sourcing, screening, and evaluation tools for venture capital investors, coupled with reporting software, enabling startup companies to access funding for business growth and also allowing accredited private and institutional investors to monitor and make investment decisions in an optimal and informed manner.</t>
  </si>
  <si>
    <t>Berner Kantonalbank</t>
  </si>
  <si>
    <t>www.verve.vc</t>
  </si>
  <si>
    <t>442465-12</t>
  </si>
  <si>
    <t>NCFX</t>
  </si>
  <si>
    <t>Operator of a foreign exchange pricing data and analytics platform designed for cost evaluation and trade transparency. The company's platform offers regulated benchmark rates, real-time data feeds, and tools for transaction analysis and performance assessment, enabling financial institutions to access independent pricing and improve decision-making in currency trading.</t>
  </si>
  <si>
    <t>465 Holdings</t>
  </si>
  <si>
    <t>www.newchangefx.com</t>
  </si>
  <si>
    <t>469853-83</t>
  </si>
  <si>
    <t>Blank</t>
  </si>
  <si>
    <t>Developer of a financial management platform designed to manage the business from a single and complete interface. The company's platform connects all the bank accounts and centralizes finances in a single application, edits invoices and quotes, enabling banks to report each month in the right format, and scans checks directly from the application.</t>
  </si>
  <si>
    <t>La Fabrique by CA, Le Village by CA</t>
  </si>
  <si>
    <t>www.blank.app</t>
  </si>
  <si>
    <t>522902-98</t>
  </si>
  <si>
    <t>Corgi Labs</t>
  </si>
  <si>
    <t>Developer of an AI-based payments intelligence platform designed to help businesses reduce false declines, block fraud, and increase revenue. The company offers tiered software systems with payment and fraud dashboards, enabling businesses to optimize transactions through analytics and expert support across different revenue segments.</t>
  </si>
  <si>
    <t>CapitalX, Cronos Accelerator, Epic Angels, Nashville Entrepreneur Center, PIXEL (Singapore), Y Combinator</t>
  </si>
  <si>
    <t>www.corgilabs.ai</t>
  </si>
  <si>
    <t>454620-43</t>
  </si>
  <si>
    <t>Easyvest</t>
  </si>
  <si>
    <t>Provider of online financial advisory and portfolio management services intended to help investors grow their money in a simple and personalized way. The company's services offer consulting on investment portfolios and pension plans by assisting customers in selecting the right asset classes, selecting financial products, designing risk-efficient model portfolios, recommending portfolios, and piloting the portfolio, enabling clients to reduce risk and gaining alpha at a low cost.</t>
  </si>
  <si>
    <t>Alfred Bouckaert, Belfius Bank, Fabrice Wuyts, Finance&amp;Invest.Brussels, Jacques-Martin Philippson, Jean-Louis Van Houwe, Mitiska, Société Fédérale de Participations et d'Investissement, SRIB, Xavier Pansaers</t>
  </si>
  <si>
    <t>www.easyvest.be</t>
  </si>
  <si>
    <t>89838-46</t>
  </si>
  <si>
    <t>HEXANIKA</t>
  </si>
  <si>
    <t>Developer of end-to-end software for financial institutions, intended to address data sourcing and reporting challenges, focused on regulatory compliance. The company's products provide customers with innovative and self-service data solutions to address various data challenges, such as data quality, governance, and cost of data management, enabling firms to leverage their ready-to-use, patented algorithms based on artificial intelligence and Big Data.</t>
  </si>
  <si>
    <t>CFV Ventures, Deepak Shikarpur, Duck Island Holdings, Fintech71, Fintegrate Zone, In Capital, Independent Community Bankers of America, Manish Soman, Manoj Marathe, Mitchell Martin, Nikita Mohatta, Plug and Play Tech Center, RevTech Labs Capital, Ruchita Mohatta, SixThirty Ventures, Sonia Shikarpur, SVB Financial Group, The Venture Center, UMB Financial</t>
  </si>
  <si>
    <t>www.hexanika.com</t>
  </si>
  <si>
    <t>534976-03</t>
  </si>
  <si>
    <t>Jamm (Financial Software)</t>
  </si>
  <si>
    <t>Developer of a payment platform designed to provide consumers with a convenient and flexible payment system to users. The company's platform offers a single account for managing multiple payment methods and centralized management of transaction fees and cashback rates, enabling customers to save money and make informed financial decisions.</t>
  </si>
  <si>
    <t>Angel Bridge, ANRI, DCM Ventures, DG Daiwa Ventures, Riku Sugie, XTech Ventures</t>
  </si>
  <si>
    <t>www.jamm-pay.jp</t>
  </si>
  <si>
    <t>435244-33</t>
  </si>
  <si>
    <t>Longevity Card</t>
  </si>
  <si>
    <t>Operator of a mobile banking platform intended to manage money and lead a healthy lifestyle under one interface. The company's tools provide financial products, personalized health tips, recommendations, and reward points that can be redeemed to buy products within the marketplace ecosystem, enabling users to promote their financial stability and well-being.</t>
  </si>
  <si>
    <t>Deep Knowledge Ventures</t>
  </si>
  <si>
    <t>www.longevity.cards</t>
  </si>
  <si>
    <t>436575-34</t>
  </si>
  <si>
    <t>Zhongma Technology</t>
  </si>
  <si>
    <t>Provider of comprehensive Internet payment solutions. The company provides one-stop solutions including payment system, accounting system, membership system and etc., enabling enterprises to receive payment quickly and securely.</t>
  </si>
  <si>
    <t>Funcity Capital</t>
  </si>
  <si>
    <t>www.zhongmakj.com</t>
  </si>
  <si>
    <t>463163-50</t>
  </si>
  <si>
    <t>UangCermat</t>
  </si>
  <si>
    <t>Developer of a financial services platform designed to offer savings, loans, and investment services. The company's platform provides access to sustainable financial products and services that connect various stakeholders in the ecosystem to the underbanked and unbanked segments, enabling users to connect through financial technologies.</t>
  </si>
  <si>
    <t>2be.lu Investments, Cocoon Capital, Cub Capital, Damien Alain, Hellmut Schutte, Hemant Aneja, Independent Financial Partners, Masik Enterprises, Michael Blakey, NP Consulting, Pierre Lorinet, Sia Xi, Tigris Capital</t>
  </si>
  <si>
    <t>uangcermat.com</t>
  </si>
  <si>
    <t>594135-37</t>
  </si>
  <si>
    <t>Balance (San Francisco)</t>
  </si>
  <si>
    <t>Developer of a virtual assistant platform designed for cash management to get real-time visibility into accounts. The company's platform features real-time liquidity tracking, forecasting vendors, tags, and invoices, artificial intelligence-based suggestions harnessing accounting and banking data for automated forecast construction, variance analysis, enabling users with cash forecasting and risk mitigation, while providing visibility around bank fees and service charges.</t>
  </si>
  <si>
    <t>Bienville Capital, Cota Capital, Hike Ventures, Tunitas Ventures, Venture Dock</t>
  </si>
  <si>
    <t>www.balancecash.io</t>
  </si>
  <si>
    <t>495386-92</t>
  </si>
  <si>
    <t>BlockGen</t>
  </si>
  <si>
    <t>Developer of a loan pricing and underwriting engine designed to handle the complexities of prime mortgages. The company's platform specializes in automating any lending product, such as auto, commercial real estate, and personal loans, making it ideal for banks and credit unions to digitally streamline all their lending verticals, enabling mortgage investors and lenders with control over loan products, pricing, stipulations, and underwriting decision output.</t>
  </si>
  <si>
    <t>Charterhouse Strategic Partners</t>
  </si>
  <si>
    <t>www.blockgencorp.com</t>
  </si>
  <si>
    <t>509549-41</t>
  </si>
  <si>
    <t>Score Dating App</t>
  </si>
  <si>
    <t>Developer of a financial dating application designed to help individuals with good credit manage spending and investing simultaneously. The company's application offers features like integrated spending and investment accounts, personalized financial guides, and wellness resources, enabling people with credit profiles to build wealth and maintain financial balance.</t>
  </si>
  <si>
    <t>10X Capital, Anthony Saleh, Benchstrength (New York), Bessemer Venture Partners, Carolyn O'Hare, Craig Lewis, Gaingels, Jason Mayde, Kenneth Chenault, Lameck Humble Lukanga, Michael Tubbs, Mick Batyske, Nichole Wischoff, PayPal Ventures, Point72 Ventures, Tristan Walker, Westbound Equity Partners, WndrCo</t>
  </si>
  <si>
    <t>scoredating.app</t>
  </si>
  <si>
    <t>95463-37</t>
  </si>
  <si>
    <t>Tookitaki</t>
  </si>
  <si>
    <t>Developer of enterprise software systems designed to build a safer and more secure world. The company's platform works on financial crime prevention is on a mission to transform the battle against financial crime by dismantling siloed acute myeloid leukemia approaches and uniting the community through groundbreaking anti-money laundering suite (AMLS) and anti-financial crime (AFC) ecosystem, enabling businesses to improve operational efficiency and reduce the cost of compliance.</t>
  </si>
  <si>
    <t>True Global Ventures</t>
  </si>
  <si>
    <t>www.tookitaki.com</t>
  </si>
  <si>
    <t>537417-73</t>
  </si>
  <si>
    <t>PeLocal</t>
  </si>
  <si>
    <t>Developer of digital payment infrastructure designed to provide secure transactions for businesses and individuals. The company's platform supports QR code payments, UPI integration, merchant onboarding, and real-time settlements, enabling small businesses, merchants, and consumers in India with streamlined payment processing and improved financial accessibility.</t>
  </si>
  <si>
    <t>Future Monk Investments, Unicorn India Ventures, UNLEASH Capital Partners</t>
  </si>
  <si>
    <t>pelocal.com</t>
  </si>
  <si>
    <t>507336-40</t>
  </si>
  <si>
    <t>Grasp</t>
  </si>
  <si>
    <t>Developer of an AI-based assistant intended to automate complex finance workflows. The company's technology uses proprietary, in-house built, generative AI and language models to streamline complex and time-consuming tasks, enabling investment banks and management consultants to filter out the most relevant targets.</t>
  </si>
  <si>
    <t>KTH Innovation, Octopus Ventures, Philian Invest, Yanno Capital</t>
  </si>
  <si>
    <t>www.grasp-ai.com</t>
  </si>
  <si>
    <t>339777-01</t>
  </si>
  <si>
    <t>Gujiajia Intelligence</t>
  </si>
  <si>
    <t>Developer of an equity ownership and incentives management platform. The company's product helps businesses create custom incentive plans, manage employee options and offer tax consulting on incentives, enabling clients to manage employee incentives efficiently.</t>
  </si>
  <si>
    <t>Qichacha, Tongcheng Capital</t>
  </si>
  <si>
    <t>www.shareplus.cn</t>
  </si>
  <si>
    <t>519107-59</t>
  </si>
  <si>
    <t>InfinID</t>
  </si>
  <si>
    <t>Operator of a digital financial access platform intended to access their property wealth through a home equity line of credit. The company's platform connects property owners with formal financial institutions through an online interface, uses secure data practices and certifications, supports an online application and verification process, offers flexible terms, competitive pricing, ongoing support, and mobile accessibility, enabling Indonesian homeowners who seek to leverage their property assets with broader access to tailored financing options and capital acquisition.</t>
  </si>
  <si>
    <t>Argor, Canopus Advisors, Insignia Holding Company 2, Insignia Ventures Partners, Scale Up by Endeavor</t>
  </si>
  <si>
    <t>www.infinid.id</t>
  </si>
  <si>
    <t>520068-61</t>
  </si>
  <si>
    <t>OnFinance</t>
  </si>
  <si>
    <t>Developer of a generative AI platform designed to excel at financial tasks by investigating the crypto and stocks market. The company's platform helps to bridge the gap between financial information and investments and reduce turnaround time for key business tasks with AI, enabling banks, asset managers, wealth professionals, and insurance companies to drive financial inclusion in emerging economies through artificial intelligence.</t>
  </si>
  <si>
    <t>AL Trust, Climber capital, Google Accelerator, Group of Marquee Investors, Groww, Indian Angel Network, JioGenNext, Kunal Shah, LVX, Mars Shot Ventures, Maya Valley Ventures, QED Innovation Labs, Realtime (India), Samarthya Capital, Shyamal Anadkat, Silverneedle Ventures, Swadharma Source Ventures, T-Hub, Tushar Lunkad</t>
  </si>
  <si>
    <t>www.onfinance.ai</t>
  </si>
  <si>
    <t>117100-63</t>
  </si>
  <si>
    <t>Spiking</t>
  </si>
  <si>
    <t>Developer of a stock trading platform designed to help with legal insider trading. The company's platform facilitates key insights and financial data for retail investors, helps to make investment decisions in a stock exchange, and provides access to insider, high-net-worth investors' investment portfolios, strategies, and stock picks, enabling traders to follow reputable investors as they buy and sell shares on the stock market.</t>
  </si>
  <si>
    <t>Andrew Chen, BANSEA, Boon Koh, Carl Wang, Chain Renaissance Capital, Cheng Guan Loo, Douglas Foo, Excavo, Fundamental Labs, James Sowers, Jove Capital, Julian Chesser, Kazumasa Tomita, Lim Ah Hock, Lisa Theng, Mars Blockchain, National Research Foundation Singapore, Ong Chu Poh, Quest Ventures, Raffles Financial Group, Ronnie Tan, Toh Huat, Village Capital</t>
  </si>
  <si>
    <t>www.spiking.com</t>
  </si>
  <si>
    <t>471040-48</t>
  </si>
  <si>
    <t>Futora</t>
  </si>
  <si>
    <t>Developer of a trading management platform designed to provide personalized investment products for all segments. The company's platform allows financial institutions and banks to set up an investment solution for the end customers and post-delivery product monitoring to optimize the result; analytics, training, and sales tools for client understanding reports on operations of the product, enabling clients to manage the full lifecycle of the financial product efficiently.</t>
  </si>
  <si>
    <t>J-Ventures, North First Ventures, Sergio Fogel Kaplan, SureTech Investments, TAU Ventures (Israel), The Chartered Group</t>
  </si>
  <si>
    <t>www.futora.com</t>
  </si>
  <si>
    <t>161429-50</t>
  </si>
  <si>
    <t>Invocap</t>
  </si>
  <si>
    <t>FinTech, Industrials, TMT</t>
  </si>
  <si>
    <t>Operator of a financial platform intended to offer online tools to make business funding convenient and successful. The company's platform provides financing for small and medium businesses by offering lines of credit against outstanding invoices, enabling enterprises to avail of financing assistance exactly when they need it and in a clear structure that suits the patterns of their cash flow.</t>
  </si>
  <si>
    <t>Climate First, High House Investment, Müller Medien, Samuel Braun Group, SeedIL Ventures</t>
  </si>
  <si>
    <t>www.invocap.com</t>
  </si>
  <si>
    <t>125842-60</t>
  </si>
  <si>
    <t>Active Asset Allocation</t>
  </si>
  <si>
    <t>Operator of a fintech company intended to offer financial engineering services. The company uses artificial intelligence and a cloud-based digital platform for the creation and monitoring of personalized investment solutions, as well as improved explanations and understanding by financial advisors and investors, enabling asset management companies, insurance companies and financial product distributors to serve their clients.</t>
  </si>
  <si>
    <t>Allianz France, Capital Croissance, Eurazeo, La French Tech Est, La Synapse, MAIF Impact, Naples Accelerator, Région Sud Investissement, Ternel, Turenne Groupe</t>
  </si>
  <si>
    <t>www.active-asset-allocation.com</t>
  </si>
  <si>
    <t>496738-63</t>
  </si>
  <si>
    <t>Finspot</t>
  </si>
  <si>
    <t>Developer of a digital factoring platform designed to improve the liquidity of small and medium enterprises. The company's platform combines innovation and modern technology with experience and knowledge of industries, markets, and finance, and turns invoices into money, enabling clients by providing day-to-day liquidity management and supporting the invoice financing process.</t>
  </si>
  <si>
    <t>www.finspot.com</t>
  </si>
  <si>
    <t>55715-32</t>
  </si>
  <si>
    <t>Paythru</t>
  </si>
  <si>
    <t>Developer of EV charging and an online payment platform designed to provide configurable, embedded digital payment services to the rapidly developing world of digitized mobility. The company's platform offers an online payment service that connects online retailers with customers' banking service providers to facilitate transactions with various merchants, including food and retail, payment collectors, and parking fees, enabling users to make secure cashless payments via a virtual mobile payment platform.</t>
  </si>
  <si>
    <t>Lysara</t>
  </si>
  <si>
    <t>www.paythru.com</t>
  </si>
  <si>
    <t>462383-83</t>
  </si>
  <si>
    <t>Digitoo.ai</t>
  </si>
  <si>
    <t>Developer of an invoice automation software designed to automate and digitalize the accounting process. The company's platform sorts and stores incoming invoices through multi-level electronic approvals and uses artificial intelligence to automatically extract data from other invoices, enabling businesses to avail of paperless accounting services, save time on administrative tasks, make strategic decisions with ease, and focus on their functions.</t>
  </si>
  <si>
    <t>CB Investment Management, Crowdberry, Kaya VC, N1 (Prague), Reflex Capital, Slovak Investment Holding</t>
  </si>
  <si>
    <t>www.digitoo.ai</t>
  </si>
  <si>
    <t>222616-90</t>
  </si>
  <si>
    <t>Ozow</t>
  </si>
  <si>
    <t>Developer of a digital financial transaction and payment platform designed for facilitating secure, direct bank-to-bank money movement. The company's platform provides multiple payment options for merchants, including QR codes, e-commerce checkout integration, e-billing, and payment links, while also processing instant payouts and refunds, leveraging direct bank-to-bank technology to handle money movement without requiring a physical card, enabling businesses and consumers to conduct convenient and swift financial transactions.</t>
  </si>
  <si>
    <t>Endeavor Catalyst, Endeavor South Africa, Fireball Capital, Futuregrowth Asset Management, Greycroft, Kalon Venture Partners, Tencent Holdings</t>
  </si>
  <si>
    <t>www.ozow.com</t>
  </si>
  <si>
    <t>437876-29</t>
  </si>
  <si>
    <t>AIO (Financial Software)</t>
  </si>
  <si>
    <t>Developer of a financial identity platform designed to provide access to commercial credit information to improve financial decision-making. The company's platform collects authenticated documents from trusted sources to verify the financial profile of businesses, as well as accelerates customer screening and onboarding, enabling businesses to make decisions about lending, underwriting, and investing efficiently.</t>
  </si>
  <si>
    <t>BIRD Foundation, IDEA Fund Partners, SureTech Investments, Village Capital, Vocap Partners</t>
  </si>
  <si>
    <t>www.aio.network</t>
  </si>
  <si>
    <t>416555-92</t>
  </si>
  <si>
    <t>Vircle (Financial Software)</t>
  </si>
  <si>
    <t>Developer of a financial application designed to provide cashless transactions. The company's application offers a cashless system to parents to approve instant allowances, create savings habits and encourage responsibility through chores and tasks and thus allows parents to give pocket money, teach kids to save and spend responsibly at school, enabling kids to learn and experience money safely.</t>
  </si>
  <si>
    <t>1337 Ventures, 500 Global, 500 Southeast Asia, Chew Kok Seng, Cradle Fund, Gobi Partners, Khazanah Nasional, Kumpulan Modal Perdana, Suresh Thirugnanam</t>
  </si>
  <si>
    <t>www.vircle.com</t>
  </si>
  <si>
    <t>497432-35</t>
  </si>
  <si>
    <t>Lesslie</t>
  </si>
  <si>
    <t>Operator of a financial technology company intended to build tools and services for cross-border businesses. The company creates financial tools and offers services to manage the finances for international supplier invoices and customer invoices and automate accounting, enabling import and export companies to simplify payments and save costs.</t>
  </si>
  <si>
    <t>Erik Seifert, Njord Ventures, Noel Abdayem, Per David Craelius, Quinary Investment, Wellstreet Partners, Willem De Geer, YLD (Sweden)</t>
  </si>
  <si>
    <t>www.lesslie.se</t>
  </si>
  <si>
    <t>343611-82</t>
  </si>
  <si>
    <t>Arthan Finance</t>
  </si>
  <si>
    <t>Operator of a digital lending platform intended to provide financing options for small businesses and entrepreneurs. The company's platform features online loan applications, automated credit assessment, flexible repayment plans, and quick disbursal, enabling small business owners and entrepreneurs to access tailored financial products and improve cash flow management through efficient and transparent lending experiences.</t>
  </si>
  <si>
    <t>Ajit Ranade, Incofin Investment Management, Michael &amp; Susan Dell Foundation, Sunil Gulati</t>
  </si>
  <si>
    <t>www.arthan.finance</t>
  </si>
  <si>
    <t>228393-64</t>
  </si>
  <si>
    <t>Grandhood</t>
  </si>
  <si>
    <t>FinTech, InsurTech, Mobile, TMT</t>
  </si>
  <si>
    <t>Developer of an online employer-enabled retirement planning application designed to make pensions available to people. The company's application offers voluntary health insurance, insurance in the event of reduced working capacity, in the event of death, and for certain critical illnesses, enabling small businesses to help their employees get a chance to enjoy their retirement.</t>
  </si>
  <si>
    <t>Copenhagen Fintech Lab, Morten Nilsson, PSV (Denmark), Velliv, Pension, &amp; Livsforsikring</t>
  </si>
  <si>
    <t>www.grandhood.dk</t>
  </si>
  <si>
    <t>442356-67</t>
  </si>
  <si>
    <t>KarbonPay</t>
  </si>
  <si>
    <t>Developer of a cloud-based payroll management platform designed to calculate gross-to-net paycheck calculations while factoring in labor regulations. The company's platform allows customers to run their payroll calculations and manage the submission of local taxes to the authorities on behalf of the employees, enabling businesses to manage their staff management systems across different countries.</t>
  </si>
  <si>
    <t>Cody Heisinger, Knockout Capital, RevTech Labs, Ryan Kirkpatrick</t>
  </si>
  <si>
    <t>www.karbonpay.com</t>
  </si>
  <si>
    <t>327336-94</t>
  </si>
  <si>
    <t>Wollit</t>
  </si>
  <si>
    <t>Developer of a credit-building platform designed to help individuals improve their credit history. The company reports subscription and rent payments to UK credit reference agencies and provides credit education, affordability analysis, and AI-based assistance, enabling users to build their credit profile and strengthen their access to financial products.</t>
  </si>
  <si>
    <t>Anthemis, Banco Bilbao Vizcaya Argentaria, BBVA Anthemis Venture Partnership, Epiphany Capital, Form Ventures, Fuel Ventures, MNL Nominees, Plug and Play Tech Center, Triple Point</t>
  </si>
  <si>
    <t>www.wollit.com</t>
  </si>
  <si>
    <t>462617-74</t>
  </si>
  <si>
    <t>DreamPlan</t>
  </si>
  <si>
    <t>Operator of a financial advisory platform intended to help people make informed financial decisions. The company's platform uses a variety of data sources, including income, expenses, assets, and liabilities, to create a comprehensive financial plan for each user, enabling users to get personalized financial advice and recommendations based on their circumstances.</t>
  </si>
  <si>
    <t>Accelerace, Frank Hansen, Jesper Christensen, Mastercard Lighthouse, Three Thousand Capital, Time to Raise</t>
  </si>
  <si>
    <t>www.dreamplan.io</t>
  </si>
  <si>
    <t>470065-87</t>
  </si>
  <si>
    <t>Bound</t>
  </si>
  <si>
    <t>Developer of a foreign exchange platform designed for risk management. The company's platform compares the rates from multiple vendors, provides an interface free of finance jargon, and integrates with major accounting systems, enabling small and medium-sized enterprises to protect their businesses from ever-changing currency rates.</t>
  </si>
  <si>
    <t>1818 Venture Capital, AlbionVC, Album VC, Fabian Hansen, GoHub Ventures, Kevin Wang, Mato Peric, Moonfire, Notion Capital, Presight Capital, Valar Ventures, Western Technology Investment</t>
  </si>
  <si>
    <t>www.bound.co</t>
  </si>
  <si>
    <t>615923-83</t>
  </si>
  <si>
    <t>bQuest</t>
  </si>
  <si>
    <t>Developer of a tech-enabled care-coordination platform designed to help families navigate aging and end-of-life challenges. The company provides a centralized hub where clients and their families can access vetted professionals, along with value-added services for advisors that deepen client relationships by helping them address complex life transitions, enabling financial advisors to save time and strengthen client trust during emotionally significant moments.</t>
  </si>
  <si>
    <t>Bridge Entrepreneurs Network, First Rate (Software Company), The Founders Arena</t>
  </si>
  <si>
    <t>www.thebquest.com</t>
  </si>
  <si>
    <t>227160-01</t>
  </si>
  <si>
    <t>CorpAxe</t>
  </si>
  <si>
    <t>Developer of a corporate access platform designed to simplify research management. The company's platform permits price discovery, commission management, and receives data via direct uploads from their broker partners, and follows a strict proprietary validation process that minimizes errors and therefore inaccurate payments and votes, enabling clients to view aggregated sell-side marketing calendars, including open requests for access and confirmation of meetings and attendees.</t>
  </si>
  <si>
    <t>www.corpaxe.com</t>
  </si>
  <si>
    <t>265575-97</t>
  </si>
  <si>
    <t>GenRocket</t>
  </si>
  <si>
    <t>Developer of a test data management platform designed to automate test data generation for software testing and machine learning workflows. The company offers structured synthetic data generation, unstructured data generation, and advanced test data management capabilities, enabling software developers, testers, and AI data scientists to accelerate testing processes and improve data quality.</t>
  </si>
  <si>
    <t>Bigfoot Capital, David Vergara, John Ryan, Michael Panesis, Y Combinator</t>
  </si>
  <si>
    <t>www.genrocket.com</t>
  </si>
  <si>
    <t>461995-57</t>
  </si>
  <si>
    <t>Keyway AI</t>
  </si>
  <si>
    <t>Developer of an artificial intelligence-powered real estate investment platform designed for fragmented commercial property markets. The company's platform leverages data science and machine learning to identify and acquire investment properties in sectors like multifamily, healthcare, and net lease, enabling people to further invest in their growth and small and medium property owners to get immediate cash flow backed by a long-term lease.</t>
  </si>
  <si>
    <t>Acurio Ventures Partners, Astir Ventures, Camber Creek, Canvas Prime, Crosscut Ventures, FJ Labs, Graph Ventures, Great Oaks Venture Capital, Moderne Ventures, Montage Ventures, Myelin VC, Parker89, Thomvest Ventures, Threadneedle Ventures</t>
  </si>
  <si>
    <t>www.keyway.ai</t>
  </si>
  <si>
    <t>489203-74</t>
  </si>
  <si>
    <t>Lunch</t>
  </si>
  <si>
    <t>Developer of a cash flow financial platform intended to empower local businesses with early invoice payments. The company's platform increases the velocity of money by combining collections and factoring in cash flow-sensitive and credit-constrained verticals, and provides instant liquidity by unlocking their cash stuck in unpaid invoices, enabling companies to access invoice financing and focus on running their business.</t>
  </si>
  <si>
    <t>Edovate Capital, Fiat Ventures, JHH vc, Joint Effects, Mudita Venture Partners, Nomad Ventures, Plug and Play Tech Center, Restive Ventures, RSLP Ventures, SaaS Ventures</t>
  </si>
  <si>
    <t>www.lunchpayments.com</t>
  </si>
  <si>
    <t>528295-69</t>
  </si>
  <si>
    <t>Measured (Consumer Finance)</t>
  </si>
  <si>
    <t>Developer of a securities-backed lending platform designed for providing low-cost credit. The company's platform offers easy onboarding, flexible custody, customizable repayment plans, and integrated risk-based advice tailored to a customer's risk profile, enabling customers to affordably borrow against their investments for life's big moments while maintaining certain securities as collateral.</t>
  </si>
  <si>
    <t>Fika Ventures, FJ Labs, Gallery Ventures</t>
  </si>
  <si>
    <t>www.measuredhq.com</t>
  </si>
  <si>
    <t>436085-11</t>
  </si>
  <si>
    <t>Mozper</t>
  </si>
  <si>
    <t>Developer of a youth payment card designed to manage savings and spending. The company's card lets the parents give their kids an allowance and set spending rules so they can not spend it all on video games, also allows them to assign chores and track savings goals, enabling parents to let their children get a hands-on, real-world financial education appropriate for the digital era.</t>
  </si>
  <si>
    <t>Amplifica Capital, Angel Ventures Mexico, Artfo Holdings, Dux Capital, Foundation Capital, Google Accelerator, Hetz Ventures, Impacta VC, John Farrell, Kaedan Capital, Secocha Ventures, VentureSouq, Y Combinator</t>
  </si>
  <si>
    <t>www.mozper.com</t>
  </si>
  <si>
    <t>433728-10</t>
  </si>
  <si>
    <t>National Medical Funding Services</t>
  </si>
  <si>
    <t>B2B Payments, FinTech, HealthTech, InsurTech, SaaS</t>
  </si>
  <si>
    <t>Operator of a healthcare finance management platform intended to improve payor and patient collections. The company's platform offers improved administrative efficiency on denied claims, accelerated claim payments to improve the revenue cycle, consolidating payments, advancing pay, performing value-added services, and enhanced visibility into a hospital's financial systems, enabling medical providers, healthcare payers, and managed care organizations enhancement of the cash flow and reducing the administrative burden of participating.</t>
  </si>
  <si>
    <t>Cobalt Ventures (Private Equity)</t>
  </si>
  <si>
    <t>www.nationalmedicalfundingservices.com</t>
  </si>
  <si>
    <t>515710-54</t>
  </si>
  <si>
    <t>PayQuid</t>
  </si>
  <si>
    <t>Developer of a contactless payment platform designed to enable cash withdrawals and digital payments without physical cards. The company's platform enables users to communicate with automatic teller machines and point-of-sale devices without direct physical contact by digitally reading scans for both digital and non-digital currencies, enabling consumers to perform cardless cash withdrawals and secure mobile transactions.</t>
  </si>
  <si>
    <t>www.payquid.net</t>
  </si>
  <si>
    <t>496120-78</t>
  </si>
  <si>
    <t>Payverse</t>
  </si>
  <si>
    <t>Developer of a payment technology designed to connect cultures and commerce across the globe. The company's technology offers lifecycle management operations such as sales process, onboarding, risk management, transaction processing, funding, statements and reporting and allows for integration and simplification, enabling clients to diversify and expand their customer base, profitability and differentiation in the market.</t>
  </si>
  <si>
    <t>Frank Mastrangelo, Jonathan Palmer, Mary Wieler, The Artemis Fund, Urban Capital Network</t>
  </si>
  <si>
    <t>www.payverse.com</t>
  </si>
  <si>
    <t>169469-83</t>
  </si>
  <si>
    <t>The Beans</t>
  </si>
  <si>
    <t>FinTech, HR Tech, Mobile, SaaS</t>
  </si>
  <si>
    <t>Developer of a financial wellness platform designed to help employees manage their cash flow and reduce financial stress. The company develops a personalized financial planning application that utilizes evidence-based design to create evolving cash flow plans, enabling employees to automate their savings, manage daily expenses, and improve their overall financial health.</t>
  </si>
  <si>
    <t>Alison Rosenthal, Alloy Labs, Aloft VC, Commerce Ventures, Coyote Ventures, Dmitri Mehlhorn, Emmeline Ventures, Eric Hautemont, Esther Dyson, Fabric VC, Flybridge (New York), Forward VC, GoingVC Partners, Impulsum Ventures, One Planet Group, Oxonian Ventures, Precursor Ventures, Relay Ventures, Swing Ventures, Techstars, The Refiners, TruStage Ventures, Vidinovo, Village Capital, XFactor Ventures</t>
  </si>
  <si>
    <t>www.join-thebeans.io</t>
  </si>
  <si>
    <t>180561-16</t>
  </si>
  <si>
    <t>Wi-Q</t>
  </si>
  <si>
    <t>Developer of cloud-based mobile ordering applications designed for the hospitality industry. The company's application provides instant access to the hospitality venue's menu of services, with ordering and payment capability, enabling hotel users to place orders and pay via a brand-customized menu by scanning a QR code, entering a URL, or being redirected upon accessing the WiFi - all from their own mobile device for an entirely contactless guest experience.</t>
  </si>
  <si>
    <t>Epiphany Capital, Pxn Ventures</t>
  </si>
  <si>
    <t>www.wi-q.com</t>
  </si>
  <si>
    <t>434167-30</t>
  </si>
  <si>
    <t>Flow (Financial Services)</t>
  </si>
  <si>
    <t>Developer of a fintech lending platform designed to provide working capital access for mobile money ecosystems in emerging markets. The company offers float advances, e-money liquidity financing, and mobile money infrastructure integration, enabling mobile money agents and merchants to access operational capital and maintain transaction liquidity.</t>
  </si>
  <si>
    <t>Blackwood Ventures (Denmark), DeveloPPP Ventures, Hindsight Ventures, Inua Capital, Lendahand, Make-IT in Africa, Milken-Motsepe Prize, Tech Nation Group, Verdant Frontiers</t>
  </si>
  <si>
    <t>www.flowglobal.net</t>
  </si>
  <si>
    <t>63098-65</t>
  </si>
  <si>
    <t>LVX</t>
  </si>
  <si>
    <t>Developer of an online fundraising platform designed to create investment-ready online business profiles. The company's platform connects accredited investors to startups looking to raise seed or angel money and performs due diligence and paperwork during the fundraising process, enabling startups to easily raise money.</t>
  </si>
  <si>
    <t>Seeders, Sprouts Investments, Supermorpheous</t>
  </si>
  <si>
    <t>www.lvxventures.com</t>
  </si>
  <si>
    <t>454738-33</t>
  </si>
  <si>
    <t>Durianpay</t>
  </si>
  <si>
    <t>Developer of a payment technology designed to provide localized payment and checkout alternatives. The company's technology provides mobile software development kits and customizable checkout pages along with integrations that give full reports on the dashboard, enabling start-ups and small businesses to have a tool that offers a wide range of expense methods and analytics.</t>
  </si>
  <si>
    <t>AC Ventures (EU), ACV Capital, Ankit Jain, Ankiti Bose, Digital Currency Group, Evolve Capital, Global FinTech Venture Partners, Harshet Lunani, Joe Wadakethalakal, Kenanga Investment Bank, Kopital Ventures, Mulia Sky Capital, Peak XV Partners, Rajan Anandnan, Reynold Wijaya, Sai Srinivas, Scale Up by Endeavor, Surge (Accelerator), Tanay Tayal</t>
  </si>
  <si>
    <t>www.durianpay.id</t>
  </si>
  <si>
    <t>226929-43</t>
  </si>
  <si>
    <t>ErudiFi</t>
  </si>
  <si>
    <t>Artificial Intelligence &amp; Machine Learning, Big Data, EdTech, FinTech, Mobile, SaaS</t>
  </si>
  <si>
    <t>Developer of an education financing platform designed to assist students in obtaining educational loans. The company's platform helps users to apply for a loan online and get it approved, based on family income, area of study, and merit, enabling students to avail of low-interest, affordable educational loans for clearing their course or tuition fees while avoiding lengthy documentation hassles.</t>
  </si>
  <si>
    <t>500 Southeast Asia, Actions Capital, ACV Capital, Blauwpark Partners, Brain-too-Free Ventures, Capitalcorp Venture, Convergence Ventures, Google Accelerator, Intudo Ventures, John Ann, John Danner, MassChallenge, Monk's Hill Ventures, Nuansa Digital Indonesia, Octava (Singapore), Open Campus Accelerator, Patamar Capital, Qualgro, Taurus Ventures, ThirdStream Partners, Vanderes Foundation, Wharton Business Plan Competition, Xyris (Singapore), Y Combinator</t>
  </si>
  <si>
    <t>www.erudifi.com</t>
  </si>
  <si>
    <t>494912-35</t>
  </si>
  <si>
    <t>EximPe</t>
  </si>
  <si>
    <t>Developer of an online cross-border remittance platform intended to digitize workflows for exporters and importers. The company's platform digitizes payments, compliance, and finance across borders, and provides financial services, in partnership with leading Indian banks, enabling businesses to send and receive payments globally.</t>
  </si>
  <si>
    <t>2 a.m. Ventures, Amati Global Investors, Ankit Nagori, Aprameya Radhakrishna, Axel Wehr, Beta Lab, BoldCap, Chakrapani Mantena, Deb Dutt, Dushyant Sapre, Firestartr, Giridhar Malpani, GrowthCap Ventures, Hustle Hard Ventures, iSeed (India), Kunal Shah, Leo Capital, LVX, NuVentures, Rajesh Raju, RB Investments (Singapore), Rohit M. A., Srini Kopparapu, Subramanya SV, Sunil Rao, Swadharma Source Ventures</t>
  </si>
  <si>
    <t>www.eximpe.com</t>
  </si>
  <si>
    <t>171059-41</t>
  </si>
  <si>
    <t>Fingpay</t>
  </si>
  <si>
    <t>Developer of a biometric-based payment application designed to make digital payments. The company's application utilizes biometric point-of-sale devices to accept payments that are more convenient, faster, simpler, and more secure, as well as provides services such as utility bill payments, QR-based payments, digital banking, and other facilities, enabling customers to pay only by scanning their fingerprints.</t>
  </si>
  <si>
    <t>IvyCap Ventures, JioGenNext, LEAP AHEAD (India), Mumbai FinTech Hub, Palava Accelerator</t>
  </si>
  <si>
    <t>www.fingpay.co.in</t>
  </si>
  <si>
    <t>101037-43</t>
  </si>
  <si>
    <t>ChartMogul</t>
  </si>
  <si>
    <t>Developer of a subscription analytics platform designed to calculate and understand recurring revenue. The company's platform offers revenue recognition for businesses and tools to measure, understand, and view monthly recurring revenue, enabling businesses to centralize and analyze their critical business data to extract information and to report it in a timely and accurate manner.</t>
  </si>
  <si>
    <t>www.chartmogul.com</t>
  </si>
  <si>
    <t>521631-73</t>
  </si>
  <si>
    <t>NatureAlpha</t>
  </si>
  <si>
    <t>Big Data, CleanTech, FinTech, SaaS</t>
  </si>
  <si>
    <t>Developer of insights and nature accounting platform designed for investors, capital markets, asset managers, asset owners, and sustainability professionals. The company's platform offers science-based, machine-learning-powered biodiversity analytics and nature accounting tools via API or platform, enabling investors to support a sustainable future for the natural world by offering integrated biodiversity assessment tools.</t>
  </si>
  <si>
    <t>DNV Ventures, FNZ IP Ventures</t>
  </si>
  <si>
    <t>www.naturealpha.ai</t>
  </si>
  <si>
    <t>143406-01</t>
  </si>
  <si>
    <t>Punch</t>
  </si>
  <si>
    <t>Developer of a single-screen trading application designed to provide real-time visual trading experience with safety features for traders and investors. The company's platform provides real-time stock prices, technical charts, algo-alerts, and scanners and also educates about market skills, knowledge, news, and insights, enabling traders to make more informed trading decisions.</t>
  </si>
  <si>
    <t>Aditya Goel, Anubhuti Value Trust, Astir Ventures, Bhana Equity Advisors, Chandigarh Angels Network, Chatur Ideas, Dandu Varma, Dipalee Desai, Four SB, Gautam Madan, InnoVen Capital, Jyotika Kharabanda, Kishore Ganji, Kunal Shah, Lead Invest, Manav Mehra, Nitish Mittersain, Pranay Savla, Prime Venture Partners, Rashmi Kwatra, Ratish Nair, Ravi Gowda, Rosebay Consultants, Sanjay Kumath, SeaBright Holdings, Sharan Aggarwal, SIG China, SIG Venture Capital, Stellaris Venture Partners, Ultrahuman, Umashankar Nistala, Vatsal Singhal, Vikram Jain</t>
  </si>
  <si>
    <t>www.punch.trade</t>
  </si>
  <si>
    <t>126510-76</t>
  </si>
  <si>
    <t>Husky Finance</t>
  </si>
  <si>
    <t>Developer of a workplace pension platform designed to give access to financial freedom. The company's platform facilitates end-to-end pension management, salary exchange setup, payroll, compliance management, and breach rectification and guidance for pension choice and setup, enabling individuals and businesses to make informed decisions for themselves and to take control of their financial future.</t>
  </si>
  <si>
    <t>Patha Capital, Pearl Gray Equity Partners</t>
  </si>
  <si>
    <t>www.huskyfinance.com</t>
  </si>
  <si>
    <t>108046-81</t>
  </si>
  <si>
    <t>CrowdSmart</t>
  </si>
  <si>
    <t>Developer of artificial intelligence (AI)-powered collaboration tools designed for enhancing decision-making processes. The company's platform integrates human and AI to facilitate efficient and insightful decision-making with identity-free participation, adaptive AI, and seamless integration with various team projects, enabling organizations to align strategically and work together effectively.</t>
  </si>
  <si>
    <t>1Flourish Ventures, AQAL Capital, DaaS Analytics, Executive Venture Fund, Free Sky Capital, GiTV, Golden Seeds Ventures, GOS Capital, HOF Capital, Impact Venture Capital, Quansight Initiate, Rogue Venture Partners, Tobias Wunden, Viant Group</t>
  </si>
  <si>
    <t>www.crowdsmart.ai</t>
  </si>
  <si>
    <t>103958-92</t>
  </si>
  <si>
    <t>City Falcon</t>
  </si>
  <si>
    <t>Operator of a financial news and information platform intended to offer personalized content suited to the consumer's interests and preferences. The company offers business news by leveraging artificial intelligence, push notifications, and voice technologies for a portfolio of stocks, indices, foreign exchange, and commodities, enabling investors to access crowd-sourced, crowd-curated, real-time news and information for their portfolio from online publications and social media.</t>
  </si>
  <si>
    <t>eToro Group, Fred Becker, Girish Kapoor, Henrik Persson, Holt Xchange, Kickstart Innovation, Koen Vos, Microsoft for Startups, Octopus Labs, Performance Ventures, PrimaInvest Capital Management, Stuti Singh, Terance Butler, Tharani Prakash, Tina Kataria</t>
  </si>
  <si>
    <t>www.cityfalcon.ai</t>
  </si>
  <si>
    <t>463070-35</t>
  </si>
  <si>
    <t>Aisot Technologies</t>
  </si>
  <si>
    <t>Developer of an investment decision platform designed to provide next-generation artificial intelligence solutions for asset management. The company's platform helps professional investors build scalable portfolios by leveraging AI tools and combining various real-time datasets from markets and alternative sources, enabling asset managers to generate risk-adjusted returns with customized investment strategies that adapt to their unique market preferences.</t>
  </si>
  <si>
    <t>ETH Zurich, FFF, Haute Capital Partners, Microsoft for Startups, SICTIC, Tenity, Venture (Switzerland), Venturelab</t>
  </si>
  <si>
    <t>www.aisot.com</t>
  </si>
  <si>
    <t>551274-04</t>
  </si>
  <si>
    <t>ETFbook</t>
  </si>
  <si>
    <t>Developer of a financial analytics platform designed to provide insights into European-domiciled exchange-traded funds. The company platform offers consolidated data, fund screening tools, performance tracking, and customized reporting, enabling fund selectors, wealth managers, asset managers, and financial professionals to efficiently analyze exchange-traded funds, monitor market trends, and make data-driven investment decisions.</t>
  </si>
  <si>
    <t>Arnaud Llinas, BlackFin Capital Partners</t>
  </si>
  <si>
    <t>www.etfbook.com</t>
  </si>
  <si>
    <t>171024-85</t>
  </si>
  <si>
    <t>Aston AI</t>
  </si>
  <si>
    <t>Developer of a digital credit management platform designed to reduce payment delays, control customer risk, and improve efficiency. The company's platform covers all the order-to-cash processes and optimizes the sources of cash by decreasing the terms of payment, covering the non-payment risk and funding through performance analysis, customer scoring, follow-up automation, and traceability of disputes, enabling clients to increase and manage cash and short-term financing.</t>
  </si>
  <si>
    <t>Seventure</t>
  </si>
  <si>
    <t>www.astonai.com</t>
  </si>
  <si>
    <t>130175-83</t>
  </si>
  <si>
    <t>Samco Securities</t>
  </si>
  <si>
    <t>Operator of a broking platform intended to simplify trading and investing in the stock markets. The company's platform uses artificial intelligence and advanced analytics to give insights to traders and also helps them to invest or redeem their investments in publicly traded companies, global currencies, exchange-traded funds, bonds and non-convertible debentures listed on Indian exchanges, enabling users to make efficient use of their capital.</t>
  </si>
  <si>
    <t>Bay Capital, Kapil Dev, Siddharth Mehta, Sivaramakrishnan Iyer, Vipul Modi</t>
  </si>
  <si>
    <t>www.samco.in</t>
  </si>
  <si>
    <t>327547-99</t>
  </si>
  <si>
    <t>CAPTIQ</t>
  </si>
  <si>
    <t>Operator of an online business-to-business (B2B) financing platform intended to facilitate the provision of loans to chamber professionals. The company's platform offers loans in a securitized manner through institutional investors such as pension funds or deposit managers, enabling chamber professionals with a digital platform to avail of financing at a marketable term.</t>
  </si>
  <si>
    <t>Alfred Rochert, Andreas Dombret, BMH Beteiligungs-Managementgesellschaft Hessen, Business Angels Club Berlin-Brandenburg, Dorit Rochert, Friedhelm Schmitt, Hessen Kapital, Jochen Friedrich, Jürgen Conzelmann, Martin Korbmacher, Matthias Leibner, Michael Reeg, Ralf Heim, Rüdiger sweet, Sino, STARTPLATZ, Stefan Dreiser, Stefan Post, Susanne Maack, Thomas Bull, ZAIS Group</t>
  </si>
  <si>
    <t>www.captiq.com</t>
  </si>
  <si>
    <t>515623-96</t>
  </si>
  <si>
    <t>Coala Pay</t>
  </si>
  <si>
    <t>Developer of a money movement and management platform designed for the international aid sector. The company's platform aims to make moving aid money simple, borderless and programmable, enabling donors to insulate their funds from foreign currency risks, excessive banking fees, and delays.</t>
  </si>
  <si>
    <t>Castle Island Ventures, Coinbase Global, Commerce Ventures, CV VC, Factor Capital, Lattice, Lattice Capital, Reflexive Capital, Start Path, The Batchery</t>
  </si>
  <si>
    <t>coalapay.org</t>
  </si>
  <si>
    <t>527184-55</t>
  </si>
  <si>
    <t>Crew (Financial Services)</t>
  </si>
  <si>
    <t>Provider of a family banking and credit service intended for parents to manage joint accounts efficiently. The company simplifies financial management for parents and teaches children essential money skills, enabling families to streamline their banking experience while ensuring financial security.</t>
  </si>
  <si>
    <t>Capital Eleven, Convoi Ventures, Copper Sky Capital, Influence Ventures, Kickstart (US), Pelion Venture Partners, Philo Ventures, Run Ventures, Sepio Capital, Spacestation (UK)</t>
  </si>
  <si>
    <t>www.trycrew.com</t>
  </si>
  <si>
    <t>741496-24</t>
  </si>
  <si>
    <t>eMotive Software</t>
  </si>
  <si>
    <t>Advanced Manufacturing, Artificial Intelligence &amp; Machine Learning, FinTech, Marketing Tech</t>
  </si>
  <si>
    <t>Developer of an enterprise resource planning platform designed to unify lending and accounting operations. The company's platform unifies customer relationship management, sales, service, lending, and accounting functions with embedded artificial intelligence and automation, enabling independent auto finance businesses to eliminate fragmented systems and streamline borrower payment collections.</t>
  </si>
  <si>
    <t>www.emotivesoftware.com</t>
  </si>
  <si>
    <t>168336-46</t>
  </si>
  <si>
    <t>Gas Pos</t>
  </si>
  <si>
    <t>FinTech, Mobility Tech</t>
  </si>
  <si>
    <t>Developer of a cloud-based payment and retail management platform designed to support fuel transaction processing and operational management. The company offers point of sale software, EMV payment processing, remote back office management, fuel dispenser integration, and fleet card acceptance, enabling gas stations, convenience stores, and fuel retail operators to manage transactions, improve payment security, and oversee daily operations through a centralized digital platform.</t>
  </si>
  <si>
    <t>www.gaspos.co</t>
  </si>
  <si>
    <t>266381-29</t>
  </si>
  <si>
    <t>PayRecs</t>
  </si>
  <si>
    <t>Developer of an invoice presentation and payment platform designed to make and receive international remittances easily. The company's platform allows making same-day global payments without the need for a bank, helps to share amount data with beneficiaries, enables tracking of every step of the payment process as well as monitors payment, keeps a detailed record of all communications, and reduces risk, helping clients to make fast and reliable adjustments with price transparency.</t>
  </si>
  <si>
    <t>www.getpayrecs.com</t>
  </si>
  <si>
    <t>896993-83</t>
  </si>
  <si>
    <t>Pleasefix.ai</t>
  </si>
  <si>
    <t>Developer of an artificial intelligence-based plug-in platform designed to boost analyst productivity across familiar workflows. The company's platform offers tools that integrate with Excel, PowerPoint, Word and Chrome to automate portfolio reports, generate committee presentations and streamline document drafting and review with secure data handling, enabling finance professionals to save time, enhance accuracy, and accelerate decision-making.</t>
  </si>
  <si>
    <t>100IN, Entrepreneurs First, Pitchdrive, Start It X, Syndicate One, Transpose Platform Management</t>
  </si>
  <si>
    <t>www.pleasefix.ai</t>
  </si>
  <si>
    <t>494676-55</t>
  </si>
  <si>
    <t>PropCap</t>
  </si>
  <si>
    <t>Operator of a cross-border real estate secured digital lending platform. The company's platform connects overseas property, capital, and borrowers in the one place, enabling users to improve overseas property loan application expericence and have alternative liquidity solutions.</t>
  </si>
  <si>
    <t>propcaptechnologies.com</t>
  </si>
  <si>
    <t>149037-76</t>
  </si>
  <si>
    <t>TranSwap</t>
  </si>
  <si>
    <t>Developer of a peer-to-peer currency exchange platform designed to facilitate cross-border payments. The company's platform helps the seamless exchange and transfer of foreign currencies at the mid-market exchange rate, enabling clients to securely transact and receive funds across the globe while reducing FX costs and complexity.</t>
  </si>
  <si>
    <t>AMTD Group Company, Cyberport Hong Kong, Farquhar Venture Capital, Imagine Capital Group, Quest Ventures, SMU Institute of Innovation &amp; Entrepreneurship</t>
  </si>
  <si>
    <t>www.transwap.com</t>
  </si>
  <si>
    <t>104545-63</t>
  </si>
  <si>
    <t>Chaser</t>
  </si>
  <si>
    <t>Developer of accounts receivable automation software designed to help automate manual tasks and get invoices paid properly. The company's software helps to manage and automate the end-to-end credit control process and credit check, monitor, chase, and collect payments in one place, enabling accountants and bookkeepers to streamline the process of payments.</t>
  </si>
  <si>
    <t>Andrew Fullerton, Craig Winkler, Flavia Richardson, Fuel Ventures, Funding London, Kevin Chong, LAUNCH Accelerator (Berkeley), London Co-Investment Fund, Maria Dramalioti-Taylor, Sean Tai, Sussex Place Ventures</t>
  </si>
  <si>
    <t>www.chaserhq.com</t>
  </si>
  <si>
    <t>481563-28</t>
  </si>
  <si>
    <t>Urvin Finance</t>
  </si>
  <si>
    <t>Developer of a finance platform designed to democratize access to financial data and tools. The company's platform offers communities to organize, analyze, and publish compelling research and analysis, and also provides educational resources, with access to content, always in an open and accessible way possible, enabling individuals to develop, analyze, and share finance-related research, analysis, and commentary.</t>
  </si>
  <si>
    <t>www.askurvin.com</t>
  </si>
  <si>
    <t>465247-72</t>
  </si>
  <si>
    <t>Plick</t>
  </si>
  <si>
    <t>Operator of a digital payments platform intended to simplify payment and collection processes for individuals, businesses, and financial institutions. The company offers multilingual payment services, customizable payment workflows, escrow payments, and collection management tools, enabling businesses, public administrations, and financial institutions to process secure and flexible digital transactions.</t>
  </si>
  <si>
    <t>A-ROAD, Banca Sella, Growth Engine (Milan), Le Village by CA, Piteco, Sella Direct Ventures, TXT e-Solutions</t>
  </si>
  <si>
    <t>www.plick.eu</t>
  </si>
  <si>
    <t>433435-78</t>
  </si>
  <si>
    <t>Dot Investing</t>
  </si>
  <si>
    <t>Developer of an investment management platform designed to regulate and control investment activities. The company's platform utilizes a customer relationship management tool that helps to manage a portfolio, performs due diligence on all funds, provides global access to hedge funds, private equity, venture capital, and direct debt as well as allows access to a virtual dealing room to view manager presentations and negotiate favourable deal terms, enabling clients to mitigate future risk and make informed decisions.</t>
  </si>
  <si>
    <t>www.dotinvesting.com</t>
  </si>
  <si>
    <t>416596-06</t>
  </si>
  <si>
    <t>Collctiv</t>
  </si>
  <si>
    <t>Developer of a group payments application designed to pool money easily and securely, from friends, family, and coworkers. The company's application allows users to create a virtual pot that can be shared through a link or QR code, enabling contributors to pay into the pot in seconds, making it easy for organizers within social groups and workplaces to collect funds for their group activity or purchase upfront.</t>
  </si>
  <si>
    <t>Craig Dewar, GC Angels, Jonathan Seaton, Techstars, VISION (United Kingdom)</t>
  </si>
  <si>
    <t>www.collctiv.com</t>
  </si>
  <si>
    <t>496722-43</t>
  </si>
  <si>
    <t>Givers</t>
  </si>
  <si>
    <t>Developer of a caregiver support platform intended to provide support and savings to unpaid family caregivers through online banking services. The company offers a digital caregiving platform with caregiver enrollment assistance, payment administration, care documentation, coaching support, and mobile application access, enabling family caregivers to reduce administrative effort and manage caregiving tasks more efficiently.</t>
  </si>
  <si>
    <t>Able Partners, AgeTech Collaborative from AARP, CRV</t>
  </si>
  <si>
    <t>www.givers.com</t>
  </si>
  <si>
    <t>431333-38</t>
  </si>
  <si>
    <t>Nitrobox</t>
  </si>
  <si>
    <t>Developer of an enterprise-class billing and monetization platform designed to help businesses launch and manage sophisticated digital business models at scale. The company's platform offers tools for billing, invoicing, payments and subscription management and helps businesses to model, automate and control financial processes, enabling customers to automate their financial processes and focus on growing their businesses.</t>
  </si>
  <si>
    <t>Heartfelt (Private Equity), NeueCapital Partners, Porsche Ventures</t>
  </si>
  <si>
    <t>www.nitrobox.com</t>
  </si>
  <si>
    <t>551431-36</t>
  </si>
  <si>
    <t>OptAxe</t>
  </si>
  <si>
    <t>Operator of a digital distribution platform intended to create a centralized, transparent trading space. The company provides liquidity discovery, pricing dissemination, and execution for forex and currency options trading and offers web and API-based connectivity options that include automated price and execution features for efficient trading, enabling users to access centralized data, improve trading opportunities, reduce manual processes, and gain improved control over trading fulfillment and execution.</t>
  </si>
  <si>
    <t>FinTech Innovation Lab, Roosh Ventures</t>
  </si>
  <si>
    <t>www.optaxe.com</t>
  </si>
  <si>
    <t>172012-78</t>
  </si>
  <si>
    <t>Sernova Financial</t>
  </si>
  <si>
    <t>Developer of a post-trade settlement platform designed for financial institutions to manage clearing, collateral, and risk. The company's model offers a unified utility for exchange-traded derivatives, over-the-counter derivatives, and financing markets, leveraging partnerships and team expertise, enabling regional banks and investment managers to streamline processes, accelerate implementation, scale, reduce transaction costs, and offer optimal workflows.</t>
  </si>
  <si>
    <t>Adenza, Nasdaq Ventures</t>
  </si>
  <si>
    <t>www.sernovafinancial.com</t>
  </si>
  <si>
    <t>434311-30</t>
  </si>
  <si>
    <t>Kestrl</t>
  </si>
  <si>
    <t>Developer of a wealth management platform designed to provide interest-free loans. The company's platform offers the functionality of a bank by permitting people to deposit their money and not lending out money in return, thereby not charging any interest and notifying any payment activities through notifications in the application, enabling muslim people to grow their wealth without compromising their beliefs while attaining interest-free loans.</t>
  </si>
  <si>
    <t>Accelerate Cambridge, Aweh Ventures, DIFC Innovation Hub, Grow London, Innate Capital Partners, Seedrs, StarSeed (Angel Group), Techstars, WahedX</t>
  </si>
  <si>
    <t>www.kestrl.io</t>
  </si>
  <si>
    <t>112430-17</t>
  </si>
  <si>
    <t>Alphanovation Digital Teknindo</t>
  </si>
  <si>
    <t>FinTech, Mobile, Restaurant Technology, SaaS</t>
  </si>
  <si>
    <t>Developer of an online point-of-sale application designed to assist businesses in accepting multiple payment methods and organizing transactions. The company's application handles all activities ranging from payment transactions, stock management, daily sales reports, and marketing activity, enabling retail stores, restaurants, coffee shops, fashion stores, and beauty salons to manage their business efficiently.</t>
  </si>
  <si>
    <t>Distribusi Voucher Nusantara, Ideabox Ventures, Kejora Capital, Kvision, Mountain Partners</t>
  </si>
  <si>
    <t>www.pawoon.com</t>
  </si>
  <si>
    <t>443132-56</t>
  </si>
  <si>
    <t>Credit Mountain</t>
  </si>
  <si>
    <t>Developer of a personalized credit platform intended to help people access and maintain their ratings. The company's platform provides a credit counselor for financial institutions and offers a credit booster, identifying which accounts to pay off first, then automatically making extra payments to pay off debt faster, enabling customers to easily add positive payment history to their credit report and reduce debt.</t>
  </si>
  <si>
    <t>www.creditmountain.co</t>
  </si>
  <si>
    <t>444186-10</t>
  </si>
  <si>
    <t>PayDock</t>
  </si>
  <si>
    <t>Developer of a payment orchestration platform designed to harmonize disparate payment service providers. The company offers API-first technology, payment gateway aggregation, and subscription billing engines, enabling financial institutions and merchants to integrate multiple payment methods and manage fraud prevention through a single unified interface.</t>
  </si>
  <si>
    <t>Grow London, HyperKu, Silverstripe Investment Management</t>
  </si>
  <si>
    <t>www.paydock.com</t>
  </si>
  <si>
    <t>593256-07</t>
  </si>
  <si>
    <t>Interfold</t>
  </si>
  <si>
    <t>Developer of a commercial lending management platform designed for bankers and borrowers. The company's platform automates and streamlines lending by guiding borrowers to produce a complete financial package by collecting and managing documents, enabling autonomous loan reviews and monitoring, and providing document storage, tracking, and sharing.</t>
  </si>
  <si>
    <t>Fractal Software</t>
  </si>
  <si>
    <t>www.interfold.ai</t>
  </si>
  <si>
    <t>229653-10</t>
  </si>
  <si>
    <t>Neterium</t>
  </si>
  <si>
    <t>Developer of a cloud-based digital screening platform designed to improve financial crime prevention. The company's platform offers false-positive reduction strategies, machine-learning classifiers, dynamic risk scoring, and geolocation techniques, enabling clients to carry out know-your-customer and anti-money laundering processes and customer onboarding safely.</t>
  </si>
  <si>
    <t>JMYX Holding, Luxembourg House of Financial Technology</t>
  </si>
  <si>
    <t>www.neterium.io</t>
  </si>
  <si>
    <t>588813-76</t>
  </si>
  <si>
    <t>Blockfint</t>
  </si>
  <si>
    <t>Developer of a digital technology platform designed to simplify complexity across financial, commodity, and sustainability-driven activities. The company's platform offers no-code decision automation, digital identity verification, agricultural data tracking, emission monitoring, and energy and carbon trading capabilities, enabling financial institutions, commodity participants, and sustainability-focused enterprises to operate with greater efficiency, transparency, and control.</t>
  </si>
  <si>
    <t>Beacon Venture Capital, New Energy Nexus</t>
  </si>
  <si>
    <t>blockfint.com</t>
  </si>
  <si>
    <t>53945-20</t>
  </si>
  <si>
    <t>CleverCards</t>
  </si>
  <si>
    <t>Developer of an online and app-centered greeting card platform designed to generate, distribute, and manage payment cards worldwide. The company's platform helps to send cards electronically using popular social messaging applications, enabling businesses to send digital prepaid payment cards by instant message and email, to a vendor's, worker's, or customer's phone instantly.</t>
  </si>
  <si>
    <t>DeepIE Ventures, Delta Partners, Donal Daly, Enterprise Ireland, Gareth Lambe, Laytons Trustee Company, Pat Gunne, Pluxee, Smurfit Family Investments</t>
  </si>
  <si>
    <t>www.clevercards.com</t>
  </si>
  <si>
    <t>56063-98</t>
  </si>
  <si>
    <t>Instamojo</t>
  </si>
  <si>
    <t>Operator of a direct-to-consumer e-commerce platform designed to enable small businesses to establish and manage online stores. The company's platform integrates online store creation, customizable landing pages, over one hundred payment modes, built-in marketing tools, domain hosting, shipping services with doorstep pickup and delivery across India, and analytics capabilities, enabling small business owners, entrepreneurs, and independent sellers to showcase products and services, process transactions, and grow their brand presence without requiring multiple third-party tools or technical expertise.</t>
  </si>
  <si>
    <t>Alteria Capital, Avlesh Singh, BASE (Austin), BEENEXT Capital Management, Bharathram Thothadri, DasCapital, David McClure, DHG Communications Network, GMO Venture Partners, Gunosy Capital, Kalaari Capital, MasterCard, Pankaj Jain, Rajan Anandan, Rashmi Kwatra, Rob de Heus, Shailesh Rao, Sunil Kalra, Thijs Gitmans, Times Internet</t>
  </si>
  <si>
    <t>www.instamojo.com</t>
  </si>
  <si>
    <t>439129-90</t>
  </si>
  <si>
    <t>Brightflow AI</t>
  </si>
  <si>
    <t>Developer of cash flow forecasting software designed to provide financial insights to small and mid-sized businesses. The company's platform provides real-time cash forecast, cash inflow, and outflow in bar charts and graphs and comes up with a financial business plan, enabling financial entrepreneurs and businesses to enhance their understanding of the financial insights within their organization.</t>
  </si>
  <si>
    <t>Berkeley SkyDeck, Berkeley SkyDeck Fund, Beyond (Greenwich), Bonfire Ventures, Calm Ventures, Greycroft, Haymaker Ventures, Kevin Moore, Keystone Capital (US), Recursive Ventures, SBI Investment, Startup Capital Ventures, The House Fund, Unanimous Capital, Watertower Ventures</t>
  </si>
  <si>
    <t>www.brightflow.ai</t>
  </si>
  <si>
    <t>158448-97</t>
  </si>
  <si>
    <t>EuroPass</t>
  </si>
  <si>
    <t>Operator of a digital agency intended to provide social media management and mobile payment services. The company's agency provides Chinese e-commerce, digital ticketing and mobile payment for companies based in France, the U.K., Ireland, and similar countries, enabling travellers to travel without worrying about payment methods.</t>
  </si>
  <si>
    <t>Chalhoub Green House, Geoffroy de Becdelièvre, Global Blue, IAGi, Lafayette Plug And Play, Partech, Plug and Play Tech Center, SwiftPass</t>
  </si>
  <si>
    <t>europasschina.com</t>
  </si>
  <si>
    <t>469040-05</t>
  </si>
  <si>
    <t>Lender Compliance Technologies</t>
  </si>
  <si>
    <t>Developer of compliance technologies intended to mitigate regulatory risks. The company's platform offers customizable workflows, interactive dashboards, unified third-party integrations, and security protocols that are equal to large banks and allows users to monitor and track the refund process from cancellation through consumer refund as required by consumer protection laws, enabling clients to protect their relationships with dealers as well as their bottom line.</t>
  </si>
  <si>
    <t>Automotive Ventures, Driven Capital Partners</t>
  </si>
  <si>
    <t>www.lct1.com</t>
  </si>
  <si>
    <t>1366538-59</t>
  </si>
  <si>
    <t>Financial News Systems</t>
  </si>
  <si>
    <t>Developer of a financial news software designed to provide investment professionals with real-time market alerts. The company's platform features AI-powered automation and millisecond latency processing to provide a real-time news feed, timestamped headlines, automated metric extraction, earnings calendar, enabling investment professionals to monitor earnings results and regulatory filings.</t>
  </si>
  <si>
    <t>Ugly Duckling Ventures</t>
  </si>
  <si>
    <t>www.financialnewssystems.com</t>
  </si>
  <si>
    <t>523093-60</t>
  </si>
  <si>
    <t>Dice Enterprises</t>
  </si>
  <si>
    <t>Developer of a Saas-based platform intended to manage all business expenses, invoices, and payments. The company's platform offers a customizable workflow management system that creates custom workflows and reduces time spent on approvals, verifications, and planning, enabling organizations to gain control of business spending.</t>
  </si>
  <si>
    <t>Dallas Venture Capital, GVFL, IIT Mandi Catalyst, String Ventures (Michigan), Untitled Ventures</t>
  </si>
  <si>
    <t>www.dice.tech</t>
  </si>
  <si>
    <t>268302-79</t>
  </si>
  <si>
    <t>goLiza</t>
  </si>
  <si>
    <t>Developer of a digital connection platform designed to transform record management through the integration of business documents. The company's platform assists in connecting with partners and sharing information related to business without email exchange and network with a secure environment, enabling businesses to bring information symmetry to the market and easily provide company updates online.</t>
  </si>
  <si>
    <t>www.goliza.com.br</t>
  </si>
  <si>
    <t>166780-45</t>
  </si>
  <si>
    <t>Plooto</t>
  </si>
  <si>
    <t>Developer of a cloud-based payment management platform designed to make cheap and speedy transactions for businesses. The company's platform leverages technology and allows it to avoid some of the challenges faced in managing finances through a traditional bank, as well as to authorize, edit, send, collect and reject payments, enabling businesses to efficiently manage their finances.</t>
  </si>
  <si>
    <t>Centana Management, Deloitte Ventures, FINTOP (US), FJ Labs, Golden Ventures, Inovia Capital, Luge Capital, OneEleven(Ontario), Real Ventures</t>
  </si>
  <si>
    <t>www.plooto.com</t>
  </si>
  <si>
    <t>439465-87</t>
  </si>
  <si>
    <t>Mozzeno</t>
  </si>
  <si>
    <t>Operator of a lending platform intended to deliver digital services and operation models adapted to lenders' needs. The company's platform allows investors to indirectly invest in the funding of business and consumer loans and will let individual borrowers be granted loans, enabling lenders to focus on their core business and assisting them in bringing new products to the market.</t>
  </si>
  <si>
    <t>Arnaud Gillin, Belgian Media Ventures, Federale Verzekering, Harold Mechelynck, Peter De Caluwe, Thierry Pierson, W.IN.G</t>
  </si>
  <si>
    <t>www.mozzeno.com</t>
  </si>
  <si>
    <t>522511-84</t>
  </si>
  <si>
    <t>Danelfin Technologies</t>
  </si>
  <si>
    <t>Developer of an AI-based analytics platform for stocks designed to optimize portfolios' performance. The company's platform offers artificial intelligence technology for analyzing stocks, boosting portfolios, and making smart, data-driven investment decisions, enabling investors to select stocks based on informed insights.</t>
  </si>
  <si>
    <t>Nauta Capital, Tackle Capital</t>
  </si>
  <si>
    <t>www.danelfin.com</t>
  </si>
  <si>
    <t>471632-77</t>
  </si>
  <si>
    <t>4Thought Technologies</t>
  </si>
  <si>
    <t>Developer of a financial market platform intended to promote both revenue growth and sustainability over the long term. The company's services use no-code technology to democratize the benefits of algorithmic trading to empower responsible innovation in capital markets without having to code and also analyze and model investment strategies to identify missed opportunities and risks, enabling investors and their investment advisors to access effective tools to increase returns and manage investment risks.</t>
  </si>
  <si>
    <t>US National Science Foundation, Wealth Union</t>
  </si>
  <si>
    <t>www.4thoughtglobal.com</t>
  </si>
  <si>
    <t>178260-22</t>
  </si>
  <si>
    <t>7 Chord</t>
  </si>
  <si>
    <t>Provider of pricing and analytics technology intended for institutional traders and investors in the financial industry. The company's artificial intelligence-powered platform, BondDroid, delivers real-time, continuously learning price predictions for thousands of fixed-income instruments, enabling clients to make informed risk management and profit optimization decisions in rapidly changing market conditions.</t>
  </si>
  <si>
    <t>Creative Destruction Lab, FinTech Sandbox, Techstars</t>
  </si>
  <si>
    <t>www.7-chord.com</t>
  </si>
  <si>
    <t>231780-70</t>
  </si>
  <si>
    <t>BridgePort</t>
  </si>
  <si>
    <t>Developer of a digital private investing platform designed to bring centralization, fluidity, and liquidity to private fund investing. The company offers a cloud-based financial technology platform with digital syndication portals, investor onboarding tools, transaction management, centralized reporting, and integrated infrastructure, enabling financial institutions, fund managers, and investment advisors to manage private investments efficiently and operate in a paperless environment.</t>
  </si>
  <si>
    <t>www.bridgeportft.com</t>
  </si>
  <si>
    <t>498202-21</t>
  </si>
  <si>
    <t>Equipt</t>
  </si>
  <si>
    <t>Developer of an asset and field service management platform designed to streamline and automate quote-to-job execution. The company's platform maximizes asset utilization, allows accurate invoicing, minimizes downtime with tracking of shop and field service operations, and manages technician competency, service tools, and asset-service packaging, providing businesses with visibility and actionable insights to drive profitability.</t>
  </si>
  <si>
    <t>Cortado Ventures, Moneta Ventures, VentureBuilder</t>
  </si>
  <si>
    <t>www.equipt.ai</t>
  </si>
  <si>
    <t>436691-53</t>
  </si>
  <si>
    <t>Jem (Business/Productivity Software)</t>
  </si>
  <si>
    <t>FinTech, HR Tech, Mobile</t>
  </si>
  <si>
    <t>Developer of human resources software designed to offer accessible payday technology. The company offers an HR (human resources) system that leverages WhatsApp to help organizations connect with their frontline employees and digitize their HR processes and services, from direct communication to payslip distribution and earned wage access (EWA) advances, enabling organizations to connect with their deskless workers in ways that traditional HR processes do not.</t>
  </si>
  <si>
    <t>Creator Ventures, Emmertech, FiTech Ventures, Google Accelerator, Harambeans, Jedar Capital, LoftyInc Capital Management, Musha Ventures, NEXT176, Penrose Capital, Tomorrow Capital (London), University Technology Fund</t>
  </si>
  <si>
    <t>www.jemhr.com</t>
  </si>
  <si>
    <t>501609-25</t>
  </si>
  <si>
    <t>Ned (Other Financial Services)</t>
  </si>
  <si>
    <t>Developer of a revenue-based financing platform designed to manage cash flow qualification. The company's platform provides the rails and underwriting engine to small businesses, and commercial lenders can deploy new flexible financial products, while the lender dashboard speeds qualification, enabling business owners to build revenue-sharing partnerships as well as raise money from friends and family.</t>
  </si>
  <si>
    <t>Brooklyn Bridge Ventures, Capital Eleven, Everywhere Ventures, Forum Ventures, Founder Institute, Hustle Fund, Impression Ventures, Right Side Capital Management</t>
  </si>
  <si>
    <t>www.nedhelps.com</t>
  </si>
  <si>
    <t>496719-01</t>
  </si>
  <si>
    <t>OptimX</t>
  </si>
  <si>
    <t>Developer of agnostic technology designed to solve some of the most fundamental challenges in the electronic trading industry today. The company's platform offers electronic trading systems, liquidity networking services, workflow automation tools, and execution optimization technologies, enabling asset managers and trading firms to access liquidity efficiently, improve trade execution transparency, and streamline institutional trading operations.</t>
  </si>
  <si>
    <t>Aquis Exchange, DB1 Ventures</t>
  </si>
  <si>
    <t>www.optimx.com</t>
  </si>
  <si>
    <t>453434-14</t>
  </si>
  <si>
    <t>Prommt</t>
  </si>
  <si>
    <t>Developer of a payment collection software designed to assist businesses in requesting, accepting, and tracking payments. The company's platform facilitates payment requests, auto charges, recurring payments, reporting, integration, and user and location management systems, enabling businesses to save time, reduce costs, and access remote payment methods.</t>
  </si>
  <si>
    <t>Business Venture Partners, Elkstone, Enterprise Ireland, IQ-EQ</t>
  </si>
  <si>
    <t>www.prommt.com</t>
  </si>
  <si>
    <t>398954-44</t>
  </si>
  <si>
    <t>Siiibo</t>
  </si>
  <si>
    <t>Operator of an online securities company intended to help investors issue and purchase private bonds. The company offers free, transparent and fair direct finance that provides opportunities for advisory to companies, such as support for diversification of funding using small private placement bonds, enabling private investors to get familiar with the issuance of corporate bonds.</t>
  </si>
  <si>
    <t>www.siiibo.com</t>
  </si>
  <si>
    <t>519096-16</t>
  </si>
  <si>
    <t>The Big Point of Sale</t>
  </si>
  <si>
    <t>Developer of a market integration platform intended for mortgage professional needs. The company's platform offers a conversational multi-path dynamic application questionnaire fully integrated with a tasks-based rules engine, instead of complex borrower-facing loan applications, enabling clients to dynamically create application workflow based on their own needs.</t>
  </si>
  <si>
    <t>www.thebigpos.com</t>
  </si>
  <si>
    <t>104747-86</t>
  </si>
  <si>
    <t>The Guestbook</t>
  </si>
  <si>
    <t>Developer of a hotel booking rewards management platform designed to help travelers book hotels and get cashback benefits. The company's platform offers financial rewards, trip cash, charitable donations, and cashback opportunities, enabling customers to book hotels and receive cashback on each booking made through its website.</t>
  </si>
  <si>
    <t>Dionis Rodriguez, Jeremy Stoppelman, Jeremy Tan, Josh Wyatt, Noah Kindler, Rock Creek Capital, StartX (US), Steven Wheelwright</t>
  </si>
  <si>
    <t>www.theguestbook.com</t>
  </si>
  <si>
    <t>435445-12</t>
  </si>
  <si>
    <t>Levantor</t>
  </si>
  <si>
    <t>Provider of trade financing services intended to inject working capital into the sales channels of companies. The company offers flexible financing services for buyers where the supplier is paid when due on the buyer's behalf, who repays the company later, enabling clients to finance inventory and short-term credit offered to customers.</t>
  </si>
  <si>
    <t>Aidiom, Polaris Capital (New York), Polaris Partners</t>
  </si>
  <si>
    <t>www.levantor.com</t>
  </si>
  <si>
    <t>343354-87</t>
  </si>
  <si>
    <t>StudentFinance</t>
  </si>
  <si>
    <t>Developer of a career mobility platform designed to support reskilling and upskilling into in-demand job sectors. The company's platform offers AI-driven career path insights, financing options like shared income agreements, and integration with education and employer partners, enabling career switchers and learners to access training and repay when earning above a set threshold.</t>
  </si>
  <si>
    <t>ALSP20, Armilar Venture Partners, Ed Vaizey, European Investment Fund, Felipe García, Firestartr, Giant Ventures, Google Accelerator, Iberis Capital, Jose Neves, Juan Urdiales, Martin Villig, Maze X, MSM, Mustard Seed + Partners, Rhythm Ventures, Rolf Schrömgenst, Sabadell Venture Capital, Seedcamp, Serge Chiaramonte, Shilling (Portugal), Thomas Blomfield, Victoria van Lennep, Village Capital, William Neale</t>
  </si>
  <si>
    <t>www.studentfinance.com</t>
  </si>
  <si>
    <t>221930-47</t>
  </si>
  <si>
    <t>Yielders</t>
  </si>
  <si>
    <t>Operator of a crowdfunding investment platform intended to offer low-risk investment raising opportunities. The company's platform provides hassle-free property investments with predefined lease agreements that offer users a steady income while eliminating the barriers of entry to an inaccessible asset class with expert guidance and ethical investment options, enabling investors to generate consistent income and build wealth through property ownership.</t>
  </si>
  <si>
    <t>Green Shores Capital, Innate Capital Partners, Level39, Peach Ventures</t>
  </si>
  <si>
    <t>www.yielders.co.uk</t>
  </si>
  <si>
    <t>434894-77</t>
  </si>
  <si>
    <t>StockEdge</t>
  </si>
  <si>
    <t>Developer of a mobile application designed to provide information on the Indian stock market. The company's platform allows users to do self-research by providing all necessary tools that are relevant for doing fundamental research, technical research, and derivatives research in a simple-to-understand framework, enabling customers to analyze and understand the market data and derive meaningful insights with ease.</t>
  </si>
  <si>
    <t>Ajay Sharma, Dinesh Agarwal, Kotak Neo, Ramesh Damani, Samyakth Capital, Venture Catalysts (Capital Markets/Institutions)</t>
  </si>
  <si>
    <t>www.stockedge.com</t>
  </si>
  <si>
    <t>121969-18</t>
  </si>
  <si>
    <t>Frekuent</t>
  </si>
  <si>
    <t>Developer of a payment and loyalty platform designed to facilitate communication between people and machines. The company's platform specializes in purchase, payment, and messaging services that use artificial intelligence and big data to interact with the machine, notifying the incidents, consulting the available balance, making reservations, receiving promotions, or sending opinions among other functions, enabling people to interact with machines easily for placing orders.</t>
  </si>
  <si>
    <t>Actyus, Acurio Ventures Partners, Bonsai Partners, Enrique Domínguez, Ev Group Konstrukcje Inżynierskie, INNVIERTE SICC, Itnig, KFund, Lanzadera Accelerator, Nero Ventures</t>
  </si>
  <si>
    <t>www.frekuent.com</t>
  </si>
  <si>
    <t>490010-50</t>
  </si>
  <si>
    <t>Taktikal</t>
  </si>
  <si>
    <t>Operator of a no-code contract and onboarding platform intended to automate workflows for regulated businesses.
The company offers customizable onboarding workflows, data capture, legally binding digital signatures, unified data management, and API integration, enabling financial and other regulated businesses to simplify compliance processes and automate customer onboarding.</t>
  </si>
  <si>
    <t>Brunnur Ventures, Mastercard Lighthouse</t>
  </si>
  <si>
    <t>www.taktikal.com</t>
  </si>
  <si>
    <t>702967-51</t>
  </si>
  <si>
    <t>Yavrio</t>
  </si>
  <si>
    <t>Developer of open banking connectivity software designed to integrate bank accounts directly into ERP systems. The company provides real-time bank feeds, embedded payments, and automated reconciliation through secure, compliant connections, enabling finance teams to streamline financial operations and gain centralized visibility across accounts.</t>
  </si>
  <si>
    <t>Daniel Cobley, Fuel Ventures, Garth Ritchie, Hampton Finance, InVance Capital, Sajid Javid, Tramlines</t>
  </si>
  <si>
    <t>www.yavr.io</t>
  </si>
  <si>
    <t>130018-60</t>
  </si>
  <si>
    <t>Airpay Payment Services</t>
  </si>
  <si>
    <t>Developer of an omnichannel financial services platform designed to accept card payments across touchpoints. The company's platform offers an omnichannel technology that allows users to accept inbound payments from consumers and process outbound payments to pay vendors, enabling consumers, businesses, banks, and financial institutions to get transactions from a single platform while maintaining the highest levels of security.</t>
  </si>
  <si>
    <t>www.airpay.co.in</t>
  </si>
  <si>
    <t>527293-00</t>
  </si>
  <si>
    <t>Fundly</t>
  </si>
  <si>
    <t>B2B Payments, FinTech, Mobile, SaaS, Supply Chain Tech</t>
  </si>
  <si>
    <t>Operator of an artificial intelligence-based fundraising platform intended to support capital raising activities and investor outreach. The company's platform provides tools for campaign creation, investor and donor data analysis, automated outreach workflows, regulatory pathway support, performance tracking, and communication management, enabling startups, nonprofits, and growing organizations to manage fundraising processes more efficiently while improving prospect visibility, decision-making consistency, and administrative control.</t>
  </si>
  <si>
    <t>Accel, Alteria Capital, Eureka E-Cell, Multiply Ventures</t>
  </si>
  <si>
    <t>fundly.ai</t>
  </si>
  <si>
    <t>897589-54</t>
  </si>
  <si>
    <t>Laminr Technologies</t>
  </si>
  <si>
    <t>Developer of bank statement analysis tools designed to enhance income verification processes. The company's platform leverages artificial intelligence-backed technology to review processes, enhance accuracy, and eliminate user errors by automating repetitive actions and applying intelligent data insights, enabling financial institutions to streamline operations, reduce processing time, and improve decision-making.</t>
  </si>
  <si>
    <t>Reformation Partners Management</t>
  </si>
  <si>
    <t>www.laminr.ai</t>
  </si>
  <si>
    <t>88542-82</t>
  </si>
  <si>
    <t>Placements AI</t>
  </si>
  <si>
    <t>AdTech, Artificial Intelligence &amp; Machine Learning, Marketing Tech, SaaS</t>
  </si>
  <si>
    <t>Developer of an advertising operations platform designed to streamline the management of digital campaigns for both buyers and sellers. The company's platform provides features such as order creation and approval workflows, inventory and rate card management, integration with ad servers, billing and invoicing automation, revenue tracking and reporting, and tools for managing programmatic deals and direct campaigns, enabling media companies and publishers to streamline advertising operations and improve efficiency in managing sales and revenue processes.</t>
  </si>
  <si>
    <t>Alchemist Accelerator, Alliance of Angels, Alpine Meridian, Andy Liu, Cercano Management, Geoff Harris, Highland Ventures, John Keister, Leo Chan, Lighter Capital, Mark Danchak, Ray Alimurung, Revel Partners, Sand Hill Angels, Vinthera</t>
  </si>
  <si>
    <t>www.placements.io</t>
  </si>
  <si>
    <t>746653-78</t>
  </si>
  <si>
    <t>Bachatt</t>
  </si>
  <si>
    <t>Developer of a financial software designed for daily savings and money management. The company's platform offers transparent tracking of savings, Unified Payments Interface (UPI)-based contributions, and storage backed by banking institutions, enabling self-employed individuals in India to build financial discipline and access essential financial products like loans, insurance, and high-yield savings on favorable terms.</t>
  </si>
  <si>
    <t>Abhinav Sinha, Abhiraj Bhal, Accel, AL Trust (India), InfoEdge Ventures, Lightspeed India Partners, Lightspeed Venture Partners, Maninder Gulati, Sunil Prabhune</t>
  </si>
  <si>
    <t>www.bachatt.app</t>
  </si>
  <si>
    <t>124926-76</t>
  </si>
  <si>
    <t>FrontFundr</t>
  </si>
  <si>
    <t>Operator of a financial platform intended to bridge the gap between investors and entrepreneurs. The company's platform makes it easy for new and seasoned investors to develop a diversified self-directed portfolio from opportunities that have been carefully checked and whose due diligence is conducted, enabling entrepreneurs to communicate with and secure funding from a much larger investment community.</t>
  </si>
  <si>
    <t>ABT Capital Markets, CrossPacific Capital Partners, Exponential, Haro Ventures, Mirza Canada, OneEleven(Ontario), Roar Growth</t>
  </si>
  <si>
    <t>www.frontfundr.com</t>
  </si>
  <si>
    <t>61590-43</t>
  </si>
  <si>
    <t>Quai Digital</t>
  </si>
  <si>
    <t>Developer of a financial administration management software designed to promote customer engagement for different savings and investment providers. The company's software is a compliant system that uses digital channels to promote customer engagement through the delivery of product administration and portfolio administration, enabling clients to drive operational efficiencies and administer individual savings plans at a fraction of the cost incurred by established insurance companies.</t>
  </si>
  <si>
    <t>Calculus Capital, Punter Southall Aspire</t>
  </si>
  <si>
    <t>www.quai-digital.co.uk</t>
  </si>
  <si>
    <t>756570-97</t>
  </si>
  <si>
    <t>Xiaofutong</t>
  </si>
  <si>
    <t>Provider and developer of online financial platform designed for tuition and education expenses. The company is mainly focused on the research and development of fintech services in the K12 education sector, providing clients with industry-leading standard products and solutions.</t>
  </si>
  <si>
    <t>www.xft123.com</t>
  </si>
  <si>
    <t>222341-50</t>
  </si>
  <si>
    <t>Auquan</t>
  </si>
  <si>
    <t>Artificial Intelligence &amp; Machine Learning, Big Data, FinTech, InsurTech, SaaS</t>
  </si>
  <si>
    <t>Developer of autonomous AI agents designed to automate analytical and execution workflows in institutional finance. The company offers data aggregation, criteria-based analysis, and document generation capabilities, enabling financial institutions to conduct due diligence, monitor portfolios, and manage reporting processes.</t>
  </si>
  <si>
    <t>Charles Songhurst, Chris Adelsbach, Donghwan Kim, Eamonn Carey, Engine (Accelerator), Episode 1 Ventures, Grow London, Innovate UK, JITO Incubation &amp; Innovation Foundation, John Stamler, MENA GenAI Accelerator, Neotribe Ventures, Peak XV Partners, Sentiero Ventures, Stage 2 Capital, Surge (Accelerator), Surge Ventures, Techstars</t>
  </si>
  <si>
    <t>www.auquan.com</t>
  </si>
  <si>
    <t>433087-21</t>
  </si>
  <si>
    <t>AutoMony</t>
  </si>
  <si>
    <t>Provider of vehicle financing services intended to simplify the process of automotive loans. The company's services include offering first-time financing to small operators and drivers with inadequate credit histories deep dealership networks and scalable tech-enabled models, enabling consumers to get rid of the conservative banking system that heavily relies on the creditworthiness of an individual.</t>
  </si>
  <si>
    <t>Asha Impact, JM Financial, Sundaram Finance</t>
  </si>
  <si>
    <t>www.automony.in</t>
  </si>
  <si>
    <t>481474-63</t>
  </si>
  <si>
    <t>Invevo</t>
  </si>
  <si>
    <t>Developer of a financial data sharing software designed to create process efficiency through intelligent automation. The company's software connects customers, suppliers, and lenders in one place, powering seamless operations that drive cashflow optimization and business growth, and also features various tools for automated collection, credit assessment, credit card integration, and automated workflows, enabling financial institutions to improve their accounts receivable processes.</t>
  </si>
  <si>
    <t>ADG Prefcap, Basinghall Partners</t>
  </si>
  <si>
    <t>www.invevo.com</t>
  </si>
  <si>
    <t>588586-96</t>
  </si>
  <si>
    <t>Coop Exchange</t>
  </si>
  <si>
    <t>Developer of a capital markets platform designed for enabling cooperatives and mutual organizations to raise funds and offer tradable financial instruments. The company's platform provides a global network of cooperative stock exchanges, supports equity and debt issuance, connects cooperatives with institutional and potentially retail investors, embeds adherence to cooperative principles and ESG-oriented governance, and manages liquidity and regulatory considerations, enabling stakeholders in the cooperative and mutual sector to facilitate international impact investing opportunities.</t>
  </si>
  <si>
    <t>Co-operators, International Cooperative and Mutual Insurance Federation</t>
  </si>
  <si>
    <t>www.coop.exchange</t>
  </si>
  <si>
    <t>458211-52</t>
  </si>
  <si>
    <t>EverUp</t>
  </si>
  <si>
    <t>Developer of a cashback platform intended to provide users with immediate financial rewards on purchases. The company's platform offers instant cashback on transactions from numerous brands, features free games for additional rewards, and ensures guaranteed payouts, enabling consumers to save money while shopping and enhancing their overall purchasing experience.</t>
  </si>
  <si>
    <t>VentureCEO</t>
  </si>
  <si>
    <t>www.everup.uk</t>
  </si>
  <si>
    <t>489235-24</t>
  </si>
  <si>
    <t>Noggin HQ</t>
  </si>
  <si>
    <t>Developer of a credit reference platform designed to fix fundamental data errors in credit scoring and improve credit access. The company offers interest-free refurbished phone contracts and a transaction categorisation engine, enabling consumers to access fairer financial products without relying on traditional credit scores.</t>
  </si>
  <si>
    <t>Bethnal Green Ventures, Blackfinch Ventures, Lifted Ventures, Oxford Capital Partners, Regent Capital Ventures, Sie Ventures, SyndicateRoom</t>
  </si>
  <si>
    <t>www.nogginhq.com</t>
  </si>
  <si>
    <t>471432-88</t>
  </si>
  <si>
    <t>Marvin</t>
  </si>
  <si>
    <t>Developer of a trade credit guarantee technology designed to manage and mitigate risk for industries selling to retail. The company's technology uses credit card receivables as collateral for trade credit and reduces friction in the finance journey between retailers and suppliers, increases sales, reduces credit risk, and provides an ideal shopping experience, enabling firms to have a payment method that unlocks credit so that everyone can sell more.</t>
  </si>
  <si>
    <t>Canaan Partners, Canary (Brazil), Carlos Selonke, Doug Scherrer, Eduardo Gouveia, Grupo Boticário Ventures, Israel Salmen, Juan Ortega, Lucas Lima, Mauá Capital</t>
  </si>
  <si>
    <t>www.marvin.com.br</t>
  </si>
  <si>
    <t>552511-63</t>
  </si>
  <si>
    <t>WithLess</t>
  </si>
  <si>
    <t>Advanced Manufacturing, Artificial Intelligence &amp; Machine Learning, Big Data, FinTech</t>
  </si>
  <si>
    <t>Developer of a financial operations platform designed to optimize spending and automate procurement for finance teams. The company's platform utilizes artificial intelligence to provide centralized subscription tracking, real-time budget monitoring, automated invoice reconciliation, enterprise resource planning integration, and vendor negotiation, enabling mid-sized businesses and startups to streamline financial workflows.</t>
  </si>
  <si>
    <t>Apside (EU), A-ROAD, B Heroes, Delirus Capital, Endeavor Italy, Fondazione Compagnia di San Paolo, Growth Capital (Italy), Growth Engine (Milan), Magic Mind (AI), Moffu Labs, Primo Capital (Milano), Zest Group</t>
  </si>
  <si>
    <t>www.withless.com</t>
  </si>
  <si>
    <t>509096-17</t>
  </si>
  <si>
    <t>Metaphi</t>
  </si>
  <si>
    <t>Developer of a generative artificial intelligence platform designed to automate new customer onboarding. The company's platform helps to extract structured data from any application form in real-time, augment workflows with structured information from documents and images, auto-curates and pre-processes raw information with state-of-the-art transformations, extraction, and large language model-powered tagging, and integrates with systems via application programming interfaces and pre-built connectors, enabling fintech businesses to scale themselves.</t>
  </si>
  <si>
    <t>Abhinav Sinha, Flybridge (New York), Jeffrey Bussgang, Maninder Gulati, NFX, Polygon Labs, Przemyslaw Gotfryd, Ralph Folz, Sandeep Nailwal</t>
  </si>
  <si>
    <t>metaphi.ai</t>
  </si>
  <si>
    <t>493742-35</t>
  </si>
  <si>
    <t>Splint Invest</t>
  </si>
  <si>
    <t>Developer of a financial platform designed to offer alternative assets through fractional investments. The company's platform utilizes distributed ledger technology and automated valuation systems to facilitate fractional ownership of rare whisky, fine wine, luxury watches, classic cars, and luxury handbags, enabling retail investors to diversify portfolios with tangible assets through a mobile application.</t>
  </si>
  <si>
    <t>Haute Capital Partners, Jürg Schwarzenbach, Kickfund, Lukas Speiser, Marcaro, Patrick Mollet, Tenity, Venture Kick</t>
  </si>
  <si>
    <t>www.splintinvest.com</t>
  </si>
  <si>
    <t>279832-24</t>
  </si>
  <si>
    <t>Tumelo</t>
  </si>
  <si>
    <t>Developer of an impact-focused financial technology designed to bring investment platforms closer to the end investors. The company's technology allows fund managers and investment platforms to provide expression of wish and pass-through voting functionality to their clients, with powerful reporting tools to support the production of regulatory and client reports, enabling asset owners to engage with their voting rights and provide them with the tools and knowledge to steward their assets effectively.</t>
  </si>
  <si>
    <t>Addleshaw Goddard, Engine (Accelerator), Fidelity, Fidelity International Strategic Ventures, Jeremy Coller, Jim Wiandt, KD Venture Partners, Lance Uggla, Led By Reason, Legal &amp; General Investment Management, NatWest Commercial Services, Nucleus Adventure Capital, Peter Gabriel, Tech Nation Group, Treasury (New York), UNA TERRA, Yolo Investments</t>
  </si>
  <si>
    <t>www.tumelo.com</t>
  </si>
  <si>
    <t>539685-10</t>
  </si>
  <si>
    <t>Fleming</t>
  </si>
  <si>
    <t>Developer of a financial software platform designed to offer smart financial advisory and banking services. The company's platform offers a range of services, including investment loans, working capital financing, an intelligent practice account with an attractive current account line and credit card, and an intelligent banking home featuring an account, card, POS, and MoneyMarket, enabling doctors, dentists, therapists, and pharmacists to secure funding quickly and efficiently</t>
  </si>
  <si>
    <t>bmp Ventures, Bronk Venture Capital, IBG Beteiligungsgesellschaft Sachsen-Anhalt, Penteract Capital Partners, Superangels</t>
  </si>
  <si>
    <t>www.fleming.de</t>
  </si>
  <si>
    <t>108349-84</t>
  </si>
  <si>
    <t>R5FX</t>
  </si>
  <si>
    <t>Operator of an online forex trading platform intended to offer an emerging market foreign exchange and electronic non-deliverable forwards. The company's platform offers forex trading for both interbank and open market liquidity via API and GUI interfaces for automated trading and direct electronic access to executable prices between trading infrastructure, enabling traders to make transactions in an efficient and convenient way.</t>
  </si>
  <si>
    <t>Deutsche Börse, Endeavour Ventures, Seedrs</t>
  </si>
  <si>
    <t>www.r5fx.co.uk</t>
  </si>
  <si>
    <t>454462-57</t>
  </si>
  <si>
    <t>Knabu</t>
  </si>
  <si>
    <t>Developer of a blockchain-based clearing infrastructure designed to address the denial of banking services. The company's infrastructure offers a serverless decentralized platform on the existing banking economy and undertakes the movement of funds between customers of other banks and payment service providers, apart from accepting deposits, enabling clients to drive competition, transparency, and innovation in the financial services sector.</t>
  </si>
  <si>
    <t>AXIAN Investment, Beta.Ventures, Consonance (Lagos), DCG Expeditions, Digital Currency Group, FirstCheck Africa, Future Africa, Google Accelerator, GreenHouse Capital, Grow London, Launch Africa Ventures, Octerra Capital, Savannah Fund, Silverbacks Holdings, TechHub, TLcom Capital</t>
  </si>
  <si>
    <t>www.knabu.me</t>
  </si>
  <si>
    <t>483902-29</t>
  </si>
  <si>
    <t>DGV Digivriddhi</t>
  </si>
  <si>
    <t>Developer of a neo-banking platform designed to provide farmers access to formal banking and financial services. The company's platform offers payments, liabilities, and asset products through its partnership with Federal Bank, enabling dairy farmers to digitize their payment stack.</t>
  </si>
  <si>
    <t>InfoEdge Ventures, Omidyar Network, Omnivore (Mumbai)</t>
  </si>
  <si>
    <t>www.dgv.in</t>
  </si>
  <si>
    <t>98313-94</t>
  </si>
  <si>
    <t>Sprint Enterprise Technology</t>
  </si>
  <si>
    <t>Developer of an investment workflow software designed for centralized investment propositions. The company's software provides two options for reporting, depending on the integration with the wrap platform and the length of time that data has been flowing through the platform, enabling UK financial advisory and wealth management markets to collect data from several sources and create reports.</t>
  </si>
  <si>
    <t>IntegraFin Holdings, QVentures</t>
  </si>
  <si>
    <t>www.sprintenterprise.co.uk</t>
  </si>
  <si>
    <t>529619-05</t>
  </si>
  <si>
    <t>TransBnk Solutions</t>
  </si>
  <si>
    <t>Developer of a transaction banking platform intended to enable cross-border payments. The company's platform offers several features, including real-time settlement, fraud prevention, secured transactions, escrow services, and compliance with regulatory requirements, enabling clients to benefit from increased efficiency, transparency, and security.</t>
  </si>
  <si>
    <t>8i Ventures, Accion, Arkam Ventures, Bessemer Venture Partners, Cedar-IBSi FinTech lab, Force Ventures (India), GMO Venture Partners, Leadway Ventures LLP, LVX, Ratio (United Kingdom), Sumeru Capital Ventures, The Fundamentum Partnership, T-Hub</t>
  </si>
  <si>
    <t>www.tbx.co.in</t>
  </si>
  <si>
    <t>491184-82</t>
  </si>
  <si>
    <t>KillBills</t>
  </si>
  <si>
    <t>Developer of an integrated digital receipt software designed to track purchase receipts with daily transactions. The company's service syncs credit card purchases with banking applications and also allows users to manage their budget, enabling users to organize themselves by checking their purchases and accessing their tickets digitally, saving time and the environment.</t>
  </si>
  <si>
    <t>50 Partners, Bpifrance, Edouard Nattée, Reseau Entreprendre 92, Unicraft VC</t>
  </si>
  <si>
    <t>www.billsight.tech</t>
  </si>
  <si>
    <t>268175-53</t>
  </si>
  <si>
    <t>Circula</t>
  </si>
  <si>
    <t>Developer of an employee expense management platform designed to digitize and simplify individualized and travel expenses. The company's platform creates automated data transfer with existing information technology infrastructure without manual effort and time-consuming error corrections, enabling clients to reduce administrative costs and workload with tax-optimised employee benefits.</t>
  </si>
  <si>
    <t>ALSTIN Capital, Canadian Imperial Bank of Commerce, Capnamic Ventures, Finparx, HW Capital, Marcus Wolsdorf, Neosfer, Nikolaus von Taysen, Norbert Gebhard, Peak (Amsterdam), Personio, Robert Haselsteiner, Storm Capital Management, Storm Ventures, WENVEST Capital</t>
  </si>
  <si>
    <t>www.circula.com</t>
  </si>
  <si>
    <t>519441-94</t>
  </si>
  <si>
    <t>GXE</t>
  </si>
  <si>
    <t>Developer of an investment operation platform intended to build the operating system for unlisted assets and fund management. The company provides helpful tools for asset management, fund management, and portfolio management, across sectors including corporate, family offices, pension and superannuation fund managers, private equity, property, and venture capital, enabling investors to make an informed decision regarding their investments.</t>
  </si>
  <si>
    <t>Archangel Ventures, Australian Medical Angels, Meliora Ventures, REACH, Second Century Ventures, Southern Angels, Upover Ventures</t>
  </si>
  <si>
    <t>www.gxe.com</t>
  </si>
  <si>
    <t>438831-82</t>
  </si>
  <si>
    <t>PredictAP</t>
  </si>
  <si>
    <t>Developer of financial software designed to automate accounts payable and payment processing for the real estate industry. The company's software uses tools for automating invoice and transaction processing in the real estate industry by offering back-office services for the funds and provides fully coded invoices, ready to flow through existing AP automation workflows, enabling property managers and businesses to automate the operations at a fraction of the cost of traditional systems.</t>
  </si>
  <si>
    <t>Breton Capital Ventures, Bruce Stangle, Darren Tangen, Kenneth Wong, Lew Friedland, Old Main Ventures, REACH, RET Ventures, Richard Saltzman, Second Century Ventures, WISE Ventures (New York)</t>
  </si>
  <si>
    <t>www.predictap.com</t>
  </si>
  <si>
    <t>568898-65</t>
  </si>
  <si>
    <t>Tijori</t>
  </si>
  <si>
    <t>Developer of a comprehensive financial data platform intended to provide a suite of tools for comprehensive investment research and tracking. The company's platform offers tools for stock screening, sector analysis, market share tracking, and portfolio monitoring, enabling investors to conduct detailed research, compare companies against peers, and make informed investment decisions.</t>
  </si>
  <si>
    <t>Rainmatter Capital, Tally Solutions, Zerodha</t>
  </si>
  <si>
    <t>www.tijorifinance.com</t>
  </si>
  <si>
    <t>458556-85</t>
  </si>
  <si>
    <t>Siply</t>
  </si>
  <si>
    <t>Developer of a digital finance platform designed to provide micro-savings options to the underserved masses. The company's platform provides a wide range of investment options along with features such as instant withdrawal and digital onboarding support, enabling individuals and businesses to inculcate savings behavior easily with low committed capital.</t>
  </si>
  <si>
    <t>Angel Network Middle East, AngelList India, Beerud Sheth, Earlsfield Capital, Founder Room Circle, Founders Room Capital, Inflection Point Ventures (India), Jana Balasubramaniam, JITO Incubation &amp; Innovation Foundation, Kunal Shah, LetsVenture AIF, LVX, NSRCEL-IIMB, Pratekk Agarwaal, Qi Ventures, Satish Grampurohit, Shanti Mohan, Sprint VC, Veeraa Ventures, Vivek Sunder</t>
  </si>
  <si>
    <t>siply.in</t>
  </si>
  <si>
    <t>503009-11</t>
  </si>
  <si>
    <t>Aptus.AI</t>
  </si>
  <si>
    <t>Developer of an artificial intelligence and deep learning analysis platform designed for corporate compliance. The company's platform uses proprietary technology to modify regulatory documents into a digitized, readable, and decodable format by artificial intelligence engines, enabling legal and compliance professionals to save time, stay up to date on regulatory changes, and evaluate the impacts on their organization, thus reducing the risk of penalties.</t>
  </si>
  <si>
    <t>EIT Health, Endeavor Italy, Fin+Tech, P101, Reach Incubator, Startupbootcamp Holding, Zest Group</t>
  </si>
  <si>
    <t>www.aptus.ai</t>
  </si>
  <si>
    <t>56270-80</t>
  </si>
  <si>
    <t>Gradatim</t>
  </si>
  <si>
    <t>Developer of core policy administration platforms designed for the insurance and pension sectors. The company offers a configurable and extensible platform that digitizes and automates processes across the policy lifecycle, underwriting, claims, and reinsurance, enabling insurers to modernize legacy systems and reduce operational and technology costs.</t>
  </si>
  <si>
    <t>Kalaari Capital, Manish Verma, Multi-Act Equity Consultancy, Raja Vaidyanathan</t>
  </si>
  <si>
    <t>www.gradatim.co.in</t>
  </si>
  <si>
    <t>300969-37</t>
  </si>
  <si>
    <t>HelloPrêt</t>
  </si>
  <si>
    <t>Provider of digital mortgage brokerage services intended to help analyze loan rates and offers in the market for borrowers. The company's platform offers artificial intelligence, which helps to stimulate the search results from websites, mobile, and chatbots so that home loan claims become easy, enabling companies to access the financial conditions of the market and offer their users a digital mortgage experience.</t>
  </si>
  <si>
    <t>LO Capital, NewAlpha Asset Management</t>
  </si>
  <si>
    <t>www.hellopret.fr</t>
  </si>
  <si>
    <t>435633-58</t>
  </si>
  <si>
    <t>Beep</t>
  </si>
  <si>
    <t>FinTech, Internet of Things, Mobile Commerce, Mobility Tech, SaaS</t>
  </si>
  <si>
    <t>Developer of an Internet of Things (IoT) transaction platform designed to enable data interoperability and facilitate seamless user interactions. The company currently deploys this in the unattended retail and electric mobility industries, helping businesses to deploy user-centric transaction experiences across geographically distributed environments.</t>
  </si>
  <si>
    <t>Farquhar Venture Capital, GCV, Granite Asia, M7 Ace Neo, NUS Technology Holdings, PETRONAS FutureTech Accelerator, SSCW Investment (S), Sunbo Angel Partners, SUTD Venture, Innovation and Entrepreneurship, Wing Vasiksiri, XA Network</t>
  </si>
  <si>
    <t>www.beepbeep.tech</t>
  </si>
  <si>
    <t>483327-01</t>
  </si>
  <si>
    <t>Able (Financial Software)</t>
  </si>
  <si>
    <t>Developer of a financial platform designed to automate savings, tax calculations, and record keeping. The company's platform offers features such as automated savings, tax calculations, record keeping, income tracking, and secure data encryption, enabling freelancers, independent contractors, and creatives to efficiently manage their finances and simplify tax preparation processes.</t>
  </si>
  <si>
    <t>Arif Lopez, Casey Neistat, Chad Hurley, Elefund, Evan Fong, Kevin Lin, Kris Collins, Moonshots Capital, Nathan Rodland, Next Coast Ventures, Philip DeFranco, Phoenix Court, Run Ventures</t>
  </si>
  <si>
    <t>www.able.com</t>
  </si>
  <si>
    <t>437218-03</t>
  </si>
  <si>
    <t>StockRepublic</t>
  </si>
  <si>
    <t>Developer of social trading applications designed for banks and brokers. The company's platform provides end-users with portfolio analyses, performance benchmarks, and access to like-minded investors, enabling businesses and consumers to develop their applications.</t>
  </si>
  <si>
    <t>Almi Invest, Avanza Bank Holding, Commerzbank, Devotion Ventures, Erika Eliasson, Innovationsstarter, Mastercard Lighthouse, Mattias Miksche, Neosfer, Peter Benson, Simon Josefsson, Uequity</t>
  </si>
  <si>
    <t>www.stockrepublic.io</t>
  </si>
  <si>
    <t>156673-09</t>
  </si>
  <si>
    <t>Wallit</t>
  </si>
  <si>
    <t>Developer of a digital wallet and money application designed to empower employers and employees to manage money. The company's application takes a responsible approach to cashback, pairing it with real-time budgeting and automated savings, enabling employers and employees to effectively manage their finances and improve their lifestyles in the new remote and flexible working model.</t>
  </si>
  <si>
    <t>BlueIO, BoxOne Ventures, BrokerTech Ventures, Magic Fund, Maine Technology Institute, Mendoza Ventures, Plug and Play Tech Center, The Venture Center, Water Bear Ventures</t>
  </si>
  <si>
    <t>www.wallit.app</t>
  </si>
  <si>
    <t>495460-36</t>
  </si>
  <si>
    <t>Doxa Holdings</t>
  </si>
  <si>
    <t>Artificial Intelligence &amp; Machine Learning, B2B Payments, FinTech, Real Estate Technology, SaaS</t>
  </si>
  <si>
    <t>Developer of a cloud-based procure-to-pay platform designed to connect buyers, suppliers, and financiers. The company's platform aims to manage the entire procurement process from quotation to claims and payments, enabling construction firms and real estate developers to process procurement, payment, and financing digitally.</t>
  </si>
  <si>
    <t>Cento Ventures, Digital Mission Ventures, Farquhar Venture Capital, M-DAQ, Paragon Capital Management Singapore, Serial System, Visa Accelerator</t>
  </si>
  <si>
    <t>www.doxa-holdings.com</t>
  </si>
  <si>
    <t>462076-39</t>
  </si>
  <si>
    <t>FinCrime Dynamics</t>
  </si>
  <si>
    <t>Developer of advanced simulation and financial crime analytics tools designed to make the financial system safer through the rapid deployment of effective 
Artificial Intelligence. The company's tools capture the dynamics of fraud and money laundering and load them into tailor-made scenarios that explore diverse threats that financial organizations are exposed to, enabling businesses with a benchmark for financial crime analytics using synthetic data and the generation of COVID-19 online fraud.</t>
  </si>
  <si>
    <t>Accelerate Cambridge, Chris Adelsbach, Creative Destruction Lab, EY FinTech Growth Programme, Innovate UK, Keiretsu Forum, NatWest Entrepreneur Accelerator, Oxford Capital Partners, Robert Sansom, SantanderX, SyndicateRoom, The Bettany Centre for Entrepreneurship, Twin Path Ventures</t>
  </si>
  <si>
    <t>www.fincrimedynamics.com</t>
  </si>
  <si>
    <t>509461-21</t>
  </si>
  <si>
    <t>Calvin Risk</t>
  </si>
  <si>
    <t>Developer of a risk management platform designed to assess and manage the risks of artificial intelligence algorithms in commercial use. The company's platform manages and mitigates risks, gathers all models and specifications in one place and evaluates negative consequences of incidents, enabling insurance, banking, retail, and telecommunication sector industries to manage their risks with efficient and expert support.</t>
  </si>
  <si>
    <t>b2venture, BlueLion Incubator, DeepTech, Diana zur Löwen, ETH Zurich, FinTech Innovation Lab, Founderful, Founders Factory, Innosuisse, InsurLab Germany, Join Capital, Kickstart Innovation, Lloyd's of London, Markus Eugster, Plug and Play Tech Center, seed + speed Ventures</t>
  </si>
  <si>
    <t>www.calvin-risk.com</t>
  </si>
  <si>
    <t>438878-53</t>
  </si>
  <si>
    <t>Kody</t>
  </si>
  <si>
    <t>Developer of a financial platform designed to offer instant access to cash and management tools. The company's platform offers personalized checkout processes and different payment options, along with a reward system, and applies to all types of businesses, enabling merchants to save money, reduce the use of materials, and give them an alternative payment process.</t>
  </si>
  <si>
    <t>Adam Knight, Alok Sama, Cognition Foundry, Hank Uberoi, John Holmes, Lavender Hill Capital Partners, Paul Rippon</t>
  </si>
  <si>
    <t>www.kody.com</t>
  </si>
  <si>
    <t>65614-78</t>
  </si>
  <si>
    <t>Payouts Network</t>
  </si>
  <si>
    <t>Developer of a payment platform designed to deliver a fully white-labeled payment control for B2B and B2C disbursements. The company's application is used to discover and purchase digital gift cards from national retailers and local specialty stores, enabling businesses to originate, approve, and issue payments to consumers, employees, and supplies in a fast and seamless process, while improving loyalty, reducing waist, removing friction, and improving back office support and businesses.</t>
  </si>
  <si>
    <t>Alameda Holdings, Astir Ventures, Bill Glass, Central Texas Angel Network, Chaucer Global, David Perry, Eran Goren, F50, Houston Angel Network, Joe Canterbury, K5 Ventures, Mosaik Partners, Pereira Rui, Robin Pimentel, Stephanie DiCarlo, TCA Venture Group, Texas Halo Fund, Wolfe</t>
  </si>
  <si>
    <t>www.payoutsnetwork.com</t>
  </si>
  <si>
    <t>513281-62</t>
  </si>
  <si>
    <t>Ctrl Alt</t>
  </si>
  <si>
    <t>Developer of an alternative investment platform designed for FinTechs and investment platforms. The company's digital asset management system controls everything from capital raising to client servicing, along with offering fund structuring and investing tools, enabling organizations to provide their customers with opportunities to invest in tokenized assets such as green energy and property, among others.</t>
  </si>
  <si>
    <t>365.fintech, Alexander Macdonald, Algorand Foundation, Engine (Accelerator), Enterprise Ireland, Force Over Mass Capital, Forward Ventures, Grow London, MiddleGame Ventures, Molten Ventures, Omid Ashtari, Quadrian VC, SEI Investments, SyndicateRoom, unbundled vc</t>
  </si>
  <si>
    <t>www.ctrl-alt.co</t>
  </si>
  <si>
    <t>327335-68</t>
  </si>
  <si>
    <t>MARLO</t>
  </si>
  <si>
    <t>FinTech, InsurTech, Mobility Tech, SaaS</t>
  </si>
  <si>
    <t>Operator of an online lending marketplace designed to connect lenders and borrowers in the maritime industry. The company's marketplace provides a data-driven approach to evaluate credit risk in shipping and shipping operations and analytical tools to improve their visibility to the global lending community, enabling small shipping companies to raise capital with ease.</t>
  </si>
  <si>
    <t>EPS Ventures, Fuel Ventures, H.E.N.R.Y Collective, Techstars</t>
  </si>
  <si>
    <t>www.marlo.co</t>
  </si>
  <si>
    <t>442374-85</t>
  </si>
  <si>
    <t>Disclosure Facts</t>
  </si>
  <si>
    <t>AdTech, E-Commerce, Legal Tech, SaaS</t>
  </si>
  <si>
    <t>Developer of an advertising liability prevention platform designed to automate disclosure compliance for social advertising campaigns. The company offers automated disclosure labeling, clickable disclosure tags, and audit logs, enabling consumer startups to reduce human error and avoid policy violations, ad disputes, litigation, and regulatory exposure.</t>
  </si>
  <si>
    <t>Andrew Gluck, Anthemis, AOL Ventures, Barclays, BBG Ventures (North America), Big Sky Capital, Centre Street Partners, Core91 VC, Harizury, Hyve Ventures, irrvrntVC, Jeremy Voss, Not Boring, Odile Roujol, Plug and Play Tech Center, Rajiv Kapoor, Revolution (Washington DC), Service Provider Capital, TechNexus Venture Collaborative, Tribe Capital</t>
  </si>
  <si>
    <t>www.disclosurefacts.com</t>
  </si>
  <si>
    <t>517798-90</t>
  </si>
  <si>
    <t>TIMVERO</t>
  </si>
  <si>
    <t>Developer of a lending operating system designed to streamline and unify loan origination, analytics, and servicing. The company offers a customizable platform built on a proprietary framework with automated decisioning and workflow flexibility, enabling banks, credit unions, and fintechs to manage lending operations efficiently.</t>
  </si>
  <si>
    <t>Kolos Ventures</t>
  </si>
  <si>
    <t>www.timvero.com</t>
  </si>
  <si>
    <t>185918-23</t>
  </si>
  <si>
    <t>Adviser Ratings</t>
  </si>
  <si>
    <t>Operator of an AI-enabled wealth management data platform intended to connect proprietary advisory data with industry investment information. The company offers adviser discovery tools, portfolio construction capabilities, and investment data services, enabling super funds, asset managers, and investment platforms to access advisory insights and support investment decision-making.</t>
  </si>
  <si>
    <t>Clinton Capital Partners, David Koch, Folklore Ventures, Stone &amp; Chalk</t>
  </si>
  <si>
    <t>www.adviserratings.com.au</t>
  </si>
  <si>
    <t>489770-65</t>
  </si>
  <si>
    <t>kini (Financial Software)</t>
  </si>
  <si>
    <t>Developer of an on-demand payroll provider platform designed to empower and engage employees regarding their salaries. The company specializes in collaborating with employers to provide employees access to their pay on demand to cover urgent expenses, enabling employers to provide employee salary facilities.</t>
  </si>
  <si>
    <t>Actions Capital, East Ventures, First Avenue Ventures (Melbourne), Goodwater Capital, OurCrowd, TEN13</t>
  </si>
  <si>
    <t>www.kini.id</t>
  </si>
  <si>
    <t>455104-63</t>
  </si>
  <si>
    <t>OmniCard (Financial Software)</t>
  </si>
  <si>
    <t>Developer of an integrated expense management platform intended to offer customizable digital payment services. The company's platform offers real-time visibility and controls over expenditures and card-based consumer payment services, and allows sending and receiving payments across multiple channels, enabling clients to streamline business expenses.</t>
  </si>
  <si>
    <t>Ajay Rajani, Amit Surekha, Ankurit Capital, Chun Chen, Dato Mang, Ku Kangwei, Naveen Surya, Stanley Ku, Taisys Technologies, Venture Gurukool, Yilung Hsu</t>
  </si>
  <si>
    <t>www.omnicard.in</t>
  </si>
  <si>
    <t>434419-75</t>
  </si>
  <si>
    <t>Resistant AI</t>
  </si>
  <si>
    <t>Artificial Intelligence &amp; Machine Learning, Big Data, Cybersecurity, FinTech, InsurTech, SaaS</t>
  </si>
  <si>
    <t>Developer of document fraud detection and transaction monitoring software designed to protect automated financial systems from manipulation and attack. The company's software is designed to protect institutions against manipulation and circumvention by organized fraudsters, enabling banks, insurance companies, payment platforms, and lenders to secure digital transactions and provide identity forensics that protects automated financial services from fraud and administration.</t>
  </si>
  <si>
    <t>Alphabet, Credo Ventures, Daniel Dines, DTCP Growth, Experian, Future of Health Grant, Google Foundation, GV, Index Ventures, ISV Startup Springboard, Michal Pěchouček, Notion Capital, Plug and Play Tech Center, Seedcamp, Start it @ČSOB, Start It X, Swiss-Israel Lean Launchpad</t>
  </si>
  <si>
    <t>www.resistant.ai</t>
  </si>
  <si>
    <t>467793-19</t>
  </si>
  <si>
    <t>Suppli</t>
  </si>
  <si>
    <t>Developer of an artificial intelligence-driven accounts receivable platform designed to automate cash management for distributors and manufacturers. The company's platform offers AI-driven collections, automated cash application, credit monitoring, and customer payment portals with real-time document processing and ERP synchronization, enabling distributors and manufacturers to reduce days sales outstanding and streamline accounts receivable operations.</t>
  </si>
  <si>
    <t>Ali Javid, Audacious Ventures, Dash Fund, David Gilbert, Dundee Venture Capital, Equal Ventures Management, Field Ventures (New York), Green Egg Ventures, HOLT Ventures, Resolve Growth Partners</t>
  </si>
  <si>
    <t>www.gosuppli.com</t>
  </si>
  <si>
    <t>519670-54</t>
  </si>
  <si>
    <t>Tidalwave Tech</t>
  </si>
  <si>
    <t>Developer of an artificial intelligence-driven fintech platform designed to streamline the residential mortgage application process. The company's platform utilizes agentic AI to automate condition mapping and task tracking, underwriting systems simultaneously for better loan outcomes, allowing independent mortgage banks and credit unions to significantly enhance mortgage originator efficiencies, increase loan close rates, and improve overall profitability.</t>
  </si>
  <si>
    <t>D.R. Horton, Engineering Capital, Permanent Capital, Permanent Capital (Investor), RevTech Labs Capital</t>
  </si>
  <si>
    <t>www.tidalwave.com</t>
  </si>
  <si>
    <t>520810-66</t>
  </si>
  <si>
    <t>ClearStake</t>
  </si>
  <si>
    <t>Developer of bank data analysis software designed to digitize existing files for audit purposes and share their financial status with various lenders and banks. The company's platform automates statement scanning, due diligence and analyses using open banking and machine learning and provides advanced risk scoring, enabling people and banks to perform accurate and real-time customer risk profiling to meet regulatory requirements and save on costly affordability checks.</t>
  </si>
  <si>
    <t>Ben Clemes, David Flynn, Elevate Ventures, EML Payments, Flowcap Ventures, Flutter Entertainment, Maxwell Wright, Michael Brady, Paddy Power, Philipp Strizke, Pointsbet, Sam Swannell, Savvas Fellas, Simon Collins, Stats Perform, William Armitage</t>
  </si>
  <si>
    <t>www.clearstake.com</t>
  </si>
  <si>
    <t>513341-92</t>
  </si>
  <si>
    <t>Vijya Fintech</t>
  </si>
  <si>
    <t>Developer of a wealth management platform designed for financial intermediaries to manage asset and wealth portfolios. The company's platform utilizes open architecture technology to offer a cloud-based full-stack integrated mutual funds and broking ecosystem, enabling stockbrokers, portfolio managers, and distributors to scale their practices and cater to the diverse investment needs of their investors.</t>
  </si>
  <si>
    <t>BP Wealth, G K Globas, Lemon Emerging Ventures, Lemon Technologies, Narola Infotech, Sagar Investments, Technology Specialists Group, Veloce Fintech</t>
  </si>
  <si>
    <t>www.vijyafintech.com</t>
  </si>
  <si>
    <t>482471-47</t>
  </si>
  <si>
    <t>Wealth Stack</t>
  </si>
  <si>
    <t>Developer of a financial advisory platform designed to help customers to invest in multiple assets. The company's platform provides ongoing investing education and guides to a healthier relationship with finances, enabling users to have access to investment recommendations and options.</t>
  </si>
  <si>
    <t>Capital Factory, The Venture Center</t>
  </si>
  <si>
    <t>www.wealthstack.ca</t>
  </si>
  <si>
    <t>501050-62</t>
  </si>
  <si>
    <t>Shuttle Pay</t>
  </si>
  <si>
    <t>Operator of a prepaid card services company intended to develop good money habits for parents and children through the use and management of money. The company's platform offers notification to parents at the time of shopping, monthly reports, automatic deposit books, free remittance and regular remittance from parent to child, enabling parents to teach their children money management.</t>
  </si>
  <si>
    <t>Genesia Ventures, Nobuhiro Ariyasu, NOW (Japan), Shunsuke Oyu, Spiral Capital (Tokyo)</t>
  </si>
  <si>
    <t>www.shuttlepay.jp</t>
  </si>
  <si>
    <t>494894-89</t>
  </si>
  <si>
    <t>1848 Ventures.</t>
  </si>
  <si>
    <t>Developer of data aggregation tools designed for small business acquisition research. The company's platform collects and cleans acquisition listings from thousands of sources, maintains a searchable database of active deals and brokers, applies modern AI techniques for data accuracy, and offers industry insights and pricing benchmarks, enabling individual buyers and investors to identify opportunities and make informed decisions in the fragmented business transaction landscape.</t>
  </si>
  <si>
    <t>Texas Venture Labs</t>
  </si>
  <si>
    <t>evermark.ai</t>
  </si>
  <si>
    <t>231692-86</t>
  </si>
  <si>
    <t>Akiba Digital</t>
  </si>
  <si>
    <t>FinTech, Infrastructure, SaaS</t>
  </si>
  <si>
    <t>Developer of financial data aggregator application designed to empower businesses to make smarter, faster, and more secure risk decisions. The company's application offers on-demand insights and visualizations to savings goals along with financial behavioral coaching which is a premium rewards program, enabling users to have access to a personal coach for finances and utilize their finances more efficiently.</t>
  </si>
  <si>
    <t>AlphaCode (South Africa), Alumni Ventures, Basecamp Fund, Dan Lok Ventures, Delivery Hero Ventures, DFS Lab, Expert DOJO, FirstCheck Africa, Flori Ventures, Future Africa, Google Accelerator, GSB Solution Space, Hustle Fund, LoftyInc Capital Management, Oui Capital, Ryan Nesbitt, Sidecut Ventures, Soma Capital, Startupbootcamp AfriTech, The Continent Venture Partners</t>
  </si>
  <si>
    <t>www.akibadigital.com</t>
  </si>
  <si>
    <t>1318163-41</t>
  </si>
  <si>
    <t>Anqa</t>
  </si>
  <si>
    <t>Developer of risk management infrastructure intended to optimize AI-driven compliance and risk management workflows. The company offers an artificial intelligence-based framework for monitoring, assessing, and governing compliance processes across systems, enabling enterprises and regulated organizations to manage risk with great efficiency, oversight, and operational clarity.</t>
  </si>
  <si>
    <t>Arāya Ventures, Entrepreneurs First, Third Party Risk Association, Transpose Platform Management</t>
  </si>
  <si>
    <t>www.anqa.ai</t>
  </si>
  <si>
    <t>995837-50</t>
  </si>
  <si>
    <t>Aria Finance</t>
  </si>
  <si>
    <t>Developer of AI-powered personal budgeting tools intended for underserved communities. The company is currently operating in Stealth mode.</t>
  </si>
  <si>
    <t>Robinhood</t>
  </si>
  <si>
    <t>537904-09</t>
  </si>
  <si>
    <t>Backpack (Financial Software)</t>
  </si>
  <si>
    <t>Developer of digital payment processing tools designed to streamline financial operations in higher education institutions. The company offers college savings plan payment integration, third-party billing automation, scholarship management, refund processing, and stakeholder communication capabilities, enabling universities, students, and families to reduce administrative workload and improve transparency in education-related payment processes.</t>
  </si>
  <si>
    <t>Mischief, Sequoia Capital, Walkabout Ventures</t>
  </si>
  <si>
    <t>www.backpackpay.com</t>
  </si>
  <si>
    <t>502950-70</t>
  </si>
  <si>
    <t>Bedrock (Financial Software)</t>
  </si>
  <si>
    <t>Developer of a cloud-based supplier enablement application intended to reduce complexity and risk in supplier management. The company's application specializes in simplifying payments, minimizing risk, and reducing onboarding time for finance and procurement teams, providing vendors, procurement, and AP leaders to streamline, modernize, and centralize supplier management with safety and efficiency.</t>
  </si>
  <si>
    <t>Wickfield Capital LLC</t>
  </si>
  <si>
    <t>www.mybedrock.com</t>
  </si>
  <si>
    <t>436898-44</t>
  </si>
  <si>
    <t>Decentro</t>
  </si>
  <si>
    <t>Developer of an API banking software designed to launch banking products in a hassle-free way. The company's platform integrates with desired banking APIs, permitting financial integrations with a few lines of code and simplifying the product development cycle, enabling clients to get customized and make the desired modules available in a simple format with automation features.</t>
  </si>
  <si>
    <t>Alec McNayr, Aleka Capital, Astir Ventures, Atlantis Technology Group, Beerud Sheth, Cathexis Ventures, Constellation Ventures, Debanjan Mukherjee, Eric Kwan, FundersClub, Gaurav Sharma, GIFT International Fintech Innovation Hub, InfoEdge Ventures, Jatin Mazalcar, Karim Fanous, Kishore Ganji, Kunal Shah, Lalit Keshre, Launchbay Capital, Leonis Investissement, Locus Ventures, Michael Jarmuz, Mike Wang, Musha Ventures, Nama Ventures, Pareto Holdings, Pawan Gupta, Plug and Play Tech Center, Prasetia Dwidharma, Rajesh Dembla, Rapyd Ventures, Realm Capital Ventures, Ron Fisher, Sameer Maheshwari, Sanjeev Barnwal, SapphireInk Ventures, Shashi Srikantan, Soma Capital, Stargazer Growth, Startup Haryana, Steven Sule, Stonewater Ventures, T2D3 Capital, Uncorrelated Ventures, Unpopular Ventures, Upsparks Capital, VentureSouq, Vidit Aatrey, Y Combinator</t>
  </si>
  <si>
    <t>www.decentro.tech</t>
  </si>
  <si>
    <t>482469-94</t>
  </si>
  <si>
    <t>Equabli</t>
  </si>
  <si>
    <t>Operator of a debt recovery platform intended to manage debt collection through an integrated ecosystem of digital-first, multi-channel service with a single connection. The company's platform provides complete end-to-end management of debt recoveries, manages assets with embedded controls, produces personalized communications for consumers on their preferred digital channels, and derives actionable insights, enabling creditors and consumers to consolidate and simplify the debt recovery process.</t>
  </si>
  <si>
    <t>BankTech Ventures, Cross River Digital Ventures, Social Leverage</t>
  </si>
  <si>
    <t>www.equabli.com</t>
  </si>
  <si>
    <t>472280-59</t>
  </si>
  <si>
    <t>FinFan</t>
  </si>
  <si>
    <t>Developer of a financial platform designed to provide simplified cross-border payment services for Asian communities. The company's application programming interface-oriented architecture x-border finance offers a B2B model for driving cross-border settlement software, enabling enterprises to avail financial services all across the world.</t>
  </si>
  <si>
    <t>Korea Investment Partners, Nextrans</t>
  </si>
  <si>
    <t>www.finfan.io</t>
  </si>
  <si>
    <t>434118-16</t>
  </si>
  <si>
    <t>Fingoal</t>
  </si>
  <si>
    <t>Developer of a financial insights platform designed to enable personalized banking experiences. The company's platform utilizes transaction data analysis and persona tagging to generate behavioral signals and merchant-level intelligence, enabling financial institutions to deliver targeted offers and personalized content to account holders.</t>
  </si>
  <si>
    <t>412 Angels, Also Capital, Bankers Helping Bankers Fund, Boomtown Innovation, Colorado, Comcast, gener8tor, Independent Community Bankers of America, K Street Capital, Naples Technology Ventures, One Washington Financial, Plow Ventures, Right Side Capital Management, Sidecut Ventures, Start Path, Techstars, The Farm (Atlanta)</t>
  </si>
  <si>
    <t>www.fingoal.com</t>
  </si>
  <si>
    <t>462086-65</t>
  </si>
  <si>
    <t>Global Predictions</t>
  </si>
  <si>
    <t>Developer of an artificial intelligence-powered financial platform designed for financial advice and personalized recommendations. The company's platform provides fintech advice through guided procedures, application programming interfaces, and customized insights, enabling policymakers, corporations, and investors to explain shifts in the economy and develop and manage investment portfolios.</t>
  </si>
  <si>
    <t>Alumni Ventures, Alysia Silberg (Street Global), AME Cloud Ventures, Atland Ventures, Jeremy Yap, Kevin Moore, Morado Ventures, MyAsiaVC, Nelson Investments, New Enterprise Associates, Recursive Ventures, Strategxy Ventures, TipTop Ventures, Unpopular Ventures, Village Global, Visary Capital, Z-Capital Group Investments</t>
  </si>
  <si>
    <t>www.globalpredictions.com</t>
  </si>
  <si>
    <t>177452-20</t>
  </si>
  <si>
    <t>Know Your Customer</t>
  </si>
  <si>
    <t>FinTech, Legal Tech, TMT</t>
  </si>
  <si>
    <t>Developer of business software designed to facilitate the customer onboarding process. The company provides a KYB and AML platform that enables the identification and verification of companies and individuals before onboarding through document collection, digital ID verification, automated anti-money-laundering checks, and access to official company registry data across countries via direct integrations, supporting consistent compliance assessments across jurisdictions.</t>
  </si>
  <si>
    <t>CLSA, CRIF, Enterprise Ireland, FinTech Innovation Lab, Kharis Capital, Pershing Ventures, Tenity</t>
  </si>
  <si>
    <t>www.knowyourcustomer.com</t>
  </si>
  <si>
    <t>466723-45</t>
  </si>
  <si>
    <t>LegalPay</t>
  </si>
  <si>
    <t>Operator of a tech-driven investment platform intended to ease the financial burden of litigation cases. The company's platform provides a massive investor network with access to flexible and innovative investment products to modernize portfolios by including asset-backed alternatives, enabling investors to get opportunities to invest and get timely returns.</t>
  </si>
  <si>
    <t>100Unicorns, Aeroflex Enterprises, Ambarish Gupta, Amity Innovation Incubator, Ashwini Kakkar, Basis Vectors, Hedonova, Hyderabad Angels, IVY Growth Associates, Knowlarity, LVX, Venture Catalysts (Capital Markets/Institutions), Windrose Capital (Pune)</t>
  </si>
  <si>
    <t>www.legalpay.in</t>
  </si>
  <si>
    <t>277224-31</t>
  </si>
  <si>
    <t>Lenme</t>
  </si>
  <si>
    <t>Developer of a mobile application designed to facilitate peer-to-peer lending and borrowing using a simplified and intuitive interface. The company's application facilitates peer-to-peer lending by uniting people seeking to borrow money and in need of small loans with investors looking to make a return on investment by lending, enabling borrowers to receive an alternative to bank loans, credit cards, or payday loans, and investors to earn money in a less volatile market compared to traditional investment channels.</t>
  </si>
  <si>
    <t>CFV Ventures, FinAccelerate, RevTech Labs Capital, Techstars</t>
  </si>
  <si>
    <t>www.lenme.com</t>
  </si>
  <si>
    <t>509314-87</t>
  </si>
  <si>
    <t>Mad Capital</t>
  </si>
  <si>
    <t>Developer of a financing platform designed to fund organic regenerative farmers. The company's platform offers long-term and customized operating, real estate, equipment, and infrastructure loans for regenerative organic and transitioning farming, enabling farmers to access strategic financial products and resources.</t>
  </si>
  <si>
    <t>Bonaventure Capital, Homecoming Capital, Impact Assets, Lacebark Investments, One Small Planet Foundation, Pelican Ag, Silverstrand Capital, Tin Shed Ventures, Trailhead Capital (Colorado), Tripple</t>
  </si>
  <si>
    <t>www.madcapital.com</t>
  </si>
  <si>
    <t>463359-43</t>
  </si>
  <si>
    <t>My Home Pathway</t>
  </si>
  <si>
    <t>Developer of a financial platform designed to improve users' financial health and help navigate the mortgage loan process. The company's platform offers data-driven intermediation services between aspiring first-time home buyers with underdeveloped credit scores and asset-seeking financial institutions with customer acquisition risk and cost constraints, providing a risk enhancement platform to increase mortgage and other credit-related revenues without increasing risk to their portfolios and increasing share of wallet opportunities to those better risk candidates, enabling low-credit borrowers to secure mortgages.</t>
  </si>
  <si>
    <t>www.myhomepathway.com</t>
  </si>
  <si>
    <t>264422-08</t>
  </si>
  <si>
    <t>Nth Round</t>
  </si>
  <si>
    <t>Developer of equity management tools designed to report, communicate with, and reduce the administrative complexity associated with ownership. The company's platform provides cap table management, reporting tools, custom templates, and ledgers accessible from a single, secure, and white-labeled portal and emerging fund reporting, enabling private companies and fund owners to manage and track their ownership.</t>
  </si>
  <si>
    <t>New Enterprise Associates</t>
  </si>
  <si>
    <t>www.nthround.com</t>
  </si>
  <si>
    <t>467795-26</t>
  </si>
  <si>
    <t>Remitee</t>
  </si>
  <si>
    <t>Operator of a digital multi-purpose payment platform intended to simplify sending and receiving international payments. The company's platform allows users to send money to their family and pay utility bills in other countries, such as water, electricity, and gas, along with recharging cell phones, enabling individuals to send money and provide other forms of financial assistance across regional borders, anytime and anywhere.</t>
  </si>
  <si>
    <t>Acelerar España, Algorand Foundation, Endeavor Miami, ESC Venture Capital, Galicia Ventures, Innogen Capital Ventures, Kalei Ventures, Krealo, Latitud, Latitude (London), Proximity Angels, Redwood Ventures, Soma Capital, The Ark Fund, Wind Ventures</t>
  </si>
  <si>
    <t>www.business.remitee.com</t>
  </si>
  <si>
    <t>154720-36</t>
  </si>
  <si>
    <t>Tongo (US)</t>
  </si>
  <si>
    <t>Developer of an online financial services platform designed to provide commission workers with an easy way to access future commissions. The company's platform uses factoring to aid hosts in receiving payment for their upcoming reservations quickly and accessing cash as soon as it is confirmed, enabling clients to cover their everyday expenses and unexpected emergencies while in a contract.</t>
  </si>
  <si>
    <t>Accomplice VC, Elizabeth Street Ventures, Good Friends, LAB Ventures, Launchpad Capital, MetaProp, MS&amp;AD Ventures, New Valley, OneSixOne Ventures, REACH, Red Bike Capital, Remarkable Ventures, RWT Horizons, Second Century Ventures, Socialatom Group</t>
  </si>
  <si>
    <t>www.gettongo.com</t>
  </si>
  <si>
    <t>455116-96</t>
  </si>
  <si>
    <t>Trendigo</t>
  </si>
  <si>
    <t>Developer of a contactless payment ticketing and access control system intended to make mobile payment accessible, simple, and secure for everyone. The company's mobile application is built on the highest standards of banking security, APIs, and single-use tokens, which ensure very high transaction security while greatly reducing the risk of fraud, as well as accepting all types of cards and receiving rewards on each transaction, enabling users to make payments in a simpler and more secure way.</t>
  </si>
  <si>
    <t>Ixe Grupo Financiero, KiwiTech, Startup en résidence</t>
  </si>
  <si>
    <t>www.trendigo.com</t>
  </si>
  <si>
    <t>460277-29</t>
  </si>
  <si>
    <t>VôM Cloud Accounting</t>
  </si>
  <si>
    <t>Provider of an accounting platform designed to enhance the financial value of small companies that focus on facilitating the management of their financial data. The company's platform helps users to issue invoices and quotations and automatically sends them via e-mail, as well as linking them to point-of-sale devices in various geographical locations, enabling small and medium enterprises to manage their financial data and accounting on their own without the need for a full-time accountant.</t>
  </si>
  <si>
    <t>Vest Investment</t>
  </si>
  <si>
    <t>www.getvom.com</t>
  </si>
  <si>
    <t>491822-65</t>
  </si>
  <si>
    <t>WafR</t>
  </si>
  <si>
    <t>Developer of a digital payments platform designed for FMCG brands to make promotions in informal retail stores. The company's platform allows users to open a grocery account, put in their money to use in their business dealings, and start selling goods on the platform, helping them with their queries, enabling businesses to increase market share, sales volume, and profit by guiding consumer choice.</t>
  </si>
  <si>
    <t>Al Mada Ventures, Attijariwafa Ventures, Digital Africa (Paris), First Circle, First Circle Capital, Fuze (Africa), Kili Ventures (United Kingdom), Launch Africa Ventures, LoftyInc Capital Management, Plug and Play Tech Center, UM6P Ventures, Visa Accelerator, WLB</t>
  </si>
  <si>
    <t>www.wafr.co</t>
  </si>
  <si>
    <t>462888-37</t>
  </si>
  <si>
    <t>Numarqe</t>
  </si>
  <si>
    <t>Developer of a multi-currency credit platform designed to help people find a proper way to spend money. The company's platform offers corporate charge card products that allow individuals to spend interest-free credit, track expenses, increase their credit limit, and automate expenses via accounting integrations, enabling users to manage and control spending in a modern way.</t>
  </si>
  <si>
    <t>Amlwch Asset Management, Charles Delingpole, Chris Adelsbach, Found Capital, Michael Pennington, Onstage (London), Pareto Holdings, United First Partners, William Neale</t>
  </si>
  <si>
    <t>www.numarqe.com</t>
  </si>
  <si>
    <t>230535-64</t>
  </si>
  <si>
    <t>PlayerLands</t>
  </si>
  <si>
    <t>FinTech, Gaming, SaaS</t>
  </si>
  <si>
    <t>Developer of a secure payment system intended to assist players in buying virtual goods within games via real money. The company's platform enables server owners to sell subscriptions and virtual goods to players and allows gamers to make in-game purchases in one place, assisting discovery of new games and experiences, enabling developers to market games, find new players, and grow their business.</t>
  </si>
  <si>
    <t>Bluebox Capital, Mercia Asset Management</t>
  </si>
  <si>
    <t>www.playerlands.com</t>
  </si>
  <si>
    <t>516064-60</t>
  </si>
  <si>
    <t>Money Guided</t>
  </si>
  <si>
    <t>Developer of a financial management application designed to better understand and take control of finances. The company's application help to develop a more positive relationship with money by connecting accounts and financial policies into one secure and easy-to-manage place, enabling organizations to empower their teams financially, delivering insight, guidance, access to the right products and services at the right time.</t>
  </si>
  <si>
    <t>www.moneyguided.com</t>
  </si>
  <si>
    <t>462866-05</t>
  </si>
  <si>
    <t>Zeti</t>
  </si>
  <si>
    <t>Developer of a digital financing platform designed to accelerate the adoption of zero-emission transport at scale. The company's platform connects operators of business-critical vehicle fleets wanting electric vehicles with institutional funders who fund these vehicles and their associated infrastructure, and offers critical real-time data for both, enabling companies to get flexible risk-adjusted finance and value-added data.</t>
  </si>
  <si>
    <t>Adfisco, CSVE Ventures, FinTech Innovation Lab, Hycap, MobilityVC, Powerhouse Ventures (Oakland), Tech Nation Group, Tehnopol Startup Incubator, Toyota Ventures, Urban Future Lab, Visa Everywhere Initiative</t>
  </si>
  <si>
    <t>www.zeti.co.uk</t>
  </si>
  <si>
    <t>489351-25</t>
  </si>
  <si>
    <t>Finku</t>
  </si>
  <si>
    <t>Developer of a financial management application designed to eliminate financial illiteracy in Indonesia. The company's platform allows users to achieve financial goals through the automatic financial logger, financial insights, personalized monthly budget, and recurring billing reminders, enabling Indonesian consumers to manage all their finances in one place by making improved financial decisions.</t>
  </si>
  <si>
    <t>500 Global, 500 Southeast Asia, Alto Partners, B Capital Group, FuturePlay, Global Founders Capital, Golden Gate Ventures, Goodwater Capital, Hi2 Global, Hub.id, Partech, Tekton Ventures, Trihill Capital, Y Combinator</t>
  </si>
  <si>
    <t>www.finku.id</t>
  </si>
  <si>
    <t>327159-37</t>
  </si>
  <si>
    <t>ClearGlass</t>
  </si>
  <si>
    <t>Developer of investment cost and performance benchmarking analytics platform designed for institutional asset owners, advisors, and asset managers to assess value for money. The company's platform offers comprehensive cost collection, benchmarking, and market positioning reports across multiple investment strategies, enabling pension schemes, asset managers, and advisors to evaluate competitive outcomes, ensure regulatory compliance, and improve transparency in investment management by delivering detailed, client-specific insights into fees and performance.</t>
  </si>
  <si>
    <t>Alexander Large, Christopher Willcox, Founders Factory, Lakestar, Outward Venture Capital, Redbus Ventures, Richard Butcher, Rob O'Rahilly, Ruston Smith, Sikander Ilyas</t>
  </si>
  <si>
    <t>www.clearglass.com</t>
  </si>
  <si>
    <t>85653-01</t>
  </si>
  <si>
    <t>Crowdo</t>
  </si>
  <si>
    <t>Operator of a crowdfunding marketplace intended to facilitate startups and small to medium-sized business segments with the process of capital raising. The company's marketplace offers a full portfolio of crowdfunding services, including equity crowdfunding and peer-to-business lending, enabling businesses and organizations to raise funds based on their needs.</t>
  </si>
  <si>
    <t>Ango Ventures, Gobi Partners, Impact Investment Exchange, Ivest Capital, Jani Rautiainen, Kejora Capital, Recruit Strategic Partners, SEEDS Capital</t>
  </si>
  <si>
    <t>www.crowdo.com</t>
  </si>
  <si>
    <t>713157-58</t>
  </si>
  <si>
    <t>Sigma (Financial Software)</t>
  </si>
  <si>
    <t>Developer of an AI-driven market analysis platform designed to deliver real-time financial insights for enterprise clients. The company's platform offers advanced natural language report generation, multi-asset data integration, and customizable interfaces, enabling financial firms to uncover new opportunities, streamline research, and make data-driven investment decisions.</t>
  </si>
  <si>
    <t>SHIFT Ventures (London), Trading Technologies International</t>
  </si>
  <si>
    <t>www.sigmafinancial.ai</t>
  </si>
  <si>
    <t>135938-44</t>
  </si>
  <si>
    <t>Open Collective</t>
  </si>
  <si>
    <t>Developer of a legal and financial toolbox designed to collect and manage payments and donations. The company's toolbox helps in fiscal hosting and helps to manage budgets, pay expenses, receive donations, manage grants, and sell event tickets, enabling clients to collect money from members and donors and manage budgets easily.</t>
  </si>
  <si>
    <t>Bloomberg Beta</t>
  </si>
  <si>
    <t>www.opencollective.com</t>
  </si>
  <si>
    <t>464268-79</t>
  </si>
  <si>
    <t>Payble</t>
  </si>
  <si>
    <t>Developer of a payment experience platform designed to prevent missed or late bill payments by proactively offering flexible arrangements. The company's platform offers proactive notifications, self-service digital payment scheduling, and automated schedule rebalancing to improve collections and customer satisfaction, enabling councils, utilities, and other billers to support customers with friendly flexibility and improve satisfaction.</t>
  </si>
  <si>
    <t>OIF Ventures, X15 Ventures</t>
  </si>
  <si>
    <t>www.payble.com.au</t>
  </si>
  <si>
    <t>591395-59</t>
  </si>
  <si>
    <t>Firenze</t>
  </si>
  <si>
    <t>Developer of a loan platform designed to offer loans regardless of size. The company provides efficient cross-custody, investment-backed lending on conservative lending principles secured against liquid financial assets, enabling wealth managers, advisers, and investment platforms to complete their proposition with investment-backed loans.</t>
  </si>
  <si>
    <t>Ada Ventures, AlbionVC, Amir Nooriala, Andi Kazeroonian, Andreessen Horowitz, Ara Yeromian, Atomico (UK) Partners, Charles Delingpole, Claire and Amir's Angel Portfolio, Explorer34, Felix Leuschner, FinTech Innovation Lab, Form Ventures, Frederick Knox, Kaysan Nikkah, Keith Grose, Lakestar, Michele Attisani, Neer Nagda, Oliver Blom, Outward Venture Capital, Portfolio Ventures, Seth Johnson, Stephen Lemon, Ventures Together</t>
  </si>
  <si>
    <t>www.firenzegroup.co.uk</t>
  </si>
  <si>
    <t>481456-54</t>
  </si>
  <si>
    <t>Money Walkie</t>
  </si>
  <si>
    <t>Developer of a contactless wallet application and product designed to provide a new way to entrust children with money and gradually give them autonomy. The company's product allows children to make small purchases within the limit that parents set for them and is linked to an application that the parent can use to fill the wallet and in which every expense is notified instantly, enabling children to acquire autonomy smoothly and to develop good reflexes of consumption.</t>
  </si>
  <si>
    <t>Banque Populaire Grand Ouest, Groupe BPCE, M6 investment, One Green (Paris), Selego, The Moon Venture</t>
  </si>
  <si>
    <t>www.moneywalkie.com</t>
  </si>
  <si>
    <t>436690-36</t>
  </si>
  <si>
    <t>Finfrog</t>
  </si>
  <si>
    <t>Developer of a financial platform designed to provide personal loans. The company's platform uses artificial intelligence to provide personal loans within a short time-bound period after the verification of identity, and the client needs to pay back a certain amount of capital with interest every month, enabling individuals with temporary cash-flow needs or unexpected expenses in the French market to access small-scale credit without traditional bank barriers.</t>
  </si>
  <si>
    <t>Benjamin Jacquard, Bpifrance, Denis Duverne, ISAI, Loic Fery, Mikael Aubertin, RAISE Group, Thierry Roussel</t>
  </si>
  <si>
    <t>www.finfrog.fr</t>
  </si>
  <si>
    <t>167697-37</t>
  </si>
  <si>
    <t>pitchIN</t>
  </si>
  <si>
    <t>Developer of a fundraising platform designed to offer businesses to raise money for their project. The company's platform allows investors to invest in equity crowdfunding campaigns and companies to raise funds from the general public and investment community, enabling businesses to raise capital easily.</t>
  </si>
  <si>
    <t>1337 Ventures, Dato Sharil Tarmizi, Ganesh Bangah, Gobi Partners, Kean Hin Wong, Kok San Chan, Malaysian Technology Development Corporation, Sunway iLabs, Vilor</t>
  </si>
  <si>
    <t>www.pitchin.my</t>
  </si>
  <si>
    <t>528626-08</t>
  </si>
  <si>
    <t>Trice Technologies</t>
  </si>
  <si>
    <t>Developer of a real-time payment platform designed to enable fast and secure account-to-account transfers. The company's platform offers easy integration with payment rails, a modern gateway, and automated ledger updates to provide instant payment service, lending, refunds, insurance claims, contractor and gig economy payouts, enabling banks, fintechs, digital wallets, and payment providers to quickly deploy and improve money movement experiences.</t>
  </si>
  <si>
    <t>10X Capital, Diagram Ventures, Gaingels, JAM FINTOP, Royal Bank of Canada</t>
  </si>
  <si>
    <t>www.trice.co</t>
  </si>
  <si>
    <t>83049-13</t>
  </si>
  <si>
    <t>AQMetrics</t>
  </si>
  <si>
    <t>Developer of integrated compliance and risk management software designed to help firms track and manage their compliance with various rules. The company's platform provides mission-critical value proposition and enterprise-grade capabilities and software as a service provides regulatory and risk insights to the buy side across core investment risk areas such as counterparty, credit, market, and liquidity risk, as well as offers automated online alerts to ensure efficient pre-trade, intraday, and post-trade risk monitoring, enabling clients with complete visibility of risk posture.</t>
  </si>
  <si>
    <t>Act Venture Capital, Bluff Point Associates, Engine (Accelerator), Enterprise Ireland, Frontline Ventures</t>
  </si>
  <si>
    <t>www.aqmetrics.com</t>
  </si>
  <si>
    <t>290666-08</t>
  </si>
  <si>
    <t>Echofin</t>
  </si>
  <si>
    <t>Operator of a communication platform intended to assist financial teams. The company's platform provides features and tools such as automated subscription management, integrated billing, custom branding, a business analytics dashboard, and search history, enabling clients to connect with each other through communities and chatrooms.</t>
  </si>
  <si>
    <t>www.echofin.com</t>
  </si>
  <si>
    <t>509952-43</t>
  </si>
  <si>
    <t>Aspire (Financial Services)</t>
  </si>
  <si>
    <t>Developer of the buy-now, pay-later application intended to help people shop now and pay in installments. The company's platform offers lending platforms that act as marketplaces, connecting consumers with banks and other lenders for point-of-sale instalment financing and pay-later loans, enabling lower-income and self-employed customers to access a fair and transparent path in their formal financial services journey.</t>
  </si>
  <si>
    <t>Capital-A (Bengaluru), Eximius Ventures, Picus Capital, Swadharma Source Ventures, Upsparks Capital</t>
  </si>
  <si>
    <t>www.letsaspire.in</t>
  </si>
  <si>
    <t>113773-78</t>
  </si>
  <si>
    <t>Flex Funding</t>
  </si>
  <si>
    <t>Operator of an online crowdfunding proprietary platform intended to aim at developing the market for corporate loans and investors. The company's platform connects companies that want to seek capital with private lenders who have money in their deposit accounts and permits users to earn a high return on their investments at a low cost by lending money directly to creditworthy companies, enabling lenders and borrowers to obtain flexible loan-based funding with minimum trouble.</t>
  </si>
  <si>
    <t>Bagger-Sørensen Group, CL Group (), Exact Invest, Rasmus Nielsen Holding, Spogard Holding</t>
  </si>
  <si>
    <t>www.flexfunding.com</t>
  </si>
  <si>
    <t>496630-99</t>
  </si>
  <si>
    <t>Bamba (Business/Productivity Software)</t>
  </si>
  <si>
    <t>Developer of an enterprise management software and Android application intended to provide tools for micro-merchants to run their businesses. The company's software offers managing customers, financial services, recording stock levels, and receiving and making payments, enabling clients to run their entire business from their phones.</t>
  </si>
  <si>
    <t>www.getbamba.com</t>
  </si>
  <si>
    <t>223605-64</t>
  </si>
  <si>
    <t>Entellus Business Solutions</t>
  </si>
  <si>
    <t>FinTech, Mobile, Mobility Tech</t>
  </si>
  <si>
    <t>Developer of embedded financial infrastructure intended for enterprise banking, payments, and lending automation. The company's platform offers modular APIs, multi-bank integration, real-time reconciliation, and a unified interface, enabling businesses to streamline financial workflows, embed banking services, reduce turnaround times, and enhance operational efficiency.</t>
  </si>
  <si>
    <t>Aeroflex Enterprises, AL Trust, Astir Ventures, Founders Room Capital, Gaurav Gupta, Kishore Ganji, Microsoft AI Innovate, MyAsiaVC, Navin Puri, Sparkle Fund, Startup Haryana, Venture Catalysts (Capital Markets/Institutions), Vijaya Lakshmi Kuchipudi, Village Capital, Vishwadeep Bajaj, Vistra ITCL</t>
  </si>
  <si>
    <t>www.nupay.co.in</t>
  </si>
  <si>
    <t>495050-59</t>
  </si>
  <si>
    <t>Hubble (Financial Software)</t>
  </si>
  <si>
    <t>Developer of an online saving platform intended to help users save and get rewarded for saving. The company's platform offers consumers rewarding, trustworthy and transparent saving plans directly with top brand partners, allowing consumers to get more out of their savings, and expanding the reach of top brands by helping them engage with customers in meaningful ways during their consideration phase, enabling consumers to bring consumers and top brands closer together.</t>
  </si>
  <si>
    <t>Kunal Bahl, Peak XV Partners, Sateesh Andra, Titan Capital</t>
  </si>
  <si>
    <t>www.myhubble.money</t>
  </si>
  <si>
    <t>506748-70</t>
  </si>
  <si>
    <t>Bankme</t>
  </si>
  <si>
    <t>Developer of an online financial platform designed to assist entrepreneurs in financing their productive ecosystem, without intermediaries. The company's platform helps enterprises across different industries to build their financial structures and operate credit for the ecosystem, taking care of everything from the structuring of the operation to the accounting closing, enabling businesses to offer prepayment of receivables and other credit products to their suppliers and customers and generate more profitability in the process.</t>
  </si>
  <si>
    <t>Apex Partners (Brazil), Aury Francisco, Bamboo DCM, DOMO.VC, Google Accelerator, InovaBRA</t>
  </si>
  <si>
    <t>www.bankme.tech</t>
  </si>
  <si>
    <t>128319-58</t>
  </si>
  <si>
    <t>Omega Point</t>
  </si>
  <si>
    <t>Developer of an artificial intelligence-enabled portfolio optimization platform designed to back active and passive investment managers to accelerate their strategy development under market-changing conditions. The company's platform is a portfolio intelligence engine that connects a suite of quantitative models with investment strategies to permit the front and middle office to collaborate on the analysis of any strategy, enabling managers to get an in-depth view of the factors that are driving their portfolio's performance.</t>
  </si>
  <si>
    <t>Jeremy Baksht, Level Equity, Raptor Group</t>
  </si>
  <si>
    <t>www.omegapoint.ai</t>
  </si>
  <si>
    <t>108813-79</t>
  </si>
  <si>
    <t>Xen</t>
  </si>
  <si>
    <t>Developer of loan management software designed to fundamentally leverage design, technology, and data to transform commercial business lending. The company's software offers underwriting and loan automating tools to facilitate online lending through modern user experience, third-party integrations, and data analytics, enabling financial institutions and small businesses to grow their sales while complying with regulations and raising cash through investors utilizing invoice financing.</t>
  </si>
  <si>
    <t>Andreas Gross, Ashby Monk, Better Tomorrow Ventures, Change Ventures, Chris Hulls, David Shen, Deciens Capital, Fidelity National Information Services, Henri Deshays, Newfund Management, NFX, Olima Ventures, SRM Capital Holdings</t>
  </si>
  <si>
    <t>www.xenplatforms.com</t>
  </si>
  <si>
    <t>465978-25</t>
  </si>
  <si>
    <t>Hissa</t>
  </si>
  <si>
    <t>Developer of a financial platform designed to automate and manage equity ownership in venture-funded startups. The company's platform manages ownership data of the company, automates share issuance processes, and provides mechanisms to track and certify cap tables and manage transactions, enabling businesses to receive stakeholder participation and capital flow in a transparent, efficient, and compliant manner.</t>
  </si>
  <si>
    <t>Blume Venture Advisors, CMS IndusLaw, Kris Gopalakrishnan, Pratithi Investment Trust, Rainmatter Capital, Reddy Holdings (Hyderabad), Startup Karnataka, Treasury (New York), Valiant Capital Partners, YourNest Venture Capital</t>
  </si>
  <si>
    <t>www.hissa.com</t>
  </si>
  <si>
    <t>226940-23</t>
  </si>
  <si>
    <t>Finology</t>
  </si>
  <si>
    <t>Operator of a loan comparison platform intended to provide diverse financial products and make enhanced financial decisions. The company's platform and website specialize in selling, comparing, and approval of insurance and loans across various platforms, enabling clients with embedded and seamless end-to-end access to financial products.</t>
  </si>
  <si>
    <t>Malaysian Technology Development Corporation, Penjana Kapital, Seedstars International Ventures, Silverlake Group, Star Media Group, Sunway iLabs, The Hive Southeast Asia</t>
  </si>
  <si>
    <t>www.finology-group.com</t>
  </si>
  <si>
    <t>719441-65</t>
  </si>
  <si>
    <t>Stella Pay</t>
  </si>
  <si>
    <t>Developer of a digital financial platform designed for the conversion and expenditure of blockchain-based assets in real-world commerce. The company's platform facilitates the issuance of physical and virtual payment cards that support automated top-ups from decentralized wallets, instant cross-border transfers, and cash withdrawals at global automated teller machines, enabling international consumers to utilize their virtual holdings for retail purchases, travel expenses, and peer-to-peer transfers.</t>
  </si>
  <si>
    <t>Unfold.vc</t>
  </si>
  <si>
    <t>stellapay.io</t>
  </si>
  <si>
    <t>588965-32</t>
  </si>
  <si>
    <t>PlannerPal</t>
  </si>
  <si>
    <t>Developer of an AI-based financial assistant platform intended to turn client meetings into concise, actionable summaries. The company's platform helps in financial planning activities, including automated meeting summaries, AI-assisted document drafting, the ability to search past conversations and record in-person meetings and voice notes, enabling financial planners to save time and serve more clients.</t>
  </si>
  <si>
    <t>Ada Ventures, Investment Group Bath</t>
  </si>
  <si>
    <t>www.plannerpal.co.uk</t>
  </si>
  <si>
    <t>119906-92</t>
  </si>
  <si>
    <t>Insto (Financial Services)</t>
  </si>
  <si>
    <t>Developer of a financial platform designed to create and facilitate automatic billing for recurring services and installment plans. The company's platform is a person-to-person payment tool that allows to schedule payments over time, enabling users to buy or sell anything and schedule recurring payments for things like services or rent.</t>
  </si>
  <si>
    <t>Darwin Venture Management, FinTechSpace, Orange Fab France, Paris&amp;Co, Plug and Play Tech Center, Startup Lithuania Accelerator powered by Plug and Play, Systex, Taiwan National Development Council, TiE Silicon Valley, Tsinghua University, Wayne Huang, Wilson Sonsini Goodrich &amp; Rosati Professional</t>
  </si>
  <si>
    <t>ins.to</t>
  </si>
  <si>
    <t>470664-10</t>
  </si>
  <si>
    <t>Luca (Tokyo)</t>
  </si>
  <si>
    <t>Developer of a digital platform designed to make alternative investments easy, fast, and for a variety of investors. The company's platform lets qualified investors compare, invest and manage alternative investment products such as private equity funds, hedge funds, Venture Capital (VC), and pre-IPO companies, enabling investors to enhance alternative investment efficiency.</t>
  </si>
  <si>
    <t>AZF Daikoku, Carbon Ventures, Carbon Ventures (Japan), Delight Ventures, East Ventures, FINOLAB, Headline, Iceblue Fund, Mizuho Innovation Frontier, Plug and Play Tech Center, QR Investment, Saison Ventures, Shizen Capital, Xen Technologies</t>
  </si>
  <si>
    <t>www.luca.inc</t>
  </si>
  <si>
    <t>154340-29</t>
  </si>
  <si>
    <t>Fig Loans</t>
  </si>
  <si>
    <t>Provider of financial services intended to provide alternatives to traditional payday lending. The company's services include providing loans that have flexible repayment plans for low-income borrowers and using in-house loan management software to drive scale in loan servicing, enabling customers to have affordable small personal loans that are designed to be repaid and build credit.</t>
  </si>
  <si>
    <t>Aaron Bird, Access Venture Partners, Access Ventures, Brewster Stanislaw, Gregory Brown, Jared Slosberg, Miles Lasater, Moses Icyishaka, Peter Fader, Phillip Mutooni, Purpose Built Ventures, Right Side Capital Management, Shivaas Gulati, Star Power Partners, Techstars, The Pay It Forward Company, Thomas Wenrich, Tribe Capital, Tubergen Ventures, Upper90 Capital Management, Venture Initiation Program, VilCap Investments, Village Capital</t>
  </si>
  <si>
    <t>www.figloans.com</t>
  </si>
  <si>
    <t>228451-60</t>
  </si>
  <si>
    <t>Roundup App</t>
  </si>
  <si>
    <t>Developer of a mobile alternative donation platform designed for micro-investing. The company's platform employs technology to collect the difference between a debit or credit card purchase and the nearest dollar and help in the management of small donations, enabling non-profit organizations and users to solve the operational pains of managing micro-donations.</t>
  </si>
  <si>
    <t>Dorm Room Fund, KDX Ventures, LH Capital, Rise Together Ventures, Silverton Partners, Trust Ventures, Venture Initiation Program, Village Global</t>
  </si>
  <si>
    <t>www.roundupapp.com</t>
  </si>
  <si>
    <t>482203-18</t>
  </si>
  <si>
    <t>trica</t>
  </si>
  <si>
    <t>Developer of equity management software designed to make the private market open and scalable. The company's software helps to manage the portfolio, facilitate early investor and employee liquidity and access exclusive opportunities, enabling clients to easily manage their valuable assets.</t>
  </si>
  <si>
    <t>Accel, Anupam Mittal, Apurva Parekh, Ashneer Grover, Kunal Shah, LC Nueva AIF, Rahul Talwar, Secocha Ventures, Sprint VC</t>
  </si>
  <si>
    <t>www.trica.co</t>
  </si>
  <si>
    <t>497808-91</t>
  </si>
  <si>
    <t>276 Holdings</t>
  </si>
  <si>
    <t>Operator of a financial consulting firm intended to provide financial services that create opportunities through new valuation. The company offers corporate finance brokerage and consulting services and creates a visionary strategy, process, and fluidization system, enabling firms to have a new flow of trade receivables and prevent them from facing financial setbacks.</t>
  </si>
  <si>
    <t>Big Basin Capital, BiiG WAVE, COMEUP STARS, CunaeST Foundation, Dunamis Asset Management, Fintech Center Korea, HG Initiative, iAccel (Seongnam-si), IBK Changgong, InfoBank, KB Innovation HUB, Korea Investment Accelerator, Magna Investment (Seoul), MetLife Inclusion Plus, Seoul National University Technology Holdings, Sopoong, Sui Generis Partners, Tech Incubator Program for Startup</t>
  </si>
  <si>
    <t>www.276holdings.com</t>
  </si>
  <si>
    <t>482808-43</t>
  </si>
  <si>
    <t>Belong (Financial Software)</t>
  </si>
  <si>
    <t>Developer of a wealth technology platform designed to help customers with saving and investments. The company's platform helps users invest in products and increase their wealth by providing a suite of embedded financial products and offers from partners, enabling customers to improve their financial health.</t>
  </si>
  <si>
    <t>Connect Ventures (UK), Edwina Johnson, Frederick Knox, Gautham Radhakrishnan, January Ventures, John Kay, Mandeep Singh, Octopus Investments, Octopus Ventures, Portage, Viola FinTech, William Todd</t>
  </si>
  <si>
    <t>www.be-long.co</t>
  </si>
  <si>
    <t>117256-33</t>
  </si>
  <si>
    <t>Play Business</t>
  </si>
  <si>
    <t>Operator of a digital crowdfunding platform intended to democratize access to capital for businesses and investors. The company's platform helps people to invest small amounts in different businesses or brands and receive money each year from a percentage of their sales through a revenue-based financing structure, enabling businesses to work efficiently and grow by raising funding easily.</t>
  </si>
  <si>
    <t>99 Startups, Marcus Dantus, Regional, Toro Ventures (Mexico)</t>
  </si>
  <si>
    <t>www.playbusiness.mx</t>
  </si>
  <si>
    <t>432451-36</t>
  </si>
  <si>
    <t>Raison</t>
  </si>
  <si>
    <t>Developer of a financial management platform designed to provide access to private deals, structured products, public market instruments, and digital assets. The company operates a regulated infrastructure through its licensed entities, enabling clients to deposit and withdraw funds, exchange fiat and virtual currencies, and invest in venture deals, stocks, bonds, and crypto-assets in one place.</t>
  </si>
  <si>
    <t>European Commission, MTS StartUp Hub, Server Partners, X-Europe</t>
  </si>
  <si>
    <t>www.raison.app</t>
  </si>
  <si>
    <t>484144-12</t>
  </si>
  <si>
    <t>Sherlok</t>
  </si>
  <si>
    <t>Artificial Intelligence &amp; Machine Learning, Big Data, FinTech, Mortgage Tech, Real Estate Technology, SaaS</t>
  </si>
  <si>
    <t>Developer of a retention and refinancing platform designed to retain and refinance existing clients with a single click. The company's platform uses AI and ML to predict who is likely to leave a mortgage brokers loan book, lowers the client's interest rate and offers single-click refinancing, enabling mortgage brokers to increase loan book growth through client retention and preventing clawback commission</t>
  </si>
  <si>
    <t>Jinding, Paloma Group, Proviso, Steam Ventures (Australia)</t>
  </si>
  <si>
    <t>www.sherlok.com.au</t>
  </si>
  <si>
    <t>625916-44</t>
  </si>
  <si>
    <t>The Qwik Group</t>
  </si>
  <si>
    <t>Operator of an investment platform intended for asset-backed investments. The company's platform offers a variety of other services and platforms designed to simplify financial interactions through transparent services, empowering individuals and businesses while upholding the principles of integrity and trust, enabling individuals and businesses to earn returns on their investments.</t>
  </si>
  <si>
    <t>www.theqwikgroup.com</t>
  </si>
  <si>
    <t>463013-47</t>
  </si>
  <si>
    <t>Sprive</t>
  </si>
  <si>
    <t>Developer of an AI-based mortgage assistance platform designed to help homeowners live debt-free and mortgage-free. The company's platform combines tech with human expertise to help people remortgage hassle-free by providing insights related to suitable interest rates, enabling users to manage and pay off their mortgages efficiently.</t>
  </si>
  <si>
    <t>Active Partners, Ascension (Private Equity), Channel 4 Ventures, Colorintech, Cornerstone VC, Deepak Menon, Full Circle Africa, Two Magnolias VC, Velocity Capital Advisors, VentureCEO</t>
  </si>
  <si>
    <t>www.sprive.com</t>
  </si>
  <si>
    <t>265427-47</t>
  </si>
  <si>
    <t>Muse Finance</t>
  </si>
  <si>
    <t>Operator of a payment processing platform intended to offer mobile payment, working capital analytics, and access to invoice finance. The company's platform offers real-time cash flow forecasting, invoice financing, and multi-currency business accounts services, enabling small businesses to manage their fund efficiently and plan for the future with cash flow forecasting.</t>
  </si>
  <si>
    <t>Angel Academe, Kinled Holding, Sie Ventures, Techstars</t>
  </si>
  <si>
    <t>www.getmymuse.com</t>
  </si>
  <si>
    <t>483628-96</t>
  </si>
  <si>
    <t>Asendium</t>
  </si>
  <si>
    <t>Developer of a financial advisory platform designed to streamline the financial advice creation process. The company's platform offers a simplified and optimized advice creation process through uniformity and consistency with no manual data transfer, unnecessary costs and configurable scopes, enabling financial planning businesses to effectively serve more clients by reducing the time to complete documents.</t>
  </si>
  <si>
    <t>Holon Global Investments, University of Technology Sydney</t>
  </si>
  <si>
    <t>www.asendium.com</t>
  </si>
  <si>
    <t>537022-18</t>
  </si>
  <si>
    <t>Faktus</t>
  </si>
  <si>
    <t>Operator of a construction site financing platform intended to provide financial help to public projects. The company's platform specializes in assisting certain projects that are unable to access funds, with advance money to carry out a project and grow further, enabling clients to finance their invoices, buy required equipment, retention deposit, reduce delays, and avoid negative cashflows.</t>
  </si>
  <si>
    <t>Better Angle, Foundamental, Kima Ventures, Lakestar, Purple (Paris), Source Ventures (Paris), Super Capital</t>
  </si>
  <si>
    <t>www.faktus.eu</t>
  </si>
  <si>
    <t>85896-91</t>
  </si>
  <si>
    <t>Darwinex</t>
  </si>
  <si>
    <t>Developer of a social trading platform intended for traders to develop their skills and build a verifiable track record. The company provides a web-based trading platform that connects financial market traders with savvy investors, enabling traders and small to medium-sized hedge funds to easily convert their trading strategies into investable assets.</t>
  </si>
  <si>
    <t>Pinorena Capital, Stefan Jaecklin</t>
  </si>
  <si>
    <t>www.darwinex.com</t>
  </si>
  <si>
    <t>60668-29</t>
  </si>
  <si>
    <t>Heckyl</t>
  </si>
  <si>
    <t>Developer of an analytical platform designed to facilitate efficient financial decisions. The company's platform offers news and derivative analysis with sentiment-tagging, news-clustering, discovery engines, actionable intelligence, visuals, heat maps of sentiments, and market data in real time, uses a big data approach to help users understand financial markets by analyzing structured and unstructured data, enabling investors, traders, and researchers to make decision efficiently.</t>
  </si>
  <si>
    <t>www.heckyl.com</t>
  </si>
  <si>
    <t>104131-99</t>
  </si>
  <si>
    <t>Acceleron Bank</t>
  </si>
  <si>
    <t>Developer of a foreign exchange payment services platform designed to eliminate the need for multiple vendors and connections. The company's platform allows users to get the latest information regarding currency exchange and its methodologies, and its API-driven technology, and offers enhanced services to clients seamlessly within their existing systems, enabling banks to save on provider costs while streamlining foreign exchange transaction processes.</t>
  </si>
  <si>
    <t>Bluefin Equity Partners, CORI Innovation Fund, FreshTracks Capital, Gustavson Capital, Holt Xchange, RevTech Labs, RevTech Labs Capital, Valley Venture Mentors, VCET Capital</t>
  </si>
  <si>
    <t>www.acceleronbank.com</t>
  </si>
  <si>
    <t>163364-86</t>
  </si>
  <si>
    <t>Koyfin</t>
  </si>
  <si>
    <t>Developer of a financial data and analytics platform designed to help with researching stocks and understanding market trends. The company's platform offers data coverage that includes stocks, exchange-traded funds, mutual funds, foreign exchange, bonds, and other asset classes, enabling financial advisors, fundamental investors, and portfolio managers to make informed decisions before making investments.</t>
  </si>
  <si>
    <t>Atreides Management, BoxOne Ventures, Craft Ventures, Greenpoint Capital, Howard Lindzon, Ligo Partners, Plug and Play Tech Center, Social Leverage, Steven Abt, Syrus Partners, TRAC VC, Valor Equity Partners, Vision Capital Ventures</t>
  </si>
  <si>
    <t>www.koyfin.com</t>
  </si>
  <si>
    <t>539285-50</t>
  </si>
  <si>
    <t>Trustie</t>
  </si>
  <si>
    <t>Developer of a personal finance management and guidance platform designed to simplify money decisions and improve financial literacy. The company's platform provides features such as expense tracking, budgeting tools, personalized financial insights, plain-language explanations of financial concepts, goal setting for savings and debt reduction, cashback and spending optimization suggestions, collaborative financial planning, progress monitoring, and ongoing guidance, enabling individual consumers to manage their finances more effectively, make informed decisions, reduce financial stress, and build sustainable financial habits over time.</t>
  </si>
  <si>
    <t>www.trustie.co.uk</t>
  </si>
  <si>
    <t>496838-80</t>
  </si>
  <si>
    <t>Swimbird</t>
  </si>
  <si>
    <t>Developer of a fintech SaaS platform designed to integrate and aggregate data from multiple sources to support portfolio management, analysis, and reporting. The company's platform offers integrations with banks, custodians, accountants, and counterparties, record keeping and data warehousing, strategic, analytic, and operational functions, enabling asset managers and investment firms to manage multi-asset holdings with transparency, comprehensive reporting and improved operational efficiency.</t>
  </si>
  <si>
    <t>Casper Callerstorm, Harry Klagsbrun, Sven Hagströmer</t>
  </si>
  <si>
    <t>www.swimbird.com</t>
  </si>
  <si>
    <t>501897-79</t>
  </si>
  <si>
    <t>Grateful (London)</t>
  </si>
  <si>
    <t>Developer of a digital tipping platform designed to simplify and automate tip distribution for businesses, staff, and customers. The company offers instant payments, transparent earnings tracking, and a customisable dashboard, enabling hospitality teams, service staff, and customers to manage and share tips while improving team motivation and service quality.</t>
  </si>
  <si>
    <t>Calculus Capital, Tobin Capital</t>
  </si>
  <si>
    <t>www.grateful.net</t>
  </si>
  <si>
    <t>149864-95</t>
  </si>
  <si>
    <t>Paat Counsulting</t>
  </si>
  <si>
    <t>Developer of financial, accounting and taxation platform designed to provide finance outsourcing services for small businesses. The company's financial, accounting and taxation platform builds up a stream production line for accounting and bookkeeping, which offers financial reward for any salesman in this industry, with the support of CRM and BPM, enabling businesses to manage and solve their financial problems.</t>
  </si>
  <si>
    <t>Frees Fund, IDG Capital</t>
  </si>
  <si>
    <t>www.paat.com</t>
  </si>
  <si>
    <t>493825-78</t>
  </si>
  <si>
    <t>DealsPlus</t>
  </si>
  <si>
    <t>Developer an investment deal execution services platform intended to reduce the time and cost of transaction preparation significantly. The company helps to standardize and automate the deliverables required at closing, providing full visibility and control over both ongoing and event-based compliance obligations, tracks investment structures, compliance obligations, cap tables, and portfolio documents, enabling private equity, real estate, and infrastructure fund managers to strengthen their merger and acquisition processes and create a single source of verified information across their investment structures.</t>
  </si>
  <si>
    <t>EY FinTech Growth Programme, Jeffrey Gelfand, OakNorth Bank</t>
  </si>
  <si>
    <t>www.dealsplus.io</t>
  </si>
  <si>
    <t>560281-69</t>
  </si>
  <si>
    <t>Uome</t>
  </si>
  <si>
    <t>Developer of a financial application designed for operational horizontal coverage of all aspects of running a business. The company's application offers a range of services like direct integration for any company or financial institution, an online, mobile, or in-person experience, personalised data compliance and sharding regulation guidance, and payment through the scanner, enabling firms to accept online and in-person payments, send invoices, and manage clients efficiently.</t>
  </si>
  <si>
    <t>Black Equity Organisation, Bright Minds Capital Partners, Bupa, Football Association Premier League, Grow London, IBM Danmark, J.P. Morgan, Start Path, The Goldman Sachs Group</t>
  </si>
  <si>
    <t>www.myuome.com</t>
  </si>
  <si>
    <t>469915-39</t>
  </si>
  <si>
    <t>Monetize360</t>
  </si>
  <si>
    <t>Developer of a monetization platform designed for the implementation of pricing and business strategy. The company's platform provides real-time metering, no-code orchestration, autonomous agents, two-sided billing, and margin intelligence to maximize customers' lifetime value, enabling financial companies to automate complex billing and consolidate client profitability views.</t>
  </si>
  <si>
    <t>Abyro Capital, AiSprouts VC, Endiya Partners, Idealabx, Inventus Capital Partners, Silicon Valley Quad, TiE Silicon Valley, Venture Dock</t>
  </si>
  <si>
    <t>monetize360.ai</t>
  </si>
  <si>
    <t>125767-72</t>
  </si>
  <si>
    <t>WealthHub</t>
  </si>
  <si>
    <t>CloudTech &amp; DevOps, Marketing Tech, SaaS</t>
  </si>
  <si>
    <t>Developer of a cloud-based computing platform designed for trust management of daily activities The company's platform integrates investment data and reporting with automated workflow, client management and prospecting, task scheduling, document management, and compliance, enabling offices and trust companies to attain operational savings by improving productivity while enhancing the customer experience and reducing fiduciary risk.</t>
  </si>
  <si>
    <t>Ben Franklin Technology Partners of Southeastern Pennsylvania, Gabriel Investments, Richard Vague, Rittenhouse Ventures</t>
  </si>
  <si>
    <t>www.wealthhubsolutions.com</t>
  </si>
  <si>
    <t>316917-73</t>
  </si>
  <si>
    <t>Zeehaus</t>
  </si>
  <si>
    <t>Cryptocurrency/Blockchain, FinTech, Mobile, Real Estate Technology</t>
  </si>
  <si>
    <t>Developer of a property ownership management platform designed to facilitate fractional real estate investment. The company's platform is aimed at simplifying and digitizing real estate buying and investing by combining the sharing economy with property ownership, enabling investors to have sound investment opportunities in the real estate market while helping buyers achieve homeownership starting at a minimum equity.</t>
  </si>
  <si>
    <t>2c9 Ventures, Ben Jen Holdings, Knockout Capital</t>
  </si>
  <si>
    <t>www.zeehaus.com</t>
  </si>
  <si>
    <t>523427-95</t>
  </si>
  <si>
    <t>Jenesys</t>
  </si>
  <si>
    <t>Developer of a financial software designed to offer financial and operational services. The company provides reviews of financial expenses through the help of artificial intelligence, enabling clients to get automated expense and financial reports.</t>
  </si>
  <si>
    <t>Andrew Fisher, Antler, Creative Destruction Lab, Fuel Ventures, Hatcher+, Twin Path Ventures, XTX Ventures</t>
  </si>
  <si>
    <t>www.jenesys.co</t>
  </si>
  <si>
    <t>176602-33</t>
  </si>
  <si>
    <t>Fonmoney</t>
  </si>
  <si>
    <t>Developer of online money transfer platform intended to send money in the shape of mobile airtime. The company's platform allows money transfer directly to one's bank account along with ease to send top-ups to friends and family remotely to any country across the globe through an automated process, enabling users to execute simplified money remittance securely anywhere anytime.</t>
  </si>
  <si>
    <t>Floor13</t>
  </si>
  <si>
    <t>www.fonmoney.com</t>
  </si>
  <si>
    <t>517085-65</t>
  </si>
  <si>
    <t>Octanom Tech</t>
  </si>
  <si>
    <t>Developer of a fintech platform intended to design investment platforms with a focus on reducing trading losses. The company offers a hedged trading platform with artificial intelligence-supported loss mitigation, a live funds dashboard, research analyst insights, and secure onboarding channels, enabling retail investors to manage risk, monitor performance, execute informed trades, and participate confidently in financial markets.</t>
  </si>
  <si>
    <t>Ashika Global Securities, Inflection Point Ventures (India), Jhakar &amp; Malhotra, Nitin Gupta, Rahul Bhardwaj, Shankar Vailaya</t>
  </si>
  <si>
    <t>www.octanom.com</t>
  </si>
  <si>
    <t>233326-81</t>
  </si>
  <si>
    <t>Lumio</t>
  </si>
  <si>
    <t>Developer of a financial management platform designed to solve the millennial problem of apathy and confusion when it comes to money management. The company's platform offers peer recognition tools, employee rewards management, internal communication features, feedback collection capabilities, and engagement tracking functions, enabling businesses and human resource teams to improve employee participation, strengthen workplace culture, and support ongoing workforce engagement through a centralized digital platform.</t>
  </si>
  <si>
    <t>Ben Lundie, Christopher Abbass, FinTech Innovation Lab, George Quentin, iNCReDiBLe LaBS UK, James Fairclough, Matteo Berlucchi, Richard Fearn, Thomas Lovelace, William Frewen</t>
  </si>
  <si>
    <t>www.lumio-app.com</t>
  </si>
  <si>
    <t>155400-94</t>
  </si>
  <si>
    <t>Blackbullion</t>
  </si>
  <si>
    <t>Developer of a student-focused financial education and money management platform designed for improving financial capability and access to funding. The company's platform offers a funding database for scholarships, bursaries, and grants, a budgeting application with bank account integration through regulated APIs, personalised financial wellbeing scoring, educational modules and workshops, rewards for positive money habits, and partner university integrations, enabling higher education students to track spending, identify funding opportunities, develop financial skills, and manage their finances.</t>
  </si>
  <si>
    <t>24Haymarket, Andre Crawford-Brunt, AWS Startups, Barrie Heptonstall, Calyx Ventures, Emerge (London), Jisc Services, MPA Education, Stanley Fink</t>
  </si>
  <si>
    <t>www.blackbullion.com</t>
  </si>
  <si>
    <t>443280-07</t>
  </si>
  <si>
    <t>Income (Financial Software)</t>
  </si>
  <si>
    <t>Developer of an investment platform designed to enable individuals to invest in secured loans for predictable wealth creation. The company offers access to globally originated, asset-backed loans with features like buyback obligation and cashflow buffer, enabling individual investors seeking financial growth to diversify portfolios, earn passive income, and maintain transparency.</t>
  </si>
  <si>
    <t>Change Ventures, Karl Hauptmann, KJ Holdings, Seedrs, Tolaram Group</t>
  </si>
  <si>
    <t>www.getincome.com</t>
  </si>
  <si>
    <t>484632-55</t>
  </si>
  <si>
    <t>LouveInvest</t>
  </si>
  <si>
    <t>Developer of an investment platform intended to provide financing opportunities in the real estate sector. The company's platform provides buying, selling, and investing services in the real estate sector, enabling users to receive regular rental income and take advantage of real estate capital gains by investing in it.</t>
  </si>
  <si>
    <t>Financière Saint James, Gaëlle Olivier, Jean-Romain Lhomme, Kima Ventures, Paloma Capital, Phoenix Court, Ralph Müller</t>
  </si>
  <si>
    <t>www.louveinvest.com</t>
  </si>
  <si>
    <t>222196-33</t>
  </si>
  <si>
    <t>acQyr eXchange</t>
  </si>
  <si>
    <t>Developer of a public exchange platform designed to track and manage loyalty rewards. The company's platform aggregates point to rewards from multiple video online games and loyalty programs and converts them into cash for everyday purchases it is currently launching its MVP (minimum viable product) offering to deliver targeted offers and rewards, asset exchange, end-to-end tournament management, and sweepstakes drawings to any game, enabling clients to manage, exchange, and redeem their gaming digital assets.</t>
  </si>
  <si>
    <t>David Sterling, Michael Lambert, Puget Sound Venture Club</t>
  </si>
  <si>
    <t>www.acqyrexchange.com</t>
  </si>
  <si>
    <t>489349-18</t>
  </si>
  <si>
    <t>Baton (New York)</t>
  </si>
  <si>
    <t>Operator of an online business marketplace platform designed to connect buyers and sellers of businesses with data-driven tools and guided support. The company offers a web-based marketplace with business listings, expert assistance, financial insights, and structured deal guidance, enabling business owners and prospective buyers to navigate transactions, explore opportunities, and complete business sales with confidence.</t>
  </si>
  <si>
    <t>75 &amp; Sunny, Also Capital, Another Round VC, Black Angel Group, Bloomberg Beta, Burst Capital, Coho Deeptech, Daft Capital, Divergent Capital (New York), FJ Labs, Fluent Ventures, Giant Ventures, Minnow Ventures, Obvious Ventures, Raven One Ventures, Scrappy Capital, Trust Fund, WndrCo, Zeno Ventures</t>
  </si>
  <si>
    <t>www.baton.com</t>
  </si>
  <si>
    <t>112725-55</t>
  </si>
  <si>
    <t>Ceres Coin</t>
  </si>
  <si>
    <t>Developer of a blockchain-based fintech platform designed to merge secure digital finance with regulatory compliance. The company offers a hybrid model combining a tokenized U.S. Government Money Market Fund with a patented stablecoin, enabling underbanked sectors such as retail payments, institutional liquidity, and emerging industries to access stable, transparent, and cost-efficient value transfer.</t>
  </si>
  <si>
    <t>Bunker Labs</t>
  </si>
  <si>
    <t>www.cerescoin.io</t>
  </si>
  <si>
    <t>519459-76</t>
  </si>
  <si>
    <t>Fivvy</t>
  </si>
  <si>
    <t>Developer of a customer intelligence platform designed for businesses to enhance profitability. The company's platform integrates with enterprise mobile apps and, using the App Store APIs, gathers real-time data directly from users, using advanced analytics and AI, delivering real-time, actionable insights, enabling companies to get a clear and precise view of their customers' behavior and preferences.</t>
  </si>
  <si>
    <t>www.getfivvy.com</t>
  </si>
  <si>
    <t>470897-65</t>
  </si>
  <si>
    <t>Frich</t>
  </si>
  <si>
    <t>Developer of a social finance application designed to make money social by introducing savings challenges with friends. The company's application creates social spending challenges with friends, tracks social spending, sets savings goals and provides rewards for winning challenges and goals, enabling users to make informed choices and navigate financial lives.</t>
  </si>
  <si>
    <t>Antler, Corinne Nevinny, Falls Fintech, K20 Fund, Lair East Labs, NYU Summer Launchpad, Red Cedar Ventures, Restive Ventures, Sunstone Management</t>
  </si>
  <si>
    <t>www.getfrich.com</t>
  </si>
  <si>
    <t>538088-77</t>
  </si>
  <si>
    <t>Homegrown</t>
  </si>
  <si>
    <t>Operator of a financing marketplace intended to empower local businesses to open up more locations without giving up ownership. The company offers an investment platform that connects local investors with businesses that are ready to expand, enabling businesses to grow and investors to get monthly distributions.</t>
  </si>
  <si>
    <t>Collab Capital, Garrett Langley, Overline, Service Provider Capital</t>
  </si>
  <si>
    <t>www.joinhomegrown.com</t>
  </si>
  <si>
    <t>1084488-40</t>
  </si>
  <si>
    <t>Konfyd</t>
  </si>
  <si>
    <t>Developer of financial risk management technology designed for mitigating exposure in online payment processing. The company address daily challenges related to merchant insolvency and delivery risk that includes de-risking merchant portfolios through more accurate credit risk assessments and predicting insolvency events, enabling payment processors and merchant acquiring organizations to unlock tied-up capital, drive portfolio growth, and manage rising global liability exposure more dynamically and intelligently.</t>
  </si>
  <si>
    <t>Blumberg Capital, HTwenty Capital, Invariantes Fund, SaaS Ventures</t>
  </si>
  <si>
    <t>www.konfyd.com</t>
  </si>
  <si>
    <t>462296-98</t>
  </si>
  <si>
    <t>Kredit</t>
  </si>
  <si>
    <t>Developer of a central communication designed for settling credit card debts and resolving debts. The company's software provides a single place for consumers to interact with loan providers, collection agencies, and debt buyers about flexible payment options and allows distressed borrowers to have legitimate claims for relief by illustrating their need for debt restructuring and determining flexible options as per eligibility, enabling users to communicate with their network of financial product providers all in one place.</t>
  </si>
  <si>
    <t>186 Ventures, Altari Ventures, FinTech Ventures Fund, Green Egg Ventures, Impression Ventures, Maccabee Ventures, RiverPark Ventures, Rosecliff Venture Partners, SuperAngel.Fund</t>
  </si>
  <si>
    <t>www.kredit.fyi</t>
  </si>
  <si>
    <t>550525-60</t>
  </si>
  <si>
    <t>Paidly</t>
  </si>
  <si>
    <t>Developer of a student loan benefits platform designed to enhance employer's talent recruitment and retention success. The company's platform sets up supplemental payments towards their employees' student debt and enriches them through engagement and productivity, enabling businesses to enhance employee recruitment, retention, and financial wellness.</t>
  </si>
  <si>
    <t>GrowthX Capital, Seventy30 Solutions</t>
  </si>
  <si>
    <t>www.meetpaidly.com</t>
  </si>
  <si>
    <t>470619-01</t>
  </si>
  <si>
    <t>Patron GO</t>
  </si>
  <si>
    <t>Developer of a fintech application designed for controlling overpriced payments. The company's platform allows users to identify the extra cost they are being charged on various products and services through their bank accounts and adds real money into a virtual wallet through which one can either buy special discounted services from the catalog or withdraw it to a bank account, enabling clients to save their money and optimize their finances.</t>
  </si>
  <si>
    <t>Josef Novotný, Lighthouse Ventures (Prague), Ministry of Industry and Trade of the Czech Republic, P&amp;J Capital, SpeedUp Venture Capital Group, The House of Finance and Tech Berlin, Venture to Future Fund</t>
  </si>
  <si>
    <t>www.patrongo.com</t>
  </si>
  <si>
    <t>454351-33</t>
  </si>
  <si>
    <t>Grip Invest</t>
  </si>
  <si>
    <t>Operator of a digital lease platform intended to act as a bridge between companies and investors for asset capital. The company's platform provides tools for leasing investments to corporates, offering monthly rentals and connecting users with asset owners to manage the overall risks and depreciation of assets, enabling businesses to grow faster by converting their capital expenditure into operating expenditure.</t>
  </si>
  <si>
    <t>AdvantEdge Founders, AG Ventures., Akash Sinha, AL Trust, Anicut Capital, Ankit Agarwal, Anupam Mittal, BlueLotus Ventures, Brand Capital, Faad Network, FMS Launchpad, Gaurav Gupta, Gemba Capital, Huddle (India), ITI Growth Opportunities, LC Nueva AIF, Maninder Gulati, Multiply Ventures, Raghuvanshi Investments, Reeju Datta, Satyen Kothari, SN Damani, Startup Haryana, Stride Ventures, Sunjay Kapur, Utpl Corporate Trustees, Venture Highway</t>
  </si>
  <si>
    <t>www.gripinvest.in</t>
  </si>
  <si>
    <t>266190-67</t>
  </si>
  <si>
    <t>Nickels</t>
  </si>
  <si>
    <t>Developer of white-label digital products designed to improve the financial health of customers. The company's products let customers of financial institutions link their loans and get personalized recommendations for loan repayments, enabling customers and students to track their loans and businesses to grow.</t>
  </si>
  <si>
    <t>www.nickels.us</t>
  </si>
  <si>
    <t>435505-42</t>
  </si>
  <si>
    <t>Alba (Other Commercial Banks)</t>
  </si>
  <si>
    <t>Operator of a commercial bank designed to support small and medium-sized businesses with lending and financial management services. The company offers relationship-based banking services, lending management capabilities, savings account features, and digital banking tools, enabling commercial enterprises to access financial support, manage business banking activities, and improve operational financial oversight through a technology-driven platform.</t>
  </si>
  <si>
    <t>Caledonian Holding, Clyde Blowers Capital</t>
  </si>
  <si>
    <t>www.albacoltd.co.uk</t>
  </si>
  <si>
    <t>234937-09</t>
  </si>
  <si>
    <t>ReceiptHero</t>
  </si>
  <si>
    <t>Developer of a digital receipt platform designed to help merchants master their customer experience and loyalty. The company's platform provides a safe space for consumers, merchants, and banks to turn traditional transactions into meaningful interactions, identify customers at the cashier's just with a payment card, enabling retailers, merchants, and payment service providers to reduce paper usage, improve record accessibility, and streamline post-purchase documentation for customers and businesses.</t>
  </si>
  <si>
    <t>Accountor, Asko Schrey, European Regional Development Fund (Brandenburg), Goose Valley Ventures, Jukka Heinonen, Lifeline Ventures, Seed X Liechtenstein, Superhero Capital, Teemu Vapranen, Tesi, Vidici Ventures</t>
  </si>
  <si>
    <t>www.getreceipthero.com</t>
  </si>
  <si>
    <t>460266-85</t>
  </si>
  <si>
    <t>IROKO (Financial Services)</t>
  </si>
  <si>
    <t>Operator of a fintech company intended to provide effective saving technologies through investment in a real estate portfolio. The company's platform offers various investment technologies and allows investors to become real estate owners by buying shares in the SCPI, enabling wealth management professionals and financial investment advisors to get access to real estate savings.</t>
  </si>
  <si>
    <t>HEC Ventures, Idinvest Partners, LO Capital</t>
  </si>
  <si>
    <t>www.iroko.eu</t>
  </si>
  <si>
    <t>503811-64</t>
  </si>
  <si>
    <t>SALT (Educational and Training Services (B2C))</t>
  </si>
  <si>
    <t>Operator of a financial education and coaching platform intended to simplify money decisions and actions for women. The company offers money personality assessments, guided workshops, and one-on-one financial coaching, enabling women managing personal finances to make clearer, more confident financial choices.</t>
  </si>
  <si>
    <t>3one4 Capital, Alap Bharadwaj, Aureolis Ventures, Epic Angels, Fintech Nation, Global Founders Capital, Graph Ventures, Jonathan Lew, Kunal Shah, Masaba Gupta, Meeta Gutgutia, Nandita Das, Navneet Chahal, Neena Gupta, Paula Mariwala, Prajit Nanu, QED Innovation Labs, Rajan Mehra, Ramanathan RV, Rocket Internet Capital Partners, Sangita Kathiwada, Shradha Sharma, Sweta Rau, Ulu Ventures, Varun Mittal, Vivek Mehra, Vivek Pillai, Yashashvini Samat</t>
  </si>
  <si>
    <t>www.salt.one</t>
  </si>
  <si>
    <t>187505-92</t>
  </si>
  <si>
    <t>Homeville (Consumer Finance)</t>
  </si>
  <si>
    <t>Developer of a down payment assistance platform designed to focus on accelerating home ownership. The company's platform helps to build direct relationships with real estate agents and also reduces the waiting time for homebuyers to accumulate savings for the down payment, enabling buyers to cross the hurdle of down payment savings to fulfill their dream of homeownership.</t>
  </si>
  <si>
    <t>100Unicorns, 888 VC, Aarii Ventures, Anand Piramal, Anuj Golecha, Astarc Ventures, Beams Fintech Fund, BetaPlus (India), BlackSoil Capital, Earlsfield Capital, Gaurav Gandhi, Gaurav Singhvi Ventures, JITO Incubation &amp; Innovation Foundation, Kettleborough VC, LC Nueva AIF, NABVENTURES, Next 5 Ventures, Riverwalk Holdings (India), Samyakth Capital, Shalin Shah, Singapore Angel Network, Sparkle Fund, Varanium Capital Advisors, Venture Catalysts (Capital Markets/Institutions), Venture Gurukool</t>
  </si>
  <si>
    <t>www.homevillegroup.com</t>
  </si>
  <si>
    <t>517846-33</t>
  </si>
  <si>
    <t>Qorbis Group Holdings</t>
  </si>
  <si>
    <t>Developer of a financial service platform designed to embed payment and banking services. The company's platform offers optimization to let customers send, store, and receive money and access all the major payment schemes for easy, secure cross-border payments, one simple integration for all payments in multiple currencies and generates a full reporting module customized for the needs of business, enabling clients to help any business build and launch its payment and financial services.</t>
  </si>
  <si>
    <t>www.qghl.co.uk</t>
  </si>
  <si>
    <t>114849-37</t>
  </si>
  <si>
    <t>Otomo</t>
  </si>
  <si>
    <t>Developer of an artificial intelligence (AI) powered perks and rewards platform intended to improve the personal and financial wellness of consumers. The company's platform offers personalized discounts and rewards through a compelling experience, enabling clients to increase engagement, reduce churn, and generate net positive returns.</t>
  </si>
  <si>
    <t>Alloy Labs, Anil Aggarwal, Arjun Dutt, Inclusive Fintech 50, John Barlow, MassChallenge, Nex Cubed, Plug and Play Tech Center</t>
  </si>
  <si>
    <t>otomo.ai</t>
  </si>
  <si>
    <t>534779-20</t>
  </si>
  <si>
    <t>SSImple</t>
  </si>
  <si>
    <t>Developer of a SaaS DLT platform intended to offer post-trade processing. The company's platform offers features such as automated standing settlement instruction delivery, single, immutable records, protection against disputes, and compliance with ISO-recognized data standards, enabling financial institutions to mitigate risk and achieve greater control over the Standing Settlement Instruction.</t>
  </si>
  <si>
    <t>David Little, LAUNCH Fund</t>
  </si>
  <si>
    <t>www.ssimple.io</t>
  </si>
  <si>
    <t>521153-20</t>
  </si>
  <si>
    <t>Sumday</t>
  </si>
  <si>
    <t>Developer of auditing software intended to measure and reduce businesses' carbon emissions based on audit-ready data prepared by a qualified advisor. The company's platform has developed the tools and training for advisors to expand their offering and take the lead in the delivery of non-financial accounting services, helping businesses to let customers know and better understand opportunities to reduce their impact and uncover potential savings with the help of an advisor.</t>
  </si>
  <si>
    <t>Blackbird Ventures, Cameron Adams, Lisa Miller, Planeteer Capital, Possible Ventures, Saniel Ventures, Wedgetail</t>
  </si>
  <si>
    <t>www.sumday.io</t>
  </si>
  <si>
    <t>233993-53</t>
  </si>
  <si>
    <t>NorQuant</t>
  </si>
  <si>
    <t>Developer of an investment research platform designed to provide proper and up-to-date information about various investments. The company develops a trading platform for the direct, automated sale of signals, utilizing statistical analysis and machine learning to identify investment opportunities, enabling investors to achieve financial returns through a scientific and rules-based approach to investing.</t>
  </si>
  <si>
    <t>Cartavio (Norway), Change Com, The Research Council of Norway, TheFactory</t>
  </si>
  <si>
    <t>www.norquant.no</t>
  </si>
  <si>
    <t>535199-14</t>
  </si>
  <si>
    <t>Arctal</t>
  </si>
  <si>
    <t>Artificial Intelligence &amp; Machine Learning, Big Data, CleanTech, FinTech</t>
  </si>
  <si>
    <t>Developer of a FinTech platform intended to redefine how investors interact with and access decision-useful data on climate. The company's platform uses Machine Learning (ML) technology to gather, process, and analyze data from multiple sources, rendering the climate and sustainability credentials of bonds and issuers transparent and comparable, through a single access point, enabling investors to integrate useful practices in climate and sustainable investing into their credit investment processes, portfolios, and products, and avoid greenwashing and associated reputational risks.</t>
  </si>
  <si>
    <t>Climate VC, Frontline Ventures, Odin Investments, Pale Blue Dot Advisors, SFC Capital</t>
  </si>
  <si>
    <t>www.climatealigned.co</t>
  </si>
  <si>
    <t>232204-78</t>
  </si>
  <si>
    <t>Rush (Financial Software)</t>
  </si>
  <si>
    <t>Developer of a financial application designed to assist in transactions done with gold. The company's application helps in buying and selling gold with no paperwork and in sending and paying with gold, tracks the performance over time with graphics, and also provides legal security with gold insurance, enabling traders to trade and pay with gold.</t>
  </si>
  <si>
    <t>Dragon Tree Capital, Matthew Bailey, Tom Krulis</t>
  </si>
  <si>
    <t>www.rush.gold</t>
  </si>
  <si>
    <t>437098-06</t>
  </si>
  <si>
    <t>Payflow</t>
  </si>
  <si>
    <t>Developer of an employee benefits financial platform designed to collect the portion of workers' salaries corresponding to work. The company's platform provides employees access to salaries and other benefits without the need for organizations to have cash flow in the middle of the month, while keeping the process of payroll settlement simple, enabling clients to manage the finances of teams.</t>
  </si>
  <si>
    <t>6 Degrees Capital, AAlchemy Ventures, Abac Nest Ventures, Abad Capital, AG Collective Capital, Banco Bilbao Vizcaya Argentaria, Buenavista Equity Partners, C Entrepreneurs, CaixaBank, Carolus Invest, Cathay Capital, Cathay Innovation, Cats.VC, Clément Benoit, Conexo Ventures, Cusp Capital Partners, E14 Fund, Extension Fund, Financière Saint James, Force Over Mass Capital, Gaingels, Lanai Ventures, Lubos Menus, Michael Benabou, Pareto Holdings, Plug and Play Tech Center, Rebel Fund, Rocket Internet, Scale Lab Andorra, Scaleup Spain Network, Seaya Capital Gestion SGEIC, Sprint VC, Telefónica Tech, Telegraph Hill Capital, Thomson Reuters Ventures, Wayra, Y Combinator</t>
  </si>
  <si>
    <t>www.payflow.es</t>
  </si>
  <si>
    <t>515123-20</t>
  </si>
  <si>
    <t>Galgal</t>
  </si>
  <si>
    <t>Developer of a personal finance management platform designed to simplify budgeting, saving, and spending for individuals. The company's platform features automated budgeting tools, real-time spend tracking, dynamic categorisation of expenses, personalised notifications, and a prepaid card offering without the need for a linked bank account, enabling young adults and students in India to manage daily finances with ease and gain better control over their money habits.</t>
  </si>
  <si>
    <t>www.galgal.money</t>
  </si>
  <si>
    <t>278530-21</t>
  </si>
  <si>
    <t>Cylerity</t>
  </si>
  <si>
    <t>Developer of a financial technology platform designed to accelerate cash flow by advancing funds while insurance companies. The company's platform accelerates the client's cash flow by advancing funds while insurance companies process the claims by using proprietary valuation algorithms, enabling healthcare providers to predict the amount of expected reimbursement, the delay before payment and the statistical likelihood of rejection or denial.</t>
  </si>
  <si>
    <t>AmberShore Group, C2 Ventures, Creative Destruction Lab, HealthX Ventures, Tundra Angels, Upstream VC, Wisconsin Investment Partners</t>
  </si>
  <si>
    <t>www.cylerity.com</t>
  </si>
  <si>
    <t>503061-49</t>
  </si>
  <si>
    <t>Sugarwork</t>
  </si>
  <si>
    <t>Developer of an AI-powered technology platform designed to improve team empowerment. The company's platform offers customized templates and tracks the knowledge-sharing progress of employees to reduce reorganization expenses, enabling clients to accelerate business growth and invest in onboarding.</t>
  </si>
  <si>
    <t>www.sugarwork.com</t>
  </si>
  <si>
    <t>539873-38</t>
  </si>
  <si>
    <t>Croptell</t>
  </si>
  <si>
    <t>AgTech, CloudTech &amp; DevOps, FinTech, SaaS</t>
  </si>
  <si>
    <t>Developer of a cloud-based enterprise software designed to maintain resource deployment activity and yield records. The company's platform offers transformed crop finance by providing lending services backed by data science, enabling farmers to plan for finances for upcoming sowing and harvest.</t>
  </si>
  <si>
    <t>Nashville Entrepreneur Center</t>
  </si>
  <si>
    <t>croptell.com</t>
  </si>
  <si>
    <t>226794-79</t>
  </si>
  <si>
    <t>StepLadder</t>
  </si>
  <si>
    <t>Developer of a peer-to-peer financial lending platform designed to help people all over the world reach their financial goals. The company's platform utilizes a collaborative savings model with flexible monthly payment options that allow users to lend and borrow from each other, calculate mortgages, and connect to a property listing circle with matching criteria, enabling property owners to raise a deposit and complete a home purchase easily and securely.</t>
  </si>
  <si>
    <t>Anthemis, BBVA Anthemis Venture Partnership, BBVA Ventures, Grow London, Majed Al Faraj, Noa Capital Partners, Out Of This World Investments, Seedcamp, UK FF Nominees, Willian Shiang, Zinc</t>
  </si>
  <si>
    <t>www.joinstepladder.com</t>
  </si>
  <si>
    <t>442609-66</t>
  </si>
  <si>
    <t>TreeCard</t>
  </si>
  <si>
    <t>FinTech, LOHAS &amp; Wellness, Mobile</t>
  </si>
  <si>
    <t>Developer of a rewards platform designed to incentivise users for ethical spending. The company's platform encourages users to plant trees based on their environmentally friendly activities and rewards them for expenses made toward environmentally friendly expenditures, enabling users to get rewarded for taking environmentally sustainable decisions and life choices.</t>
  </si>
  <si>
    <t>Also Capital, Browder Capital, Charles Delingpole, Discovery Ventures (Berlin), Dylan Field, Ecosia, Episode 1 Ventures, Expansion Capital, Joshua Browder, Matilde Giglio, Matthew Robinson, Paul Forster, Seedcamp, Sustainable Ventures, Valar Ventures, World Fund</t>
  </si>
  <si>
    <t>www.treecard.org</t>
  </si>
  <si>
    <t>462669-58</t>
  </si>
  <si>
    <t>Bueno Group</t>
  </si>
  <si>
    <t>Artificial Intelligence &amp; Machine Learning, FinTech, InsurTech, Mobile, Real Estate Technology, SaaS</t>
  </si>
  <si>
    <t>Operator of a neo-bank intended to make banking and owning properties easy in Spain and Europe. The company offers banking services, property insurance, renewable electricity, alarm services, and smart property features using AI, enabling customers to simplify buying and owning a property with an initial focus on second homeowners and ex-pats.</t>
  </si>
  <si>
    <t>www.getbueno.com</t>
  </si>
  <si>
    <t>638374-33</t>
  </si>
  <si>
    <t>CypherFace</t>
  </si>
  <si>
    <t>Developer of facial biometric payment technology designed to offer low fees for businesses, efficient discounts for consumers, and fraud protection. The company's technology offers mobile applications that handle account validation and facial biometrics, partner merchant offers their customers instant discounts on their transactions made by bank transfer, scan code at merchant check-out and pays, real-time balance check completes, payment authorized by facial biometrics, enabling firms and institutions prevent chargebacks, detect anomalies, and enhance compliance.</t>
  </si>
  <si>
    <t>www.cypherface.com</t>
  </si>
  <si>
    <t>119940-31</t>
  </si>
  <si>
    <t>FinLocker</t>
  </si>
  <si>
    <t>Artificial Intelligence &amp; Machine Learning, FinTech, Mobile, Mortgage Tech, SaaS</t>
  </si>
  <si>
    <t>Developer of financial data and analytics software designed to help people to achieve the dream of homeownership and financial well-being. The company's software offers access to critical borrower information via a trusted third party that can be used to streamline the lending processes for mortgages and other financial products, enabling lenders to reduce costs, time, and risks in the loan life cycle while expediting the data collection, verification, and analytics processes.</t>
  </si>
  <si>
    <t>Alumni Ventures, C9 Capital, Cultivation Capital, Missouri Technology Corporation, Radian Group, SixThirty Ventures, St. Louis Arch Angels, TransUnion</t>
  </si>
  <si>
    <t>www.finlocker.com</t>
  </si>
  <si>
    <t>458073-91</t>
  </si>
  <si>
    <t>Gilgal General</t>
  </si>
  <si>
    <t>Developer of an electronic exchange trading platform designed to support retirement savings through annuity-based income products. The company develops a system for trading and accessing these products, enabling retirement participants to invest in annuities with lower fees and improved accessibility.</t>
  </si>
  <si>
    <t>gilgalgeneral.com</t>
  </si>
  <si>
    <t>398902-69</t>
  </si>
  <si>
    <t>MaxRewards</t>
  </si>
  <si>
    <t>Developer of a personal finance application designed to manage credit cards, monitor credit, and maximize rewards. The company's application provides a loan payment action plan with personalized content and artificial intelligence-powered auto-pay to calculate additional payment schedules to put all resources into one platform, enabling customers and borrowers to review credit scores from issuers and tackle loans.</t>
  </si>
  <si>
    <t>Advanced Technology Development Center, Ben Grossman, Calano Funds, Dundee Venture Capital, FinTech Startup (Beta), FinTech Ventures Fund, Matthew Romaine, Nick Izquierdo, Service Provider Capital, Techstars</t>
  </si>
  <si>
    <t>www.maxrewards.com</t>
  </si>
  <si>
    <t>463981-78</t>
  </si>
  <si>
    <t>Ovation.</t>
  </si>
  <si>
    <t>Developer of financial wellness software designed to maximize financial health and preparedness for all stages of life. The company's application helps to save private and financial documents, create emergency plans, and protect information, enabling users to optimize efficiently and keep safety and security a priority.</t>
  </si>
  <si>
    <t>AARP Innovation Labs, AgeTech Collaborative from AARP, Kickstart (US), Launchpad Capital, SUM Ventures</t>
  </si>
  <si>
    <t>www.ovationventures.com</t>
  </si>
  <si>
    <t>467253-64</t>
  </si>
  <si>
    <t>Reflect (Mount Pleasant)</t>
  </si>
  <si>
    <t>Provider of digital ESG investment services intended to deliver transparent, customized portfolio analysis based on the asset owner's values. The company offers digital values assessment, auditing of current investments, reporting, and advisory services to platforms, financial advisors, non-profit institutions, and single and multi-family offices, including a recommendation engine that delivers portfolios that are aligned with the asset owner's values lens based on their unique reflection match score, enabling clients to get recommended portfolios that reflect their perspective.</t>
  </si>
  <si>
    <t>Good Growth Capital, Mason Capital Partners, The Harbor Entrepreneur Center</t>
  </si>
  <si>
    <t>www.reflectvalues.com</t>
  </si>
  <si>
    <t>343516-06</t>
  </si>
  <si>
    <t>Rock Paper Coin</t>
  </si>
  <si>
    <t>Developer of a fintech and SaaS platform intended to simplify business management for the wedding and events industry. The company offers CRM functionality, integrated payments, and industry-specific workflows, enabling planners, venues, and vendors to streamline operations, enhance client experience, and improve cash flow.</t>
  </si>
  <si>
    <t>Ascend Venture Capital (Seattle), Ashe Partners, Band of Angels, Cascade Seed Fund, Elevate Capital, Gaingels, HearstLab, Jacob Silverstein, Momentum Investment Group, Project W (US), Stormlight Holdings, TiE Oregon, XYZ Venture Capital</t>
  </si>
  <si>
    <t>www.rockpapercoin.com</t>
  </si>
  <si>
    <t>481311-10</t>
  </si>
  <si>
    <t>Statt</t>
  </si>
  <si>
    <t>Developer of an automated policy and regulatory intelligence designed to offer public policy, regulatory, and geopolitical insights. The company's platform uses artificial intelligence and offers a vast database of policy documents, research organizations, and influencers, all continuously summarized and updated, enabling large companies, professional services firms, and government agencies to save time and make informed decisions in regulatory landscapes.</t>
  </si>
  <si>
    <t>Builders + Backers, Clutch VC, JHH vc, Moneta Ventures, Next Coast Ventures, NextGen Venture Partners</t>
  </si>
  <si>
    <t>www.statt.com</t>
  </si>
  <si>
    <t>491432-95</t>
  </si>
  <si>
    <t>Jukki</t>
  </si>
  <si>
    <t>Developer of a financial platform designed for creating a society without money concerns. The company's platform offers to open all information related to personal finances, like salary, investment, insurance, credit cards and housing loans, enabling clients to reduce marketing expenses to strengthen the personnel system and expand services.</t>
  </si>
  <si>
    <t>East Ventures, XTech Ventures</t>
  </si>
  <si>
    <t>openmoney.jp</t>
  </si>
  <si>
    <t>438521-32</t>
  </si>
  <si>
    <t>i2 group</t>
  </si>
  <si>
    <t>Developer of a financial platform designed to assist institutional investors with digital lending. The company's platform uses a data-driven and artificial intelligence (AI) supported approach to selectively and globally invest in loans from digital lending marketplaces, enabling professional and institutional investors to reduce complexity and risk while bringing returns.</t>
  </si>
  <si>
    <t>www.i2group.ch</t>
  </si>
  <si>
    <t>231260-59</t>
  </si>
  <si>
    <t>Ascent (Financial Software)</t>
  </si>
  <si>
    <t>Developer of a reconciliation platform designed to simplify compliance and financial processes. The company's platform improves operational efficiency, automates transaction processing and business continuity management, and optimizes the overall cost, enabling businesses with financial control and real-time enterprise resilience catering to the banking and financial industry.</t>
  </si>
  <si>
    <t>Cedar-IBSi FinTech lab, Guardian Ventures (Texas), Venture Gurukool</t>
  </si>
  <si>
    <t>www.ascentbusiness.com</t>
  </si>
  <si>
    <t>225749-89</t>
  </si>
  <si>
    <t>Basis (United States)</t>
  </si>
  <si>
    <t>Developer of a portfolio management platform designed to help users manage portfolios in real time. The company's platform automatically captures data and calculates portfolio-level return metrics as workbooks are updated and provides immediate access to reports, supporting data and files in the cloud, enabling clients to streamline their workflows and efficiently manage large portfolios.</t>
  </si>
  <si>
    <t>www.mybasis.io</t>
  </si>
  <si>
    <t>173074-51</t>
  </si>
  <si>
    <t>Zapflow</t>
  </si>
  <si>
    <t>Developer of an online productivity platform intended to keep track of incoming deals in the alternative assets market, CVC, and M&amp;A. The company's platform provides a cloud-based productivity tool for managing the deal flow and helps in decision-making with a service that includes portfolio management and CRM, enabling professional investment teams to save time and make optimal investment decisions.</t>
  </si>
  <si>
    <t>CHMG Capital, Fabian Sepúlveda, Gorilla Capital (Helsinki), Lennu Keinänen, Petri Lehmuskoski, Risto Rautakorpi, Tapio Talvisalo, Village Capital, William Cardwell, Winterbackwoods</t>
  </si>
  <si>
    <t>www.zapflow.com</t>
  </si>
  <si>
    <t>229532-86</t>
  </si>
  <si>
    <t>Fermat (Business/Productivity Software)</t>
  </si>
  <si>
    <t>Developer of information technology software by combining standard hardware components with proprietary software designed to process big data applications. The company's software provides an easy-to-use application programming interface (API) for developers to access its modular hardware device that includes field-programmable gate array (FPGA) and flash memory and supports the development of high-performance and big data applications in data science, machine learning, simulations, financial modeling, and analysis, enabling organizations to access data through a straightforward software toolchain on extremely large datasets.</t>
  </si>
  <si>
    <t>Paul Maritz</t>
  </si>
  <si>
    <t>www.fermatinternational.com</t>
  </si>
  <si>
    <t>53653-33</t>
  </si>
  <si>
    <t>Pex</t>
  </si>
  <si>
    <t>Developer of a cloud-based spending management platform intended to customize and control all aspects of employee spending and expenses. The company's platform enforces spending rules and streamlines reporting with the flexibility of business prepaid cards, enabling clients to proactively manage workforce spending, streamline operations, and leverage actionable activity data.</t>
  </si>
  <si>
    <t>Alpine Meridian, Augury Capital Partners, Bluff Point Associates, Chad Kopp, Ernest Pomerantz, Lawrence Richenstein, New York Angels</t>
  </si>
  <si>
    <t>www.pexcard.com</t>
  </si>
  <si>
    <t>522837-55</t>
  </si>
  <si>
    <t>Family Tech</t>
  </si>
  <si>
    <t>Developer of a smart family application designed to simplify household life and finances after marriage. The company's application offers a family-focused approach by creating a payment system and providing credit card services that can be used by the whole family, enabling households to manage their finances with ease through a single-family account with joint payment and service use mechanisms.</t>
  </si>
  <si>
    <t>Aichi Capital, Canal Ventures, Crest Skill Partners, Cygames Capital, Darwin Venture Management, PE&amp;HR, Saison Ventures, Seibu Shinkin Capital, United, W inc.</t>
  </si>
  <si>
    <t>familytech.co.jp</t>
  </si>
  <si>
    <t>493193-35</t>
  </si>
  <si>
    <t>Alumnote</t>
  </si>
  <si>
    <t>Operator of a fundraising services platform intended to activate university fundraising and alumni networks. The company focuses on developing community management work efficiency, and offers digital transformation support, graduate database construction support and fundraising support, enabling clients to accelerate the circulation of funds by fostering a donation culture in Japan.</t>
  </si>
  <si>
    <t>Edvation Open Lab, Hachijuni Investment, ITOCHU Technology Ventures, NCB Capital (Fukuoka), Obunsha Ventures, QB Capital, Resona Bank, Resona Capital, Shizuoka Capital, SMBC Venture Capital, SocialX Acceleration, The University of Tokyo Edge Capital, The University of Tokyo Founder's Association Support Fund, UTokyo Innovation Platform Company</t>
  </si>
  <si>
    <t>corporate.alumnote.jp</t>
  </si>
  <si>
    <t>518131-99</t>
  </si>
  <si>
    <t>Alii</t>
  </si>
  <si>
    <t>Developer of financial software designed to automate accounts payable workflows. The company offers tools that process invoice data, extract purchase order numbers, and match them with purchase order details in a digital invoice format, enabling companies to manage approvals, maintain audit trails, prevent invoice fraud, and track payments and invoice pipelines.</t>
  </si>
  <si>
    <t>Maranello Capital, SeventyTwo Global</t>
  </si>
  <si>
    <t>www.myalii.cloud</t>
  </si>
  <si>
    <t>600710-95</t>
  </si>
  <si>
    <t>Prósperos</t>
  </si>
  <si>
    <t>Developer of a financial platform designed to offer a novel card-based remittance system. The company's platform leverages industrial-strength financial technology and artificial intelligence models, replacing costly international remittances with a low-cost, fast, and secure solution that also allows customers to save for their financial future.</t>
  </si>
  <si>
    <t>www.prosperos.ai</t>
  </si>
  <si>
    <t>438602-14</t>
  </si>
  <si>
    <t>InvestorHub</t>
  </si>
  <si>
    <t>FinTech, Marketing Tech, Mobile</t>
  </si>
  <si>
    <t>Developer of an investor marketing software designed to provide listed global companies with all the tools and data they need to manage their investors. The company uses digital marketing best practices, which offer more awareness, data, and share price control, enabling investors to build relationships and execute corporate transactions with effortless simplicity.</t>
  </si>
  <si>
    <t>Adam Finger, Andrew Whitten, Anthony Nantes, Archangel Ventures, Ben Armstrong, Ben Williamson, Chad Stephens, Daniel Tillett, Equity Venture Partners, Flying Fox Ventures, Grant Powell, Joe Hanna, Kain Warwick, Larry Diamond, LaunchVic, Liquidity, Saniel Ventures, Star Rise Venture</t>
  </si>
  <si>
    <t>www.investorhub.com</t>
  </si>
  <si>
    <t>510107-32</t>
  </si>
  <si>
    <t>KYP</t>
  </si>
  <si>
    <t>Developer of a risk intelligence platform designed to offer data orchestration accessible through an easy-to-use graphic interface. The company's platform leverages machine learning and artificial intelligence to provide real-time continuous monitoring, insights, and alerts to companies to manage their financial and reputational risk, enabling financial entities to identify the risks involved in transacting with non-banking partners.</t>
  </si>
  <si>
    <t>1414 Ventures, Ernst &amp; Young Global, EY FinTech Growth Programme, FinTech Innovation Lab, Grow London</t>
  </si>
  <si>
    <t>www.kyp.io</t>
  </si>
  <si>
    <t>437648-41</t>
  </si>
  <si>
    <t>Indicina (Financial Software)</t>
  </si>
  <si>
    <t>Developer of a digitized credit analysis platform dedicated to building Africa's credit infrastructure. The company's platform engages in the creation of credit rules or models, credit assessment and scoring, end-to-end loan portfolio management, and loan collections, enabling merchants to digitize credit analysis and optimize default rates with increased application acceptance rates.</t>
  </si>
  <si>
    <t>Edukoya, Future Africa, GreenHouse Capital, Greycroft, Kepple Africa Ventures, Kippa, Kuda, LoftyInc Capital Management, Magic Fund, Resilience17, Silverbacks Holdings, Target Global, Unicorn Growth Capital, Zedcrest Group</t>
  </si>
  <si>
    <t>www.indicina.co</t>
  </si>
  <si>
    <t>519784-66</t>
  </si>
  <si>
    <t>Moonflow</t>
  </si>
  <si>
    <t>Developer of a cloud-hosted collection software designed to integrate accounts receivable management into one place. The company's platform offers artificial intelligence-powered collection workflows, automated customer communications, payment reminder automation, self-service payment portals, ERP integrations, and analytics dashboards, enabling businesses and financial institutions to manage collection processes and improve payment recovery efficiency through centralized digital operations.</t>
  </si>
  <si>
    <t>Amador Holdings, Magma Partners, Morro Ventures, Salkantay Ventures, TheVentureCity</t>
  </si>
  <si>
    <t>www.moonflow.ai</t>
  </si>
  <si>
    <t>494521-21</t>
  </si>
  <si>
    <t>FinQY</t>
  </si>
  <si>
    <t>Developer of a fintech platform designed to accelerate business growth. The company offers acceleration of financial sales with the use of robust technology, deep relationships with premier financial organizations, and a transparent, mutually beneficial business model, enabling businesses to focus on the different aspects of the business other than the financial services from the open market.</t>
  </si>
  <si>
    <t>AngelBay, Anvita Varshney, IAES Ventures, India Accelerator, MeitY Startup Hub</t>
  </si>
  <si>
    <t>www.finqy.ai</t>
  </si>
  <si>
    <t>464011-48</t>
  </si>
  <si>
    <t>Intelligent AI</t>
  </si>
  <si>
    <t>Developer of a rebuild cost and intelligent risk underwriting software platform designed to support commercial property risk assessment and insurance decision-making, operating in the insurance and risk analytics sector. The company's platform provides global location intelligence using artificial intelligence, data science, and satellite image analysis to assess rebuild costs and portfolio-level exposure, delivering real-time risk visibility and actionable insights, enabling insurers and commercial property owners to measure, predict, and mitigate property risks while ensuring appropriate coverage and premium accuracy.</t>
  </si>
  <si>
    <t>ACORD, Angel Investors Bristol, Concept Ventures (London), Force Over Mass Capital, Gupta Group Of Companies, Innovate UK, KPMG, L Marks, Leading Cities, Lloyd's Lab, Nadav Rosenberg, Plug and Play Tech Center, SuperSeed, Tech South West, The FSE Group, VentureCEO</t>
  </si>
  <si>
    <t>www.intelligentai.co.uk</t>
  </si>
  <si>
    <t>233811-64</t>
  </si>
  <si>
    <t>MarktoMarket</t>
  </si>
  <si>
    <t>Developer of a data intelligence platform designed to support advisers, investors, and corporates in the small and mid private markets. The company's platform offers transaction datasets, proprietary company profiles, and a deals marketplace, enabling financial professionals to benchmark valuations, identify counterparties, and access hidden intelligence.</t>
  </si>
  <si>
    <t>24Haymarket, CodeBase, Ironbridge Capital Partners, Techstart Ventures</t>
  </si>
  <si>
    <t>www.marktomarket.io</t>
  </si>
  <si>
    <t>489354-67</t>
  </si>
  <si>
    <t>Smartpay (Financial Software)</t>
  </si>
  <si>
    <t>Developer of an online payment application designed to solve consumer payment experience issues and improve merchant conversion rates. The company's application offer one-click checkout and instant withdrawals from financial institutions, enabling consumers to manage payments easily and merchants to reduce cart abandonment.</t>
  </si>
  <si>
    <t>Angel Bridge, Baleen Capital, Elephant Design Holding, Global Founders Capital, Mamoru Taniya, Matrix, Samurai Incubate, SMBC Venture Capital</t>
  </si>
  <si>
    <t>www.smartpay.co</t>
  </si>
  <si>
    <t>436433-41</t>
  </si>
  <si>
    <t>TuningBill</t>
  </si>
  <si>
    <t>Providers of global banking and corporate services intended to offer cost-effective ways to acquire and serve small importers and exporters. The company helps importers and exporters get easy access to working capital, competitive foreign exchange rates, and multi-currency accounts to manage their future cash flow, enabling clients to avail of business loans easily from their home country in order to pay the exporters.</t>
  </si>
  <si>
    <t>CFV Ventures, Fasanara Capital, RevTech Labs Capital, Venture Assets</t>
  </si>
  <si>
    <t>www.tuningbill.com</t>
  </si>
  <si>
    <t>455244-76</t>
  </si>
  <si>
    <t>Dimply</t>
  </si>
  <si>
    <t>Developer of a customer experience platform designed to enhance engagement in financial services. The company's platform integrates any data source in real-time to create personalised digital interactions, supports deployment on major cloud providers with advanced security and compliance features, and provides tools for building consistent, on-brand experiences, enabling financial institutions to meet regulatory requirements and improve customer engagement tailored to individual financial goals.</t>
  </si>
  <si>
    <t>Cardano Foundation, CKS Finance, Conor Sheahan, Delta Partners, EAF Irish Angel Nominees 15, Enterprise Ireland, Furthr VC, Gavin Pitcher, Gerry Hassett, Harvest Financial Services (Ireland), Heatherglade, InsurTech Hub Munich, Joe Higgins, John Purdy, MasterCard, Ovington Finance, PwC (UK), Ray Nolan</t>
  </si>
  <si>
    <t>www.dimply.ai</t>
  </si>
  <si>
    <t>443013-40</t>
  </si>
  <si>
    <t>Paytia</t>
  </si>
  <si>
    <t>Developer of a secure, multi-channel payment processing platform designed for the card-not-present payments market. The company's platform supports phone, video, chat, and online transactions using encrypted keypad-based card entry, DTMF suppression, tokenisation, and channel-separation technologies, preventing sensitive card data from entering business systems and significantly reducing PCI-DSS compliance scope, enabling businesses to collect payments securely, remain compliant, and protect customers across digital and voice interactions.</t>
  </si>
  <si>
    <t>Bloc Ventures</t>
  </si>
  <si>
    <t>www.paytia.com</t>
  </si>
  <si>
    <t>338560-30</t>
  </si>
  <si>
    <t>Qardus</t>
  </si>
  <si>
    <t>Developer of a peer-to-peer financing platform intended to provide access to funding for businesses. The company's platform provides a structured process for requesting and obtaining funds, applies a machine learning-based credit risk scoring system to assess the creditworthiness of applicants, facilitates digital onboarding and transaction management, and connects businesses with a large pool of individual investors while incorporating Sharia-compliant financial structures, enabling small and medium-sized enterprises to secure funding that aligns with compliance requirements and diversified investor participation.</t>
  </si>
  <si>
    <t>Founders Factory, SFC Capital</t>
  </si>
  <si>
    <t>www.qardus.com</t>
  </si>
  <si>
    <t>266277-79</t>
  </si>
  <si>
    <t>Own.Solutions</t>
  </si>
  <si>
    <t>Developer of a cash-to-digital exchange platform designed to facilitate the management and monetisation of digital assets for businesses and individuals. The company's platform includes features such as digital asset tracking, customizable access controls, payment processing, and integration with existing workflows, enabling organizations and independent creators to efficiently manage, distribute, and monetise their digital content in a secure and streamlined environment.</t>
  </si>
  <si>
    <t>Allectus Capital</t>
  </si>
  <si>
    <t>www.own.solutions</t>
  </si>
  <si>
    <t>166767-49</t>
  </si>
  <si>
    <t>Utocat</t>
  </si>
  <si>
    <t>Developer of a blockchain-based financial platform designed to facilitate investment in unlisted companies. The company's platform utilizes blockchain technology to provide its access portal to facilitate, accelerate, and simplify clients' investment operations, enabling banks and insurance companies to implement technology for optimizing their financial services.</t>
  </si>
  <si>
    <t>Alain Garnier, BNP Paribas, Bpifrance, Credit Industriel et Commercial, Eric Ibled, EuraTechnologies, European Metropolis of Lille, Fintech Go, Herve Cuvilier, La French Tech Est, Le Village by CA, Matthieu Levivier, One Green (Paris), Ronan Denoual, Super Capital, Ziad Mazzawi</t>
  </si>
  <si>
    <t>www.utocat.com</t>
  </si>
  <si>
    <t>184333-87</t>
  </si>
  <si>
    <t>Alpha Investing</t>
  </si>
  <si>
    <t>Operator of a private equity real estate firm intended to offer investors access to institutional-quality debt and equity investments. The company's network uses industry relationships to identify sponsors, curates deal flow, and allows diversification of the investments beyond traditional methods, enabling investors to fetch a rate of return above a comparable benchmark.</t>
  </si>
  <si>
    <t>Adam Draper, CrowdSmart, David Wehrly, Gregory Geiser, John Del Piero, Jon Lehman, Kevin Kaseff, Lewis Feldman, Monique Lawshe, Peter Kim, Peter Loewy, Scott Chalmers, Sharran Srivatsaa, Steve Ogrin</t>
  </si>
  <si>
    <t>www.alphai.com</t>
  </si>
  <si>
    <t>149113-81</t>
  </si>
  <si>
    <t>AlphaRank</t>
  </si>
  <si>
    <t>Developer of a behavioral commerce platform designed to map customer data. The company's platform identifies as well as ranks customers' profiles, provides detailed event tracking information through intricate technology, and detects influences and preferences on purchasing patterns, enabling banks and credit unions to influence and retain their customers.</t>
  </si>
  <si>
    <t>500 Southeast Asia, Aspenwood Ventures, David McClure, Forum Ventures, Hummer Winblad Venture Partners, Ken Bane, Khailee Ng, Malcolm Casselle, Payment Ventures, Plug and Play Tech Center, Right Side Capital Management, The Venture Center, Tony VanBrackle, Wang Leo, Wang Lijie Leo</t>
  </si>
  <si>
    <t>www.alpharank.ai</t>
  </si>
  <si>
    <t>399216-43</t>
  </si>
  <si>
    <t>Attune (Financial Software)</t>
  </si>
  <si>
    <t>Developer of an artificial intelligence lending platform designed to streamline the mortgage application and approval process. The company's platform unifies to acquire customers across products and channels for mortgage and lending, offers tools to reach their consumers, simplifies the experience, maintains a competitive edge, and provides banking services with the leading technology, enabling clients to improve operational efficiencies and open new revenue channels.</t>
  </si>
  <si>
    <t>Castle Creek Capital, Heron Rock Funds, Independent Community Bankers of America, Michael Roffler, The Venture Center, Tribeca Early Stage Partners</t>
  </si>
  <si>
    <t>www.getattune.com</t>
  </si>
  <si>
    <t>494369-11</t>
  </si>
  <si>
    <t>B54</t>
  </si>
  <si>
    <t>Developer of financial technology infrastructure designed for flexible business credit services. The company's platform offers application programming interfaces and licensing to aggregate capital from institutions and individual investors, create and manage credit lines, handle compliance and risk controls, support transaction processing, integrate with partner systems, and provide tools for underwriting and monitoring, enabling African fintechs, payment processors, agent banking platforms and small and medium enterprises to access working capital while addressing gaps in startup funding and recurring revenue.</t>
  </si>
  <si>
    <t>Adamantium Fund, Atlantica Ventures, Capria Ventures, Everywhere Ventures, Full Circle Africa, Lateral Frontiers VC, Rally Cap VC, Suya Ventures, Velocity Digital</t>
  </si>
  <si>
    <t>www.b54.co</t>
  </si>
  <si>
    <t>522119-62</t>
  </si>
  <si>
    <t>Connectifi</t>
  </si>
  <si>
    <t>CloudTech &amp; DevOps, Cybersecurity, SaaS</t>
  </si>
  <si>
    <t>Developer of an enterprise integration platform designed to connect applications, services, and users through secure and scalable workflows. The company provides a cloud-based integration platform with reusable connectors, REST APIs, federated identity, observability, extensible data transformation, and zero-trust security controls, enabling organizations to build, manage, and embed integrations across distributed systems with centralised governance and operational visibility.</t>
  </si>
  <si>
    <t>www.connectifi.co</t>
  </si>
  <si>
    <t>502687-09</t>
  </si>
  <si>
    <t>Dotfile</t>
  </si>
  <si>
    <t>Developer of a business verification platform designed for compliance purposes. The company's platform offers automated AML checks, identity verification, risk assessments, and document analysis, enabling businesses to streamline compliance processes, reduce fraud, and ensure global regulatory adherence.</t>
  </si>
  <si>
    <t>Hexa, Kima Ventures, Pareto Holdings, Polymatter Ventures, Seaya Capital Gestion SGEIC, Serena, Super Capital, Upscalers, V13 Invest</t>
  </si>
  <si>
    <t>www.dotfile.com</t>
  </si>
  <si>
    <t>234742-24</t>
  </si>
  <si>
    <t>Finalytix</t>
  </si>
  <si>
    <t>FinTech, Robotics and Drones</t>
  </si>
  <si>
    <t>Operator of a robot advisory platform intended to preserve and grow wealth holistically. The company's platform offers transparency at a level and mitigates the inherent information asymmetries that exist in the traditional banking-client relationship, portfolio management layer, market data integrator including corporate actions, identifies asymmetrical information, enabling clients to mitigate risks, realize savings, optimize holdings and identify superior products and new investment opportunities.</t>
  </si>
  <si>
    <t>Abu Dhabi Global Market</t>
  </si>
  <si>
    <t>www.finalytix.com</t>
  </si>
  <si>
    <t>561987-73</t>
  </si>
  <si>
    <t>Gabriel Money</t>
  </si>
  <si>
    <t>Operator of a financial application intended to support ambitious, first-generation young Latinos navigating an economic system not built for them. The company offers culturally-aware guidance and pride-driven tools, enabled by artificial intelligence, enabling first-generation young Latinos to build positive financial habits and gain confidence and control over their financial futures.</t>
  </si>
  <si>
    <t>www.gabriel.money</t>
  </si>
  <si>
    <t>467901-46</t>
  </si>
  <si>
    <t>Guava</t>
  </si>
  <si>
    <t>Developer of a digital banking platform designed to cater to the needs of black entrepreneurs and small business owners. The company's platform offers equitable financial products and connections such as access to industry experts, workshops, webinars, and courses, enabling business owners to grow their business and network along with quick mobile fund transfers and build nationwide connections with no hidden fees.</t>
  </si>
  <si>
    <t>Backstage Capital, Camelback Ventures, Edward Zimmerman, Gaingels, Google Accelerator, Heron Rock Funds, Laidlaw Scholars Ventures, Lexi Reese, Precursor Ventures, Purple Sage Ventures, Runway Startup Postdoc, Ruthless for Good</t>
  </si>
  <si>
    <t>www.joinguava.com</t>
  </si>
  <si>
    <t>462664-00</t>
  </si>
  <si>
    <t>HappyNest (Real Estate Investment Trusts (REITs))</t>
  </si>
  <si>
    <t>Developer of a real estate investment platform intended to enable individuals to invest in commercial properties with minimal capital requirements. The company's platform facilitates fractional ownership through a round-up feature on everyday purchases with entry points, provides access to a diversified portfolio of commercial real estate, including multi-family and industrial properties with institutional-grade tenants, supports automated dividend reinvestment and quarterly dividend distributions, and operates without monthly or brokerage fees, enabling retail investors to participate in professionally managed real estate assets and generate passive income over the long term.</t>
  </si>
  <si>
    <t>www.myhappynest.com</t>
  </si>
  <si>
    <t>533381-41</t>
  </si>
  <si>
    <t>Infinyte Club</t>
  </si>
  <si>
    <t>Developer of a liquidity platform intended to liquidate employee stock ownership plans. The company's platform allows employees to access the value of their stock options even before they are fully vested through a variety of methods, such as loans, buybacks, and secondary market trading, enabling employees of startups to sell their ESOP shares and provide liquidity and security.</t>
  </si>
  <si>
    <t>Anjana Reddy, Ashwini Asokan, Elevation Capital (India), Gaurav Munjal, Harshil Mathur, Kunal Shah, Peercheque, Sanket Shah, Shashank Kumar, Tanmay Bhatt, Varun Dua, Vidit Aatrey</t>
  </si>
  <si>
    <t>www.infinyte.club</t>
  </si>
  <si>
    <t>233014-24</t>
  </si>
  <si>
    <t>Ivy Lender</t>
  </si>
  <si>
    <t>Operator of an online lending marketplace designed to connect businesses with lenders based on their credit profiles and needs. The company's platform uses algorithms to pre-qualify clients and match them with lenders that can provide funding and also offers payment processing and foreign currency exchange in Canada and the United States, enabling small, medium, and large corporate businesses to get working capital easily.</t>
  </si>
  <si>
    <t>Holt Xchange, Project W (US)</t>
  </si>
  <si>
    <t>www.ivylender.com</t>
  </si>
  <si>
    <t>435859-21</t>
  </si>
  <si>
    <t>Minted</t>
  </si>
  <si>
    <t>Developer of a trading platform designed to facilitate the buying, selling, transferring, and delivery of physical precious metals. The company's platform provides flexible monthly plans and one-time purchase options, ensures certified metals are stored in secure, insured vaults, and allows users to redeem or sell assets at current market value, enabling individuals with accessible and reliable wealth preservation.</t>
  </si>
  <si>
    <t>AE Invest, APY Ventures, Colendi, FORINVEST, insha Ventures, Kayacan Ventures, Nadir Metal Refinery, Platform XIT, Startmate, tmob, Visa Innovation Program</t>
  </si>
  <si>
    <t>www.theminted.com</t>
  </si>
  <si>
    <t>633170-08</t>
  </si>
  <si>
    <t>Onest</t>
  </si>
  <si>
    <t>Provider of lending services intended to help people with low credit scores or weak financial conditions. The company offers loans that can be paid in equal installments, and customers get rewarded for making timely payments through financial education messages, providing customers with quick credit for use.</t>
  </si>
  <si>
    <t>Blue Zone Ventures, Carao Ventures, Empire Capital, Inigo Belausteguigoitia, Luis Villarreal, Next Billion Ventures, Roberto Salcedo, Salvadoran Roger Teran, Thomas Henton</t>
  </si>
  <si>
    <t>www.onest.do</t>
  </si>
  <si>
    <t>454820-86</t>
  </si>
  <si>
    <t>OpStart</t>
  </si>
  <si>
    <t>Developer of enterprise software designed to manage accounting, finance, and back office needs. The company's software offers full-stack financial operations for startups, reviews accurate and reconciled financial statements each month, and customizes charts of accounts and monthly reports, enabling clients to easily track the status of incoming and outgoing payments.</t>
  </si>
  <si>
    <t>Connetic Ventures, Elevate Ventures, Singularity Capital</t>
  </si>
  <si>
    <t>www.opstart.co</t>
  </si>
  <si>
    <t>459935-65</t>
  </si>
  <si>
    <t>OptioLend</t>
  </si>
  <si>
    <t>Developer of a financial platform designed to provide access to real estate financing for lenders and borrowers. The company's platform utilizes an artificial intelligence-powered algorithm to help individual investors have opportunities in commercial real estate by connecting them with lenders, enabling clients to finance the purchase of a single-tenant, triple-net portfolio.</t>
  </si>
  <si>
    <t>LOUD Ventures, MLG Ventures, Schottenstein Family Capital, Vessel (VC)</t>
  </si>
  <si>
    <t>www.optiolend.com</t>
  </si>
  <si>
    <t>433307-98</t>
  </si>
  <si>
    <t>Pay Theory</t>
  </si>
  <si>
    <t>Developer of financial infrastructure intended to focus on education, childcare, senior care, healthcare, government, and insurance. The company provides digital payment access and integrated payment services to ensure that access to money and bank accounts is not a barrier to families that also accept digital payments, electronic checks, and cash, enabling public schools to manage and take electronic payments of all kinds without using a bank, even in cash.</t>
  </si>
  <si>
    <t>Cintrifuse Capital, Derive Ventures, Double Eagle Venture Partners, Gaingels, LOUD Ventures, Naples Technology Ventures, Ohio Impact Fund, Pirque, ProMedica Health Systems, Sica Ventures, SixThirty Ventures, Zeal Capital Partners</t>
  </si>
  <si>
    <t>www.paytheory.com</t>
  </si>
  <si>
    <t>90828-46</t>
  </si>
  <si>
    <t>Paybook</t>
  </si>
  <si>
    <t>Developer of a financial and money management platform intended to foster productivity and fiscal clarity. The company's platform offers bank connectivity, automatic tracking and organization of transactions, financial visualization tools, and a financial API interface to transmit data securely using industry standards, enabling individuals and businesses to manage and understand their personal and business finances with improved transparency, reduced manual work, and security.</t>
  </si>
  <si>
    <t>ALEB Investments, Ausum Ventures, Avalancha Ventures, Barry Wurzel, Brock Pierce, Daniel Treviño, DecentraNet, Eduardo Alexander, Federico Pistono, FJ Labs, Grupo Proisi, Hartmut Neven, Humla Ventures, Irrazonables, JAM Fund, Lan to Capital, Mantis VC, Phillip Parker, Point72 Ventures, Rene Andrepont, Texas Venture Labs</t>
  </si>
  <si>
    <t>www.paybook.com</t>
  </si>
  <si>
    <t>552375-55</t>
  </si>
  <si>
    <t>Pentane</t>
  </si>
  <si>
    <t>Developer of a business intelligence platform designed to help firms be profitable. The company platform shows the exact revenue and marketing spend required to be profitable, and it tracks profitability in real-time, intended to help companies make clear and accurate revenue and advertising decisions, enabling businesses to drive revenue and profitability.</t>
  </si>
  <si>
    <t>Hawke Ventures</t>
  </si>
  <si>
    <t>www.pentane.com</t>
  </si>
  <si>
    <t>435137-86</t>
  </si>
  <si>
    <t>Pockyt</t>
  </si>
  <si>
    <t>Operator of a cross-border payment infrastructure platform designed to unify instant local payments with fiat and stablecoin treasury management into a single programmable interface. The company's platform integrates directly with local payment rails and banking systems, offering pre-built e-commerce connectors, branded checkout flows, and multicurrency virtual accounts, enabling global merchants to consolidate fragmented payment stacks and reduce cross-border transaction costs.</t>
  </si>
  <si>
    <t>10X Capital, 37 Angels, Aleka Capital, Astir Ventures, BIP Ventures, BlueSky Equities, Broadshade Investments, Candou Ventures, Gaingels, Imagination Capital, Leonis Investissement, LoftyInc Capital Management, MyAsiaVC, Plum Ventures, R&amp;R Ventures, Realm Capital Ventures, VentureOut (US), Vision Capital Ventures, XRC Ventures</t>
  </si>
  <si>
    <t>www.pockyt.io</t>
  </si>
  <si>
    <t>495572-23</t>
  </si>
  <si>
    <t>Prometheus Technologies</t>
  </si>
  <si>
    <t>Developer of an artificial intelligence-driven investment technology platform designed for structuring and delivering alternative and systematic investment strategies. The company integrates machine learning-based portfolio construction, asset fractionalization, securitization workflows, personalization logic, and white-label deployment capabilities across institutional environments, enabling banks, asset managers, and public sector entities to offer AI-guided investment products, diversified alternative asset access, and data-driven investment strategies within existing operational and regulatory frameworks.</t>
  </si>
  <si>
    <t>Genesis Ventures (Greece), Grow London, Malta Enterprise, Plug and Play Tech Center</t>
  </si>
  <si>
    <t>www.prometheusai.co</t>
  </si>
  <si>
    <t>322535-44</t>
  </si>
  <si>
    <t>QuantmRE</t>
  </si>
  <si>
    <t>Operator of a real estate finance platform designed to fund home equity agreements. The company's platform creates a financial tool that provides access to cash from equity without incurring additional debt, enabling qualifying homeowners to receive a cash lump sum from their home equity with no monthly payments, no interest, and no added debt.</t>
  </si>
  <si>
    <t>Blue Field Capital, David Moss, Xsquared Ventures, Zain Ventures</t>
  </si>
  <si>
    <t>www.quantmre.com</t>
  </si>
  <si>
    <t>399044-98</t>
  </si>
  <si>
    <t>REITIUM</t>
  </si>
  <si>
    <t>Developer a real-estate investment platform designed to simplify the process of buying real estate. The company's platform helps to democratize real estate investing by removing the barriers to entry through its blockchain-based technology, enabling users to invest securely in global funds for a nominal amount to grow their wealth.</t>
  </si>
  <si>
    <t>Holt Xchange, Mavan Capital Partners, REACH, Tampa Bay Wave, Venture Accelerator at UCLA Anderson</t>
  </si>
  <si>
    <t>www.reitium.com</t>
  </si>
  <si>
    <t>484244-65</t>
  </si>
  <si>
    <t>SettleKing</t>
  </si>
  <si>
    <t>Developer of an artificial intelligence-powered fintech platform designed to simplify the process of settling and managing both personal and business finances. The company's platform helps make financial settlements transparent, efficient, and hassle-free through an Artificial Intelligence co-pilot, enabling users to track receivables and payables via a mobile application easily and to make payments from anywhere to anywhere in just minutes.</t>
  </si>
  <si>
    <t>WTIA Startup Program</t>
  </si>
  <si>
    <t>www.settleking.com</t>
  </si>
  <si>
    <t>590487-76</t>
  </si>
  <si>
    <t>Shift (Charlottesville)</t>
  </si>
  <si>
    <t>Developer of an artificial intelligence (AI) governance platform designed to securely deploy and manage employee-built AI applications within enterprise environments. The company offers governed application deployment, approved data access, cloud resource provisioning, policy enforcement, audit logging, automated review, and an internal application marketplace, enabling enterprises to accelerate internal AI application development while maintaining security, compliance, and operational oversight.</t>
  </si>
  <si>
    <t>www.shifthq.ai</t>
  </si>
  <si>
    <t>571622-59</t>
  </si>
  <si>
    <t>Skylark AI</t>
  </si>
  <si>
    <t>Developer of an AI platform designed to transform investment analysis and due diligence for private equity, venture capital, asset management, and M&amp;A advisory firms. The company's platform centralizes fragmented data, automates critical workflows, and offers tools for analyzing VDR files, conducting contract analysis, and generating custom reports, enabling investment professionals to quickly assess opportunities with precision, reduce missed insights, and make better-informed decisions.</t>
  </si>
  <si>
    <t>www.skylarkai.com</t>
  </si>
  <si>
    <t>510234-13</t>
  </si>
  <si>
    <t>streamOS</t>
  </si>
  <si>
    <t>Developer of an AI-powered financial operations automation platform intended to streamline and optimize enterprise finance workflows. The company's platform connects, understands, and automates financial operations via a unified data model, finance-specialized large language models, autonomous agents, and automated handling of revenue, billing, collections, reconciliation, and compliance, enabling enterprise finance teams to accelerate collections, reduce manual work, and strengthen working capital.</t>
  </si>
  <si>
    <t>Social Leverage</t>
  </si>
  <si>
    <t>www.streamft.com</t>
  </si>
  <si>
    <t>738363-88</t>
  </si>
  <si>
    <t>Tax Star</t>
  </si>
  <si>
    <t>Developer of corporate tax software designed to simplify compliance processes for businesses. The company offers a platform with automated tax management, electronic invoicing, and zakat calculation features, enabling businesses in the United Arab Emirates and Saudi Arabia to manage regulatory requirements with accuracy and ease.</t>
  </si>
  <si>
    <t>Janus Ventures, Sirius Investment holdings</t>
  </si>
  <si>
    <t>www.taxstar.app</t>
  </si>
  <si>
    <t>264021-04</t>
  </si>
  <si>
    <t>UNest</t>
  </si>
  <si>
    <t>Developer of a digital investing platform designed to help save and grow the money needed to fund children's education. The company's platform provides an open account that can be used for a monthly contribution plan and helps to keep track of savings with regular updates, enabling parents to save for their children's future from a very early stage.</t>
  </si>
  <si>
    <t>2468 Ventures, 500 Global, AltaIR Capital, Andover Ventures, Anthos Capital, Artemis Investment Management, Band of Angels, Baron Davis, Bitfury Holding, Broocknell Ventures, Commerce Ventures, Decart Ventures, Draper Dragon, Expert DOJO, Franklin Resources, Group 11, Jim McKelvey, Launchpad Capital, Northwestern Mutual Future Ventures, One Way Ventures, Pasadena Angels, Quesnay, S16VC, SUM Ventures, Syndicate Partners, Terpsi Capital, The Artemis Fund, UCLA Anderson School of Management, Unlock Venture Partners, Venture Accelerator at UCLA Anderson, Vested Ventures, Wheelhouse Digital Studios</t>
  </si>
  <si>
    <t>www.unest.co</t>
  </si>
  <si>
    <t>277445-53</t>
  </si>
  <si>
    <t>Upstock</t>
  </si>
  <si>
    <t>Developer of RSU-based equity platform designed to offer an easy and affordable way to share company ownership. The company's system aids employees in managing their equity through an intuitive interface and also provides data relating to the value of their stock units by watching their share of the company shift in real time, enabling businesses to accomplish equity goals by empowering workers to think and behave like entrepreneurs and co-owners.</t>
  </si>
  <si>
    <t>10X Capital, Alumni Ventures, Avalanche VC, Forum Ventures, Founders Fund, Founders Space, Gaingels, Plug and Play Tech Center, Right Side Capital Management, Streamlined Ventures Management, Tomorrow Today</t>
  </si>
  <si>
    <t>www.upstock.io</t>
  </si>
  <si>
    <t>494884-27</t>
  </si>
  <si>
    <t>Zilla</t>
  </si>
  <si>
    <t>Developer of a payment application designed to provide affordable and accessible financial services. The company's application provides customers with the option to buy anything, anytime, and pay later at zero interest, enabling customers to have the flexibility to get what they want and pay over time without any hidden charges.</t>
  </si>
  <si>
    <t>www.usezilla.com</t>
  </si>
  <si>
    <t>266476-96</t>
  </si>
  <si>
    <t>Dicopay</t>
  </si>
  <si>
    <t>Developer of online payment platform designed to provide digital and mobile services for billing and direct payments. The company's platform specializes in creating and sending invoice files to make payments using bank IDs which helps to pay faster for assignments, enabling entrepreneurs to receive payment immediately after the work is done and they do not have to think about reminder mailings and possible debt collection.</t>
  </si>
  <si>
    <t>Anders Borg, Lars-Johan Jarnheimer, Moore Strategic Ventures, Resurs Bank, Schibsted Ventures</t>
  </si>
  <si>
    <t>www.dicopay.com</t>
  </si>
  <si>
    <t>58990-51</t>
  </si>
  <si>
    <t>Float Cash Flow Forecasting</t>
  </si>
  <si>
    <t>Developer of a cash flow forecasting software designed to provide real-time financial visibility and scenario planning. The company's platform integrates with accounting software to automate data synchronization for bank balances, invoices, and bills, enabling finance teams to perform short-term cash management, long-term budgeting, and multi-entity consolidation.</t>
  </si>
  <si>
    <t>Fidelity, Manchester Venture Partners, Marchmont Ventures, Michael Berman, Pear (California), Rob Dobson, Simon Ibson, Stephen Findlay</t>
  </si>
  <si>
    <t>www.floatapp.com</t>
  </si>
  <si>
    <t>113368-60</t>
  </si>
  <si>
    <t>Digitzs</t>
  </si>
  <si>
    <t>Operator of an online payment processing platform intended to make transactions friction-free. The company's platform processes ticket payments for sporting events, donations for non-profit organizations, and rent for property managers to facilitate merchant accounts in white-label from within the site, process transactions, split payments, pay commissions, and provide reporting, enabling clients to receive payments digitally, conveniently, and securely.</t>
  </si>
  <si>
    <t>Christa V, David Wagner, Iain Taylor, Jeffery Brown, Macfarlane Group, MARSCH Capital, Pramod Rustagi, Scottish Capital</t>
  </si>
  <si>
    <t>www.digitzs.com</t>
  </si>
  <si>
    <t>301038-85</t>
  </si>
  <si>
    <t>Jarvis (Financial Software)</t>
  </si>
  <si>
    <t>Operator of an artificial intelligence-based portfolio management platform intended to simplify the fund and risk management process for institutions, fund managers, family offices, and retail investors. The company's platform offers artificial intelligence equity advisory capabilities to institutions and fund houses in the form of end-to-end fund curation technology or full-stack market research artificial intelligence for selective analysis, its ability to predict the stocks, Exchange-traded funds &amp; index prices in the Indian stock market and across major global markets, enabling clients to personalize AI-driven investment portfolios based on their appetite and risk profile.</t>
  </si>
  <si>
    <t>Bestvantage Investments, HEM Angels, Inflection Point Ventures (India), Mumbai FinTech Hub, NSRCEL-IIMB, O2 Angels Network, Venture Catalysts (Capital Markets/Institutions)</t>
  </si>
  <si>
    <t>www.jarvisinvest.com</t>
  </si>
  <si>
    <t>438147-64</t>
  </si>
  <si>
    <t>Phlo Systems</t>
  </si>
  <si>
    <t>Developer of a trade finance software intended to digitize end-to-end operations. The company's software manages all trade documents, customs compliance, and export and import declarations from a single system, built on the latest WCO model, enabling trade finance providers to manage post-finance compliance along with along with customer satisfaction and increased profitability.</t>
  </si>
  <si>
    <t>Accretion Capital, Deutsche Bank, Gulraj Behl, H-Farm, Innovate UK, R.J. O'Brien &amp; Associates</t>
  </si>
  <si>
    <t>www.phlo.io</t>
  </si>
  <si>
    <t>303048-64</t>
  </si>
  <si>
    <t>401Go</t>
  </si>
  <si>
    <t>Developer of record-keeping and administration web application designed to offer retirement plans. The company's platform helps simplify the process for small businesses to provide 401(k)s to their employees through an automated program, resulting in more compounding dollars saved, enabling clients to lower their taxable income and save more for the future at the same time, and small businesses to create automated retirement plans.</t>
  </si>
  <si>
    <t>Centana Management, gener8tor, Green Egg Ventures, Impression Ventures, Next Frontier Capital, Rally Ventures, Run Ventures, Service Provider Capital, Stout Street Capital</t>
  </si>
  <si>
    <t>www.401go.com</t>
  </si>
  <si>
    <t>623518-12</t>
  </si>
  <si>
    <t>Sunshine and Kittens</t>
  </si>
  <si>
    <t>Developer of a kid-friendly money-saving platform designed to provide financial knowledge to children. The company's platform uses AI to educate children about the world of finance, whilst also giving them a fun, gamified, reward-fueled account, enabling kids to learn how to save money and understand the concept.</t>
  </si>
  <si>
    <t>Pampos Ventures</t>
  </si>
  <si>
    <t>www.sunshine-and-kittens.com</t>
  </si>
  <si>
    <t>172926-19</t>
  </si>
  <si>
    <t>Pelican Exchange</t>
  </si>
  <si>
    <t>Developer of a mobile trading application platform intended to connect traders around the world. The company's platform provides real-time access to trade deals and facilitates collaboration between traders through chat and groups, enabling users to trade and discuss simultaneously.</t>
  </si>
  <si>
    <t>Kima Ventures, Venrex Investment Management</t>
  </si>
  <si>
    <t>pelicantrading.io</t>
  </si>
  <si>
    <t>168117-49</t>
  </si>
  <si>
    <t>Plutometry</t>
  </si>
  <si>
    <t>Artificial Intelligence &amp; Machine Learning, Big Data, FinTech, Marketing Tech, TMT</t>
  </si>
  <si>
    <t>Developer of a cooperative data platform designed to serve the retail financial industry. The company's platform is based on artificial intelligence (AI) and machine learning (ML) methods financial institutions estimate the total investable assets of their retail customers, and sell information products, under annually renewable licenses, enabling financial institutions with a range of marketing applications, such as strategic classification of customers, predictive modeling inputs, and aggregate "share of wallet" estimation for field force management application.</t>
  </si>
  <si>
    <t>www.plutometry.com</t>
  </si>
  <si>
    <t>436395-16</t>
  </si>
  <si>
    <t>Wamo</t>
  </si>
  <si>
    <t>Developer of a digital banking platform designed to simplify banking, financial management, accounting, and administrative processes for small businesses. The company offers electronic money accounts, payment services, financial insights, and human support, enabling small businesses to manage finances more efficiently and navigate operational complexities with greater ease.</t>
  </si>
  <si>
    <t>3TS Capital Partners, Archie Growth, EdenBase (London), Endeavor Greece, Fibabanka, Finberg, Grow in EMEA, Logo Ventures (Turkey), Oleka Ventures, Platform XIT, Re-Pie Portfolio Management, TECHMINE GSYO, Visa Innovation Program</t>
  </si>
  <si>
    <t>www.wamo.io</t>
  </si>
  <si>
    <t>482604-31</t>
  </si>
  <si>
    <t>Hotel Investor Apps</t>
  </si>
  <si>
    <t>Developer of a cloud-based enterprise resource planning software designed to simplify back-office operations for the hospitality industry. The company offers financial management and accounting applications with automation and integrations, access to immediate and secure file storage, budgeting, and forecasting, as well as providing customized financial reports for business decision-making, enabling hotels and the hospitality industry to elevate operational efficiency, automate business processes, and enhance customer satisfaction.</t>
  </si>
  <si>
    <t>www.hiasoftware.com</t>
  </si>
  <si>
    <t>530557-57</t>
  </si>
  <si>
    <t>IE Hub</t>
  </si>
  <si>
    <t>Developer of an online application designed to provide income and expenditure management services. The company's application offers an online tool to create a budget at a suitable time and pace, along with open banking systems and information sharing, and also automates, checks, and provides work queues to allow agents to complete income and expenditure forms, allowing customers and creditors to control their financial situation.</t>
  </si>
  <si>
    <t>Angels Invest Wales, Development Bank of Wales, Eamon Tuhami, John McAndrew, Scaleup Group</t>
  </si>
  <si>
    <t>www.iehub.co.uk</t>
  </si>
  <si>
    <t>439786-36</t>
  </si>
  <si>
    <t>Devengo</t>
  </si>
  <si>
    <t>Developer of a financial platform designed to allow integration to automate business payouts. The company integrates the clients' money flows into their operational processes, whether it's real-time payouts or receiving pay-ins to make the reconciliation easy, enabling businesses and their customers to automate account creation and send and receive money in real-time atomically and programmatically.</t>
  </si>
  <si>
    <t>Banco Sabadell, Bankinter, Big Sur Ventures, Felipe García, Fides Capital, François Derbaix, Lanzadera Accelerator, Leonardo Soto, Mission (Spain), TheVentureCity, Viriditas Ventures, Wayra</t>
  </si>
  <si>
    <t>www.devengo.com</t>
  </si>
  <si>
    <t>178465-60</t>
  </si>
  <si>
    <t>FCB.ai</t>
  </si>
  <si>
    <t>Developer of a conversational artificial intelligence platform designed to help financial service providers to acquire and retain customers. The company's platform brings people closer to financial services with an interactive and fun experience through an intelligent and human-like conversation, as well as offers a more intuitive and efficient customer journey, increasing client's conversion rate, enabling clients to interact with dozens of potential and existing clients.</t>
  </si>
  <si>
    <t>500 Global, AfricArena, AlphaCode (South Africa), Compass Venture Capital, Equitable Ventures, Everial, Far Ventures (Cape Town), Kalon Venture Partners, Meltwater Entrepreneurial School of Technology, Qatar FinTech Hub Wave, Richard Marsden, Saviu Ventures</t>
  </si>
  <si>
    <t>www.fcb.ai</t>
  </si>
  <si>
    <t>470709-73</t>
  </si>
  <si>
    <t>Vermiculus</t>
  </si>
  <si>
    <t>Provider of cloud-based trading and real-time clearing services intended to transform the financial markets using microservices and AI. The company offers business-critical and customized alternatives to exchanges and clearing houses where requirements on quality, data volume, and reliability are immense, offering clients trading alternatives with a focus on performance, robustness, and flexibility in order to answer the needs of the market participants.</t>
  </si>
  <si>
    <t>L4 Venture Builder</t>
  </si>
  <si>
    <t>www.vermiculus.se</t>
  </si>
  <si>
    <t>279945-19</t>
  </si>
  <si>
    <t>CrowdBureau</t>
  </si>
  <si>
    <t>Developer of a finance technology platform designed to offer asset and risk management tools for the peer-to-peer lending and securities crowdfunding industry. The company's platform collects, consolidates, and unifies data from marketplace lenders globally and provides benchmarks, research and data analytics, and risk management tools for non-listed opaque asset classes, enabling digital finance companies to comply with global regulatory mandates related to the borrower and lender capital threshold limits.</t>
  </si>
  <si>
    <t>Alpama, Clydagh, Estuary Holding</t>
  </si>
  <si>
    <t>crowdbureau.com</t>
  </si>
  <si>
    <t>501479-02</t>
  </si>
  <si>
    <t>Cyder</t>
  </si>
  <si>
    <t>Developer of a fintech loyalty platform designed to help credit unions and community banks compete in a digital-first financial ecosystem. The company offers a white-label rewards solution that incentivizes everyday banking behaviors, such as saving, loan repayment, and local spending, through data-driven insights, turnkey integrations, and a growing partner network, enabling financial institutions to deepen member relationships, strengthen community engagement, and drive sustainable deposit and revenue growth.</t>
  </si>
  <si>
    <t>Aperture Group, Berkeley SkyDeck, Conexus Venture Capital Fund, Desjardins Capital, Graphite Ventures, MaRS Investment Accelerator Fund, Rogers Cybersecure Catalyst, Sprout Fund, Sprout Ventures, Startup en résidence, Tampa Bay Wave</t>
  </si>
  <si>
    <t>www.getcyder.com</t>
  </si>
  <si>
    <t>226732-51</t>
  </si>
  <si>
    <t>Fincom.Co</t>
  </si>
  <si>
    <t>Developer of regulatory compliance technologies designed to streamline anti-money laundering screening and know your customer processes for financial institutions. The company platform offers a patented phonetic fingerprint technology to enhance cross-language name matching, reducing false positives and operational errors, enabling clients with accurate regulatory compliance across banking operations.</t>
  </si>
  <si>
    <t>AnD Ventures, ff Venture Capital, Macquarie Group, Nasdaq Ventures, VentureIsrael</t>
  </si>
  <si>
    <t>www.fincom.co</t>
  </si>
  <si>
    <t>495828-01</t>
  </si>
  <si>
    <t>Liquide</t>
  </si>
  <si>
    <t>Developer of an investment platform designed to help new investors get started in stock markets. The company's platform specializes in introduction classes that give a view of stock investing essentials, and a basic investing jumpstart program with personalized courses and live trading sessions to make informed stock investing decisions by analyzing portfolios, researching with stock screeners, and getting access to AI-powered stock reports, enabling students to conquer fears and commence a disciplined and profitable investing life.</t>
  </si>
  <si>
    <t>Amitabh Mall, Ashish Mohapatra, Chaitanya Peddi, Jayant Paleti, Kunal Shah, Kunal Suri, M Venture Partners, OTP Ventures, Pradeep Parameswaran, Rahul Chaudhary, Rajeev Kumar, Rohit Chennamaneni, Ruchi Kalra, Sadev Ventures, Sakshi Sinha, Sandeep Singh, Shantanu Deshpande, Shashvat Nakrani, Siddharth Jayanty, Sidharth Gupta, Suhail Sameer</t>
  </si>
  <si>
    <t>liquide.life</t>
  </si>
  <si>
    <t>436220-56</t>
  </si>
  <si>
    <t>Streeva</t>
  </si>
  <si>
    <t>Developer of a payment data technology designed to leverage information and address inefficiencies surrounding remittance without compromising privacy. The company's product automates the gift aid system by replacing the existing manual processes with a system that links payment data and removes the burden from individuals, enabling UK charities and donors to fully automate tax benefits without lifting a finger, and giving everyone full control of their financial data.</t>
  </si>
  <si>
    <t>Innovate UK, MontBlu Capital, VentureCEO</t>
  </si>
  <si>
    <t>www.streeva.com</t>
  </si>
  <si>
    <t>471393-46</t>
  </si>
  <si>
    <t>Wonderlend Hubs</t>
  </si>
  <si>
    <t>Developer of credit gateway infrastructure designed to automate the exchange of financial data and facilitate collaborative lending between diverse capital providers. The company's platform offers automated credit underwriting engines with prebuilt integrations for credit bureaus and alternate data sources, provides a centralized dashboard, and includes digital document verification tools for streamlined regulatory compliance, enabling commercial banks and non-banking financial companies to scale their credit portfolios while reducing the time and operational costs associated with manual loan processing.</t>
  </si>
  <si>
    <t>Bharat Inclusion Seed Fund, Cedar Hill Capital, FirstPort Capital, Indian Angel Network, Inflection Point Ventures (India), Mahipal Investments &amp; Advisors, Mintosh Advisory, Pransh Capital Partners, Society for Innovation and Entrepreneurship, Village Capital</t>
  </si>
  <si>
    <t>www.wonderlendhubs.com</t>
  </si>
  <si>
    <t>493845-13</t>
  </si>
  <si>
    <t>Impact Circle</t>
  </si>
  <si>
    <t>Operator of a social impact investment platform intended to visualize the impact of businesses. The company's platform operates a microfinance platform that visualizes the investment to create a mechanism that encourages participation in solving social issues through investment, providing investors with a tool that promotes impact finance.</t>
  </si>
  <si>
    <t>Creative Heart, Energy &amp; Environment Investment, False Co., Ltd., Global Mobility Service, G-STARTUP, Inclusion Japan, Mirai Cross, Mitsui Sumitomo Insurance, Relic, Vector Investment Venture</t>
  </si>
  <si>
    <t>www.impact-circle.co.jp</t>
  </si>
  <si>
    <t>556999-03</t>
  </si>
  <si>
    <t>Fixerra</t>
  </si>
  <si>
    <t>Developer of an embedded finance platform designed to help digital businesses compliantly launch banking products. The company's platform offers application programming interfaces, software development kits, and plug-in banking gateways, addressing the entire fixed deposit lifecycle, from discovery to post-investment service, enabling fintech developers and financial service providers in India to launch compliant banking offerings quickly while connecting with multiple banks and financial partners.</t>
  </si>
  <si>
    <t>Harish Shah, Jaideep Hansraj, Oisharya Das, Shailesh Haribhakti, Shivang Desai</t>
  </si>
  <si>
    <t>www.fixerra.in</t>
  </si>
  <si>
    <t>483993-37</t>
  </si>
  <si>
    <t>iconicchain</t>
  </si>
  <si>
    <t>Developer of financial technology designed to turn regulatory compliance into an automated, real-time process. The company specializes in supporting auditors, software operators, and financial institutions through the power of distributed ledger to assist in business decisions, enabling banks to leverage technologies to automate regulatory compliance reporting, auditing, monitoring, and managing their securitization transactions of asset-backed securities.</t>
  </si>
  <si>
    <t>28DIGITAL, O3 Partners (Private Equity)</t>
  </si>
  <si>
    <t>www.iconicchain.com</t>
  </si>
  <si>
    <t>494322-22</t>
  </si>
  <si>
    <t>Nelly</t>
  </si>
  <si>
    <t>Developer of signature and billing tool designed to digitize documents, signatures, and payments in medical practices. The company's digital patient admission
collect data via the patient's phone, have documents signed securely with a click, allow patients to choose their preferred payment option and others, enabling clients to transfer documents and patient data to the PVS with a click and send treatment contracts via SMS or email for signature.</t>
  </si>
  <si>
    <t>10X Capital, arc Investors, b2venture, BIF Partners, Calm/Storm Ventures, Cathay Innovation, Collective Ventures (Other Capital Markets/Institutions), Diana zur Löwen, eightyseven Ventures, Embedded / Capital, Feliks Eyser, Gaingels, Global Founders Capital, Goodface Capital, Heliad, High-Tech Gründerfonds, Lakestar, Michael Hock, Motive Partners, Notion Capital, Ramin Niroumand, Robert Maier, United Volksbank eG Dorsten-Kirchhellen-Bottrop, Verena Pausder, WCap (Hamburg)</t>
  </si>
  <si>
    <t>www.getnelly.de</t>
  </si>
  <si>
    <t>431697-43</t>
  </si>
  <si>
    <t>Synaptic</t>
  </si>
  <si>
    <t>Developer of a data platform intended to offer actionable insights to optimize investment strategies. The company's platform tracks portfolio companies, competitors, and sectors as well as uses tools, processes, and algorithms to process and analyze large datasets, and identify patterns, trends, and anomalies, enabling investors and fund managers to identify opportunities, manage risks, and enhance overall investment performance.</t>
  </si>
  <si>
    <t>8VC, Felicis, Ribbit Capital, Valor Equity Partners, Vy Capital</t>
  </si>
  <si>
    <t>www.synaptic.com</t>
  </si>
  <si>
    <t>510318-10</t>
  </si>
  <si>
    <t>KiVi (Specialized Finance)</t>
  </si>
  <si>
    <t>Developer of an agri-tech platform designed to provide a digital financial system for the farmer. The company's platform facilitates a range of features, including direct farmer engagement, digital financial services to provide lower-cost funding to farmers, output and input market linkage, farmers' producers organization services and agronomy services, enabling farmers to procure input, implement agronomy practices, market output and obtain financial assistance.</t>
  </si>
  <si>
    <t>AL Trust, Atrium Advisory, Caspian, Cogniphy, Eaglewings, Enrission India Capital, Entrepreneurs Foundation, IIT Madras Incubation Cell, Impact Innovators, InFED, LVX, MeitY Startup Hub, New Age India Fund, Pawan Goenka, Piper Serica Advisors, ThinKuvate, Tyche Partners, Veltis Capital, Yatra Angel Network</t>
  </si>
  <si>
    <t>www.agrosperity.com</t>
  </si>
  <si>
    <t>459356-59</t>
  </si>
  <si>
    <t>Pibit AI</t>
  </si>
  <si>
    <t>Developer of a commercial underwriting platform designed to streamline risk assessment for carriers and managing general agents. The company offers a centralized underwriting environment that automates intake, triage, and data enrichment while surfacing risk insights, enabling insurance professionals to accelerate decision-making, improve underwriting efficiency, and reduce loss ratios.</t>
  </si>
  <si>
    <t>Arali Ventures, JAIN Launchpad, Stellaris Venture Partners, TIDES Business Incubator, Y Combinator</t>
  </si>
  <si>
    <t>www.pibit.ai</t>
  </si>
  <si>
    <t>244128-52</t>
  </si>
  <si>
    <t>CityCash</t>
  </si>
  <si>
    <t>Operator of a digital payment platform intended to make cashless transactions comfortable. The company's platform designs and operates low-cost offline and online payment technologies focused on the underserved space of high-volume, low-value payments, enabling clients to make India cashless and offer digital payments for everyone.</t>
  </si>
  <si>
    <t>APS Holding(India), Fino Paytech, Girish Bhai Patel, ICICI Bank, Jitendra Gupta, JM Trivedi, Mathew Cyriac, Nilesh Mehta, Orios Venture Partners, Punita Sinha, Rakesh Sony, Samarthya Capital, Sandiip Bhammer, Snehal Shah, T-Hub</t>
  </si>
  <si>
    <t>citycash.in</t>
  </si>
  <si>
    <t>93241-09</t>
  </si>
  <si>
    <t>Finect</t>
  </si>
  <si>
    <t>Operator of a financial platform intended to help individuals in making investment decisions. The company's platform is a community specialized in finance with upgraded market news and financial information and also provides tools to control and organize investments, share information and discuss current issues, enabling investors to get help in achieving their financial goals or targets.</t>
  </si>
  <si>
    <t>www.finect.com</t>
  </si>
  <si>
    <t>496674-73</t>
  </si>
  <si>
    <t>Quantex (Brokerage)</t>
  </si>
  <si>
    <t>Developer of a financial technology platform designed to enhance the efficiency of over-the-counter markets. The company's system connects the fixed-income trading community through a flexible liquidity system, enabling clients to execute algorithms developed in a sophisticated way.</t>
  </si>
  <si>
    <t>BYMA Ventures</t>
  </si>
  <si>
    <t>www.quantex.com.ar</t>
  </si>
  <si>
    <t>537329-35</t>
  </si>
  <si>
    <t>SelectFi</t>
  </si>
  <si>
    <t>Developer of predictive lending software designed to help auto dealerships instantly generate accurate financing quotes from dozens of lenders. The company's software leverages lender guidelines and proprietary rate tables through its advanced system and analyzes customer and vehicle-specific details to identify the most suitable lenders, enabling companies to get instant customer financing quotes, quickly, accurately, and with regulatory compliance.</t>
  </si>
  <si>
    <t>Automotive Ventures, GrowthX Capital, Innovent Capital Group, Jack Greco, Launch NY, Michael Wethington, Ronald Frey, StartFast Ventures, University at Buffalo, Western New York Venture Association</t>
  </si>
  <si>
    <t>www.selectfi.com</t>
  </si>
  <si>
    <t>181728-10</t>
  </si>
  <si>
    <t>TiXi</t>
  </si>
  <si>
    <t>Developer of an integrated IT platform designed to assist in transportation management systems and electronic payments. The company's platform offers customized services for IT strategy, tactics, and delivery to replace cash and ensure safe transactions and transport, enabling businesses to gain proficiency in various areas such as e-payments, ticketing, and traffic management and analysis systems.</t>
  </si>
  <si>
    <t>Bulgarian-American Credit Bank, CSIF, Kameliya Zhecheva-Makaveeva, Ministry of Regional Development and European Union Funds, NEVEQ</t>
  </si>
  <si>
    <t>www.tixi.bg</t>
  </si>
  <si>
    <t>466735-69</t>
  </si>
  <si>
    <t>inBanx</t>
  </si>
  <si>
    <t>Developer of a digital payments platform intended to simplify business payments. The company's platform facilitates businesses in managing card programs and controlling spending across divisions, departments, and teams, while avoiding unnecessary expenditures, enabling companies to eliminate manual workflows, overspending, and increased licensing costs.</t>
  </si>
  <si>
    <t>Alinea Ventures, Altari Ventures, Castle Creek Capital (Investor), Everywhere Ventures, Social Leverage, Tampa Bay Wave</t>
  </si>
  <si>
    <t>www.inbanx.com</t>
  </si>
  <si>
    <t>431649-46</t>
  </si>
  <si>
    <t>Kontolink</t>
  </si>
  <si>
    <t>Developer of a cloud-based platform designed to save time and resources in bookkeeping. The company's platform automates document handling and accounts using bank data as the starting point instead of receipts and invoices, enabling clients to minimize errors in their financial accounting processes.</t>
  </si>
  <si>
    <t>Fast Forward Capital, Jonas Larsen, Kim Madsen, Mastercard Lighthouse, Mogens Abel-Bache, Torben Rasmussen, TPC Management (Denmark)</t>
  </si>
  <si>
    <t>www.kontolink.com</t>
  </si>
  <si>
    <t>266043-70</t>
  </si>
  <si>
    <t>Coinscrap Finance</t>
  </si>
  <si>
    <t>Developer of an artificial intelligence-powered recommendation engine designed to help the financial industry deliver hyper-personalized digital experiences to customers. The company's application helps banks and insurers to understand the financial situation of their clients and to sell the product that better fits, a win-win for both financial entities &amp; their retail customers, allows users to link their payment cards when the card is used so that it can round out the card purchase and automatically transfer the difference to a secure savings product, enabling users to round up their daily purchases automatically and invest in an investment plan.</t>
  </si>
  <si>
    <t>Alanzady Spain Family Office, Asociación de Jóvenes Empresarios de Vigo, b2venture, Bankinter, Draper B1, Faraday Venture Partners, Fernando Cabello-Astolfi, Fundacion Innovacion Bankinter, Helvetia Venture Fund, Indexa Capital, InnovX (Bucharest), Kalonia, Latinia Interactive Business, SantanderX, Scaleup Spain Network, Visa Innovation Program, XesGalicia, Xunta de Galicia</t>
  </si>
  <si>
    <t>www.coinscrapfinance.com</t>
  </si>
  <si>
    <t>489140-11</t>
  </si>
  <si>
    <t>fena</t>
  </si>
  <si>
    <t>Developer of an open banking payments platform designed to make access to the application programming interface technology of all sizes and capabilities. The company's platform offers financial interfaces, data points, e-commerce, online tools, an invoice system, and in-person payments, enabling firms to integrate account-to-account settlements and data into any app or website.</t>
  </si>
  <si>
    <t>Financial Conduct Authority, Start Path, VentureCEO</t>
  </si>
  <si>
    <t>www.fena.co</t>
  </si>
  <si>
    <t>462340-72</t>
  </si>
  <si>
    <t>Carclarity</t>
  </si>
  <si>
    <t>Operator of a car loan comparison platform intended to help offer hassle-free car loans with an easy online application process. The company's platform connects borrowers with different car finance lenders, matching the buyer with a lender based on the price and loan terms they need, followed by an online application process to secure their financing, enabling customers to change their car buying experience with a hassle-free, safe and smart way.</t>
  </si>
  <si>
    <t>Bellite, Benjamin Taylor, Equity Venture Partners, Raj Bhat, Uno.</t>
  </si>
  <si>
    <t>www.carclarity.com.au</t>
  </si>
  <si>
    <t>433384-03</t>
  </si>
  <si>
    <t>Homewise Solutions</t>
  </si>
  <si>
    <t>Developer of an online mortgage management platform designed to automate the mortgage process using data intelligence. The company's platform uses artificial intelligence predictive technology and scans the market for different mortgage options from multiple banks and lenders to offer customers the options suited to their situation, enabling clients to get a transparent, tailored mortgage that meets their needs.</t>
  </si>
  <si>
    <t>Archangel Network of Funds, Clanton Capital, Epstein Enterprises (Toronto), Google Accelerator, Graphite Ventures, Intuit Canada, Jesse Kaplan, Joseph Canavan, Kevin Kimsa, MaRS Investment Accelerator Fund, Next (Consulting Services), Stephen Gross, ventureLAB Innovation Centre</t>
  </si>
  <si>
    <t>www.thinkhomewise.com</t>
  </si>
  <si>
    <t>517213-45</t>
  </si>
  <si>
    <t>tiun</t>
  </si>
  <si>
    <t>Developer of an AI-powered backend platform designed to help businesses configure and integrate core software infrastructure through conversational interfaces. The company offers authentication, customer data management, payment processing, analytics, and unified customer lifecycle intelligence, enabling businesses to build, launch, and scale software products with streamlined operations and actionable product insights.</t>
  </si>
  <si>
    <t>Andreessen Horowitz, Blue Wire Capital, Founderful, Venture Kick</t>
  </si>
  <si>
    <t>www.tiun.io</t>
  </si>
  <si>
    <t>407243-26</t>
  </si>
  <si>
    <t>WealthBlock</t>
  </si>
  <si>
    <t>Developer of a digital investor management platform designed to assist with capital raising and client relationship management. The company's platform integrates functions such as a customer relationship management system, fund documentation, investment closing process automation, operational steps customization, data analysis and reporting, and an access point for communication and document retrieval, enabling private fund managers to improve the investor experience, access new sources of capital, and increase operational efficiency by removing manual administrative tasks.</t>
  </si>
  <si>
    <t>Blockchain Fond, Global Blockchain Ventures, Holt Xchange, Human Capital Development, Michael T. Cavanaugh</t>
  </si>
  <si>
    <t>www.wealthblock.ai</t>
  </si>
  <si>
    <t>174759-22</t>
  </si>
  <si>
    <t>Multiply (Other Financial Services)</t>
  </si>
  <si>
    <t>Developer of a financial advisory application designed to offer interactive and adaptive personalized financial plans with specific product recommendations. The company's software helps to predict cash flows and expenses while ensuring that the information is fully secure, enabling users to manage their money, savings, and investments.</t>
  </si>
  <si>
    <t>Alok Sama, Entrepreneurs First, Government of UK, Irish Life Assurance, Jonathan Schneider, Michael Orland, Nicholas Hungerford, Octopus Ventures, Peter Rading, Portage, SyndicateRoom, Taavet Hinrikus, Toby Moore, Wade Davis</t>
  </si>
  <si>
    <t>www.multiply.ai</t>
  </si>
  <si>
    <t>509183-38</t>
  </si>
  <si>
    <t>BetBudget</t>
  </si>
  <si>
    <t>Developer of a budgeting platform designed to help individuals track and manage their finances and wagering spending in one place. The company offers powerful budgeting tools that are free, do not affect credit scores, and can be easily connected to computer or mobile banking data, enabling individuals to stay on top of their spending, avoid overspending, and maintain financial control without affecting their credit score.</t>
  </si>
  <si>
    <t>Tekkorp Capital</t>
  </si>
  <si>
    <t>www.betbudget.app</t>
  </si>
  <si>
    <t>496304-92</t>
  </si>
  <si>
    <t>Multipl</t>
  </si>
  <si>
    <t>Developer of personal finance management software designed to help users manage spending and short-term investments through mutual fund-based accounts. The company's platform provides spending-linked investment accounts, liquid mutual fund allocation, goal-based savings tools, spending analytics, brand discount integrations, withdrawal management, and long-term investment portfolios, enabling consumers to manage everyday expenses, plan future purchases, and earn returns on idle spending balances through regulated investment products.</t>
  </si>
  <si>
    <t>888 VC, Alphatron Capital, Anugrah Shrivastava, Blume Venture Advisors, Chakradhar Gade, Dhirendra Mahayavanshi, Easwaran Patali, GIFT International Fintech Innovation Hub, growX Ventures, Harish Narayanan, ICMG Partners, IIFL Finance, Iyer Vaidyanathan, Kotak Neo, Kunal Shah, Manoj Kumar, Manu Rikhye, Merak Ventures, MIXI Global Investments, Nikhil S, NSRCEL-IIMB, Padmapriya Srirangarajan, Rohan Gupta, Shradha Sharma, Vasanth Kamath</t>
  </si>
  <si>
    <t>www.multipl.in</t>
  </si>
  <si>
    <t>1153678-51</t>
  </si>
  <si>
    <t>Allocation Strategy</t>
  </si>
  <si>
    <t>Developer of an advanced analytics platform designed for institutional investors. The company's platform offers a range of integrated analytical capabilities including forward-looking return and risk models, scenario analysis, macro risk factors, tailored portfolio construction tools, data onboarding and model infrastructure, bespoke analytics, and market-implied insights, enabling pension funds, sovereign wealth funds, asset managers, and similar large-scale allocators to apply coherent, data-driven analysis across asset classes and improve the reliability of their portfolio allocation decisions in complex financial environments.</t>
  </si>
  <si>
    <t>www.allocation-strategy.com</t>
  </si>
  <si>
    <t>183755-53</t>
  </si>
  <si>
    <t>Monsoon (Other Financial Services)</t>
  </si>
  <si>
    <t>Developer of an artificial intelligence-powered loan underwriting platform designed to serve the lending industry.The company's platform leverages machine learning to reduce delinquency rates, increase approval rates, and boost loan-loss adjusted net-interest incomes of a diverse set of loan portfolios across the retail and Micro, Small, and Medium Enterprises segments by identifying future delinquencies at the time of underwriting, enabling clients to simplify the process of lending.</t>
  </si>
  <si>
    <t>Aditya Singh, Akash Bhanshali, HDFC Capital Advisors, Rajan Anandan, Rishi Srivastava, SN Damani, Sparkle Fund, Start Path, Sunil Kalra, Top Shelf Equity Partners, Vellayan Subbiah, Via.com</t>
  </si>
  <si>
    <t>www.monsoonfintech.com</t>
  </si>
  <si>
    <t>608059-27</t>
  </si>
  <si>
    <t>Centi.</t>
  </si>
  <si>
    <t>Developer of a purpose-built platform designed to manage ownership for private equity-owned businesses. The company specializes in simplifying and monitoring equity programs and ownership management, enabling firms to handle complex shared ownership structures, monitor stakeholders, and maintain regulatory compliance.</t>
  </si>
  <si>
    <t>Bust (Sweden), Gunnar Selving, Henrik Johansson, Klas Tikkanen, Oskar Arndt, Rolon Euro, Ruben Flam, Svante Andreen, Thor Philogene</t>
  </si>
  <si>
    <t>www.gocenti.com</t>
  </si>
  <si>
    <t>539477-11</t>
  </si>
  <si>
    <t>Mayday</t>
  </si>
  <si>
    <t>Developer of a financial workflow automation system intended to support month-end processes for organizations using cloud accounting software. The company's platform identifies and corrects accounting discrepancies, automates intercompany reconciliations, generates and posts revenue and expense schedules, synchronizes multi-entity data, aligns chart structures, and provides group-level visibility and review controls, enabling finance teams to reduce manual workload, increase accuracy, and complete closing activities efficiently.</t>
  </si>
  <si>
    <t>24Haymarket, A*, Airtree Ventures, Caspian Capital, Flying Fox Ventures, Phillip Chambers, Scout Fund, Steve Jarvis, Tyler Caskey</t>
  </si>
  <si>
    <t>www.getmayday.com</t>
  </si>
  <si>
    <t>438586-93</t>
  </si>
  <si>
    <t>SavvyFi</t>
  </si>
  <si>
    <t>Developer of a digital investment platform designed to empower employees to save for college and pay off student debt. The company's platform focuses on taking the guesswork out of setting up a savings plan and other financial functions to create a sustainable future, enabling students and employees to access tools that help them achieve their financial goals and pay off their debts.</t>
  </si>
  <si>
    <t>Aligned Partners, Sparq Capital (United States)</t>
  </si>
  <si>
    <t>www.savvyfi.co</t>
  </si>
  <si>
    <t>434970-37</t>
  </si>
  <si>
    <t>Profit.com</t>
  </si>
  <si>
    <t>Developer of a financial platform designed to help users trade and analyze investments. The company's platform offers trading analytics, insights, charting tools, customizable layout, asset class coverage, trading strategies, a bot builder, strategy design, a communication tool, and customizable news, enabling traders and investors of all levels to make smart investment decisions and achieve maximum profitability.</t>
  </si>
  <si>
    <t>VentureCEO, Yasin Qureshi</t>
  </si>
  <si>
    <t>www.profit.com</t>
  </si>
  <si>
    <t>338547-70</t>
  </si>
  <si>
    <t>Fund Ourselves</t>
  </si>
  <si>
    <t>Developer of a peer-to-peer lending platform designed to help people improve their lives through affordable finance. The company's platform offers flexible and affordable short-term loans to help with financial inclusion while funneling short-term lending returns back to society, enabling individuals to borrow or invest in a self-serving marketplace.</t>
  </si>
  <si>
    <t>www.fundourselves.com</t>
  </si>
  <si>
    <t>185256-64</t>
  </si>
  <si>
    <t>Cambrist</t>
  </si>
  <si>
    <t>Developer of a financial technology platform designed to reconcile complex payment data sets, comply with cross-border payment regulations, and settle multi-currency card programs. The company offers automated data extraction, reporting, reconciliation processes, compliance tools for CBPR2, and scheme settlement management, enabling clients to manage payment data, meet regulatory requirements, and optimize card program profitability.</t>
  </si>
  <si>
    <t>David Shewmaker, Dublin Institute Of Technology, Enterprise Ireland, Fexco, FinTech Innovation Lab, Janusz Diemko, New Frontiers Ireland, PwC Ireland, Rodney Farmer, Thierry Michel</t>
  </si>
  <si>
    <t>www.cambrist.com</t>
  </si>
  <si>
    <t>101623-51</t>
  </si>
  <si>
    <t>GCV</t>
  </si>
  <si>
    <t>Developer of an online investment platform designed to help investors build a diversified portfolio. The company's platform offers curated co-investment opportunities across venture capital, private equity, and property, along with venture building support, investment structuring, and access to pre-vetted deals, enabling private investors, institutional investors, and early-stage businesses to access capital, build investment portfolios, and grow companies with operational and strategic support.</t>
  </si>
  <si>
    <t>www.growthcapitalventures.co.uk</t>
  </si>
  <si>
    <t>234618-04</t>
  </si>
  <si>
    <t>Hey AI</t>
  </si>
  <si>
    <t>Developer of an artificial intelligence (AI) based human enterprise-scaled platform intended for exponential business impact. The company's platform automates and optimizes various tasks, from sales assistance to customer engagement, enabling businesses to leverage AI to improve efficiency and enhance customer interactions across different aspects of their operations.</t>
  </si>
  <si>
    <t>500 Global, BEENEXT Capital Management, DEEPCORE, Mizuho Financial Group, Plug and Play Tech Center, SIHUB - EXPARA Accelerator, TISI ( IT Consulting and Outsourcing), Touchstone Partners (Ho Chi Minh)</t>
  </si>
  <si>
    <t>www.heyai.pro</t>
  </si>
  <si>
    <t>506993-95</t>
  </si>
  <si>
    <t>eco2wallet</t>
  </si>
  <si>
    <t>CleanTech, Climate Tech, FinTech, LOHAS &amp; Wellness, Mobile, SaaS</t>
  </si>
  <si>
    <t>Operator of a sustainable fintech company intended to focus on promoting sustainability and environmental responsibility in the financial sector. The company offers digital wallets and debit cards through which a portion of each transaction is allocated to fund tree planting and seagrass restoration projects, enabling environmentally conscious consumers to make more sustainable spending decisions and support environmental projects.</t>
  </si>
  <si>
    <t>eco2wallet.com</t>
  </si>
  <si>
    <t>490715-47</t>
  </si>
  <si>
    <t>Aladdin</t>
  </si>
  <si>
    <t>Developer of a digital banking application intended to provide the tools needed to save, borrow, and make payments. The company's application connects users with verified buyers and sellers, while also providing information on products with considerable turnover and profit, enabling clients to have access to an application that offers safe and secure financial transactions between the customers and the marketplace.</t>
  </si>
  <si>
    <t>AfriGloCal Venture Capital, Arrowshare Ventures, Daft Capital, Eric Allred, Expert DOJO, Hatcher+, LoftyInc Capital Management, Plug and Play Tech Center, Valon Capital</t>
  </si>
  <si>
    <t>www.aladdin.ng</t>
  </si>
  <si>
    <t>435557-35</t>
  </si>
  <si>
    <t>Bookipi</t>
  </si>
  <si>
    <t>Developer of an invoice generation software designed to keep track of income and expenses with ease. The company's platform offers bookkeeping, invoicing, and estimation generation, and maintenance of employee payroll, enabling small businesses and freelancers to attain effective account management with the least amount of effort.</t>
  </si>
  <si>
    <t>Cennini Holding, OIF Ventures, TEN13</t>
  </si>
  <si>
    <t>www.bookipi.com</t>
  </si>
  <si>
    <t>494326-54</t>
  </si>
  <si>
    <t>FinOptimal</t>
  </si>
  <si>
    <t>Operator of financial operations platform intended to offer small, and medium enterprises automation-powered accounting services. The company's platform provides small and medium enterprises (SMEs) with distributed enterprise resource planning (ERP) services, unified business intelligence (BI) tools, and efficient ongoing bookkeeping services, enabling businesses to manage all their financial operations and deliver the same insights at a fraction of the cost.</t>
  </si>
  <si>
    <t>Corazon Capital</t>
  </si>
  <si>
    <t>www.finoptimal.com</t>
  </si>
  <si>
    <t>170766-46</t>
  </si>
  <si>
    <t>Hiatus</t>
  </si>
  <si>
    <t>Developer of a financial management platform designed to track subscriptions and manage recurring expenses. The company's platform consolidates account data to monitor spending, organise bills and subscriptions, identify negotiable charges, surface rate comparisons, and support bill negotiation services, enabling consumers to manage ongoing expenses, monitor net worth, and make informed decisions about recurring financial commitments.</t>
  </si>
  <si>
    <t>Launchpad Capital</t>
  </si>
  <si>
    <t>www.hiatusapp.com</t>
  </si>
  <si>
    <t>600695-74</t>
  </si>
  <si>
    <t>Juno (Financial Software)</t>
  </si>
  <si>
    <t>Developer of an AI-powered tax automation platform designed to streamline tax preparation, review, and advisory workflows. The company's platform offers automated data extraction from client documents, real-time tax research for answering queries, error detection and inconsistency flagging, instant workpaper generation, and scenario-based tax planning tools for comparing strategies and projections, enabling tax professionals and accounting firms to streamline tax preparation and review processes, reduce manual effort and errors, and deliver faster, more accurate, and insight-driven services to clients.</t>
  </si>
  <si>
    <t>Bonfire Ventures, Impression Ventures, StartX (US), Xfund</t>
  </si>
  <si>
    <t>www.juno.tax</t>
  </si>
  <si>
    <t>490886-65</t>
  </si>
  <si>
    <t>Kontempo</t>
  </si>
  <si>
    <t>Developer of an embedded payment platform designed for e-commerce to increase sales. The company's platform facilitates alternative payment options, including buy now, pay later, and interest-free installments to their customers, as well as provides advanced AI-driven risk models to help businesses process credit for clients, enabling suppliers to offer point-of-sale financing to their small business customers and reduce the risks and operating costs.</t>
  </si>
  <si>
    <t>Asymmetric Capital Partners, IGNIA, Latitud, MS&amp;AD Ventures, Polymath Ventures, Portage, Rally Cap VC, Redstone VC, Rhombuz Ventures, SCOR Ventures, Tectonic Ventures, Upper90 Capital Management</t>
  </si>
  <si>
    <t>www.kontempo.io</t>
  </si>
  <si>
    <t>118237-60</t>
  </si>
  <si>
    <t>Olsera</t>
  </si>
  <si>
    <t>Artificial Intelligence &amp; Machine Learning, Big Data, Marketing Tech, Mobile, SaaS, Supply Chain Tech</t>
  </si>
  <si>
    <t>Developer of a cloud-based business management platform designed for running and scaling small and medium enterprises. The company's platform provides a point-of-sale interface, inventory control, employee and customer management, online ordering, supply chain integration, accounting reports, and working-capital tools, enabling MSMEs in Indonesia to streamline daily operations and unify offline and online sales.</t>
  </si>
  <si>
    <t>Kejora Capital, SBI Holdings</t>
  </si>
  <si>
    <t>www.olsera.com</t>
  </si>
  <si>
    <t>55078-21</t>
  </si>
  <si>
    <t>Pepper (Financial Software)</t>
  </si>
  <si>
    <t>Developer of a cloud-native investment management and data platform designed to support alternative asset managers across the investment lifecycle. The company's platform consolidates CRM, deal tracking, portfolio management, fund operations, investor communications, reporting and analytics, and compliance workflows, with document upload and full-text search, data aggregation and normalization from multiple sources via imports and APIs, configurable dashboards, and integrations with external productivity tools, enabling investment managers to maintain a single source of truth and deliver timely insights and disclosures with reduced operational complexity.</t>
  </si>
  <si>
    <t>red-dragonfly, Temperance Partners</t>
  </si>
  <si>
    <t>www.onpepper.com</t>
  </si>
  <si>
    <t>498175-84</t>
  </si>
  <si>
    <t>Safe Rate</t>
  </si>
  <si>
    <t>Developer of a full-lifecycle home loan marketplace intended to facilitate users' home loan process. The company's technology takes consumers all the way from saving up for a down payment to paying off their homes, leveraging tokenization and decentralized ledger technology to support retail and institutional investors, enabling savers, homebuyers, real estate agents, home builders, and real estate agents to obtain financing options for residential mortgage purchases with customized terms, amounts, and repayment options and businesses to introduce multiple mortgage loan products to the end customers and employees.</t>
  </si>
  <si>
    <t>Polsky Center for Entrepreneurship and Innovation at the University of Chicago</t>
  </si>
  <si>
    <t>www.saferate.com</t>
  </si>
  <si>
    <t>497222-38</t>
  </si>
  <si>
    <t>Sociotrade</t>
  </si>
  <si>
    <t>Developer of an artificial intelligence platform designed to automate revenue and finance workflows through digital workers. The company offers plug-and-play agent orchestration with small reasoning models and deep technology research that operate across systems of record, enabling mid-sized enterprises and industries, including climate technology, solar energy, banking, and electric vehicle companies, to automate lead-to-revenue processes and support operational decision-making.</t>
  </si>
  <si>
    <t>Venture Garage</t>
  </si>
  <si>
    <t>www.vaayushop.com</t>
  </si>
  <si>
    <t>182119-24</t>
  </si>
  <si>
    <t>TabaPay</t>
  </si>
  <si>
    <t>Developer of a card payment tool designed to make money transfers between consumers and businesses more fluid. The company's tool permits disbursing money instantly onto customer cards as well as receiving money instantly, enabling businesses and lenders to lower processing fees and increase profits.</t>
  </si>
  <si>
    <t>Aligned Partners, SoftBank Investment Advisers</t>
  </si>
  <si>
    <t>www.tabapay.com</t>
  </si>
  <si>
    <t>493132-06</t>
  </si>
  <si>
    <t>TakeProfit</t>
  </si>
  <si>
    <t>Developer of a community-driven trading platform designed to reinvent the trading experience. The company offers innovative tools that combine intuitive user-centered design with the creator's economy for the new generation of traders and investors, enabling users to trade and earn.</t>
  </si>
  <si>
    <t>Alexander Bachmann, Lime Financials</t>
  </si>
  <si>
    <t>www.takeprofit.com</t>
  </si>
  <si>
    <t>493273-09</t>
  </si>
  <si>
    <t>uptip</t>
  </si>
  <si>
    <t>Developer of a cashless tipping and rating platform designed for service industry workers and customers. The company's platform offers automated payouts or payroll integration, a management portal, ratings and review management, and tax reporting and compliance to drive the economy towards electronic payments, enabling companies to manage all of their digital tipping easily and transparently and drive better service quality.</t>
  </si>
  <si>
    <t>www.uptip.co</t>
  </si>
  <si>
    <t>268617-25</t>
  </si>
  <si>
    <t>Yordex</t>
  </si>
  <si>
    <t>Developer of a spend management platform designed to offer cost-effective processing of invoices between customers and suppliers. The company's platform connects to bank accounts and existing accounting systems to manage all data exchange and avoid costs and lengthy implementation of a traditional accounting or ERP system upgrade, enabling clients to streamline interactions between contracting parties and to help growing businesses improve spending control.</t>
  </si>
  <si>
    <t>www.yordex.com</t>
  </si>
  <si>
    <t>552754-99</t>
  </si>
  <si>
    <t>Onteric</t>
  </si>
  <si>
    <t>Developer of a neurosymbolic artificial intelligence platform designed to deliver accurate and explainable data analysis and decision support. The company offers ontology-driven reasoning, knowledge graphs, semantic data integration, composable data extraction, and application programming interfaces, enabling enterprises to verify information, connect data across multiple sources, and build trusted artificial intelligence workflows.</t>
  </si>
  <si>
    <t>1818 Venture Capital, Angel Academe, Development Bank of Wales, Sarah Williams, Tech Nation Group, VentureCEO</t>
  </si>
  <si>
    <t>www.onteric.com</t>
  </si>
  <si>
    <t>289956-34</t>
  </si>
  <si>
    <t>Paytrim</t>
  </si>
  <si>
    <t>Operator of a digital payment platform intended to offer seamless and simple payment services. The company's platform handles all aspects of wireless, mobile and cash-connected card terminals and electronic payment processing, enabling entrepreneurs to improve and streamline the payment experience while reducing transaction costs and increasing profitability.</t>
  </si>
  <si>
    <t>Anna Storåkers, Michael Wolf, Yeos Ventures</t>
  </si>
  <si>
    <t>www.paytrim.com</t>
  </si>
  <si>
    <t>465583-87</t>
  </si>
  <si>
    <t>Shur</t>
  </si>
  <si>
    <t>Developer of a business-to-business-to-consumer fintech company designed to connect the financial services industry to millions of professionals with student loans. The company's products promote generational wealth by helping users eliminate early financial mistakes, build financial plans, and adopt a deep understanding of prime credit-building tools, it protects loan repayment and credit scores, smooths the pathway back into repayment, and toward wealth creation for borrowers and their families, enabling students to turn their loan repayment journey into clear steps toward building wealth.</t>
  </si>
  <si>
    <t>Brown Venture Group, gener8tor, Mark Zitter, Martin Babinec, New York Venture Partners, New York Ventures, Techstars, William (Bill) Derrough</t>
  </si>
  <si>
    <t>www.getshur.com</t>
  </si>
  <si>
    <t>503768-53</t>
  </si>
  <si>
    <t>Roundtable (Financial Software)</t>
  </si>
  <si>
    <t>Developer of a private market investment platform intended to streamline investment operations. The company platform allows investors to create or join communities or funds, co-invest in opportunities like start-ups, funds, and real estate, enabling investors to get access to the deals and startups to secure rounds of funding.</t>
  </si>
  <si>
    <t>Angel Invest, Christopher Zemina, Companion-M, Courtin Investment, David Savasci, Felix Wolf, Hexa, Kaloma Capital, Kima Ventures, Michael Ströck, Mozza Angels, One Green (Paris), Patrick Andrae, Purple (Paris)</t>
  </si>
  <si>
    <t>www.roundtable.eu</t>
  </si>
  <si>
    <t>820116-01</t>
  </si>
  <si>
    <t>Apylon</t>
  </si>
  <si>
    <t>Developer of an AI-driven revenue management platform intended to optimize billing accuracy, compliance, and financial performance for healthcare providers.
The company's platform applies machine learning to historical claims data and codified payer rules to build proprietary revenue management engines, offers hosted applications, autonomous billing agents, and integrated copilots that automate claim submission, auditing, clinical documentation integrity checks, and denial mitigation workflows, enabling hospitals and clinics to streamline billing operations, lower administrative costs, and increase predictable reimbursement outcomes at scale.</t>
  </si>
  <si>
    <t>byFounders, Calm/Storm Ventures</t>
  </si>
  <si>
    <t>www.apylon.co</t>
  </si>
  <si>
    <t>491521-60</t>
  </si>
  <si>
    <t>Hands In</t>
  </si>
  <si>
    <t>Developer of a payment application designed to enable groups to split payments seamlessly at checkout. The company's product integrates directly into e-commerce websites and portals, allowing multiple consumers to pay together for group purchases, enabling businesses to unlock new opportunities to grow revenue and enhance the customer experience.</t>
  </si>
  <si>
    <t>Elavon, Forum Ventures, Funnder, GoCardless, Gurinder Sumra, hi5 Ventures, Kickstart (Accelerator), Right Side Capital Management, Ryta Zasiekina, South East Angels, Worldpay</t>
  </si>
  <si>
    <t>www.handsin.com</t>
  </si>
  <si>
    <t>469505-62</t>
  </si>
  <si>
    <t>StepEx</t>
  </si>
  <si>
    <t>Provider of an FCA-authorised tuition finance platform intended to help UK education providers convert unused capacity into recurring revenue by removing upfront fee barriers. The company's platform offers provider-branded landing pages, regulated lending infrastructure, affordability and credit assessment processes, tuition fee financing administration, collections and servicing management, student communications, and finance, VAT, and audit reporting, enabling universities and training providers in the United Kingdom to increase enrolment and more consistent tuition fee collection through regulated pay-over-time financing.</t>
  </si>
  <si>
    <t>Anthemis, BBVA Anthemis Venture Partnership, Chris Adelsbach, Creative Destruction Lab, King's20 Accelerator, Triple Point</t>
  </si>
  <si>
    <t>www.stepex.co</t>
  </si>
  <si>
    <t>492951-07</t>
  </si>
  <si>
    <t>Ultra (Financial Services)</t>
  </si>
  <si>
    <t>Developer of a financial platform intended to offer fixed-income investment opportunities. The company's platform provides a range of debt instruments such as invoice discounting, bonds, asset leasing, and specialized reserve funds, enabling investors to build wealth through high-yielding, low-risk alternative investment opportunities.</t>
  </si>
  <si>
    <t>Aarii Ventures, AL Trust (India), Bipin Singh, Cephalopod Teknik, FirstPort Capital, Genesis It Innovations Ltd, Hua Partners, Inflection Point Ventures (India), Kashyap Shah, Kunal Shah, LVX, Mandeep Manocha, NK Securities Research, QED Innovation Labs, Snow Leopard Ventures, Superb Capital, Turbostart, Upsparks Capital, Yellapu Pramodh</t>
  </si>
  <si>
    <t>www.getultra.club</t>
  </si>
  <si>
    <t>458021-80</t>
  </si>
  <si>
    <t>AlgoPear</t>
  </si>
  <si>
    <t>Developer of an AI-powered fintech API platform designed to help credit unions and banks attract and retain younger consumers. The company offers fractional investing, financial coaching, and gamified rewards integrated within digital banking apps, enabling financial institutions to engage younger users and strengthen long-term customer relationships.</t>
  </si>
  <si>
    <t>Capital Factory, Ikon Capital, Impact Ventures (Texas), Noemis Ventures, Quantum Angels, RevTech Labs Capital, ScottPetty Petty, The Founders Arena</t>
  </si>
  <si>
    <t>www.algopear.com</t>
  </si>
  <si>
    <t>496112-23</t>
  </si>
  <si>
    <t>Taxd</t>
  </si>
  <si>
    <t>Developer of taxation software designed to file self-assessment tax returns easily, compliantly, and with maximum tax efficiency. The company's platform offers various resolutions for corporate tax returns, company accounts, limited company compliance, digital accounting, and many more, helping clients with tax filing and saving their money on tax bills and accountancy fees with an online personal accountant.</t>
  </si>
  <si>
    <t>QVentures</t>
  </si>
  <si>
    <t>www.taxd.co.uk</t>
  </si>
  <si>
    <t>232285-96</t>
  </si>
  <si>
    <t>Outfund</t>
  </si>
  <si>
    <t>Developer of a lending platform designed to offer a proper finance option to businesses. The company's platform offers on-demand B2B finance at the point of sale based solely on the business's revenues and performance, enabling businesses to spread the cost of their purchases while their suppliers are paid upfront and in full.</t>
  </si>
  <si>
    <t>1818 Venture Capital, 6 Degrees Capital, Chris Adelsbach, Fasanara Capital, Force Over Mass Capital, Fuel Ventures, GuanQun Investment, MA7 Ventures, Perivoli Innovations, PostFinance Ventures, Salica Investments, TMT Investments, Tribe Capital</t>
  </si>
  <si>
    <t>www.out.fund</t>
  </si>
  <si>
    <t>87832-63</t>
  </si>
  <si>
    <t>Bluesource (Software Development Applications)</t>
  </si>
  <si>
    <t>Developer of customized mobile software designed for banks, financial service providers, insurance companies, and retailers. The company's software offers financial technology, application development, individual software, and UX/UI design services, enabling clients to have customer engagement and a better user experience.</t>
  </si>
  <si>
    <t>aws Gründungsfonds, BCM Bruker Capital Management, David Aigner, Horizon 2020, OÖ HightechFonds, tech2b, The Art of Asset Management</t>
  </si>
  <si>
    <t>www.bluesource.at</t>
  </si>
  <si>
    <t>553190-05</t>
  </si>
  <si>
    <t>Capsa AI</t>
  </si>
  <si>
    <t>Developer of artificial intelligence-powered platforms designed to accelerate the due diligence process for private equity firms. The company's platform accelerates the due diligence process by analyzing large datasets of financial and operational data, enabling investors to make faster, data-driven investment decisions and maximize returns through comprehensive insights and risk identification.</t>
  </si>
  <si>
    <t>Adeline Arts And Science, Antler, Bek Ventures, Chris Adelsbach, Cornerstone VC, MNL Nominees, Outward Venture Capital, Paul Forster, Pivot Investment Partners, TrueSight Ventures, TX Ventures</t>
  </si>
  <si>
    <t>www.capsa.ai</t>
  </si>
  <si>
    <t>501251-32</t>
  </si>
  <si>
    <t>Cone</t>
  </si>
  <si>
    <t>Operator of a business automation and artificial intelligence company intended to provide a suite of powerful software tools for professional services and startups. The company provides various tools such as accounting practice management, proposal software, work management tool, and many more, and customers include a variety of businesses, such as accounting firms, law firms, marketing agencies, and technology companies, enabling businesses with end-to-end financial services under one roof.</t>
  </si>
  <si>
    <t>Y Combinator</t>
  </si>
  <si>
    <t>www.getcone.io</t>
  </si>
  <si>
    <t>740150-56</t>
  </si>
  <si>
    <t>Quantum Signals</t>
  </si>
  <si>
    <t>Developer of an AI (Artificial Intelligence) platform designed to deliver accurate trading signals and predictions for short-term horizons. The company combines AI with quantum-inspired techniques, thereby helping funds boost their systematic strategy performance.</t>
  </si>
  <si>
    <t>Audacia, Quantonation, Tenity, Wavepeak Ventures (US)</t>
  </si>
  <si>
    <t>www.quantumsignals.ai</t>
  </si>
  <si>
    <t>223552-90</t>
  </si>
  <si>
    <t>BeeEye</t>
  </si>
  <si>
    <t>Developer of a credit risk assessment platform intended to offer financial indicators and prediction models based on online consumer presence. The company's platform optimizes lenders' credit modeling processes using advanced algorithms that help lenders expedite the time to market of improved models using data enrichment, data pre-processing, customized feature creation, and advanced machine learning techniques, enabling financial institutions to build, deploy, customize, test, validate, optimize, and monitor credit scoring models.</t>
  </si>
  <si>
    <t>365x, Accelerator Frankfurt</t>
  </si>
  <si>
    <t>www.beeeye.com</t>
  </si>
  <si>
    <t>264576-70</t>
  </si>
  <si>
    <t>hiveonline</t>
  </si>
  <si>
    <t>AgTech, Artificial Intelligence &amp; Machine Learning, FinTech, Mobile, SaaS</t>
  </si>
  <si>
    <t>Blockchain For Good Alliance, Cryptowell, Håkan Birging, Kigkurren 2, Mastercard Lighthouse, MIT Solve, Sebbot Invest, Techstars, Torbjörn Nilsson, Vodafone Americas Foundation</t>
  </si>
  <si>
    <t>www.hivenetwork.online</t>
  </si>
  <si>
    <t>228336-76</t>
  </si>
  <si>
    <t>Payme (Japan)</t>
  </si>
  <si>
    <t>Developer of a salary prepayment platform designed to allow individuals to receive their salary for their work before the original payday. The company's platform lets employees receive their salary when they want, and money can be withdrawn via smartphones anytime and anywhere, enabling users to meet their urgent financial needs.</t>
  </si>
  <si>
    <t>CyberAgent Capital, DIMENSION (Japan), Dream Incubator, Incubate Fund, Mint (Japan), MIXI Global Investments, NOW (Japan), WiL (World Innovation Lab)</t>
  </si>
  <si>
    <t>payme.tokyo</t>
  </si>
  <si>
    <t>328187-89</t>
  </si>
  <si>
    <t>Dovly AI</t>
  </si>
  <si>
    <t>Developer of an artificial intelligence-powered credit engine designed to track, manage, and fix consumer credit reports. The company offers accurate data, transparency, and data-driven reliability with access to all three credit bureaus, and at a fraction of the cost of any alternative, with personalized alerts and recommendations, enabling users to turn their credit score into a power play and bring their dreams closer.</t>
  </si>
  <si>
    <t>1984 Ventures, Croghan Investments, Fawkes Global, NFX, Village Capital</t>
  </si>
  <si>
    <t>www.dovly.com</t>
  </si>
  <si>
    <t>434263-60</t>
  </si>
  <si>
    <t>Paays</t>
  </si>
  <si>
    <t>Developer of a lending platform designed to increase automation and conversions in lending decisions. The company's platform facilitates users with fraud detection, ID verification, anti-money laundering, and income verification with one platform and integration, enabling dealers and lenders to serve their customers better, faster, and more securely.</t>
  </si>
  <si>
    <t>www.paays.com</t>
  </si>
  <si>
    <t>512368-21</t>
  </si>
  <si>
    <t>Nanosecond Technologies</t>
  </si>
  <si>
    <t>Developer of a B2B payment platform designed for real-time settlement and auto reconciliation for any ticket size. The company's platform offers in-line payments, three-step payment checkout, and instant transaction settlements at low charges, enabling businesses to make payments and checkout without moving customers outside of their platform.</t>
  </si>
  <si>
    <t>Abhinav Sinha, Abhishek Goyal, Amrit Acharya, Anshul Gupta, Nexus Venture Partners, Nitin Gupta, Paramark Ventures, Rahul Sharma, SPJIMR Start-Up Incubation Centre, Srinath Ramkkrushnan, Vishal Chaudhary</t>
  </si>
  <si>
    <t>piceapp.com</t>
  </si>
  <si>
    <t>491570-02</t>
  </si>
  <si>
    <t>42 Card Solutions</t>
  </si>
  <si>
    <t>Provider of credit card business management services intended to help banks build, operate, and manage profitable credit card programs. The company offers credit card portfolio management, digital customer experience support, robust operational processes, and banking expertise, enabling banks to improve credit card operations and deliver efficient customer experiences.</t>
  </si>
  <si>
    <t>BEENEXT Capital Management, Blinc Invest, SIG Venture Capital, Sparkle Fund, The Fintech Meetup, Yatra Angel Network</t>
  </si>
  <si>
    <t>www.42cards.com</t>
  </si>
  <si>
    <t>534780-91</t>
  </si>
  <si>
    <t>Parlay</t>
  </si>
  <si>
    <t>Developer of a loan packaging platform designed for increasing small business lending conversions and efficiency. The company's platform offers analytical tools and helps lenders white-label products to borrowers with a user-friendly applicant portal, loan readiness scoring, pipeline analytics, and a dashboard, enabling community banks and credit unions to approve small businesses for loans to increase customer conversion rates.</t>
  </si>
  <si>
    <t>Alumni Ventures, CAFE Fintech Accelerator, Capacity Capital (Chattanooga), Fenway Summer, Hivers &amp; Strivers, JAM FINTOP, Lighthouse Labs (Richmond), Nashville Entrepreneur Center, Service Provider Capital, Start Path, Techstars, VetsinTech, Virginia Innovation Partnership Corporation</t>
  </si>
  <si>
    <t>www.parlay.finance</t>
  </si>
  <si>
    <t>264570-22</t>
  </si>
  <si>
    <t>9th Gear Technologies</t>
  </si>
  <si>
    <t>Operator of a financial platform intended to provide trading and deployment of liquidity to achieve near instant and simultaneous settlement. The company's blockchain-powered platform eliminates delivery risk, redefines and reduces credit risk, and decreases capital requirements using scalable technology on a private blockchain, and allows digital assets to be tracked through tokens, enabling users to receive better transparency and lower costs in the transaction.</t>
  </si>
  <si>
    <t>Keiretsu Forum</t>
  </si>
  <si>
    <t>www.9thgear.com</t>
  </si>
  <si>
    <t>492677-74</t>
  </si>
  <si>
    <t>OneStack</t>
  </si>
  <si>
    <t>Developer of a financial platform designed to provide neo-banking services. The company's platform integrates white-labeled financial products and provides artificial intelligence-based recommendations on financial products, borrowing and lending operations, financial goal setups, and unified payments interface using secure end-to-end payment services, enabling users to link savings, investments, credit cards, and loan accounts from multiple financial institutions into a single dashboard for monitoring and growing their money digitally.</t>
  </si>
  <si>
    <t>100Unicorns, Abhishant Pant, Angel Scions, AngelBay, Expanet Ventures, Faad Network, growX Ventures, Kunal Shah, Pentathlon Ventures, Piyush Jain, QED Innovation Labs, SamVed, Silicon Road, Sprint VC, Stride Ventures, Sunil Kulkarni, Sunil Mehta, Udtara Ventures, Venture Catalysts (Capital Markets/Institutions), Yatra Angel Network, ZNL Growth</t>
  </si>
  <si>
    <t>www.onestack.in</t>
  </si>
  <si>
    <t>233331-85</t>
  </si>
  <si>
    <t>impak Analytics</t>
  </si>
  <si>
    <t>Operator of an independent rating agency intended to provide impact assessment and scoring services. The company's agency connects savers and investors with entrepreneurs and companies working for sustainable transformation, as well as helps financial institutions in their transformation towards sustainability by integrating standardized, comparable, and contextualized data, enabling companies to get a reward for those expenses that had a positive impact on the environment or society.</t>
  </si>
  <si>
    <t>www.impakanalytics.com</t>
  </si>
  <si>
    <t>534418-30</t>
  </si>
  <si>
    <t>Paythings</t>
  </si>
  <si>
    <t>Developer of an AI platform designed to offer machine payments with a focus on cash payments and devices. The company's platform offer facilitates automatically counting and validating cash, as well as detecting counterfeit bills with the cloud platform to provide real-time data on cash levels and transactions, enabling businesses to save time, reduce losses, prevent fraud, and get instant accounting.</t>
  </si>
  <si>
    <t>F.I.T. Ventures</t>
  </si>
  <si>
    <t>www.paythings.com</t>
  </si>
  <si>
    <t>442720-63</t>
  </si>
  <si>
    <t>Aiontech</t>
  </si>
  <si>
    <t>Developer of a financial platform designed to automate and streamline various financial processes for companies. The company's platform offers to automate data collection and the matching process through an automated reconciliation process, enabling companies to discover applications and improve the return on investment.</t>
  </si>
  <si>
    <t>Acceleration+, DMZ (Toronto), DMZ Ventures, Global Startups, Innovation Factory (Hamilton), Plug and Play Tech Center, RevTech Labs, RevTech Labs Capital, The Accelerator Centre, ventureLAB Innovation Centre</t>
  </si>
  <si>
    <t>www.aiontech.com.mx</t>
  </si>
  <si>
    <t>469069-12</t>
  </si>
  <si>
    <t>Finliti</t>
  </si>
  <si>
    <t>Developer of a behavioral finance technology platform designed to transform how investors and financial advisors connect. The company offers an AI-driven psychometric tool that predicts investor behavior, automating compliance processes and enhancing personalized advice, enabling wealth management firms to build trust, improve client engagement, and grow assets under management.</t>
  </si>
  <si>
    <t>Connection Silicon Valley, Elevate (Canada), Fintech Cadence, Founder Institute, ID3 Ventures, Loyal VC, Next (Consulting Services), The Founders Arena, ventureLAB Innovation Centre</t>
  </si>
  <si>
    <t>www.finliti.com</t>
  </si>
  <si>
    <t>644262-76</t>
  </si>
  <si>
    <t>TranscendAP</t>
  </si>
  <si>
    <t>Developer of an AP automation platform designed to streamline invoice-to-pay workflows for enterprises. The company's platform provides AI-powered invoice-to-payment automation, including intelligent document capture, configurable workflows, real-time ERP integration, and supplier self-service portals, enabling finance teams in mid-to-large enterprises to reduce cost per invoice, accelerate approvals, and improve visibility and compliance across accounts payable operations.</t>
  </si>
  <si>
    <t>New Jersey Commission on Science, Innovation and Technology, Rittenhouse Ventures, Tech Council Ventures</t>
  </si>
  <si>
    <t>www.transcendap.com</t>
  </si>
  <si>
    <t>510006-97</t>
  </si>
  <si>
    <t>VYZYO</t>
  </si>
  <si>
    <t>Provider of digital payment and mobile financial services intended to improve cloud fintech services worldwide. The company specializes in design that combines mobile financial services, telecom messaging, and communications in a cloud platform and provides access to contactless payment, NFC, QR-code, digital KYC, PCI/DSS readiness, wallet-based payment, agent network, enabling business financial and messaging transactions with marketing, platform setup, web, and smart app customization.</t>
  </si>
  <si>
    <t>www.vyzyo.com</t>
  </si>
  <si>
    <t>61454-26</t>
  </si>
  <si>
    <t>Wealth Access</t>
  </si>
  <si>
    <t>Developer of a financial management platform designed to assist in wealth management. The company's platform aggregates data from complex global portfolios and renders them in a simple, clear, real-time digital dashboard, enabling financial advisors and high-net-worth individuals to succeed in the new wealth management era.</t>
  </si>
  <si>
    <t>Council Capital, Cultivation Capital, Holton Capital Group, SixThirty Ventures, T-REX</t>
  </si>
  <si>
    <t>www.wealthaccess.com</t>
  </si>
  <si>
    <t>504197-47</t>
  </si>
  <si>
    <t>RUUT</t>
  </si>
  <si>
    <t>Operator of an investment platform designed for non-investors. The company offers a simple, intuitive, and commission-free beginner-friendly product, with investment advisory, newsfeed, and an impact investment tracker, enabling investors with a simple, low-cost, and long-term holding incentive structure.</t>
  </si>
  <si>
    <t>500 Startups LatAm, 99 Startups</t>
  </si>
  <si>
    <t>www.ruut.mx</t>
  </si>
  <si>
    <t>510112-00</t>
  </si>
  <si>
    <t>Payn</t>
  </si>
  <si>
    <t>Developer of a digital billing tool designed to easily bill and manage cancellation fee billing operations. The company's tool automates billing, message sending, billing reminders, and collection that occur in the cancellation fee billing process, enabling businesses to have a fair relationship with consumers where workers are rewarded and consumers benefit more.</t>
  </si>
  <si>
    <t>Apollo Capital (Japan), Carbon Ventures, Carbon Ventures (Japan), DE-SIGN Capital, Gazelle Capital, Genesia Ventures, Gx Partners, NCB Capital (Fukuoka), SMBC Capital Partners (Asset Manager), YMFG Capital, Yoshix Capital</t>
  </si>
  <si>
    <t>www.payn.io</t>
  </si>
  <si>
    <t>484532-47</t>
  </si>
  <si>
    <t>EQL Finance</t>
  </si>
  <si>
    <t>Developer of an online lending platform designed to offer small loans with zero fees and zero interest. The company's platform facilitates users to borrow interest-free loans instantly repayable over a few months, as well as provides insights related to finances and purchase behavior, enabling working families and individuals to access and improve their financial management abilities to build credit.</t>
  </si>
  <si>
    <t>www.eqlfinance.com</t>
  </si>
  <si>
    <t>1153526-14</t>
  </si>
  <si>
    <t>Payr</t>
  </si>
  <si>
    <t>Developer of a payment platform designed to pay rent with credit or debit cards and earn rewards. The company's platform features the ability to make flexible, instant, and secure payments, enabling users to choose from a diverse range of payment methods and earn points on monthly expenses.</t>
  </si>
  <si>
    <t>British Business Bank, Haatch, Ingenii Capital, Velocity Capital Advisors, Velocity Incubator</t>
  </si>
  <si>
    <t>www.payr.com</t>
  </si>
  <si>
    <t>902410-30</t>
  </si>
  <si>
    <t>Ralio</t>
  </si>
  <si>
    <t>Developer of a payment infrastructure platform designed to support secure and controlled business transactions managed by autonomous systems. The company offers transaction guardrails, identity verification tools, and audit capabilities for account, card, and digital asset payments, enabling businesses using AI-driven financial operations to improve payment security, maintain oversight, and streamline transaction management.</t>
  </si>
  <si>
    <t>Adeline Arts And Science, Alan Morgan, Antler, Campus Fund, Endurance Ventures, Love Ventures, Mindflair, Passion Capital, Plug and Play Tech Center, rule30, Seed X Liechtenstein, SVV (Sure Valley Ventures)</t>
  </si>
  <si>
    <t>www.ralio.co</t>
  </si>
  <si>
    <t>550956-43</t>
  </si>
  <si>
    <t>Wollette</t>
  </si>
  <si>
    <t>CleanTech, FinTech, SaaS</t>
  </si>
  <si>
    <t>Developer of a digital receipt platform designed to transform receipts into valuable assets and save the planet. The company's platform helps merchants and consumers manage receipts electronically, which saves paper and helps the environment and also offers other benefits, such as targeted offers and rewards for consumers, and cost savings for merchants, thereby enabling clients to unlock significant cost savings and step forward in sustainability goals.</t>
  </si>
  <si>
    <t>Foundervine, SEMIA Incubateur d' Alsace</t>
  </si>
  <si>
    <t>www.wollette.com</t>
  </si>
  <si>
    <t>172314-64</t>
  </si>
  <si>
    <t>Abhi Loans</t>
  </si>
  <si>
    <t>Operator of a non-banking financial company intended to provide loans to medium and small-sized business entities. The company's non-banking financial services are offered through the business loan product BizSmart, enabling businesses to get a short-term, collateral-free loan.</t>
  </si>
  <si>
    <t>Ashvin Chadha, Dominor, Krishnakumar Natarajan, Niten Malhan, Ravi Bhardwaj, S.K. Jain, Sparkle Fund</t>
  </si>
  <si>
    <t>www.abhiloans.com</t>
  </si>
  <si>
    <t>481505-68</t>
  </si>
  <si>
    <t>PureGroup</t>
  </si>
  <si>
    <t>Developer of web-based financial technology products designed to meet the changing landscape of the investment and savings industry. The company's product coverage offers comparison across open, closed, and exchange-traded products, and its analytics can be introduced to customer workflows and central investment propositions, enabling global asset and wealth industries with efficiencies and ways to engage with their clients.</t>
  </si>
  <si>
    <t>ADG Prefcap</t>
  </si>
  <si>
    <t>www.puregroup.io</t>
  </si>
  <si>
    <t>434619-82</t>
  </si>
  <si>
    <t>Stairwage</t>
  </si>
  <si>
    <t>Developer of a payroll automation and earned wage access platform designed to automate salary advance management and provide employees access to earned wages before payday. The company offers on-demand salary payments, salary advance management plans, bank account-linked budgeting tools, and AI-based access to employer and public benefits, enabling companies to reduce administrative workload and employees to manage cash flow and avoid overdraft fees.</t>
  </si>
  <si>
    <t>Alexis Le-Quoc, Clement Buyse, Daniel Marhely, Jonathan Benhamou, Jonathan Cherki, Larry Berger</t>
  </si>
  <si>
    <t>www.stairwage.com</t>
  </si>
  <si>
    <t>509664-07</t>
  </si>
  <si>
    <t>ComplyPay</t>
  </si>
  <si>
    <t>Operator of an API designed to automate payment processes with distributed ledger technology. The company's platform offers features such as real-time fund management, escrow-like wallets, event-based payments, multi-currency support, instant settlement, and embedded compliance, enabling businesses to streamline payment workflows, reduce manual involvement, and integrate seamless payment experiences across a variety of online platforms.</t>
  </si>
  <si>
    <t>Algorand Foundation, Blackwood Ventures (Denmark), Borderless Capital, Copenhagen Fintech Lab, Cornelia Mueller, Giant Ventures, InnoFounder, PSV (Denmark), Sam Ibrahim Centre, Søren Møller, Susanne Brønnum, Upfin Management</t>
  </si>
  <si>
    <t>www.complypay.com</t>
  </si>
  <si>
    <t>663688-99</t>
  </si>
  <si>
    <t>Overstone</t>
  </si>
  <si>
    <t>Developer of data-driven risk assessment tools designed to evaluate the financial characteristics and risks of art and collectibles. The company's platform applies data analytics to determine mark-to-market values and assess liquidity risk across individual artworks and collections, enabling insurance providers, financial institutions, and family offices to make informed decisions on art insurance and financing based on accurate risk profiling.</t>
  </si>
  <si>
    <t>Caliance Investment, Nebulytics Capital</t>
  </si>
  <si>
    <t>www.overstoneart.com</t>
  </si>
  <si>
    <t>501392-53</t>
  </si>
  <si>
    <t>Investre</t>
  </si>
  <si>
    <t>Big Data, Cryptocurrency/Blockchain, FinTech, SaaS</t>
  </si>
  <si>
    <t>Developer of a tokenized fund infrastructure platform designed to enable the issuance, management, and administration of investment funds on distributed ledger technology. The company offers blockchain-native fund issuance, distribution, custody, compliance oversight, and fund administration capabilities, enabling asset managers, investment funds, and financial institutions to reduce operational complexity, improve transaction efficiency, and support compliant digital fund operations.</t>
  </si>
  <si>
    <t>Kneip Management, Pegasus Tech Ventures</t>
  </si>
  <si>
    <t>www.investre.eu</t>
  </si>
  <si>
    <t>342025-12</t>
  </si>
  <si>
    <t>Debex</t>
  </si>
  <si>
    <t>Operator of an auction marketplace intended to simplify the process of buying and selling debt. The company's platform allows banks and other lenders to auction their performing and non-performing debt portfolios and receive a fair price for the same, enabling clients to easily buy debt instruments.</t>
  </si>
  <si>
    <t>Investment Holding Avenir</t>
  </si>
  <si>
    <t>www.debex.ru</t>
  </si>
  <si>
    <t>492813-64</t>
  </si>
  <si>
    <t>Qwerty Marketing Solutions</t>
  </si>
  <si>
    <t>Operator of a social currency card platform designed for active social media users. The company's tool helps users to shop in a wide range of partner brands online or offline and provides substantial cash back on purchases, enabling users to monetize their social influence with every purchase.</t>
  </si>
  <si>
    <t>Aditi Shrivastava, Ahmed Badhris, Aman Gupta, AngelList India, Ankit Kedia, Anupam Mittal, Better Capital (California), Bimal Rebba, Capital-A (Bengaluru), Dhruv Toshniwal, Force Ventures (India), Ganesh Krishnan, Hustle Hard Ventures, JBW (77), Julie Kriegshaber, Madhusudanan R, Malini Agarwal, Navin Agarwal, Nikunj Lotia, Plan B Innovations, Prabhu Rangarajan, Pranay Swarup, Pulkit Agarwal, Rohit Raj, Sameer Mehta, Santoshkumar Vasudevan, Shrishti Sahu, Singularity Ventures, SN Damani, Sumit Chhazed, Varun Alagh</t>
  </si>
  <si>
    <t>www.getwyld.in</t>
  </si>
  <si>
    <t>88717-51</t>
  </si>
  <si>
    <t>Investly</t>
  </si>
  <si>
    <t>Developer of a peer-to-peer finance software designed to assist in getting working capital from investors globally. The company's platform assists in selling finance invoices to investors within two days once credit checks have been cleared, enabling clients to raise finance vital for sustaining or growing their business, as well as allowing investors to earn above-average returns.</t>
  </si>
  <si>
    <t>Contriber Ventures, Julian Kaljuvee, Nesta, Sonny Aswani, Speedinvest, Startup Wise Guys</t>
  </si>
  <si>
    <t>www.investly.co</t>
  </si>
  <si>
    <t>510895-18</t>
  </si>
  <si>
    <t>Depasify</t>
  </si>
  <si>
    <t>Developer of a financial technology platform designed to build economic infrastructure for digital assets and Web3-enabled services. The company provides a modular platform that lets traditional financial businesses and digital-native companies integrate and operate with crypto and fiat services, including virtual accounts, fiat-to-crypto on/off ramps, and cross-border payments, among others, enabling clients to enter the digital asset space quickly and securely, reduce operational complexity, and meet regulatory requirements.</t>
  </si>
  <si>
    <t>Actyus, Andbank, GoHub Ventures, JME Venture Capital, Kalonia, Lanai Ventures, Lanzadera Accelerator, Scaleup Spain Network, Wayra</t>
  </si>
  <si>
    <t>depa.finance</t>
  </si>
  <si>
    <t>491247-19</t>
  </si>
  <si>
    <t>Agrithmics</t>
  </si>
  <si>
    <t>Developer of cloud-based end-to-end process automation and fintech platform designed to streamline the supply chain ecosystem of industries. The company's tool offers produce, collection and production automation, mobile advance payment, supplier card management and payment disbursement automation tool among other, enabling agriculture sector to cater to the unique requirements of suppliers, workforces and communities while providing the scalability and profitability for future expansion of its operations.</t>
  </si>
  <si>
    <t>BOV Capital, BRAC Osiris Impact Ventures, Dfcc Bank, Dialog Axiata, Digital Innovation Fund, Hatch (Singapore), The GoviLab AgriTech Accelerator</t>
  </si>
  <si>
    <t>www.agrithmics.lk</t>
  </si>
  <si>
    <t>156044-35</t>
  </si>
  <si>
    <t>FinanZero</t>
  </si>
  <si>
    <t>Operator of an online loan marketplace intended to offer financial comparison and loan services to individuals and small businesses. The company's marketplace helps to compare loans, credit cards and other financial products from various banks and financial institutions and simplifies the process of finding and accessing financial services by providing a user-friendly platform and personalized support, enabling customers to avail of loans from credit institutions and banks in an easy manner.</t>
  </si>
  <si>
    <t>4Equity, Atlant Fonder, Dunross &amp; Co, Google Accelerator, Investment Holding Avenir, VEF, Webrock Ventures, Zentro Founders</t>
  </si>
  <si>
    <t>www.finanzero.com.br</t>
  </si>
  <si>
    <t>431710-93</t>
  </si>
  <si>
    <t>Plentina</t>
  </si>
  <si>
    <t>Developer of financial software designed to unlock financial services for people in emerging markets via alternative credit scores and microloans. The company uses machine learning algorithms to build an alternative credit score and application that provides store credit financing to buy essentials like food and medicine, enabling users to access essential goods and financial services easily.</t>
  </si>
  <si>
    <t>500 Startups Vietnam, 500 TukTuks, Adam Liebman, Amino Capital, Andrew Vigneault, AV Ventures, Canaan Partners, Caro Krissman, Clearsign Capital, DV Collective, Flexcap Ventures, Global Founders Capital, Goodwater Capital, Ignite Impact Fund, Ivan Montoya, JG Digital Equity Ventures, John Rutledge, John-Paul Gallo, Nicola Vitto, Philip Seifi, QBO Innovation Hub, Recharge Capital, Rudra Peram, StartX (US), Techstars, Tess Hau, Tess Ventures, TMV (Trail Mix Ventures), Ulu Ventures, Unpopular Ventures, Upscale Strategies Fund, William Kearns, Zhuo Huang</t>
  </si>
  <si>
    <t>www.plentina.com</t>
  </si>
  <si>
    <t>518955-94</t>
  </si>
  <si>
    <t>Lorien Finance</t>
  </si>
  <si>
    <t>Operator of a cross-border fintech platform intended to provide affordable student loans and retail banking to Indian students pursuing education in the US. The company's platform offers financial services such as funding the complete higher education of Indian immigrants and providing access to U.S. banking products, enabling students and temporary workers moving to the US to access education loans at lower interest rates.</t>
  </si>
  <si>
    <t>Aeroflex Enterprises, Ahimsa Capital, Aman Gupta, Arjun Vaidya, Brijesh Agrawal, Dhruv Bahl, FlatironX, Jana Balasubramaniam, John Werner, Kunal Shah, Play Holdings, Sameer Mehta, Seedstars International Ventures, Silver Ridge Accelerator, Suhail Sameer, Supermorpheous, TSM Ventures, Varun Alagh, Venture Catalysts, Yaser Moustafa</t>
  </si>
  <si>
    <t>www.lorien.finance</t>
  </si>
  <si>
    <t>752803-12</t>
  </si>
  <si>
    <t>Questis</t>
  </si>
  <si>
    <t>Developer of a personal financial management platform designed for financial wellness services. The company's platform is designed to provide a scalable, secure, and practical way to offer personalized financial guidance, scalable KYC solutions, and customer loyalty, connecting users with certified financial coaches and proven systems from financial firms, using behavioral science to enhance decision-making, enabling individuals to make informed financial decisions effortlessly.</t>
  </si>
  <si>
    <t>Adam Harper, Elizabeth Bisaro, Kenneth Thompson, Mike Bisaro, Rob Rickey</t>
  </si>
  <si>
    <t>www.questis.co</t>
  </si>
  <si>
    <t>494820-55</t>
  </si>
  <si>
    <t>Iris Solutions</t>
  </si>
  <si>
    <t>Operator of a licensed payment institution intended to create an accessible and secure digital environment that connects the business and its customers. The company delivers PSD2-compliant payment initiation and account information services, enabling banks, fintechs, and businesses to unlock financial data and streamline digital payments, enabling businesses to securely provide open banking services, optimize financial processes, improve reporting, and reduce costs.</t>
  </si>
  <si>
    <t>Endeavor Bulgaria (Dare 2 Scale), Innovation Capital (Bulgaria), InnovX (Bucharest), New Vision 3, Visa Innovation Program</t>
  </si>
  <si>
    <t>www.irisbgsf.com</t>
  </si>
  <si>
    <t>169487-02</t>
  </si>
  <si>
    <t>Sowefund</t>
  </si>
  <si>
    <t>Operator of a crowdfunding platform intended to provide participative financing. The company's platform specializes in venture capital, analyzes the files, and supports startups in their fundraising efforts, investment advisory, and quality company financing, enabling investors to diversify portfolios in order to mitigate risks.</t>
  </si>
  <si>
    <t>www.sowefund.com</t>
  </si>
  <si>
    <t>343484-74</t>
  </si>
  <si>
    <t>Janakalyan</t>
  </si>
  <si>
    <t>Operator of financial services designed to support microfinance in underserved urban and rural areas. The company's platform provides a wide range of financial products including skill development training, loans for micro and small businesses, and initiatives for the economic upliftment of underprivileged communities, enabling clients to improve their living standards, foster entrepreneurship, and create sustainable income opportunities while promoting financial inclusion across six states in India.</t>
  </si>
  <si>
    <t>Credent Asset Management Services, SIDBI Venture Capital, Sun Tech City</t>
  </si>
  <si>
    <t>www.janakalyan.net</t>
  </si>
  <si>
    <t>463099-51</t>
  </si>
  <si>
    <t>Karmalife</t>
  </si>
  <si>
    <t>Developer of a digital financial platform designed for the financial well-being of blue-collar gig workers and micro-businesses.The company's platform allows users to pay directly for key expenditures and smoothen their consumption patterns, based on their payroll account, through partnerships with the digital platforms they work for and operates an interest-free subscription model, enabling clients to analyze alternative data points and payment behavior over time to unlock higher credit lines for the workers.</t>
  </si>
  <si>
    <t>1950 Ventures, Abhinav Sinha, Accion, Amit Jain, Artha Venture Partners (Mumbai), Astir Ventures, Balesh Sharma, First Principles Ventures, Google Accelerator, GrowthCap Ventures, Krishna Bhupal, LogX Ventures, LVX, Netgraph Investment, Samyakth Capital, Shaji Devakar, Shajikumar Devakar, SIDBI Venture Capital, Singularity Ventures, Sprint VC, Vamsi Udayagiri, Vikram Kailas</t>
  </si>
  <si>
    <t>www.karmalife.ai</t>
  </si>
  <si>
    <t>435765-61</t>
  </si>
  <si>
    <t>ApTap</t>
  </si>
  <si>
    <t>Developer of a billing management platform designed to simplify how consumers manage and optimize bills and subscriptions through their banking apps.
The company's platform offers embedded e-commerce features such as cancellation, switching, and renewal tools, and automatically compares bills to market deals, enabling banks and merchants to help retail banking customers save time, reduce costs, and gain control over recurring payments.</t>
  </si>
  <si>
    <t>EY FinTech Growth Programme, FinTech Innovation Lab, Foundervine, Imperial Enterprise Lab, Innovate UK, Jonathan Seaton, Silicon Roundabout Ventures, SyndicateRoom, Tomorrow Capital (London)</t>
  </si>
  <si>
    <t>www.aptap.co.uk</t>
  </si>
  <si>
    <t>433605-07</t>
  </si>
  <si>
    <t>CrowdLoan</t>
  </si>
  <si>
    <t>Operator of an online lending platform intended to offer low-interest loans in Japan. The company's platform compares and examines bank loans by directly receiving a plan proposal from the bank based on the data provided by users, enabling customers to easily and quickly search for various loans that meet their needs.</t>
  </si>
  <si>
    <t>01Booster, AG Capital (Tokyo), Ampersand (Tokyo), Canal Ventures, D4V, Genesia Ventures, IVS LaunchPad, Mirai Cross, Orient, The Ampersand, Yusuke Mitsumoto</t>
  </si>
  <si>
    <t>corp.crowdloan.jp</t>
  </si>
  <si>
    <t>227396-62</t>
  </si>
  <si>
    <t>Incuto</t>
  </si>
  <si>
    <t>Operator of an automated income verification platform intended to access online banking services offered by credit unions. The company's software pools, stores, and secures transaction data, offers mobile payments, credit and debit card transaction facilities, compliance, and fraud prevention in real-time, enabling community banks to give access to digital credit and banking products to rural people or those who can't afford to visit banks in person.</t>
  </si>
  <si>
    <t>Ascension (Private Equity), Fair By Design, Mercia Asset Management, Northstar Ventures, Tech Nation Group, Wayra UK</t>
  </si>
  <si>
    <t>www.incuto.com</t>
  </si>
  <si>
    <t>494311-42</t>
  </si>
  <si>
    <t>Bold Finance (Financial Software)</t>
  </si>
  <si>
    <t>Developer of fintech software designed to enable financial freedom for low and mid-income segments in India. The company offers a gold loan credit dispensed on a franchise model and it leverages existing jeweler shops for customer acquisition, gold appraisal, and loan disbursement, enabling customers to improve credit availability by dispensing gold loans at competitive rates through trusted neighborhood jewelers.</t>
  </si>
  <si>
    <t>Antler, Ishpreet Gandhi, Kae Capital, Nitin Gupta, Sasikanth Dola, Tushar Mehndiratta, Vadiraj Kulkarni</t>
  </si>
  <si>
    <t>www.boldfinance.in</t>
  </si>
  <si>
    <t>494920-09</t>
  </si>
  <si>
    <t>iTribe</t>
  </si>
  <si>
    <t>Developer of financial services platform designed to make personal finance and investing topics and build a financially independent India. The company's platform offers news related to stocks, advisors, and investment ideas in real-time without any bundles, enabling users to increase their knowledge, find news and tools, and get second opinions from investment professionals.</t>
  </si>
  <si>
    <t>Achyuth Racharla, Aditya A, Aravind Sanka, BlueLotus Ventures, Clinging Stars LLP, Eximius Ventures, Gaurav Dahake, Harish Sivaramakrishnan, Harsh H, Incisive Ventures, Ketan Jogani, Kunal Shah, Lekhaj Nadimpalli, Naveen Kumar, Pavan Guntupalli, Rakesh Vaddadi, Ramana Maddirala, Ravi R, Reeju Datta, Rishikesh SR, Sai Gorth, Siddhartha Sahai, Silus Chintapalli, Srinivas Iyengar, Swamy Seetharaman</t>
  </si>
  <si>
    <t>www.itribe.in</t>
  </si>
  <si>
    <t>493404-58</t>
  </si>
  <si>
    <t>Regcheq</t>
  </si>
  <si>
    <t>Artificial Intelligence &amp; Machine Learning, FinTech, Legal Tech, Mobile, SaaS</t>
  </si>
  <si>
    <t>Developer of compliance and regulatory intelligence software intended to help organizations manage regulatory obligations and risk management processes. The company offers automated onboarding, screening, due diligence, monitoring, investigations, and regulatory reporting capabilities, enabling regulated businesses and compliance teams to streamline compliance workflows and support regulatory adherence.</t>
  </si>
  <si>
    <t>Benjamin Labra, BoostLAB, Daniel Undurraga, Grupo Consorcio Ventures, Jaime Boetsch, Taram Capital</t>
  </si>
  <si>
    <t>www.regcheq.com</t>
  </si>
  <si>
    <t>277199-02</t>
  </si>
  <si>
    <t>Housemartin</t>
  </si>
  <si>
    <t>Operator of a property crowdfunding platform intended to solve the problem of the housing crisis. The company's platform offers to invest in a range of properties including student accommodation, privately rented houses, and apartments, and guides socially motivated investors who want a reasonable and steady return with the comfort of residential property as security, enabling landlords and house owners to invest in properties and receive a hefty return.</t>
  </si>
  <si>
    <t>www.housemartin.co</t>
  </si>
  <si>
    <t>593687-17</t>
  </si>
  <si>
    <t>Saba.AI</t>
  </si>
  <si>
    <t>Developer of an artificial intelligence (AI) -powered working capital platform designed to streamline access to financing within enterprise financial workflows. The company offers ERP-integrated funding workflows, AI-driven risk assessment, real-time credit evaluation, and institutional capital access, enabling finance teams at mid-market enterprises to optimize working capital management and accelerate access to financing.</t>
  </si>
  <si>
    <t>SFC Capital</t>
  </si>
  <si>
    <t>www.saba.ai</t>
  </si>
  <si>
    <t>459590-59</t>
  </si>
  <si>
    <t>efit</t>
  </si>
  <si>
    <t>Developer of an automated investment-algorithm software designed for trading and asset management purposes. The company's software specializes in technical investment by efficiently collecting information with artificial intelligence, uses AI and quant-based models to let users build or choose from thousands of trading algorithms without programming, supports automatic execution in markets like cryptocurrencies and foreign exchange, enabling traders to use the investment that supports their wealth easily.</t>
  </si>
  <si>
    <t>ANOBAKA, SBI Okasan Alternative Investment, STRIVE (VC Investor), United Venture Capital</t>
  </si>
  <si>
    <t>efit.co.jp</t>
  </si>
  <si>
    <t>465663-16</t>
  </si>
  <si>
    <t>GreenArc Capital</t>
  </si>
  <si>
    <t>Provider of impact investment services intended to focus on climate action and financial inclusion. The company uses AI technology and big data to advance debt financing solutions across emerging markets by breaking down barriers to catalyze the sector into a yield-enhancing investment opportunity, enabling institutions to fill the financing gaps to alleviate poverty and restore conservation to achieve a balance between people, planet, and profit.</t>
  </si>
  <si>
    <t>CerraCap, Lam Yen Gi, Plug and Play Tech Center, StartAD, Sudip Thakor</t>
  </si>
  <si>
    <t>www.greenarccapital.com</t>
  </si>
  <si>
    <t>343463-86</t>
  </si>
  <si>
    <t>Moolahgo</t>
  </si>
  <si>
    <t>B2B Payments, E-Commerce, FinTech, Mobile, Mobile Commerce</t>
  </si>
  <si>
    <t>Developer of a peer-to-peer digital financial platform designed to connect consumers, businesses, and providers directly without the intervention of intermediaries. The company's platform offers online currency exchange and cross-border payment but bypasses the costly and inefficient traditional intermediaries, enabling consumers and businesses to convert money online from one currency to another and make overseas payments safely and conveniently online at little cost at preferred exchange rates.</t>
  </si>
  <si>
    <t>Eric Barbier, Lippo Group</t>
  </si>
  <si>
    <t>www.moolahgo.com</t>
  </si>
  <si>
    <t>184799-80</t>
  </si>
  <si>
    <t>Regime Tax Solutions</t>
  </si>
  <si>
    <t>Developer of a goods and services tax compliance technology designed to help businesses easily navigate the complexities of taxes. The company uses artificial intelligence, machine learning, process automation, taxation knowledge, and express filing technology to make the financial compliance process easy and timely, enabling tax experts and businesses to comply with GST in an affordable, quick, and automated way.</t>
  </si>
  <si>
    <t>Axilor Ventures, ScaleMinds, Veefin Solutions, VK Raman, Yesss Capital</t>
  </si>
  <si>
    <t>www.taxgenie.in</t>
  </si>
  <si>
    <t>484193-80</t>
  </si>
  <si>
    <t>3i Members</t>
  </si>
  <si>
    <t>Operator of a networking platform designed to connect finance professionals. The company's platform allows private investors to source opportunities, share expertise, and build value for one another, enabling users to improve investment knowledge and returns.</t>
  </si>
  <si>
    <t>FJ Labs</t>
  </si>
  <si>
    <t>www.3imembers.com</t>
  </si>
  <si>
    <t>599892-22</t>
  </si>
  <si>
    <t>adeus</t>
  </si>
  <si>
    <t>Expected 31-Dec-2026</t>
  </si>
  <si>
    <t>Developer of a digital estate planning platform designed to simplify will writing and legacy planning. The company's platform offers secure digital will creation, legacy planning tools, and accessible estate management features, enabling individuals and families to organise and manage inheritance planning efficiently.</t>
  </si>
  <si>
    <t>Block Dojo, Innovate UK</t>
  </si>
  <si>
    <t>adeuslife.com</t>
  </si>
  <si>
    <t>227340-19</t>
  </si>
  <si>
    <t>Finzy (Financial Software)</t>
  </si>
  <si>
    <t>Operator of a peer-to-peer lending platform designed to connect borrowers with lenders for accessing personal credit. The company offers digital loan applications, automated credit assessment, borrower-lender matching, and repayment tracking tools to connect individual borrowers with investors for accessing and providing personal credits, enabling borrowers and investors to access credit and participate in lending with simplified processes and transparent transactions.</t>
  </si>
  <si>
    <t>www.finzy.com</t>
  </si>
  <si>
    <t>234055-54</t>
  </si>
  <si>
    <t>PIVOT Fintech</t>
  </si>
  <si>
    <t>Developer of digital wealth management technology services intended to offer an investment management system. The company offers robo-advisory services and dynamic asset allocation powered by artificial intelligence and machine learning, enabling clients to access investment advisory services through machine predictions of market trends, transaction costs, liquidity, and other friction-related factors.</t>
  </si>
  <si>
    <t>Abu Dhabi Global Market, FWD Group Management Holdings, GOLDMINE CAPITAL, Pintec, T3Each Global Ventures</t>
  </si>
  <si>
    <t>www.pivotfintech.com</t>
  </si>
  <si>
    <t>525670-93</t>
  </si>
  <si>
    <t>11th.com</t>
  </si>
  <si>
    <t>Developer of a financial platform designed for investors to participate in securities class actions and collect due payouts from settlements. The company's platform offers litigation financing, settlement payouts, portfolio tracking, stock market, financial markets, investment recovery, and more, enabling the financial market to connect portfolios and instantly claim financial settlements owed to them.</t>
  </si>
  <si>
    <t>Blank Ventures, Chris Camillo, Evan Rapoport, Outside Venture Capital, Social Leverage</t>
  </si>
  <si>
    <t>www.11th.com</t>
  </si>
  <si>
    <t>443329-66</t>
  </si>
  <si>
    <t>ASYMmetric ETFs</t>
  </si>
  <si>
    <t>Provider of ETF investment services intended to protect against bear market losses without sacrificing equity returns. The company's services offer investment solutions using risk management tools, and the strategies are designed to protect against bear market losses without sacrificing equity returns, offering downside protection with upside participation, enabling clients to get diversification benefits and more profits.</t>
  </si>
  <si>
    <t>www.asymmetric.intention.ly</t>
  </si>
  <si>
    <t>181555-57</t>
  </si>
  <si>
    <t>Bank-Genie</t>
  </si>
  <si>
    <t>Developer of a financial software suite designed to simplify rudimentary branch banking using technological innovation. The company's suite helps in the continuous simplification of the banking process and sustained technology infrastructure to create virtual retail branches as well as speed up processes like cheque clearing and other digital transformations, enabling financial institutions to connect with customers and improve operational needs.</t>
  </si>
  <si>
    <t>CapitalSG, FMO Entrepreneurial Development Bank</t>
  </si>
  <si>
    <t>www.bank-genie.com</t>
  </si>
  <si>
    <t>277099-39</t>
  </si>
  <si>
    <t>BankingON</t>
  </si>
  <si>
    <t>Developer of digital banking software designed to serve community banks with an engaging digital user experience. The company provides mobile-first banking platforms for all transactions It also provides round-the-clock banking and teaches skills including earning, spending, and saving, through a fun and interactive platform, enabling credit unions to help parents train teens in essential money intelligence.</t>
  </si>
  <si>
    <t>Eagle Venture Fund</t>
  </si>
  <si>
    <t>www.bankingon.io</t>
  </si>
  <si>
    <t>462417-67</t>
  </si>
  <si>
    <t>Beagle (Financial Services)</t>
  </si>
  <si>
    <t>Operator of a retirement account management platform intended to help individuals locate and transfer retirement savings accounts. The company offers retirement account search and rollover management capabilities, enabling retirement savers to consolidate and manage their 401(k) accounts.</t>
  </si>
  <si>
    <t>Pitbull Ventures</t>
  </si>
  <si>
    <t>www.meetbeagle.com</t>
  </si>
  <si>
    <t>533010-97</t>
  </si>
  <si>
    <t>Chargeblast</t>
  </si>
  <si>
    <t>Developer of a proprietary software designed to integrate with payment gateways and reduce chargeback rates. The company's platform offers services including receiving alerts and intercepting chargebacks, obliterating dispute rates and payment blocking, enabling businesses to eliminate chargebacks before they become official on payment processors.</t>
  </si>
  <si>
    <t>www.chargeblast.com</t>
  </si>
  <si>
    <t>481220-56</t>
  </si>
  <si>
    <t>Dollar Donation Club</t>
  </si>
  <si>
    <t>FinTech, LOHAS &amp; Wellness</t>
  </si>
  <si>
    <t>Operator of a philanthropy platform designed to facilitate small-scale donations for impactful projects. The company's platform offers a user-friendly interface to support vetted charitable initiatives, tracks the measurable impact of contributions, and provides real-time updates on project outcomes, enabling individuals to contribute a minimum of one dollar monthly to philanthropy while promoting environmental sustainability and social responsibility.</t>
  </si>
  <si>
    <t>Brock Pierce, Cognic Capital, DuContra Ventures, Entrepreneur Ventures (Los Angeles), John Zdanowski, The Harmon Brothers</t>
  </si>
  <si>
    <t>www.dollardonationclub.com</t>
  </si>
  <si>
    <t>493760-71</t>
  </si>
  <si>
    <t>Encore Pay</t>
  </si>
  <si>
    <t>Developer of a digital payment platform designed to enable financial services across industries. The company's platform supports the setup and management of payment systems and enables financial institutions and businesses to integrate and facilitate digital payments across multiple customer touchpoints, enabling organizations across multiple continents to streamline their financial operations and enhance customer transaction experiences.</t>
  </si>
  <si>
    <t>GreenHouse Capital, National Incubation Center Karachi, Village Capital</t>
  </si>
  <si>
    <t>encorepay.co</t>
  </si>
  <si>
    <t>463615-66</t>
  </si>
  <si>
    <t>Ensemble Technologies (San Ramon)</t>
  </si>
  <si>
    <t>Developer of an expense tracking platform designed to help divorced and separated parents track and manage shared expenses for their children. The company offers to streamline communication about finances, quickly share past or future expenses, suggest expense splits, upload receipts, export spending records for court documentation, and review an activity feed, enabling co-parents to improve the lives of their children.</t>
  </si>
  <si>
    <t>Citi Ventures, GingerBread Capital, Global Venture Bridge, Kube VC, TTV Capital</t>
  </si>
  <si>
    <t>ensembleui.com</t>
  </si>
  <si>
    <t>515429-02</t>
  </si>
  <si>
    <t>Fiscal Advocate</t>
  </si>
  <si>
    <t>Operator of a financial management and strategic planning platform intended to build, integrate, and manage the financial infrastructure. The company's software supports budgeting, benchmarking, and business intelligence, complemented by bookkeeping services, enabling marketing firms and management consultants to improve their financial awareness, optimize cash flow, and enhance their overall profitability.</t>
  </si>
  <si>
    <t>Lakewest Venture Partners, Network Ventures</t>
  </si>
  <si>
    <t>www.fiscaladvocate.com</t>
  </si>
  <si>
    <t>94303-90</t>
  </si>
  <si>
    <t>MoneySmart Singapore</t>
  </si>
  <si>
    <t>Developer of a digital platform designed to simplify personal finance decisions. The company's platform has features to compare and apply for personal finance products such as personal loans, travel insurance, credit cards, home loans, and car insurance, enabling users with personal finance coach to confidently plan and buy products while maximizing money</t>
  </si>
  <si>
    <t>Golden Gate Ventures, Haymarket HQ, Kakaku.com, KDV Capital, Vinnie Lauria</t>
  </si>
  <si>
    <t>www.moneysmart.sg</t>
  </si>
  <si>
    <t>503823-70</t>
  </si>
  <si>
    <t>Mox</t>
  </si>
  <si>
    <t>Developer of a payroll connectivity API designed to connect financial institutions with payroll information. The company lets financial entities link repayments before payroll dispersion, reducing delinquencies and non-payment of services and improving the financial well-being of the community, enabling clients to automate the repayment of financial products directly from the payroll.</t>
  </si>
  <si>
    <t>BuenTrip Ventures, Nazca, Plug and Play Tech Center, Techstars</t>
  </si>
  <si>
    <t>www.mox.cash</t>
  </si>
  <si>
    <t>503231-50</t>
  </si>
  <si>
    <t>Quanta Market</t>
  </si>
  <si>
    <t>FinTech, Oil &amp; Gas, SaaS</t>
  </si>
  <si>
    <t>Developer of quantitative risk management and financial analysis software designed for systematic hedging and performance optimization. The company's platform integrates historical trade data, production forecasts, and capital structures to generate rules-based signals, allowing upstream oil and gas operators to replace emotional decision-making with institutional-grade analytics and automated workflows.</t>
  </si>
  <si>
    <t>Forum Ventures, Fulcrum Ventures, Right Side Capital Management, S12F</t>
  </si>
  <si>
    <t>www.quantamarkets.com</t>
  </si>
  <si>
    <t>459129-61</t>
  </si>
  <si>
    <t>Quiver Quantitative</t>
  </si>
  <si>
    <t>Developer of an investment research platform designed to bridge the data gap between individual investors and institutions. The company's platform gives retail investors free access to alternative datasets that are typically reserved for hedge funds and institutional investors and aggregates alternative stock data from across the internet, enabling users to make an informed investment decision and thereby have potentially increased returns.</t>
  </si>
  <si>
    <t>Allos Ventures, Alumni Ventures, Connetic Ventures, Idea Fund of La Crosse, Lancaster Investments, M25, Texas Venture Labs, WARF Ventures</t>
  </si>
  <si>
    <t>www.quiverquant.com</t>
  </si>
  <si>
    <t>433580-59</t>
  </si>
  <si>
    <t>roadoor.com</t>
  </si>
  <si>
    <t>Provider of online financial information and loan services. The company's platform connects financial institutions and borrowers, such as individual consumers, small business operators and enterprises, enabling both sides of customers achieve fast and secure financial transactions.</t>
  </si>
  <si>
    <t>INESA Venture Capital, Joysfortune, Shanghai STVC Group, Shangqi Capital</t>
  </si>
  <si>
    <t>www.roadoor.com</t>
  </si>
  <si>
    <t>490683-16</t>
  </si>
  <si>
    <t>Sawa</t>
  </si>
  <si>
    <t>Developer of a technology platform designed to use behavioral science and machine learning to have immediate access to a community-backed emergency fund. The company's platform provides underserved borrowers with a community support network that can dramatically reduce financial challenges, enabling users to hedge against their own future financial emergencies that could otherwise lead to delinquencies and defaults.</t>
  </si>
  <si>
    <t>Allegis Capital, Clear Heights Capital, Commerce Ventures, Precursor Ventures, Slow Ventures</t>
  </si>
  <si>
    <t>www.sawa.money</t>
  </si>
  <si>
    <t>231081-31</t>
  </si>
  <si>
    <t>Tranqui</t>
  </si>
  <si>
    <t>Operator of a financial welfare platform intended to help employees improve their finances through education and technology. The company's platform accompanies workers in their planning of personal finances, offers financial education, and manages indicators of work stress, enabling organizations to help their workers control their finances.</t>
  </si>
  <si>
    <t>500 Startups LatAm, Actions Capital, MrPink VC, Opera Ventures, Soma Capital, Y Combinator</t>
  </si>
  <si>
    <t>www.tranquifinanzas.com</t>
  </si>
  <si>
    <t>509418-01</t>
  </si>
  <si>
    <t>Value Buddy</t>
  </si>
  <si>
    <t>Developer of financial valuation tools designed to help small and large business owners calculate the value of their business. The company creates financial reports based on financial and qualitative value inputs, models analyze data from many business transactions to tailor valuation based on how the private market values companies similar to clients, and exports each report in Excel, PDF, or JPEG format, enabling organizations to calculate the value and present the data in a report.</t>
  </si>
  <si>
    <t>Awesome Fund, gener8tor, Invanti, Keyhorse Capital, Porter Sablan Capital, Team Ignite Ventures, Techstars, The Vogt Awards</t>
  </si>
  <si>
    <t>www.hellovaluebuddy.com</t>
  </si>
  <si>
    <t>442978-12</t>
  </si>
  <si>
    <t>YvesBlue</t>
  </si>
  <si>
    <t>Operator of a data analytics and reporting platform intended to provide Environmental, social, and governance (ESG) analysis and portfolio management. The company's platform offers sector-specific metrics, streamlined onboarding, a consolidated dashboard, tailored reporting, carbon budget insights, and news-based analysis, providing investment companies and institutions with a clear picture of their portfolio health and associated risks.</t>
  </si>
  <si>
    <t>Aflac Ventures, Day One Ventures, George Fox, Global Markets Incubator, Illuminate Financial, SixThirty Ventures, Tribeca Early Stage Partners, Walter Ventures</t>
  </si>
  <si>
    <t>www.yves.blue</t>
  </si>
  <si>
    <t>180291-52</t>
  </si>
  <si>
    <t>DOKKA</t>
  </si>
  <si>
    <t>Operator of an accounting automation platform intended for bookkeepers and accountants. The company's tool uses artificial intelligence and visual recognition technology to automate repetitive tasks such as centralizing data, automating reconciliation, and streamlining journal entries, consolidation, and reporting, enabling organizations to speed up the accounting processes while ensuring quality, transparency, and compliance at every step.</t>
  </si>
  <si>
    <t>Ginossar Ventures, Incentive Incubator, Peregrine Ventures, SigmaLabs Accelerator</t>
  </si>
  <si>
    <t>www.dokka.com</t>
  </si>
  <si>
    <t>462041-47</t>
  </si>
  <si>
    <t>Finexos</t>
  </si>
  <si>
    <t>Developer of artificial intelligence-powered (AI) credit management software designed to improve financial inclusion and reduce credit risk. The company's software combines advanced AI, behavioral analytics, and real-time data to accurately assess borrowers' financial situations, enabling lenders to reduce default rates, lower costs, and provide fairer access to credit for underserved markets.</t>
  </si>
  <si>
    <t>Allan Jones, British Business Bank, Future Fund (UK), G.Ventures, GCV, Grow London, James Thornton, John Adams, Mahesh Patel, SyndicateRoom</t>
  </si>
  <si>
    <t>www.finexos.io</t>
  </si>
  <si>
    <t>482788-99</t>
  </si>
  <si>
    <t>Moneyworld</t>
  </si>
  <si>
    <t>Developer of a financial platform designed to provide digital banking services. The company's platform combines video game characters and digital banking transactions and allows to earn a daily return on savings by exploring the sights and sounds of the platform, enabling users to perform financial activities and get rewarded for staying consistent.</t>
  </si>
  <si>
    <t>www.moneyworld.app</t>
  </si>
  <si>
    <t>108798-67</t>
  </si>
  <si>
    <t>Asoko Insight</t>
  </si>
  <si>
    <t>Operator of a market research platform intended to offer corporate data, market intelligence and business news. The company's platform collects and updates company information through a variety of frontline data acquisition channels after in-person verification and automated checks, enabling clients to evaluate corporate development and identify research investment opportunities.</t>
  </si>
  <si>
    <t>CRE Venture Capital, Deltalpha Capital, Doris Von Glasenapp, Emergo Partners, IDFC Alternatives Private Equity, J.E. Berman Associates, Jonathan Berman, Lateral Frontiers VC, Lighthouse Capital Partners, Musha Ventures, North Base Media, Outlierz Ventures, Rob Withagen, SPiCE VC, Zephyr Management</t>
  </si>
  <si>
    <t>www.asokoinsight.com</t>
  </si>
  <si>
    <t>503651-44</t>
  </si>
  <si>
    <t>Ventari</t>
  </si>
  <si>
    <t>Operator of an investment syndication platform intended for portfolio building purposes. The company's platform allows users to invest alongside experienced lead investors on a deal-by-deal basis, offering features such as streamlined deal access, transparent investment processes, and tools for managing multiple investments, enabling individuals and groups in the investment market to efficiently diversify their portfolios and participate in curated investment opportunities without requiring direct fund management experience.</t>
  </si>
  <si>
    <t>Airtree Ventures, Archangel Ventures, Co Ventures, TORUS (Palm Beach)</t>
  </si>
  <si>
    <t>ventari.com</t>
  </si>
  <si>
    <t>519706-27</t>
  </si>
  <si>
    <t>AQRisk</t>
  </si>
  <si>
    <t>Developer of a banking optimization platform designed to enhance profitability and credit management. The company's technology offers large-scale decision optimization, algorithmic pricing, automated credit assessment, and resource management tools, enabling banks to optimize revenue streams, mitigate credit losses, and automate granting controls.</t>
  </si>
  <si>
    <t>Copenhagen Fintech Lab, Georg Hetrodt, Klaus Holse, Mastercard Lighthouse, Peter Colsted, Rina Asmussen, TechQuartier</t>
  </si>
  <si>
    <t>www.aqrisk.com</t>
  </si>
  <si>
    <t>279459-01</t>
  </si>
  <si>
    <t>aiQ</t>
  </si>
  <si>
    <t>Developer of a data analytics platform designed to provide predictive insights for asset management. The company's platform utilizes deep learning technology to process mobile spatial statistics and point-of-sale data, providing geolocation datasets, consumer goods sales data, electronic goods market insights, retail purchase data, and automated analyst report generation, enabling corporate investors to enhance investment decision-making through sales forecasting and operational activity analysis.</t>
  </si>
  <si>
    <t>www.aiq-index.com</t>
  </si>
  <si>
    <t>538996-24</t>
  </si>
  <si>
    <t>10mg Health</t>
  </si>
  <si>
    <t>Artificial Intelligence &amp; Machine Learning, B2B Payments, Big Data, FinTech, HealthTech, SaaS</t>
  </si>
  <si>
    <t>Developer of a credit platform designed to provide instant, collateral-free financing to small healthcare providers in emerging markets. The company offers an AI-powered system that analyzes real-time inventory and transaction data to approve affordable credit within minutes, enabling clinics and pharmacies to restock essential medicines without delays, improve patient care, and reduce dependency on high-interest lending.</t>
  </si>
  <si>
    <t>Fast Accelerator, FINCA International (Washington), Hindsight Ventures, Jackson Eluma, SantanderX, Startupbootcamp AfriTech, Venteri Capital</t>
  </si>
  <si>
    <t>www.10mg.ai</t>
  </si>
  <si>
    <t>327158-38</t>
  </si>
  <si>
    <t>Manzil</t>
  </si>
  <si>
    <t>Provider of financial services intended to offer support to the Muslim community who wish to balance their financial needs with their spiritual obligations. The company's services include taking into account personal credit, risk profile, the value of the property, the length of the repayment term, and the amount of deposit, enabling clients to access loans and invest in diverse portfolios when required in a hassle-free manner.</t>
  </si>
  <si>
    <t>Acreditus Partners, Amza Ali, COTU Ventures, Craig Hunter, David Beatty, DMZ (Toronto), Elia Mazzawi, Expert DOJO, FCT Holding, Holt Xchange, Innate Capital Partners, Jasaya Investments, Nachte Capital Group, Nate Lucyk, Next (Consulting Services), Peter Zwicker, Sam Holako, ShariaPortfolio, THINK Financial, York Angel Investors, Zaeem Mirza</t>
  </si>
  <si>
    <t>www.manzil.co/ca</t>
  </si>
  <si>
    <t>183865-96</t>
  </si>
  <si>
    <t>Grant Compass</t>
  </si>
  <si>
    <t>Developer of a grant-matching platform designed to help philanthropic foundations fulfill their investment purpose. The company's software automates the usually heavy, hand-held processing of grant applications submitted by applicants, thus saving the small funds both time and money, enabling applicants to find the right grant and grants managers to get the right applicants.</t>
  </si>
  <si>
    <t>Crossroad Innovation, North-East Family Office, SEED Capital (Copenhagen)</t>
  </si>
  <si>
    <t>www.grantcompass.com</t>
  </si>
  <si>
    <t>234040-69</t>
  </si>
  <si>
    <t>Paperstac</t>
  </si>
  <si>
    <t>Developer of a mortgage note investment platform designed to upgrade the investing experience with online closings and take advantage of an alternative investment. The company's platform offers a modern way to buy and sell mortgage notes online and features such as contract generation and execution, collateral audit reports, video web chat notary integration, instant feedback, automated to-do lists, and others, enabling investors to earn profits that are secured by a hard asset easily.</t>
  </si>
  <si>
    <t>Global Equity Ventures, Orlando Opportunity Fund, Paul Mangione, PAX Momentum, StarterStudio, Stephen Kelly</t>
  </si>
  <si>
    <t>www.paperstac.com</t>
  </si>
  <si>
    <t>442577-35</t>
  </si>
  <si>
    <t>Collegia</t>
  </si>
  <si>
    <t>FinTech, InsurTech, Mobile, SaaS</t>
  </si>
  <si>
    <t>Operator of pension management platform intended to simplify retirement planning and auto-enrolment. The company's platform provides consolidated access to multiple pension accounts, including workplace and personal plans, investment options with automated risk adjustment, retirement planning tools, employer contribution management, compliance automation for auto-enrolment, and mobile-based account access, enabling employees, employers, and advisors to manage pensions efficiently, plan retirement outcomes, and maintain regulatory compliance.</t>
  </si>
  <si>
    <t>John Ford, Marco Yi, Oxford University Innovation</t>
  </si>
  <si>
    <t>www.collegia.co.uk</t>
  </si>
  <si>
    <t>433752-04</t>
  </si>
  <si>
    <t>indó</t>
  </si>
  <si>
    <t>Operator of a banking and financial services platform intended to provide secure fintech services. The company's platform offers current accounts, debit card services, and other banking services with low rates, lower transaction fees, and total transparency, enabling customers to make safe deposits and secure digital banking transactions.</t>
  </si>
  <si>
    <t>Evolution (Venture Capital), Goose Valley Ventures, Iceland Venture Studio, Icelandic Technology Development Fund, InfoCapital, Mastercard Lighthouse, Vidici Ventures</t>
  </si>
  <si>
    <t>www.indo.is</t>
  </si>
  <si>
    <t>469061-47</t>
  </si>
  <si>
    <t>Income Analytics</t>
  </si>
  <si>
    <t>Developer of cloud-based financial software designed for real estate tenant income and lender risk analysis. The company's platform offers proprietary income risk analytics, comprehensive portfolio reporting, and real-time tenant income risk scores, enabling real estate investors, owners, and lenders to minimize their probability of rental loss more accurately and making an investment in real estate more transparent and efficient.</t>
  </si>
  <si>
    <t>Grosvenor Hill Ventures, MSCI (Real Estate)</t>
  </si>
  <si>
    <t>www.incans.com</t>
  </si>
  <si>
    <t>436264-03</t>
  </si>
  <si>
    <t>GoalBased Investors</t>
  </si>
  <si>
    <t>Operator of a digital platform intended for goal-based financial planning and advice. The company's platform helps individuals plan financial goals, regardless of their financial literacy, and easily matches them with the expert advice needed to successfully achieve them, and offers the suite in one streamlined and gamified experience, enabling clients to access financial planning and advice by facilitating effective, efficient conversations around financial goals.</t>
  </si>
  <si>
    <t>The Venture Collective, True Ventures</t>
  </si>
  <si>
    <t>www.getlassoapp.com</t>
  </si>
  <si>
    <t>481306-51</t>
  </si>
  <si>
    <t>EasiLoan</t>
  </si>
  <si>
    <t>Developer of a fintech platform designed to provide a digital home loan marketplace. The company's application customizes options with a proprietary AI-based instant match-making tool, offering multiple options that suit home loan requirements the best, enabling users with a single platform for end-to-end digital processing of home loans.</t>
  </si>
  <si>
    <t>Housing.com, Tomorrow Capital</t>
  </si>
  <si>
    <t>www.easiloan.com</t>
  </si>
  <si>
    <t>471329-20</t>
  </si>
  <si>
    <t>Mistho</t>
  </si>
  <si>
    <t>Developer of a payroll management platform designed to provide the access and use of salary data and other personal data. The company's platform offers an open payroll API that can be used to quickly clarify the income situation for loan providers and verify end-user income, allows consumers to access and securely share their employment and payroll data with counterparties, enabling businesses to provide the quality services to the the consumer across the fintech industry.</t>
  </si>
  <si>
    <t>Ante Spittler, Fin Capital, Global Founders Capital, Kai Hansen, Lightbird Ventures, Nauta Capital, Stefan Tietze</t>
  </si>
  <si>
    <t>www.mistho.io</t>
  </si>
  <si>
    <t>523000-81</t>
  </si>
  <si>
    <t>Round Treasury</t>
  </si>
  <si>
    <t>Developer of a treasury management platform intended to manage portfolios, reinvest income, and make strategic adjustments for startups. The company's platform minimizes risk and maximizes return on excess cash, centralizes all financial data to get better rates, diversifies banking risk, and manages liquidity, enabling startups to earn yield with safe, secure, government-backed securities.</t>
  </si>
  <si>
    <t>ALSTIN Capital, Ascension (Private Equity), Atomico (UK) Partners, Backed, Darren Westlake, Entrepreneurs First, Love Ventures, Odin Investments, Passion Capital, Paul Forster, Pranav Sood, Samos Investments, Scout Fund, Simon Taylor, Tiny Supercomputer Investment Company</t>
  </si>
  <si>
    <t>www.roundtreasury.com</t>
  </si>
  <si>
    <t>593315-83</t>
  </si>
  <si>
    <t>Triffin</t>
  </si>
  <si>
    <t>Developer of a finance platform designed to automate cash flow forecasting, expense management, and financial workflows for consumer brands. The company offers integrations with multi-channel commerce, daily projections, and automated system workflows, enabling teams to make informed decisions, optimize operations, and drive business growth.</t>
  </si>
  <si>
    <t>Episode 1 Ventures, Haatch, Martin Brailsford, Portfolio Ventures</t>
  </si>
  <si>
    <t>www.triffin.com</t>
  </si>
  <si>
    <t>101262-16</t>
  </si>
  <si>
    <t>Easy Payment Gateway</t>
  </si>
  <si>
    <t>Developer of an online payment gateway technology designed to empower easy payments for merchants. The company's platform offers multiple payment services and credit card transactions for merchants, along with drag-and-drop technology that offers the ability to design and implement workflows by non-IT staff, enabling businesses to reduce costs and increase conversions.</t>
  </si>
  <si>
    <t>Andreas Mihalovits, Bentworth Holdings, Clearhaus, Gaming Innovation Group (Acquired 2015), O'Hara Financial, Optimizer Invest, Ran Tushia, Reconext</t>
  </si>
  <si>
    <t>easypaymentgateway.com</t>
  </si>
  <si>
    <t>467040-79</t>
  </si>
  <si>
    <t>Horus Software</t>
  </si>
  <si>
    <t>Developer of an AI-powered cloud accounting software platform designed to fully automate document encoding and financial bookkeeping for fiduciaries and small-to-medium enterprises. The company's platform uses behavioral analysis algorithms and integrated mobile invoicing applications to handle real-time receipt scanning, anomaly detection, and Peppol-compliant electronic document routing, enabling clients to eliminate manual data-entry bottlenecks, minimize accounting errors, and drastically reduce administrative overhead.</t>
  </si>
  <si>
    <t>Benjamin Cupers, Investsud</t>
  </si>
  <si>
    <t>www.horussoftware.be</t>
  </si>
  <si>
    <t>162903-70</t>
  </si>
  <si>
    <t>ZipBooks</t>
  </si>
  <si>
    <t>Developer of online accounting software designed to manage enterprise cash flow. The company's software offers a fee-based bookkeeping service, which allows users to keep books current, manage payroll taxes, handle employee self-onboarding, and look for tax deductions, enabling businesses to categorize expenses and keep up-to-date with the financials.</t>
  </si>
  <si>
    <t>Album VC, BoomStartup, Liquid 2 Ventures, Utah Governor's Office of Economic Development</t>
  </si>
  <si>
    <t>www.zipbooks.com</t>
  </si>
  <si>
    <t>454308-40</t>
  </si>
  <si>
    <t>eCIO</t>
  </si>
  <si>
    <t>Developer of a low-cost investment management platform designed to manage boards and committees virtually while saving on investment fees. The company's platform facilitates direct video conferencing integration with board and committee management, enabling non-profit organizations to achieve secure and easy-to-use virtual headquarters to keep members connected and engaged.</t>
  </si>
  <si>
    <t>www.getecio.com</t>
  </si>
  <si>
    <t>433169-02</t>
  </si>
  <si>
    <t>CashInvoice</t>
  </si>
  <si>
    <t>Operator of a fintech platform intended to compare alternative finance and invoice factoring. The company's platform facilitates through a fully digitized process, the financing of all those companies that need capital to grow but are not adequately supported by traditional financial channels, through the introduction of liquidity given by the sale of commercial credits, enabling businesses in the disposal of trade receivables to obtain financing, improve cash flow, and optimize working capital.</t>
  </si>
  <si>
    <t>Fasanara Capital</t>
  </si>
  <si>
    <t>www.cashinvoice.it</t>
  </si>
  <si>
    <t>521998-93</t>
  </si>
  <si>
    <t>Wealth Reader</t>
  </si>
  <si>
    <t>Developer of a financial application designed to offer standardized and real-time access to any type of financial asset. The company's platform offers reliable connectivity with banks and other entities, with data quality, including information on investments, enabling clients to have access to financial assets.</t>
  </si>
  <si>
    <t>Angels Capital, Itnig, Marina de Empresas, Tres Coronas, Trust Valley, Venturelab</t>
  </si>
  <si>
    <t>www.wealthreader.com</t>
  </si>
  <si>
    <t>466898-32</t>
  </si>
  <si>
    <t>Cappy (Financial Software)</t>
  </si>
  <si>
    <t>Developer of a pay management application intended to provide access to earned wages. The company's application gives a continuous overview of the number of hours worked, earned wage, and the possibility for an employee to determine when to withdraw their earned income, providing employees with a feeling of freedom and security, as well as motivation and loyalty towards workplaces and employers with an overall increase in productivity, all without impacting the payroll process or the company's liquidity.</t>
  </si>
  <si>
    <t>Almi Invest, GoKap Invest, Lina Kanstrup</t>
  </si>
  <si>
    <t>www.cappy.se</t>
  </si>
  <si>
    <t>268276-06</t>
  </si>
  <si>
    <t>Dibee</t>
  </si>
  <si>
    <t>Developer of a digital fleet payment and expense management platform designed to serve the transportation industry. The company's platform operates under a licensed e-wallet, providing real-time transaction monitoring, velocity controls, automated e-invoice reconciliation, and a mobile application for drivers, enabling fleet operators to reduce administrative tasks, prevent fraud, and lower operational costs.</t>
  </si>
  <si>
    <t>AVV (Ascend Vietnam Ventures)</t>
  </si>
  <si>
    <t>www.dibee.vn</t>
  </si>
  <si>
    <t>491323-15</t>
  </si>
  <si>
    <t>EleverAmetra Investment Managers</t>
  </si>
  <si>
    <t>Developer of a personalized investing application designed to help customers elevate their financial health and goals. The company's platform offers personalized financial planning, automated portfolio optimization, and detailed market analysis, enabling investors to make informed decisions based on real-time data and expert insights.</t>
  </si>
  <si>
    <t>Brand Capital, Massimo Vita, Peak XV Partners, Seetharaman Babu, Titan Capital, Udaya Hebbar</t>
  </si>
  <si>
    <t>www.ametra.in</t>
  </si>
  <si>
    <t>1326044-80</t>
  </si>
  <si>
    <t>OpenCFO</t>
  </si>
  <si>
    <t>Operator of an AI-driven financial operations system intended to unify and automate accounts receivable, accounts payable, and treasury workflows for modern finance teams. The company's platform offers intelligent automation, real-time cash visibility, unified workflow orchestration, global payment rails, and AI agents coordinating financial tasks across systems, enabling mid-market finance teams to improve cash flow control, reduce manual effort, and manage multi-entity, multi-currency operations more efficiently.</t>
  </si>
  <si>
    <t>Endiya Partners</t>
  </si>
  <si>
    <t>www.opencfo.ai</t>
  </si>
  <si>
    <t>166709-89</t>
  </si>
  <si>
    <t>Talkbank</t>
  </si>
  <si>
    <t>Developer of an online fintech platform designed to build a banking infrastructure to suit the business processes. The company's platform provides the partner with the opportunity to implement any financial services for clients using our IT methods, enabling banks to automate and standardise customer engagement.</t>
  </si>
  <si>
    <t>Internet Initiatives Development Fund, Jan Krustkaln, Pavel Goltsblat</t>
  </si>
  <si>
    <t>www.business.talkbank.io</t>
  </si>
  <si>
    <t>746606-35</t>
  </si>
  <si>
    <t>Rupeeflo</t>
  </si>
  <si>
    <t>Developer of a financial platform intended to manage finances for non-resident Indians (NRIs). The company's digital application provides easy and paperless access to stock markets, mutual funds, and index funds without regulatory headaches and builds a financial ecosystem, providing NRIs with a cutting-edge platform for banking, investments, and wealth management.</t>
  </si>
  <si>
    <t>Kedar Kulkarni, Kishore Natarajan, Piper Serica Advisors, Rainmatter Capital, Ravi Shankar</t>
  </si>
  <si>
    <t>www.rupeeflo.com</t>
  </si>
  <si>
    <t>179294-32</t>
  </si>
  <si>
    <t>TradePlus24</t>
  </si>
  <si>
    <t>Operator of a receivables-based credit system intended to provide small and medium enterprises with flexible capital access. The company's platform offers credit lines that grow in line with trade receivables, enabling businesses to secure funding without incurring extensive administrative burdens and while improving efficiency.</t>
  </si>
  <si>
    <t>Berliner Volksbank, Berliner Volksbank Ventures, Channel Capital Advisors, Credit Suisse, Ivo Ronner, M&amp;G, Redstone VC, SICTIC, SIX FinTech Ventures</t>
  </si>
  <si>
    <t>www.tp24group.com</t>
  </si>
  <si>
    <t>484840-09</t>
  </si>
  <si>
    <t>UMushroom</t>
  </si>
  <si>
    <t>Operator of a fintech platform intended to help users make informed investing decisions. The company's platform provides structured information based on research analyst ratings, social media sentiment, and community knowledge, also makes users follow other users' portfolios, build their community of followers, and gain the recognition of the crowd, enabling users to upskill their investment knowledge and intuitively make investment decisions.</t>
  </si>
  <si>
    <t>Kickstart Innovation</t>
  </si>
  <si>
    <t>www.umushroom.com</t>
  </si>
  <si>
    <t>515327-41</t>
  </si>
  <si>
    <t>Groov (Business/Productivity Software)</t>
  </si>
  <si>
    <t>Developer of an automation infrastructure designed for embedded business finance. The company's platform assists business leaders in connecting to customers' financial data, underwriting credit offers, and managing repayments, enabling businesses to generate a new revenue stream from their small business customers.</t>
  </si>
  <si>
    <t>Accident Compensation Corporation, Aperture, Fuel Ventures</t>
  </si>
  <si>
    <t>www.wearegroov.io</t>
  </si>
  <si>
    <t>167562-55</t>
  </si>
  <si>
    <t>CoInvestor</t>
  </si>
  <si>
    <t>Developer of cloud-based financial software designed to deliver capital raising and investor reporting for private markets. The company's software connects investors with private market funds and single companies, enabling fund managers to provide a branded, secure and seamless digital reporting solution for their clients.</t>
  </si>
  <si>
    <t>Aken Capital, Government of UK, Just Storvik, Matthew Peacock, René Beltjens, Ryan Hayward, Ryan Steele, Tech Nation Group, Tor Erland Fyksen</t>
  </si>
  <si>
    <t>www.coinvestor.co.uk</t>
  </si>
  <si>
    <t>183641-50</t>
  </si>
  <si>
    <t>Koosmik</t>
  </si>
  <si>
    <t>Developer of a digital payment platform designed to simplify the money transfer experience. The company's payment platform offers simple, low-cost, rewarding, and various banking facilities, enabling clients, such as e-businesses, online booking centers, street shops, and large companies, to have and manage an electronic account, send and receive transfers, payments, and remittance funds.</t>
  </si>
  <si>
    <t>Alpharatz, Antipodes Partners, Batipart, Rajaa Mekouar</t>
  </si>
  <si>
    <t>www.koosmik.com</t>
  </si>
  <si>
    <t>529869-07</t>
  </si>
  <si>
    <t>Yonda</t>
  </si>
  <si>
    <t>Provider of tax consulting services intended to help online businesses sell compliantly across various countries. The company offers a wide range of services encompassing tax planning, compliance, corporate tax filings, advisory services, and more for individuals, small businesses, corporations, and multinational organizations, helping businesses to scale without stress, avoid fines, and save time by automating all aspects of indirect tax compliance.</t>
  </si>
  <si>
    <t>Kennet Partners, NYO Capital, Portfolio Ventures, PV Nominees</t>
  </si>
  <si>
    <t>www.yondatax.com</t>
  </si>
  <si>
    <t>132191-83</t>
  </si>
  <si>
    <t>Myforexeye</t>
  </si>
  <si>
    <t>Operator of a full-service foreign exchange company intended to provide a shop for all foreign exchange products and services. The company's products and services utilize mobile and web applications to offer transaction process outsourcing, transaction forex risk advisory, rate audit, trade finance, retail forex, structured trade finance, currency futures broking, treasury manpower placement, and corporate training, enabling small and medium enterprises, business-to-business, and business-to-consumer entities to minimize their transaction cost in the less-transparent forex markets.</t>
  </si>
  <si>
    <t>Ankit Sharma, InRhythm Energy, Rahul Kumar, Rajesh Mahajan</t>
  </si>
  <si>
    <t>myforexeye.com</t>
  </si>
  <si>
    <t>482361-40</t>
  </si>
  <si>
    <t>Earnwealth</t>
  </si>
  <si>
    <t>Developer of diversified financial technology designed for business growth and individual financial support. The company's platform includes tailored lending options, strategic wealth management solutions, technology-enabled tools for operational efficiency, and a range of essential consumer products, enabling individuals and businesses in India to access integrated services that address their financial, digital, and everyday consumption needs through a unified and scalable service ecosystem.</t>
  </si>
  <si>
    <t>www.earnwealth.in</t>
  </si>
  <si>
    <t>293059-27</t>
  </si>
  <si>
    <t>ANote Music</t>
  </si>
  <si>
    <t>Developer of an online music stock exchange designed to create a new asset class out of royalties. The company's platform collects rights from record labels, publishers, managers, and artists willing to sell and bids from Investors who want to buy the same and distributes the shares accordingly, enabling investors to invest in songs and albums and allowing artists to become financially independent.</t>
  </si>
  <si>
    <t>ACME Innovation, Algorand Foundation, CultTech Accelerator, Fit 4 Start, Le Village by CA, Luxembourg Ministry of the Economy, StarSeed (Angel Group)</t>
  </si>
  <si>
    <t>www.anotemusic.com</t>
  </si>
  <si>
    <t>227818-81</t>
  </si>
  <si>
    <t>Be Chipper</t>
  </si>
  <si>
    <t>Developer of a loan payment application designed to help student loan borrowers easily pay off their debt online. The company's application simply links student loans with accounts and cards that they use to purchase items, rounds up each transaction, and automatically sends the change to student loans, enabling students to pay off their debts from everyday transactions and contributions from family and friends.</t>
  </si>
  <si>
    <t>37 Angels, 500 Global, 529 Ventures, Anthony Armendariz, Banco Bilbao Vizcaya Argentaria, BlueKey Equity Partners, Brian Thorp, Cap Table Coalition, Capital Factory, Cathexis Ventures, Central Texas Angel Network, Chris Porch, Chris Turnley, Craig Lewis, Deciens Capital, Dosh, Ethan Bloch, FJ Labs, Freestyle Capital, Global FinTech Venture Partners, Houston Angel Network, John Henry, Justin Hissong, Knightsgate Ventures, Mark Friday, NerdWallet, Plug and Play Tech Center, Propel Venture Partners, Proximity Ventures, Sam Goodner, Slauson &amp; Co., Social Finance</t>
  </si>
  <si>
    <t>www.chipper.app</t>
  </si>
  <si>
    <t>139456-54</t>
  </si>
  <si>
    <t>Bluering</t>
  </si>
  <si>
    <t>Developer of a commercial and retail credit management software designed to make the life of every credit expert easier. The company's software specializes in credit risk automation, credit management, and credit scoring, enabling banks or financial institutions to automate their entire loan origination and lending process.</t>
  </si>
  <si>
    <t>Berytech, Cedar-IBSi FinTech lab, Nucleus Ventures, Phoenician VC</t>
  </si>
  <si>
    <t>www.bluering.com</t>
  </si>
  <si>
    <t>534461-59</t>
  </si>
  <si>
    <t>Get Parallel</t>
  </si>
  <si>
    <t>Developer of a fintech platform intended to drive strategy, prioritize outcomes, and turn ideas into action. The company's platform provides real-time information, eliminating manual tasks, reducing manual reconciliation time, and simplifying reporting, enabling finance teams to make planned and informed decisions.</t>
  </si>
  <si>
    <t>Alex Bean, Background Capital, Colin Zima, Convoi Ventures, Frazier VC, Jared Rodman, Jeron Paul, K5 Global, Meridian Ventures, Mintaka Ventures, Night Capital, Path Ventures, Peak Capital Partners, Penny Jar Capital, Sandlot Partners, Tokyo Black</t>
  </si>
  <si>
    <t>www.getparallel.com</t>
  </si>
  <si>
    <t>454259-08</t>
  </si>
  <si>
    <t>Lumiant</t>
  </si>
  <si>
    <t>Operator of a cloud-based advice and client engagement platform designed to help clients connect around their lives, values, and finances. The company's platform is equipped with an administration interface that offers a dashboard view where advisers can manage client accounts, launch client presentations and collaborative activities, and get a snapshot of the current portfolio amount and actual asset allocation as provided by key investment platforms, enabling advisers to tie their clients' financial strategies to meaningful values and goals and help them to make decisions for a longer term.</t>
  </si>
  <si>
    <t>Brent Fairhead, Collins SBA Nominees, Invest Blue, JHS Capital Advisors, Ric Edelman, Savant Wealth Management, Tensility Venture Partners, The Founders Arena</t>
  </si>
  <si>
    <t>www.lumiant.io</t>
  </si>
  <si>
    <t>653078-80</t>
  </si>
  <si>
    <t>Parti Pris Investment Partners</t>
  </si>
  <si>
    <t>Provider of personalized enterprise technology services intended to help implement household investment portfolios. The company provides portfolios with a focus on multi-account householding, risk management, and tax optimization, helping financial advisors to build customized investment strategies that align with clients' financial goals and risk tolerances while assisting clients in finding the right resolutions for their needs.</t>
  </si>
  <si>
    <t>www.partipris-invest.com</t>
  </si>
  <si>
    <t>519619-96</t>
  </si>
  <si>
    <t>Vine</t>
  </si>
  <si>
    <t>Developer a lending platform designed for financiers and borrowers to collaborate more effectively. The company's platform incorporates features such as AI-driven document management, full lifecycle oversight, and customizable workflows, enabling lenders to enhance operational efficiency and improve collaboration among stakeholders while significantly reducing manual tasks and expediting loan processing from origination to closing.</t>
  </si>
  <si>
    <t>Bankers Helping Bankers Fund, Blake Paulson, Brandon Kunz, George Kelley, Jeffrey Harper, Joe Gomez, Marco Bernasconi, Neeraj Vohra, Ralph Marcuccilli, RevTech Labs Capital, Terrence Ammons, Tom Shen, Zahid Afzal</t>
  </si>
  <si>
    <t>www.vinefin.com</t>
  </si>
  <si>
    <t>268210-45</t>
  </si>
  <si>
    <t>Wizest</t>
  </si>
  <si>
    <t>Developer of a savings and investing platform designed to democratize access to financial advisors and make investing sustainable. The company's platform drafts a team of advisors as per user selection, replicating the virtual portfolio on users' behalf, enabling customers to diversify investment strategies, as well as a learning and engaging experience through its gamified environment.</t>
  </si>
  <si>
    <t>Aperture Venture Capital, Apex Fintech Solutions, Capital Factory, gener8tor, Guindy Alumni Angels, Jumpstart Ventures, MassChallenge, North Coast Ventures</t>
  </si>
  <si>
    <t>www.wizest.com</t>
  </si>
  <si>
    <t>483246-91</t>
  </si>
  <si>
    <t>YouPay (Financial Services)</t>
  </si>
  <si>
    <t>Developer of a fintech platform designed to increase e-commerce conversion rates by providing an alternative payment mechanism. The company's platform has a payment option that separates the recipient from the payer, securely and privately, and it tackles the multi-billion-dollar problem of abandoned e-commerce shopping carts, enabling clients to get the payment opportunities to transform online shopping conversions.</t>
  </si>
  <si>
    <t>Allectus Capital, Brisbane Angels, Sprint Ventures (Australia)</t>
  </si>
  <si>
    <t>www.youpay.co</t>
  </si>
  <si>
    <t>300305-08</t>
  </si>
  <si>
    <t>Amaka IO</t>
  </si>
  <si>
    <t>Developer of an accounting platform intended for business owners, professional accountants and bookkeepers to automate accounting operations. The company's platform connects the systems used to run the business and starts synchronizing all the sales records, and automates extracting data from the POS system and getting it delivered to the preferred format, enabling users to access effortless insights and track their business metrics.</t>
  </si>
  <si>
    <t>AraCapital Investments, Chadd Ciccarelli, Flying Fox Ventures, Foggy Valley Aotearoa, Jelix Ventures, OIF Ventures, Verona Capital</t>
  </si>
  <si>
    <t>www.amaka.com</t>
  </si>
  <si>
    <t>433914-85</t>
  </si>
  <si>
    <t>IntelliBonds</t>
  </si>
  <si>
    <t>Developer of an augmented fixed-income investing platform designed to empower bond investors to decrease costs and improve investment returns. The company's platform offers credit and portfolio assistant software with credit rating and spread prediction features, automates credit analysis workflow, and portfolio construction and optimization, enabling fixed-income investors to help manage workflow and increase productivity while increasing portfolio returns.</t>
  </si>
  <si>
    <t>Barclays Eagle Lab, DIFC Innovation Hub, Engine (Accelerator), Francisco Calisto, MassChallenge, OneValley, Patha Capital, Russell Smith, Soininen Finance</t>
  </si>
  <si>
    <t>www.intellibonds.com</t>
  </si>
  <si>
    <t>462605-05</t>
  </si>
  <si>
    <t>Blipp</t>
  </si>
  <si>
    <t>Operator of a vehicle marketplace intended to sell or buy a car from home in a safe way. The company's marketplace allows taking advantage of car loans with security, insurance offers, car guarantees, and secure transactions, enabling consumers with easy safe deals with a hassle-free experience and making the used car market safe, simple and more economical for them.</t>
  </si>
  <si>
    <t>www.blipp.se</t>
  </si>
  <si>
    <t>432997-93</t>
  </si>
  <si>
    <t>BonusHub</t>
  </si>
  <si>
    <t>Developer of a digital payments platform intended to eliminate cash transactions. The company's platform leverages technology to offer a single-window alliance for acceptance of UPI and multiple wallets, as well as settlement and reconciliation, enabling service providers and fintech organizations to seamlessly integrate and transact with one another.</t>
  </si>
  <si>
    <t>Chiratae Ventures, Qualcomm Ventures</t>
  </si>
  <si>
    <t>www.bonushub.co.in</t>
  </si>
  <si>
    <t>167142-61</t>
  </si>
  <si>
    <t>Bondlinc</t>
  </si>
  <si>
    <t>Developer of a wealth management platform designed to facilitate bond trading. The company's platform assists firms in meeting regulatory obligations and improves their bond sales and trading efficiency by empowering users with data-driven insights, enabling financial institutions to increase productivity and information distribution while meeting increasing compliance requirements.</t>
  </si>
  <si>
    <t>The FinLab</t>
  </si>
  <si>
    <t>www.bondlinc.com</t>
  </si>
  <si>
    <t>528684-13</t>
  </si>
  <si>
    <t>Primary Technology</t>
  </si>
  <si>
    <t>Developer of a treasury management platform designed to enhance businesses with returns on their cash reserves. The company's platform connects users with low-risk, high-interest financial products through real-time data, automated workflows, and integrated risk management to manage investments securely and reduce complexity around treasury, payments, and cash flow, enabling startups and SMEs to get returns on idle cash.</t>
  </si>
  <si>
    <t>AfterWork Ventures, ALSP21, Archangel Ventures, Carthona Capital, Macdoch Ventures, No Brand, Perpetual (Asset Management), Prual Investments, Resolution Ventures</t>
  </si>
  <si>
    <t>www.primary.tech</t>
  </si>
  <si>
    <t>265863-16</t>
  </si>
  <si>
    <t>Iconomi</t>
  </si>
  <si>
    <t>Developer of a digital asset management platform designed to buy and sell cryptocurrencies. The company's blockchain-based platform allows new investors to invest in cryptocurrencies like bitcoin and ethereum directly through a diversified basket of different digital assets namely digital asset arrays, enabling investors to invest in and manage various digital assets and plans.</t>
  </si>
  <si>
    <t>HyperChain Capital</t>
  </si>
  <si>
    <t>www.iconomi.com</t>
  </si>
  <si>
    <t>107420-59</t>
  </si>
  <si>
    <t>Fundshop</t>
  </si>
  <si>
    <t>Developer of a finance web application designed to help investors construct and manage their investments online. The company's platform offers fund selection, portfolio allocation, investment analysis, and insurance integration features through a digital interface, enabling investors and financial professionals to manage assets efficiently and support investment decision-making.</t>
  </si>
  <si>
    <t>Mandalore Partners</t>
  </si>
  <si>
    <t>www.fundshop.fr</t>
  </si>
  <si>
    <t>503365-06</t>
  </si>
  <si>
    <t>Lendorse</t>
  </si>
  <si>
    <t>Operator of a B2B2C social impact fintech company intended to provide "study now, pay later" agreements specifically for students from developing countries. The company offers financial agreements that allow students to pursue their education without upfront costs, repay a portion of their future income with a unique underwriting model that assesses creditworthiness without relying on traditional credit scores, collateral, or co-signers, and provides career assistance to help graduates secure their desired jobs, enabling students to achieve their professional aspirations and sustainably repay their educational costs.</t>
  </si>
  <si>
    <t>Daniel Naber, Earlybird Venture Capital, European Investment Fund, Evergreen Venture Partners, Impact Factory (A/I), Lumo Labs, PI Impact, Soulmates Ventures, Techstars, Vealo Ventures</t>
  </si>
  <si>
    <t>www.lendorse.com</t>
  </si>
  <si>
    <t>484137-10</t>
  </si>
  <si>
    <t>PayOK</t>
  </si>
  <si>
    <t>Developer of a payment verification software designed to assist clients in reducing fraud. The company's platform verifies and confirms the identity, credentials and information of bank account details before making a payment, ensuring funds go to the correct account as well as allows existing suppliers to edit, change and update their bank account information, enabling the clients to pay suppliers with confidence without risk and fraudulent.</t>
  </si>
  <si>
    <t>Nightingale Partners (Australia)</t>
  </si>
  <si>
    <t>www.payok.com.au</t>
  </si>
  <si>
    <t>462922-48</t>
  </si>
  <si>
    <t>Heard Technologies</t>
  </si>
  <si>
    <t>Developer of a financial management software designed to help therapists manage their bookkeeping, taxes, and payroll. The company offers done-for-you monthly bookkeeping, quarterly tax estimates, annual tax filing, payroll processing, and support for S corp election, enabling mental health professionals to streamline their finances, stay organized, and comply with tax requirements.</t>
  </si>
  <si>
    <t>Act One Ventures, Akins Van Horne, CapitalX, Charlie Makin, Cindy Bi, D'Arcy Coolican, Footwork, Founders' Co-op, Greenpoint Capital, Headline, Heron Rock Funds, Katie Lee, Matthew Goldman, Nikhil Dixit, Nitya Subramaniam, Notable Capital, Pathlight Ventures, Shivaas Gulati, Tom Williams, Uncommon Capital</t>
  </si>
  <si>
    <t>www.joinheard.com</t>
  </si>
  <si>
    <t>267474-88</t>
  </si>
  <si>
    <t>Roundhill Investments</t>
  </si>
  <si>
    <t>Provider of advisory services intended to offer investors targeted, pure-play exposure to the investment themes. The company's services include focusing on thematic and sector-specific investing by creating thoughtful investment products, enabling investors to diversify their portfolios by gaining exposure to innovative options.</t>
  </si>
  <si>
    <t>BITKRAFT Ventures Management</t>
  </si>
  <si>
    <t>www.roundhillinvestments.com</t>
  </si>
  <si>
    <t>231080-68</t>
  </si>
  <si>
    <t>Sequence (New York)</t>
  </si>
  <si>
    <t>Developer of a financial navigation platform designed to control the distribution of finances across multiple accounts with a dynamic UI (user interface) money map. The company's platform allows users to import all expenses and paid invoices from different bank accounts and credit cards into one place and gives the option to group expenses into tax-deductible categories and then edit or take notes wherever needed through a dashboard, enabling users to manage their expenses and handle taxes properly.</t>
  </si>
  <si>
    <t>AgeTech Collaborative from AARP, Aleph (Israel), Amadeo Global, Barclays, BDMI, BT Growth Capital, Clear Future, Deloitte Launchpad, Emerge Ventures (Tel Aviv), Frontier Venture Capital, Great Oaks Venture Capital, Hawk Digital Innovation, ICON (Other Commercial Services), ICONYC Labs, Imagination Capital, New York Venture Partners, Sapir Venture Partners, SureTech Investments, Techstars, The Founders Arena, Thicket Ventures, Wedbush Ventures, Yasmin Lukatz</t>
  </si>
  <si>
    <t>www.getsequence.io</t>
  </si>
  <si>
    <t>515403-73</t>
  </si>
  <si>
    <t>MProfit</t>
  </si>
  <si>
    <t>Developer of portfolio management software intended to track and report portfolios for investors, advisors, and family offices. The company's platform consolidate multi-asset investments and manages investments in stocks, mutual funds, bonds, fixed deposits, and various other assets and provides capital gains in income tax return format, enabling users to automate portfolio tracking and track all the investments in one place.</t>
  </si>
  <si>
    <t>Auxano, Enam Group, Gruhas, Karan Goshar, Rainmatter Capital, Samarthya Capital</t>
  </si>
  <si>
    <t>www.mprofit.in</t>
  </si>
  <si>
    <t>436432-78</t>
  </si>
  <si>
    <t>Winvesta</t>
  </si>
  <si>
    <t>Operator of a cross-border neo-bank company intended to make cross-border collections, payments and investments hassle-free. The company helps businesses and freelancers save on collection costs when receiving payments from overseas clients in different currencies and from different countries, retail customers can use this multi-currency account to fund overseas investments, save for overseas education, receive foreign income or have an account before migrating overseas, enabling businesses, freelancers and individuals to make cross-border investments and transactions hassle-free for everyone.</t>
  </si>
  <si>
    <t>Blume Venture Advisors, iSeed (India), Jonathan Marland, Kunal Shah, Mohit Joshi, MyAsiaVC, Rajesh Agarwal, Ranjan Reddy, Sandipan Mondal, Sanjay Sharma, Speciale Invest, Umang Bedi, Viren Doshi</t>
  </si>
  <si>
    <t>www.winvesta.in</t>
  </si>
  <si>
    <t>497974-33</t>
  </si>
  <si>
    <t>Qlower</t>
  </si>
  <si>
    <t>Operator of an accounting and tax automation platform intended to support real estate investors in managing financial and compliance activities. The company offers automated rental management, accounting, tax management, and wealth advisory capabilities powered by open banking and artificial intelligence, enabling private individuals, property technology companies, accounting firms, and banks to manage property finances with reduced manual effort and improved accuracy.</t>
  </si>
  <si>
    <t>Bpifrance, Inovexus Ventures</t>
  </si>
  <si>
    <t>www.qlower.com</t>
  </si>
  <si>
    <t>509874-31</t>
  </si>
  <si>
    <t>Radiant1</t>
  </si>
  <si>
    <t>Developer of an AI-based revenue management platform designed to elevate the revenue strategy of businesses. The company's platform offers a wide range of online optimization, including channel management, customer relationship system, review management, reporting, and insights, enabling businesses to increase efficiency and maximize profits.</t>
  </si>
  <si>
    <t>ALLY Global Management, Avvora, B7, Chiragh Kirpalani, DeepBlue Global Investment, Foremast, Jenn Ong, Monk's Hill Ventures, Peervest Holdings, Rohit Gulati, Seaway Global</t>
  </si>
  <si>
    <t>www.radiant1.co</t>
  </si>
  <si>
    <t>434576-89</t>
  </si>
  <si>
    <t>21strategies</t>
  </si>
  <si>
    <t>Developer of cognitive software designed to leverage deep tech and third-wave artificial intelligence that makes decisions as good as humans at machine speed. The company transforms how organizations make strategic and tactical decisions under uncertainty, enabling governments that need defense AI and industrials in need of enterprise AI for currency exposure and commodity risk hedging.</t>
  </si>
  <si>
    <t>Astralabs, Forest Capital, Neosfer</t>
  </si>
  <si>
    <t>www.21strategies.com</t>
  </si>
  <si>
    <t>509643-37</t>
  </si>
  <si>
    <t>Finanfox</t>
  </si>
  <si>
    <t>Developer of a financial platform intended to provide financial planning services. The company's platform provides investment management services for retail investors that work with financial entities including banks, insurers, and fintech, enabling clients to plan and manage their portfolios.</t>
  </si>
  <si>
    <t>finanfox.com</t>
  </si>
  <si>
    <t>435965-77</t>
  </si>
  <si>
    <t>Finteum</t>
  </si>
  <si>
    <t>Developer of a global trading platform designed to optimize capital deployment and reduce inefficiencies for banks. The company's platform enables access to intraday FX swaps and repo instruments, automates transactions using distributed ledger technology and smart contracts, minimizes transaction and settlement times, allows banks to sell excess liquidity, reduces the need for excessive reserves, and improves resilience during market stress, enabling financial institutions to efficiently manage liquidity and maximize returns.</t>
  </si>
  <si>
    <t>Innovate UK, SantanderX, SuperSeed, Tenity, The Safranier</t>
  </si>
  <si>
    <t>www.finteum.com</t>
  </si>
  <si>
    <t>112122-82</t>
  </si>
  <si>
    <t>Pollen Technologies</t>
  </si>
  <si>
    <t>B2B Payments, FinTech, Mobile, SaaS, TMT</t>
  </si>
  <si>
    <t>Developer of an open banking platform designed to manage cash and payments. The company's platform helps users to pay salary, pension, or insurance to payees through mobile phones, prepaid cards, e-wallets, or bank accounts without sharing sensitive or personal information, enabling payees to get paid earlier and payers to make payments later.</t>
  </si>
  <si>
    <t>Level39, Q-Advisers Group, Seedcamp</t>
  </si>
  <si>
    <t>www.pollentechnologies.com</t>
  </si>
  <si>
    <t>527030-47</t>
  </si>
  <si>
    <t>Eilla</t>
  </si>
  <si>
    <t>Developer of a financial generative artificial intelligence platform designed for M&amp;A, VC, and PE deal workflow. The company's platform offers features such as data anonymization, audit logs, data protection, secure AI models, and multi-factor authentication, enabling financial institutions to automate tasks and enhance their decision-making without exposing private and sensitive data.</t>
  </si>
  <si>
    <t>Bulgarian Angels Club, Bulgarian Expansion Bridge, Eleven Ventures, Fuel Ventures, MNL Nominees</t>
  </si>
  <si>
    <t>www.eilla.ai</t>
  </si>
  <si>
    <t>506668-33</t>
  </si>
  <si>
    <t>Anchor (Financial Software)</t>
  </si>
  <si>
    <t>Developer of a banking-as-a-service platform designed to support the launch of financial products. The company's platform provides the infrastructure and tools African businesses need to build, embed, and launch financial systems, enabling organizations to offer simple, contextual products to their customers.</t>
  </si>
  <si>
    <t>Adogbeji Oseragbaje, Bali Venture Partners, Byld, BYLD (Dubai), DCG Expeditions, Emmanuel Okeleji, FoundersX Ventures, Future Africa, Goat Capital, Meltwater Entrepreneurial School of Technology, MountainPeak Capital, Negma Group, Niche Invest, Pioneer Fund, Rebel Fund, RockawayX, Sanmi Famuyide, Team Ignite Ventures, Visa Accelerator, Y Combinator, Yinka Odeleye</t>
  </si>
  <si>
    <t>www.getanchor.co</t>
  </si>
  <si>
    <t>756801-55</t>
  </si>
  <si>
    <t>Candid</t>
  </si>
  <si>
    <t>Developer of AI agents designed to automate repetitive work across accounting, tax, and audit workflows. The company's agents integrate into the tools firms already use and operate across browser and desktop environments, dynamically pulling data from various sources, validating and extracting documents, coordinating with teammates, and preparing deliverables, enabling accounting firms to manage workloads and cut costs.</t>
  </si>
  <si>
    <t>1984 Ventures, Rebel Fund, Sapienta Venture Capital, Y Combinator</t>
  </si>
  <si>
    <t>www.trycandid.com</t>
  </si>
  <si>
    <t>515858-86</t>
  </si>
  <si>
    <t>Capix</t>
  </si>
  <si>
    <t>Developer of data intelligence software designed for private market research and deal sourcing. The company's platform aggregates and enriches fragmented data from company websites, investor reports, and proprietary sources into a single customizable interface, supports natural language queries for targeted firm discovery, and includes contact information within profiles, enabling investment professionals and analysts to identify relevant firms faster, streamline outreach, and enhance sourcing efficiency through AI-driven search and real-time data updates</t>
  </si>
  <si>
    <t>Canary (Brazil), Goodwater Capital, Y Combinator</t>
  </si>
  <si>
    <t>www.capix.ai</t>
  </si>
  <si>
    <t>756802-00</t>
  </si>
  <si>
    <t>Cardamon</t>
  </si>
  <si>
    <t>Developer of a compliance automation platform designed to assist regulated financial firms in efficiently introducing and managing products. The company's platform uses artificial intelligence to process regulations, assess their relevance to each firm, and guide compliance officers from legal requirements to implementation, helping financial companies streamline operations and ensure adherence to regulatory standards.</t>
  </si>
  <si>
    <t>Dnipro (California), Mount Global, NVO Capital, Rebel Fund, Y Combinator</t>
  </si>
  <si>
    <t>www.cardamon.ai</t>
  </si>
  <si>
    <t>483851-89</t>
  </si>
  <si>
    <t>Cash Flow Portal</t>
  </si>
  <si>
    <t>Developer of a real estate investment platform designed to help syndicators raise equity and expand their investor network. The company's platform uses syndication software that accelerates capital raising, streamlines operations, and helps syndicators present new deals, share documents, administer property information, and manage fundraising, enabling firms to attract investment deals for their projects from accredited investors.</t>
  </si>
  <si>
    <t>Alphabet, Coinbase Global, Goodwater Capital, Lyft, Y Combinator</t>
  </si>
  <si>
    <t>www.cashflowportal.com</t>
  </si>
  <si>
    <t>521157-97</t>
  </si>
  <si>
    <t>Coil</t>
  </si>
  <si>
    <t>Provider of payment services intended to cut out costly swipe fees. The company brings simplicity and transparency to bank payments to reduce processing fees and churn, enabling businesses to eliminate declines and make bank payments better.</t>
  </si>
  <si>
    <t>Neer Venture Partners, Y Combinator</t>
  </si>
  <si>
    <t>www.trycoil.com</t>
  </si>
  <si>
    <t>493086-07</t>
  </si>
  <si>
    <t>Complif</t>
  </si>
  <si>
    <t>Developer of a regulatory compliance platform designed to focus on helping financial companies grow their operations while staying compliant. The company's platform offers regulatory interpretation tools to simplify the know-your-customer (KYC) and anti-money-laundering (AML) processes and the monitoring of regulatory obligations, enabling companies to secure their digital information and reduce regulatory risk in the business.</t>
  </si>
  <si>
    <t>Commerce Ventures, Endeavor Argentina, FundersClub, Pioneer Fund, Primary x, Y Combinator</t>
  </si>
  <si>
    <t>www.complif.com</t>
  </si>
  <si>
    <t>523171-54</t>
  </si>
  <si>
    <t>Constant</t>
  </si>
  <si>
    <t>Developer of a private credit investment platform intended for financial advisors and high-net-worth individuals. The company's platform guides through the process of investing in private credit funds, and seeks attractive risk-return profiles, enabling investors to access private credit.</t>
  </si>
  <si>
    <t>First Check Ventures, Goodwater Capital, Halo Labs (United States), Harvest Venture Partners, Hi2 Global, Realm Capital Ventures, SGH Capital, Y Combinator</t>
  </si>
  <si>
    <t>www.useconstant.com</t>
  </si>
  <si>
    <t>512710-39</t>
  </si>
  <si>
    <t>Coris (Business/Productivity Software)</t>
  </si>
  <si>
    <t>Developer of a risk application programming interface designed to underwrite small and medium-sized businesses. The company application facilitates to building of the risk system at organizations, enabling fintechs to serve better small businesses whether it be for a loan product, payments processing, banking, payroll, or insurance.</t>
  </si>
  <si>
    <t>Blank Ventures, Eric Dunn, Immad Akhund, Lux Capital, Pathlight Ventures, Recall Capital, William Clerico, Y Combinator</t>
  </si>
  <si>
    <t>www.coris.ai</t>
  </si>
  <si>
    <t>522871-39</t>
  </si>
  <si>
    <t>Dataglade</t>
  </si>
  <si>
    <t>Developer of a data integration and governance platform designed for secure and compliant data collaboration across organizations. The company's platform offers data sharing without physical data movement, supports granular access control, integrates with existing data infrastructure, and ensures compliance with data privacy regulations, enabling hedge funds, wealth managers, and fintech businesses to collaborate on sensitive data while maintaining full control, traceability, and security.</t>
  </si>
  <si>
    <t>Bell Capital, Goodwater Capital, Y Combinator</t>
  </si>
  <si>
    <t>www.dataglade.com</t>
  </si>
  <si>
    <t>491848-84</t>
  </si>
  <si>
    <t>Flagright</t>
  </si>
  <si>
    <t>Developer of an AI-native financial crime compliance platform designed for regulatory compliance and risk management. The company's platform provides transaction monitoring, case management, watchlist screening, dynamic risk scoring, rule configuration tools, simulation and backtesting capabilities, AI-assisted investigation support, and regulatory reporting functions, enabling users to detect suspicious activity, manage alerts and investigations, automate reporting obligations, and maintain compliance with anti-money laundering and related regulatory.</t>
  </si>
  <si>
    <t>André Filipe De Paiva E Silva, Badrelin Ahmed, Banca Sella, Banca Sella Holding, Blu Venture Investors, Charles Delingpole, CU Healthcare Innovation Fund, Donald Bringmann, Erik Muttersbach, Four Cities Capital, Fredrik Thomassen, Frontline Ventures, Highpoint Ventures, Infinity Ventures (San Francisco), Kevin Costa, Leonardo Correa, Lim Teng Sherng, Louis Beryl, MedTech Connect, Moonfire, Neovate Capital Partners, Octant Ventures, OSF Ventures, Phillip Chambers, Pioneer Fund, Riptide Ventures, Rubin Ritter, Saqib Mirza, Sundeep Ahuja, Y Combinator</t>
  </si>
  <si>
    <t>www.flagright.com</t>
  </si>
  <si>
    <t>279584-92</t>
  </si>
  <si>
    <t>Flux QR</t>
  </si>
  <si>
    <t>Developer of a QR code payment system designed to enhance communication between point-of-sale terminals and smartphones. The company's QR technology facilitates transactions and uses authentication, tokenization, and encryption channels, enabling consumers to pay securely and merchants to accept wallet payments without changing their business operations or point-of-sale machinery.</t>
  </si>
  <si>
    <t>Ataria, Clout Capital, Investo (San Francisco), Orange DAO, Team Ignite Ventures, The Ark Fund, The Pay It Forward Company, Tribe Capital, Y Combinator</t>
  </si>
  <si>
    <t>www.fluxqr.com</t>
  </si>
  <si>
    <t>463169-44</t>
  </si>
  <si>
    <t>GIMO</t>
  </si>
  <si>
    <t>Developer of financial software designed for payroll tools and services to employees and businesses. The company's platform offers transparency and convenience of payroll services to local workers without a bank account and permits them to request income payments in advance and track earnings through the mobile app that is integrated into their companies' human resource management and payroll systems, enabling users to alleviate their financial stress and build financial security.</t>
  </si>
  <si>
    <t>BK Fund, Blauwpark Partners, Genting Ventures, George Kent, Google Accelerator, Integra Partners (Singapore), Resolution Ventures, SK Startup Fellowship, ThinkZone Ventures, TKG Ventures, TNB Aura, VN Scout, Y Combinator</t>
  </si>
  <si>
    <t>www.gimo.vn</t>
  </si>
  <si>
    <t>493622-11</t>
  </si>
  <si>
    <t>Gullak</t>
  </si>
  <si>
    <t>Developer of a financial platform designed to help users save small amounts daily to create wealth in the future. The company's platform provides users with resources to encourage regular saving habits and proper investing, enabling users to save more, set and achieve financial goals, and create wealth.</t>
  </si>
  <si>
    <t>Akshay Mehrotra, Alysia Silberg (Street Global), Ashish Goyal, Better Capital (California), Chiratae Ventures, GMO Venture Partners, Goodwater Capital, Kevin Moore, Kunal Shah, Maya Kunnath, Namma Yatri, Nitin Gupta, NVO Capital, Pareto Holdings, Pioneer Fund, Prasanna Sankar, Radhakrishnan Viswanathan, Rebel Fund, Revel Partners, Rippling, SamVed, Shanmugavel Subbiah, Sheetal Lalwani, Stellaris Venture Partners, Super Capital, TRTL Ventures, Tushar Agarwal, Vimal Kumar, White Venture Capital, Y Combinator</t>
  </si>
  <si>
    <t>www.gullak.money</t>
  </si>
  <si>
    <t>517948-93</t>
  </si>
  <si>
    <t>Laminate (Financial Software)</t>
  </si>
  <si>
    <t>Developer of a streamlined card issuance service designed to simplify the process for fintech companies. The company offers an all-in-one stack that enables the design, manufacturing, and fulfillment of physical debit/credit cards, catering to the needs of issuers seeking efficiency in their card issuance process and ensuring easy access to physical cards, enabling issuers to get a seamless experience without the need for complex and time-consuming procedures.</t>
  </si>
  <si>
    <t>Soma Capital, Spot VC, Y Combinator</t>
  </si>
  <si>
    <t>www.uselaminate.com</t>
  </si>
  <si>
    <t>739925-65</t>
  </si>
  <si>
    <t>Mesh (Business/Productivity Software)</t>
  </si>
  <si>
    <t>Developer of AI-powered tools designed for automating repetitive accounting tasks. The company's platform provides domain-specific AI agents that automate workflows such as cash reconciliation, expense wires, and inter-company transactions, effectively automating processes typically outsourced for cost reduction, enabling accounting firms to reduce labor costs, increase efficiency, and address staffing shortages.</t>
  </si>
  <si>
    <t>Intersection, Network VC, Rebel Fund, Team Ignite Ventures, VentureBridge Program, Y Combinator</t>
  </si>
  <si>
    <t>www.usemesh.com</t>
  </si>
  <si>
    <t>185000-77</t>
  </si>
  <si>
    <t>Numida</t>
  </si>
  <si>
    <t>Developer of a financial inclusion technology platform designed to provide unsecured digital loans to small African businesses. The company's platform helps lending institutions to lower their risk and costs, ultimately leading to improved lending terms to borrowers, and aims at a thriving small business sector that creates dignified and secure employment, increases tax revenues for local governments, and increases standards of living for entrepreneurs, their families, and their staff, enabling businesses to take improved decisions and prove their creditworthiness to potential lenders and providing African micro businesses with working capital loans.</t>
  </si>
  <si>
    <t>4Di Capital, Acumen Fund, Beyond Capital Fund, Breega, Cauris, DotExe Ventures, Draper Richards Kaplan Foundation, Entrepreneurs for Entrepreneurs Africa, Equilibria Capital Management, Goodwater Capital, Kepple Africa Ventures, Launch Africa Ventures, Onafriq UK Holdings, Optimizer Foundation, Phoenix Investment Club (San Francisco), Pioneer Fund, Segal Family Foundation, Serena Ventures, Soma Capital, Todd Lipcon, Village Capital, Y Combinator</t>
  </si>
  <si>
    <t>www.numida.com</t>
  </si>
  <si>
    <t>442897-84</t>
  </si>
  <si>
    <t>Paycaddy</t>
  </si>
  <si>
    <t>Developer of an online banking platform designed to help financial entities and companies deploy digital services and products. The company's platform offers various features such as electronic wallets and payments, automated ledgers, and a payments back office, enabling users to explore new revenue streams and deploy new financial products without regulatory barriers.</t>
  </si>
  <si>
    <t>AAF Management, Actions Capital, Cathexis Ventures, Kube VC, Rebel Fund, Soma Capital, Start Path, True Capital Management, Y Combinator</t>
  </si>
  <si>
    <t>www.paycaddy.com</t>
  </si>
  <si>
    <t>495657-19</t>
  </si>
  <si>
    <t>PayCrunch</t>
  </si>
  <si>
    <t>Operator of an online payment platform intended to provide pay-later options to college students. The company's tool offers UPI-based credit cards, category-wise analytics of payment history, and scan and pay later options, enabling college students to make secure payments, track their expenditures, and manage their finances.</t>
  </si>
  <si>
    <t>JAIN Launchpad, Kunal Shah, MyAsiaVC, Snow Leopard Ventures, Soma Capital, Startup Réseau, Y Combinator</t>
  </si>
  <si>
    <t>www.paycrunch.in</t>
  </si>
  <si>
    <t>438179-77</t>
  </si>
  <si>
    <t>Salt</t>
  </si>
  <si>
    <t>Developer of a cross-border banking platform designed to facilitate international payments and regulatory compliance. The company offers multi-currency payment processing, automated legal documentation, and inward remittance solutions, enabling SMEs and freelancers to manage international transactions and foreign exchange requirements through a unified digital interface.</t>
  </si>
  <si>
    <t>Amit Goel, Astir Ventures, Dhruv Gupta, Eagle10 Ventures, Notes in Risk-taking, Prashant Pansare, Rapyd Ventures, Soma Capital, Supermorpheous, Ulu Ventures, Vishrut Bubna, WorldQuant Ventures, Y Combinator</t>
  </si>
  <si>
    <t>www.salt.pe</t>
  </si>
  <si>
    <t>622075-78</t>
  </si>
  <si>
    <t>Scalar Field</t>
  </si>
  <si>
    <t>Developer of an AI-powered research platform designed to explore and validate trading strategies. The company's platform offers features such as backtesting capabilities, access to financial data, and tools for uncovering insights, enabling traders to make data-driven decisions and refine their strategies effectively.</t>
  </si>
  <si>
    <t>468 Capital, Analog Ventures, Batch Ventures (California), Hat-trick Capital, Lobster Capital, Multimodal Ventures, Neer Venture Partners, Pioneer Fund, Rebel Fund, Taurus Ventures, Y Combinator</t>
  </si>
  <si>
    <t>www.scalarfield.io</t>
  </si>
  <si>
    <t>496718-74</t>
  </si>
  <si>
    <t>Shekel Mobility</t>
  </si>
  <si>
    <t>Developer of a credit financing and dealership management platform designed to empower auto dealerships to find inventory, secure financing, and manage sales efficiently. The company's platform offers integrated credit access, trade facilitation, and business management tools, enabling auto dealers to streamline operations, improve cash flow, and grow their businesses.</t>
  </si>
  <si>
    <t>AVCF, Heirloom VC, Hi2 Global, MaC Venture Capital, Maiora Ventures, PageOne Lab, Phoenix Investment Club (San Francisco), Pioneer Fund, Prudiv Capital, Realm Capital Ventures, Rebel Fund, Seedstars International Ventures, Syntax Ventures, Unpopular Ventures, Vastly Valuable Ventures, Ventures Platform, Voltron Capital, XYZ Venture Capital, Y Combinator, Zedcrest Group</t>
  </si>
  <si>
    <t>www.shekelmobility.com</t>
  </si>
  <si>
    <t>501564-88</t>
  </si>
  <si>
    <t>Shelf</t>
  </si>
  <si>
    <t>Developer of a financial platform designed to manage and control spending. The company's platform allows young people to manage their savings, access their bank accounts, track expenses, and lend or borrow money between friends or as groups, enabling customers to control their financial lives in one place.</t>
  </si>
  <si>
    <t>Goodwater Capital, Super Capital, Y Combinator</t>
  </si>
  <si>
    <t>www.shelfpay.in</t>
  </si>
  <si>
    <t>528396-76</t>
  </si>
  <si>
    <t>TaxGPT</t>
  </si>
  <si>
    <t>Developer of an artificial intelligence-powered financial advising platform designed to maximize tax deductions. The company offers personal tax and finance-related advisory, files taxes automatically, and generates accurate insights, enabling clients to make informed decisions.</t>
  </si>
  <si>
    <t>10X Capital, 2468 Ventures, 468 Capital, Converge Venture Partners, CRV, Gaingels, Goodwater Capital, iSeed Ventures, Jason Calacanis, Kulveer Taggar, LAUNCH Fund, Llama Ventures, Mangusta Capital, Multimodal Ventures, Orange Collective, Phosphor Capital, Principal Venture Partners, Rebel Fund, Singularity Capital, Sunset Ventures (Los Angeles), TRAC VC, Transpose Platform Management, Voxly Partners, Y Combinator</t>
  </si>
  <si>
    <t>www.taxgpt.com</t>
  </si>
  <si>
    <t>515356-93</t>
  </si>
  <si>
    <t>GovernID</t>
  </si>
  <si>
    <t>Developer of central privacy management software designed to help institutions become GDPR compliant in the process of obtaining, processing, sharing, and managing personal data The company's platform simplifies personal data management through a centralized system that automates data mapping, consent management, data subject rights requests (DSAR), and data retention policies and integrates all forms of data entry on the website, and visitor entrance desk, providing businesses with a compliant data flow through the internal systems of the companies enabling to manage the lifecycle of these data according to the requirements of the law.</t>
  </si>
  <si>
    <t>Diffusion Capital Partners, YTU Startup House</t>
  </si>
  <si>
    <t>www.governid.com</t>
  </si>
  <si>
    <t>482190-22</t>
  </si>
  <si>
    <t>Flahmingo</t>
  </si>
  <si>
    <t>Developer of an investment application designed to automatically invest funds into publicly traded companies. The company's application offers scheduled deposits, automatic roundups, and one-time deposits, as well as allows investing in fractional shares without any commission, enabling users to grow and maintain a diversified portfolio through the purchase and sale of fractional shares.</t>
  </si>
  <si>
    <t>Austin Hankwitz, Broad Street Bulls, Hanif Joshaghani, Kevin Sandhu, Open People Network, Plug and Play Tech Center, The Supporters Fund, Winning Together Fund, Witz Ventures</t>
  </si>
  <si>
    <t>www.flahmingo.com</t>
  </si>
  <si>
    <t>510413-23</t>
  </si>
  <si>
    <t>AYDO</t>
  </si>
  <si>
    <t>Developer of an investment platform designed to give professional investors new alternative products and breaks down barriers between the financial markets and non-listed investments. The company's platform helps in researching, executing and monitoring investment services in structured products, private debt, and pre-IPO in various formats, including funds and mandates, notes and certificates and actively managed certificates, enabling investors to extract the value from performing asset classes.</t>
  </si>
  <si>
    <t>Expon Capital, VAeX Capital Partners</t>
  </si>
  <si>
    <t>www.aydofinance.com</t>
  </si>
  <si>
    <t>327161-26</t>
  </si>
  <si>
    <t>Finqware</t>
  </si>
  <si>
    <t>Developer of an interface aggregation platform designed to interconnect businesses and fintech companies with financial service providers. The company's application programming interface offers a single point of contact at the output and helps user onboarding for financial products, access to bank accounts, and payment initiation, enabling organizations to access real-time multi-banking financial data provided by banks and other financial providers.</t>
  </si>
  <si>
    <t>7X Partners, Emmett King, Endeavor Romania, GapMinder Venture Partners, Growceanu, InnovX (Bucharest), Microsoft for Startups, OTP LAB, RebelVentures, Transylvania Angels Network, Visa Innovation Program</t>
  </si>
  <si>
    <t>www.finqware.com</t>
  </si>
  <si>
    <t>170034-58</t>
  </si>
  <si>
    <t>SendSpend</t>
  </si>
  <si>
    <t>Developer of a virtual wallet designed to pay for goods and services online. The company's virtual wallet helps its customers make payments from their phones without needing a bank account, as well as to vendors and eCommerce merchants, enabling users to pay and eliminating the need for cash.</t>
  </si>
  <si>
    <t>Grow London, Innvotec, SFC Capital</t>
  </si>
  <si>
    <t>www.sendspend.com</t>
  </si>
  <si>
    <t>462816-37</t>
  </si>
  <si>
    <t>Purs.</t>
  </si>
  <si>
    <t>Developer of a payment gateway platform designed to offer secure banking transaction services. The company's platform provides a digital wallet to make banking simple and transparent, and eliminates all the hesitation and discomfort related to banking by offering an effortless and rewarding experience, enabling clients to make their payments safely and at ease.</t>
  </si>
  <si>
    <t>www.purs.digital</t>
  </si>
  <si>
    <t>589705-57</t>
  </si>
  <si>
    <t>Check</t>
  </si>
  <si>
    <t>Artificial Intelligence &amp; Machine Learning, FinTech, FoodTech, SaaS</t>
  </si>
  <si>
    <t>Developer of a QR (quick response)-based foodtech platform designed to streamline ordering and digital payment experiences. The company offers table-side ordering via QR codes, direct mobile checkout with no app download, staff-free service modules, and real-time business analytics, enabling hospitality venues to increase transaction speed, reduce operational costs, and enhance guest satisfaction.</t>
  </si>
  <si>
    <t>Beaz Acceleration, Eduardo Martínez</t>
  </si>
  <si>
    <t>www.checkqrpay.com</t>
  </si>
  <si>
    <t>222649-66</t>
  </si>
  <si>
    <t>Get</t>
  </si>
  <si>
    <t>Operator of a financial platform intended to assist teens in saving and using money wisely. The company's platform helps users manage money while learning financial literacy and independence at an earlier age, even shop with their personalized card and get spending notifications via mobile application, enabling clients to easily send and receive money with family and friends instantly.</t>
  </si>
  <si>
    <t>500 Global, 500 Southeast Asia, Australian Government (Landing Pads), Big Bloom, Carman Chan, Click Ventures, iSeed (India), James Poon, NSW Government (Government), Pacific Trustees, Reto Wiget, Samson Tam, T12M Ventures</t>
  </si>
  <si>
    <t>www.useget.com</t>
  </si>
  <si>
    <t>432508-96</t>
  </si>
  <si>
    <t>BTON</t>
  </si>
  <si>
    <t>Developer of a trading execution platform designed to improve order execution performance and optimize broker selection across complex trading environments. The company offers machine learning-driven broker routing logic, collaborative data-sharing capabilities, and execution analytics, enabling trading firms to streamline onboarding and enhance execution quality for trade orders.</t>
  </si>
  <si>
    <t>Celero Ventures</t>
  </si>
  <si>
    <t>www.bton.ai</t>
  </si>
  <si>
    <t>483809-32</t>
  </si>
  <si>
    <t>Hercle</t>
  </si>
  <si>
    <t>Developer of an institutional-grade infrastructure platform designed to connect fiat, stablecoins, and digital assets for seamless cross-asset and cross-border transactions. The company offers real-time transaction capabilities, regulatory compliance frameworks, and integrated payment, trading, and treasury management tools, enabling banks, brokers, payment providers, and financial technology firms to manage digital and traditional assets efficiently.</t>
  </si>
  <si>
    <t>Banca Sella Holding, Endeavor Italy, Exponential Science, F-Prime Capital, Fulgur Ventures, Global Start Up Program, INNOVIT (San Francisco), Kairos Partners, Le Village by CA, Prana Ventures, Sella Direct Ventures, Tenity</t>
  </si>
  <si>
    <t>www.hercle.com</t>
  </si>
  <si>
    <t>494972-74</t>
  </si>
  <si>
    <t>Upward (Seattle)</t>
  </si>
  <si>
    <t>Developer of a financial platform designed for newcomers, immigrants, the young, and those with limited financial capacity. The company's technology helps to pick the right bank and credit card or build credit quickly and safely, enabling users to have personalized step-by-step guides to accessing financial services for various needs.</t>
  </si>
  <si>
    <t>AgeTech Collaborative from AARP, Alliance of Angels, Altari Ventures, Avesta Fund, Breakwater Ventures Management, Cascade Seed Fund, Drive Capital, Dundee Venture Capital, Gokul Rajaram, J4.Ventures, Moai Capital, Outside Venture Capital, Parker Conrad, Radix Innovation Capital, Service Provider Capital, Tacoma Venture Fund, Techstars, Temerity Capital Partners, Tundra Angels</t>
  </si>
  <si>
    <t>www.upwardli.com</t>
  </si>
  <si>
    <t>770100-58</t>
  </si>
  <si>
    <t>Adaptional</t>
  </si>
  <si>
    <t>Operator of a cloud-based integration platform designed to automate data exchange and communication across logistics operations. The company offers a software platform that connects transport management, warehouse systems, financial tools, and trading partners with automated workflows and real-time data sharing, enabling logistics providers, carriers, and shippers to streamline coordination and improve operational efficiency.</t>
  </si>
  <si>
    <t>BrokerTech Ventures, Y Combinator</t>
  </si>
  <si>
    <t>www.adaptional.com</t>
  </si>
  <si>
    <t>84790-27</t>
  </si>
  <si>
    <t>Everysk</t>
  </si>
  <si>
    <t>Developer of a financial analytics and workflow automation platform designed for capital market operations. The company provides artificial intelligence-powered systems for portfolio analytics, operational workflows, and market data analysis, enabling financial institutions to monitor investments, automate processes, manage financial data, and support decision-making across capital market activities.</t>
  </si>
  <si>
    <t>www.everysk.com</t>
  </si>
  <si>
    <t>166368-61</t>
  </si>
  <si>
    <t>Missionmark</t>
  </si>
  <si>
    <t>Developer of an audit automation and workflow management software designed to streamline audit work. The company's software offers automated work papers for speeding up common audit tasks and cross-referencing, audit review and sign-offs, recommendation management, and a citizen-facing dashboard, enabling government contractors to have the tools and data for promoting public accountability, effectiveness, and efficiency.</t>
  </si>
  <si>
    <t>Charles Songhurst, CSC UpShot Ventures, Erik Torenberg, Gigi Levy, Govtech Fund, James Currier, NFX, Noah Kindler, Refactor Capital, Scott Garber, Stan Chudnovsky, TenOneTen Ventures</t>
  </si>
  <si>
    <t>www.missionmark.com</t>
  </si>
  <si>
    <t>492783-31</t>
  </si>
  <si>
    <t>Trade Lenda</t>
  </si>
  <si>
    <t>Provider of financial services intended to assist micro, small, and informal retailers with access to financing for business needs. The company's platform allows MSMEs to access short-term loans to finance their working capital and help SMEs become bankable while driving access to financial services like credit, insurance, and micro-savings for them, enabling businesses to access credit opportunities easily.</t>
  </si>
  <si>
    <t>ARM Labs, Cascador, Expert DOJO, Hi2 Global, Kaleo Ventures, LabEight*, Milken-Motsepe Prize, Timbuktoo Fintech Startup Accelerator Programme, TVC Labs</t>
  </si>
  <si>
    <t>www.tradelenda.com</t>
  </si>
  <si>
    <t>865553-41</t>
  </si>
  <si>
    <t>Xfolio</t>
  </si>
  <si>
    <t>Developer of an enterprise wealthtech platform designed to automate and democratize institutional wealth management. The company offers a unified, cloud-based platform that combines portfolio management and treasury automation with real-time connectivity to market data providers, enabling customers to consolidate, automate and visualize both bankable and non-bankable assets, access modern and cost-effective tools and leverage AI-powered recommendation and cross-bank trading capabilities for data-driven decision-making with transparent pricing.</t>
  </si>
  <si>
    <t>Middle East Venture Partners</t>
  </si>
  <si>
    <t>www.xfolio.ai</t>
  </si>
  <si>
    <t>161706-07</t>
  </si>
  <si>
    <t>SpiderG</t>
  </si>
  <si>
    <t>Developer of a payment collection application and API ecosystem designed to collect receivables on time and automate reconciliation. The company's platform offers features like automated recurring invoices, auto reconciliation, record-keeping, alerts, and invoice tracking, enabling micro-businesses to streamline payment collection.</t>
  </si>
  <si>
    <t>Adi Sarvanan, Ashish Nanda, JioGenNext, Multi-Act Equity Consultancy, Pravin Dongre, Rahul Kirloskar</t>
  </si>
  <si>
    <t>www.spiderg.com</t>
  </si>
  <si>
    <t>503075-17</t>
  </si>
  <si>
    <t>Stellar Fusion</t>
  </si>
  <si>
    <t>Operator of a financial data platform intended to provide fundamental insights from bottom-up analyst-built models. The company's platform offers detailed financial models to simulate stock price scenarios and valuations and allows users to set their own forecasts and save down valuation scenarios, enabling users to identify the key bottom-up drivers for a company's share price and give control of those metrics.</t>
  </si>
  <si>
    <t>www.stellarfusion.io</t>
  </si>
  <si>
    <t>230440-24</t>
  </si>
  <si>
    <t>Tetrao</t>
  </si>
  <si>
    <t>Developer of business automation software designed to manage documents and secure fund transactions for business growth and development. The company's software uses artificial intelligence (AI) that makes it easy for customers to join while complying with KYC, facilitates financial documentation of funds from any provider, and automates the processes to accelerate data gathering from different web sources, enabling businesses to quicken administrative and financial tasks by incorporating technologies insensitive to technical modification of documents.</t>
  </si>
  <si>
    <t>FundsDLT, Luxembourg Stock Exchange</t>
  </si>
  <si>
    <t>www.tetrao.eu</t>
  </si>
  <si>
    <t>327371-14</t>
  </si>
  <si>
    <t>Bizhare</t>
  </si>
  <si>
    <t>Operator of an equity crowdfunding platform intended to allow users to invest in franchise businesses. The company's platform allows SME business owners to get expansion funds from the community or open new businesses by sharing ownership with the public, enabling investors to get financial statements and monthly profit distribution through its e-wallet feature.</t>
  </si>
  <si>
    <t>AngelCentral, GDILab, Kejora Capital, Ozora Yatrapaktaja, Plug and Play Tech Center, SBI Holdings, SYNRGY Accelerator, Telkomsel Ventures</t>
  </si>
  <si>
    <t>www.bizhare.id</t>
  </si>
  <si>
    <t>509390-02</t>
  </si>
  <si>
    <t>Ping Payments</t>
  </si>
  <si>
    <t>Operator of a payment and transaction platform intended for a customizable infrastructure to be a match for any business model. The company's platform makes payments, manages client funds, manages payouts, and offers ancillary services within customer awareness, client funds storage, business system integrations, and transaction monitoring, enabling firms to have operational transaction management.</t>
  </si>
  <si>
    <t>Inkubera, Mastercard Lighthouse, True Global Ventures</t>
  </si>
  <si>
    <t>www.pingpayments.com</t>
  </si>
  <si>
    <t>226809-01</t>
  </si>
  <si>
    <t>Antler</t>
  </si>
  <si>
    <t>Operator of an early-stage venture capital firm intended to allocate funding to startups. The company is sector agnostic and provides investments and portfolio support to companies in multiple sectors, which include industrial automation, productivity and collaboration, architecture, property development and management, payments, food and beverage, personal productivity, supply chain and procurement, consumer finance, operations, and sales, enabling entrepreneurs to scale their firms.</t>
  </si>
  <si>
    <t>Asia Venture Group, Canica, Catalyst by Wellstar, Change Com, Concentric Team, Credit Saison, Deliberate Ventures (San Francisco), Denmark's Export and Investment Fund, Eduardo Saverin, Ferd, FinTech Collective, InnoEnergy, Investigate VC, MX2 Capital, Nordstar Partners, Schroders, SmartCap, Standard Life, TechOne Venture Capital, The Phoenix Group Of Wisconsin, Tore Myrholt, Venturra Capital</t>
  </si>
  <si>
    <t>www.antler.co</t>
  </si>
  <si>
    <t>277687-27</t>
  </si>
  <si>
    <t>EFT Corporation</t>
  </si>
  <si>
    <t>Provider of banking-as-a-service and payment processing services intended for banks, fintech, telecom, and other financial service providers. The company's platform offers an extensive range of microservices that enable rapid digital transaction propositions for clients, it is a multi-tenant cloud-based API (application programming interface) and associated admin console, enabling users to make payments through the application, thereby eliminating the need for users to carry cash everywhere.</t>
  </si>
  <si>
    <t>Development Partners International, Fireball Capital, FiTech Ventures, Hub71, Jini Guru, Ocean on 76</t>
  </si>
  <si>
    <t>www.eftcorp.com</t>
  </si>
  <si>
    <t>442355-59</t>
  </si>
  <si>
    <t>Lemon</t>
  </si>
  <si>
    <t>Operator of a digital financial platform intended for cryptocurrency transactions. The company's platform offers instant exchange between the local currency and cryptocurrencies, a contactless international VISA card with cashback rewards, and access to decentralized finance investments and trading services, such as margin trading and a lending market, enabling users to manage and grow their digital assets efficiently.</t>
  </si>
  <si>
    <t>Abstract Ventures, AIR Capital, Alaya Capital, Alumni Ventures, Amagis Capital, Andrés Bilbao, AP Capital ( New York), Ash Park Capital, Banco Supervielle, Borderless Capital, Bybit, Cadenza Capital, Celo Foundation, CMT Digital Holdings, Coinbase Ventures, Draper Associates, Draper Cygnus, Draper University, DRW Venture Capital, DST Global, Endeavor Catalyst, F-Prime Capital, Goodwater Capital, Grupo Supervielle, LambdaClass, Mainstage Hub, Mirana Ventures, ParaFi Capital, PERSEA Ventures, Propel Venture Partners, Silent Unicorn, Stani Kulechov, Start-Up Chile, Sur Ventures (VC), Trampoline Ventures, Valor Capital Group, VanEck</t>
  </si>
  <si>
    <t>www.lemon.me</t>
  </si>
  <si>
    <t>432676-36</t>
  </si>
  <si>
    <t>Bond180</t>
  </si>
  <si>
    <t>Artificial Intelligence &amp; Machine Learning, CloudTech &amp; DevOps, Cryptocurrency/Blockchain, SaaS</t>
  </si>
  <si>
    <t>Developer of a scalable data platform designed to secure a portal to the Web3 cloud and create value from data without extraction and risk. The company helps to store sensitive data and offers state-of-the-art encryption, non-custodial key management, and computing to further leverage data via confidential computing, and a Web3 cloud services portal to integrate a full suite of user tools, enabling users to onboard and use sensitive data in the decentralized cloud and get a simple and seamless experience when deploying Web3 cloud</t>
  </si>
  <si>
    <t>www.bond180.com</t>
  </si>
  <si>
    <t>491066-29</t>
  </si>
  <si>
    <t>Love Electric Financial Services</t>
  </si>
  <si>
    <t>Operator of an affordable e-vehicle financing platform intended for a sustainable environment and affordable cars for customers. The company provides vehicles for rent by deducting a proportion from the salary, enabling customers with tax-saving advantages and a vehicle at an affordable cost.</t>
  </si>
  <si>
    <t>www.loveelectric.cars</t>
  </si>
  <si>
    <t>520035-85</t>
  </si>
  <si>
    <t>Sommos</t>
  </si>
  <si>
    <t>Developer of fintech B2B platforms intended to support structured savings and digital financial engagement for banks and retailers. The company offers tools for creating and managing savings groups, access to microcredit features, preferential interest options, and embedded purchasing programs that integrate into existing digital channels, enabling banks, retailers, and their customers to build consistent saving habits, access financial benefits, and strengthen long-term financial participation.</t>
  </si>
  <si>
    <t>BofA Securities, Endeavor Perú, Innova Santa Cruz, Krealo, McKinsey &amp; Company, Oxford Saïd Business School, Pareto Holdings, Polsky Center for Entrepreneurship and Innovation at the University of Chicago, Seedstars International Ventures, SOLYDES Aceleradora, Sovereign's Capital, Techstars</t>
  </si>
  <si>
    <t>sommosapp.com</t>
  </si>
  <si>
    <t>168676-57</t>
  </si>
  <si>
    <t>Flender</t>
  </si>
  <si>
    <t>Provider of online lending services intended for businesses to provide a flexible alternative to traditional banks. The company's platform offers a peer-to-peer financial transfer interface, enabling consumers and businesses to raise finance through their social circles.</t>
  </si>
  <si>
    <t>Acorn Angels, Enterprise Ireland, Mark Roden, Philip Grant, Rupert Horner</t>
  </si>
  <si>
    <t>www.flender.ie</t>
  </si>
  <si>
    <t>460112-95</t>
  </si>
  <si>
    <t>GnuGrid CRB</t>
  </si>
  <si>
    <t>Operator of a financial technology enterprise intended to foster financial inclusion in communities. The company offers a credit reference bureau and credit information sharing and collects credit data on individuals and non-individual borrowers, and validates data into meaningful profiles that are disseminated in the form of credit reports and credit scores, enabling credit providers to make informed lending decisions.</t>
  </si>
  <si>
    <t>www.gnugridcrb.com</t>
  </si>
  <si>
    <t>459952-66</t>
  </si>
  <si>
    <t>EasyPol</t>
  </si>
  <si>
    <t>Developer of an online payment platform designed to pay fines and public administration bulletins through smartphones. The company's platform facilitates users to manage their transactions and allows for paying fines, taxes, membership fees, rates, tickets, car tax, professional orders, and university fees, enabling customers to make payments anytime using cards in a hassle-free manner.</t>
  </si>
  <si>
    <t>ACubo Holding, Azimut Libera Impresa, Banca CR Firenze, CDP Venture Capital (Rome), Dipax Holding, Hubble Acceleration Program, I3P, Nana Bianca</t>
  </si>
  <si>
    <t>www.easypol.io</t>
  </si>
  <si>
    <t>503303-86</t>
  </si>
  <si>
    <t>Permutable.ai</t>
  </si>
  <si>
    <t>Artificial Intelligence &amp; Machine Learning, Big Data, FinTech, Oil &amp; Gas, SaaS, TMT</t>
  </si>
  <si>
    <t>Provider of a real-time macro and asset-level data intelligence platform designed to help users understand and anticipate events that influence financial activity. The company's platform offers large-scale global news analysis, alternative data integration, and machine learning-based sentiment and contextual analysis, enabling financial institutions and professional investors to monitor trends and make informed investment decisions across commodities, currencies, rates, and indices.</t>
  </si>
  <si>
    <t>www.permutable.ai</t>
  </si>
  <si>
    <t>223068-97</t>
  </si>
  <si>
    <t>Airtime (Financial Services)</t>
  </si>
  <si>
    <t>Developer of a retail rewards program application designed to connect transactional data, brands, and mobile networks for a shared mutual benefit. The company's application offers payment tracking technology and a digital currency that helps members earn rewards while shopping, enabling users to reduce their mobile bills and retailers to reward and incentivize their customers in a new way.</t>
  </si>
  <si>
    <t>Wayra UK</t>
  </si>
  <si>
    <t>www.airtime.co.uk</t>
  </si>
  <si>
    <t>102139-12</t>
  </si>
  <si>
    <t>Leapfunder</t>
  </si>
  <si>
    <t>Operator of an online investment platform designed to facilitate early-stage startup financing through structured angel investor participation. The company's platform includes standardized convertible note instruments, remote investment capabilities, integrated legal documentation, investor portfolio management tools, and access to a broad European angel network, enabling early-stage startups seeking capital to connect with multiple small-scale investors and streamline the fundraising process with reduced administrative overhead and increased transparency.</t>
  </si>
  <si>
    <t>Acrobator Ventures, Eric Van Der Maten, Matthias Havenaar, Otterloo Ventures, Roel Bergsma, Ronald Bazuin, Startupbootcamp Holding, Vesting Capital Company</t>
  </si>
  <si>
    <t>www.leapfunder.com</t>
  </si>
  <si>
    <t>433605-61</t>
  </si>
  <si>
    <t>REASE</t>
  </si>
  <si>
    <t>Developer of a rent support platform designed to solve the problem of house renting. The company's SaaS service supports operational efficiency and productivity improvement, specializing in rent debt guarantee in the real estate leasing area, in addition to making examinations, contracts, and delinquent reminder work paperless and efficient, centralized management of agents, customers, and contract information can all be completed on the cloud, enabling customers to rent houses as per their needs and verify tenants.</t>
  </si>
  <si>
    <t>Canal Ventures, DBJ Capital, Findstar Group, Gazelle Capital, Genesia Ventures, Golden Egg Ventures, Headline, Lancers, Nanto Capital Partners, Plug and Play Tech Center, SG Capital (Tokyo)</t>
  </si>
  <si>
    <t>www.rease.co.jp</t>
  </si>
  <si>
    <t>454341-79</t>
  </si>
  <si>
    <t>Horde</t>
  </si>
  <si>
    <t>Developer of a financial software designed to manage daily finances through actionable insights and alternatives to traditional financial services. The company's application offers control over credit cards and loans and it offers an intelligent personal economy app empowering thousands of consumers to manage their daily finances through actionable insights and innovative alternatives to traditional financial services, enabling users to check their balance, and credit line and compare interest rates.</t>
  </si>
  <si>
    <t>Cartavio (Norway), Vestlandets Innovasjonsselskap</t>
  </si>
  <si>
    <t>www.horde.no</t>
  </si>
  <si>
    <t>489347-65</t>
  </si>
  <si>
    <t>Nimbbl</t>
  </si>
  <si>
    <t>Developer of an online payment gateway platform intended to offer a digital checkout experience with all the payment methods. The company's platform gives users access to leading cardless credit pay modes, a unified payments interface, and pre-built integration with multiple payment gateways, enabling online merchants to improve conversion for online commerce.</t>
  </si>
  <si>
    <t>Amrish Rau, Clearsign Capital, Global Founders Capital, Groww, Jitendra Gupta, Kunal Shah, Peak XV Partners, Prajit Nanu, Rocket Internet, Rohit Bodas, Sanat Rao, Sayali Karanjkar, Sequoia Capital, Srinivas Rao, WillowTree Investments</t>
  </si>
  <si>
    <t>www.nimbbl.biz</t>
  </si>
  <si>
    <t>500941-81</t>
  </si>
  <si>
    <t>EMenu Now</t>
  </si>
  <si>
    <t>Developer of a QR code-based ordering system designed to increase sales and reduce costs in the hospitality sector. The company's platform features digital menus, mobile ordering, and integrated payment options that streamline service, reduce wait times, and increase average order values, enabling hospitality businesses to cater to diverse customer needs while improving profitability and customer satisfaction.</t>
  </si>
  <si>
    <t>www.emenunow.com</t>
  </si>
  <si>
    <t>493024-78</t>
  </si>
  <si>
    <t>IN Financial Technologies</t>
  </si>
  <si>
    <t>Developer of a financial platform designed to support working capital and financial operations for businesses. The company offers supply chain financing, invoice factoring, business cashline, buy now pay later services, and invoicing tools, enabling clients to manage cash flow, access financing, and automate processes.</t>
  </si>
  <si>
    <t>500 Southeast Asia, DeClout</t>
  </si>
  <si>
    <t>www.inft.co</t>
  </si>
  <si>
    <t>467209-81</t>
  </si>
  <si>
    <t>Mezzi</t>
  </si>
  <si>
    <t>Developer of an AI-powered wealth management platform designed to provide personalized fiduciary investment advice across client accounts. The company's platform integrates portfolio aggregation, tax optimization, retirement planning, and asset allocation tools, enabling individual investors to manage their finances with comprehensive, SEC-registered advisory support.</t>
  </si>
  <si>
    <t>Relumin</t>
  </si>
  <si>
    <t>www.mezzi.com</t>
  </si>
  <si>
    <t>545117-95</t>
  </si>
  <si>
    <t>Saaf Finance</t>
  </si>
  <si>
    <t>Developer of a mortgage loan data platform designed for lenders, sellers, correspondent aggregators, investors, and asset managers. The company's platform specializes in automated underwriting and compliance for conventional, FHA, VA, and non-QM loans, and adds custom rules and credit policy overlays, enabling teams to meet compliance, diligence, and underwriting requirements through an AI-powered automation platform.</t>
  </si>
  <si>
    <t>Morgan Creek Capital Management, MVC (New York)</t>
  </si>
  <si>
    <t>www.saaffinance.com</t>
  </si>
  <si>
    <t>227224-72</t>
  </si>
  <si>
    <t>Arteria Technologies</t>
  </si>
  <si>
    <t>Developer of supply chain software designed to digitize and automate end-to-end supply chain processes. The company's platform offers enterprise system integration, multi-party network connectivity, and paperless financing features, enabling suppliers, transporters, subcontractors, distributors, and enterprises to manage operations with improved coordination and process efficiency.</t>
  </si>
  <si>
    <t>Hyper Accelerator, ICICI Bank, ICICI Investment Management, ICICI Venture</t>
  </si>
  <si>
    <t>www.finessart.ai</t>
  </si>
  <si>
    <t>292754-80</t>
  </si>
  <si>
    <t>Kriptown</t>
  </si>
  <si>
    <t>Operator of a digital asset platform intended for equity financing. The company's platform facilitates funding transactions through digital assets that can be held, used, or traded on a secondary market, enabling startups and SMEs to access capital efficiently and securely.</t>
  </si>
  <si>
    <t>Accurafy4, BNP Paribas, Bpifrance, CACEIS, platform58, Redstart (Paris)</t>
  </si>
  <si>
    <t>www.kriptown.com</t>
  </si>
  <si>
    <t>464210-56</t>
  </si>
  <si>
    <t>Kilde</t>
  </si>
  <si>
    <t>Operator of a private credit investment platform intended to provide senior-secured, asset-backed financing to lenders and deliver protected yield opportunities to institutional capital. The company offers institutional-grade transaction structuring with clear collateral control, covenant protection, cash-flow visibility, enforceable legal frameworks, and non-dilutive senior secured funding lines, enabling accredited and institutional investors as well as established non-bank lenders across Europe, MENA, and Asia to access structured credit exposure and scalable portfolio financing with strong downside protection.</t>
  </si>
  <si>
    <t>Adil Nurgozhin, Algorand Foundation, Big Sky Capital, Borderless Capital, Dubai International Finance Centre, Hub71, MA7 Ventures, Murat Abdrakhmanov, Olzhas Zhiyenkulov, Purple Next, Purple Ventures (Brno), Startupbootcamp Holding, Visa</t>
  </si>
  <si>
    <t>www.kilde.sg</t>
  </si>
  <si>
    <t>437544-82</t>
  </si>
  <si>
    <t>Mobilexpress</t>
  </si>
  <si>
    <t>Development of an online payment platform designed for secure and on-the-spot transactions. The company's platform provides a variety of offerings, including a mobile wallet, online payment gateway, one-click and recurring payments, card storage, online fraud prevention services and business-to-business collection services, enabling clients to focus on their core business and improve online sales management.</t>
  </si>
  <si>
    <t>Ali Kolaghassi, CollectiveSpark, Deniz Doany, Emre Tok, ITU ARI Teknokent, Tunç Berkman</t>
  </si>
  <si>
    <t>www.mobilexpress.com.tr</t>
  </si>
  <si>
    <t>433081-18</t>
  </si>
  <si>
    <t>Savart</t>
  </si>
  <si>
    <t>Provider of investment advisory services intended to enable long-term investing and portfolio management using technology-driven research systems. The company offers investment advisory services, portfolio management services, mutual fund recommendations, stock market insights, and portfolio tracking tools, enabling investors access to tools for planning, executing, and monitoring investments across financial assets.</t>
  </si>
  <si>
    <t>100Unicorns, Aeroflex Enterprises, Ajay Batra, BEENEXT Capital Management, Bennett Hatchery, BetaPlus (India), CanQbate Ventures, Jitendra Gupta, Narayanan Shadagopan, Raghu Gunturu, Soonicorn Ventures, The Fintech Meetup, T-Hub, Venture Catalysts, Wadhwani Foundation, Yatra Angel Network</t>
  </si>
  <si>
    <t>www.savart.com</t>
  </si>
  <si>
    <t>503516-80</t>
  </si>
  <si>
    <t>SmartLoC</t>
  </si>
  <si>
    <t>B2B Payments, FinTech, Internet of Things, SaaS, Supply Chain Tech</t>
  </si>
  <si>
    <t>Developer of a data-driven business-to-business (B2B) payment platform designed for supply-chain visibility as well as internet-of-things (IoT) based secure and reliable payment of transactions. The company's platform supports international trade with a focus on innovatively linking transparency in supply chains with the associated digital payment flows, enabling exporters and importers to replace the traditional bank-based, expensive letter of credit financing tool and mitigate risk for incomplete or damaged shipments.</t>
  </si>
  <si>
    <t>Confluence Challenge, Gateway49, German Accelerator, High-Tech Gründerfonds, Loggerhead Ventures, MBG Schleswig-Holstein</t>
  </si>
  <si>
    <t>www.smartloc.link</t>
  </si>
  <si>
    <t>483301-45</t>
  </si>
  <si>
    <t>Moxey (Specialized Finance)</t>
  </si>
  <si>
    <t>Operator of an integrated marketplace and payment platform intended to encourage the use of direct currency for small and medium-sized businesses. The company's platform gives owners access to an interest-free line of credit while driving new customer acquisition, enabling businesses to have access to capital by finding new sources of revenue.</t>
  </si>
  <si>
    <t>Clocktower Ventures, Derek Babcock, John Roberts, Liquid Ventures, Patrick Ryan, Service Provider Capital, SpringTime Ventures</t>
  </si>
  <si>
    <t>www.moxeyusa.com</t>
  </si>
  <si>
    <t>493485-76</t>
  </si>
  <si>
    <t>Ningi</t>
  </si>
  <si>
    <t>Developer of a financial advisory practice management platform designed for supporting regulated advice workflows. The company's platform combines client data management, onboarding and document handling, workflow automation, compliance support, reporting tools, and integrations with providers and valuation systems, enabling independent financial advisers and small advisory firms to manage client relationships, administrative tasks, and regulatory processes in a single centralized system.</t>
  </si>
  <si>
    <t>Ed Gascoigne, Haatch, Pete Denny, Sean Turner, Simrun Basuita, Terence Baker</t>
  </si>
  <si>
    <t>www.ningi.co.uk</t>
  </si>
  <si>
    <t>503513-65</t>
  </si>
  <si>
    <t>Embifi</t>
  </si>
  <si>
    <t>Developer of a financial technology platform designed for embedded finance and electric vehicle financing purposes. The company's platform provides modules for loan applications, KYC verification, underwriting, loan processing, collections management, and checkout financing integration, enabling businesses in the electric vehicle ecosystem to offer credit, payments, and structured financial products to customers.</t>
  </si>
  <si>
    <t>Astir Ventures, iSeed (India), Kube VC, North West Quadrant Ventures, PointOne Capital, Sadev Ventures, Singularity Capital, Startupbootcamp Holding</t>
  </si>
  <si>
    <t>www.embifi.in</t>
  </si>
  <si>
    <t>98852-32</t>
  </si>
  <si>
    <t>Mondido</t>
  </si>
  <si>
    <t>Developer of an online payment platform designed to increase conversion rates for online merchants. The company's platform offers a simple and fast way to start accepting payments on websites and mobile applications while offering smart features for analyzing and increasing sales, enabling merchants to make online transactions easily.</t>
  </si>
  <si>
    <t>28DIGITAL, Fredrik Palm, Fredrik Schöön, Mathias Hermansson, NFT Ventures, Nordea Bank, Norion Bank, Propel Capital (Sweden), Stockholm Innovation &amp; Growth</t>
  </si>
  <si>
    <t>www.mondido.com</t>
  </si>
  <si>
    <t>493949-08</t>
  </si>
  <si>
    <t>Finshark</t>
  </si>
  <si>
    <t>Operator of a fintech platform intended to offer online banking payments, real-time payouts, and financial insights. The company's tool removes any legacy friction within online payments and other financial processes to create new, instant paths for modern companies to fully own finance, deliver proprietary solutions, enabling customers to access aggregated financial data, initiate payments, enrich transactions, verify account ownership, and build their own financial tools.</t>
  </si>
  <si>
    <t>I Love Lund, M2 Asset Management, Polynom Investment</t>
  </si>
  <si>
    <t>www.finshark.io</t>
  </si>
  <si>
    <t>496362-34</t>
  </si>
  <si>
    <t>Alter5</t>
  </si>
  <si>
    <t>Developer of an investment platform intended for institutional investors in the renewable energy sector. The company's platform helps insurers, pension funds, and fixed-income managers efficiently allocate capital by presenting them with investment opportunities that align with specific criteria, collaborates with institutional investors worldwide, and its services include operational monitoring, evaluation of environmental, social, and governance criteria for each investment, and reporting systems, enabling clients to directly invest in loans, bonds and equity of meticulously evaluated renewable energy projects and portfolios.</t>
  </si>
  <si>
    <t>European Investment Fund, Extension Fund, Global FinTech Hackcelerator, SantanderX</t>
  </si>
  <si>
    <t>www.alter5.com</t>
  </si>
  <si>
    <t>118716-22</t>
  </si>
  <si>
    <t>S-Ancial</t>
  </si>
  <si>
    <t>Developer of a data intelligence platform designed to make equity markets and investor relations simple. The company's platform brings together listed companies, buy-side investors, and sell-side brokerages and offers tools to boost networking opportunities for companies, enabling clients to achieve corporate governance and enhanced disclosures, low communication costs and get a fair valuation in the market.</t>
  </si>
  <si>
    <t>JITO Incubation &amp; Innovation Foundation, Marquee Angels, Rahul Mehta, Rank Group (India), Subhkam Ventures, Sun Icon Ventures, Sureshkumar Jain</t>
  </si>
  <si>
    <t>www.s-ancial.com</t>
  </si>
  <si>
    <t>437449-15</t>
  </si>
  <si>
    <t>Briqpay</t>
  </si>
  <si>
    <t>Developer of a payment application programming interface designed to make business-to-business sales accessible and seamless online. The company's payment platform offers a seamless customer experience and automates payment flow in all markets, which will improve user experience and increase sales, enabling e-commerce businesses with valuable customer insights.</t>
  </si>
  <si>
    <t>Charlie Chantarasopon, Christian Leone, eEquity, Fredrik Hjelm</t>
  </si>
  <si>
    <t>www.briqpay.com</t>
  </si>
  <si>
    <t>467107-84</t>
  </si>
  <si>
    <t>Klavi Tecnologia</t>
  </si>
  <si>
    <t>Developer of an open finance platform intended to facilitate the democratization of big data access. The company's platform offers services including bank account management, finance and credit card management, payment management, data aggregation, analytics, and API services, enabling customers to automate tracking and checking accounts, credit cards, and accounts payable.</t>
  </si>
  <si>
    <t>BoostLAB, BTG Pactual, Cell Innovation Partners, GSR Ventures, Iporanga Ventures, Parallax Ventures, RX Ventures, Torq (Brazil), Vivo Inspire, Vivo Ventures, Y Combinator</t>
  </si>
  <si>
    <t>klavi.ai</t>
  </si>
  <si>
    <t>620660-17</t>
  </si>
  <si>
    <t>straitPay</t>
  </si>
  <si>
    <t>Operator of a cross-border remittance platform intended to facilitate instant money transfers from North America and the United Kingdom to recipients across Africa. The company's platform offers direct transfers to bank accounts and mobile money wallets, blockchain-based settlement, regulated money transfer infrastructure, and integration with a digital wallet application, enabling diaspora communities to send funds to recipients across Africa quickly and at lower cost.</t>
  </si>
  <si>
    <t>Foundervine, FoundHer Labs, SP01</t>
  </si>
  <si>
    <t>www.straitpay.com</t>
  </si>
  <si>
    <t>433550-35</t>
  </si>
  <si>
    <t>Straterix</t>
  </si>
  <si>
    <t>Developer of a strategic business platform designed to provide scenario-driven financial analysis and strategic planning. The company's platform uses proprietary algorithms, machine learning, and data mining to rapidly identify the specific stress scenarios relevant to the financial institutions that determine their impact, and perform sensitivity analyses, enabling institutions to address a variety of business challenges, including topics that were previously too costly or complex to solve.</t>
  </si>
  <si>
    <t>OM2</t>
  </si>
  <si>
    <t>www.straterix.com</t>
  </si>
  <si>
    <t>491056-75</t>
  </si>
  <si>
    <t>SupplyLine (Business/Productivity Software)</t>
  </si>
  <si>
    <t>Artificial Intelligence &amp; Machine Learning, B2B Payments, FinTech, Mobile, Supply Chain Tech</t>
  </si>
  <si>
    <t>Developer of a procurement and invoice financing platform designed to connect local retailers with lenders and distributors. The company's platform provides a virtual distribution network and access to quick finance, enabling businesses to digitally improve their supply chain finance process, logistics network, and transaction data.</t>
  </si>
  <si>
    <t>Accelerating Asia, COMEUP STARS, HASAN.VC, Hustle Fund, Tenity</t>
  </si>
  <si>
    <t>www.supplyline.network</t>
  </si>
  <si>
    <t>110951-74</t>
  </si>
  <si>
    <t>TrueRev</t>
  </si>
  <si>
    <t>Developer of a subscription management software intended for small and medium-sized businesses. The company's software addresses the high costs to process a single subscription, communication gaps between sales, sales operations, finance, and non-finance employees, excess manual data input, and a lack of a comprehensive, single source of truth for company revenue, enabling companies to prevent costly mistakes from improperly recorded revenue.</t>
  </si>
  <si>
    <t>Born Capital (California), Deftly Ventures, North Bay Angels, Robert Hull, ROC Venture Group, Various Angels</t>
  </si>
  <si>
    <t>www.truerev.com</t>
  </si>
  <si>
    <t>458343-01</t>
  </si>
  <si>
    <t>CardSe</t>
  </si>
  <si>
    <t>Developer of cloud-based financial software designed to convert any smartphone into a payment terminal. The company offers smartphone-based card acceptance, digital receipts, easy onboarding with digital identity checks, and tools for tracking transactions, enabling small business owners and retail merchants to take electronic payments using their phone, improve customer payment experience, and manage payment records more efficiently.</t>
  </si>
  <si>
    <t>10,000 Startups-NASSCOM, Anthill Ventures, Graycell Ventures, Indian Angel Network, Kalpataru Ventures, Mahesh Ramachandran, Microsoft for Startups, Pontaq, Raman Roy, Sanjay Rishi, Sanjivnayan Bajaj, WeWork India</t>
  </si>
  <si>
    <t>www.cardse.co</t>
  </si>
  <si>
    <t>499991-41</t>
  </si>
  <si>
    <t>iUPay</t>
  </si>
  <si>
    <t>Operator of a fintech platform intended to offer payment services and offer payment gateway. The company's platform offers services for capturing, aggregating, organizing, and paying bank charges, slips, and agreements, creating a wallet model that generates greater retention, enabling digital banks and companies with a better payment experience and generates greater retention and a better experience for end users.</t>
  </si>
  <si>
    <t>BoostLAB, BRQ Solucoes em Informatica, HBS Alumni Angels of Brazil, Wayra Brazil</t>
  </si>
  <si>
    <t>www.iupay.com.br</t>
  </si>
  <si>
    <t>222736-78</t>
  </si>
  <si>
    <t>vlot</t>
  </si>
  <si>
    <t>Developer of a service-based platform intended to help individuals and families become financially responsible. The company's full end-to-end workflow includes the integration of major underwriting and pricing engines based on open application programming interface technology, state benefits, as well as key individual inputs, combined with analysis, enabling clients to deliver a seamless digital financial check-up in the shortest space of time.</t>
  </si>
  <si>
    <t>Fusion Partners (Switzerland), Kickstart Innovation, Plug and Play Tech Center, SICTIC, SixThirty Ventures, Spicehaus Partners</t>
  </si>
  <si>
    <t>www.vlot.ch</t>
  </si>
  <si>
    <t>101656-81</t>
  </si>
  <si>
    <t>balo.</t>
  </si>
  <si>
    <t>Developer of a personal financial assistant platform intended to help in budgeting and saving money. The company's platform provides an everyday savings routine as well as complete performance insights and bite-sized finance education, enabling users to reach their financial goals with ease.</t>
  </si>
  <si>
    <t>Asean Strategic Capital Holdings, Startupbootcamp Holding, Vivek Gupta, YL Equity</t>
  </si>
  <si>
    <t>www.balo.app</t>
  </si>
  <si>
    <t>692422-30</t>
  </si>
  <si>
    <t>Frefins</t>
  </si>
  <si>
    <t>Developer of an operational finance infrastructure intended to make rental receivables transparent and financeable. The company offers an operational-ledger rental platform with real-time contract data, customer payment behavior, asset status, and automated risk monitoring, enabling rental operators, lenders, and capital markets participants to assess asset-backed risk accurately and support access to lower-cost, institution-grade financing.</t>
  </si>
  <si>
    <t>Alantes Corporate Finance, BDC Accelerator, Coolidge Corner Investment, Dito Investment, Ernest Ventures, Honest Ventures, Hyundai Motor Group Zero One, Hyundai Motor Securities, iAccel (Seongnam-si), InfoBank, K-Clavis, Korea Credit Guarantee Fund, Leading Investment &amp; Securities Company, SG Auto Service</t>
  </si>
  <si>
    <t>www.frefins.com</t>
  </si>
  <si>
    <t>454499-20</t>
  </si>
  <si>
    <t>Level Financial Technology</t>
  </si>
  <si>
    <t>Operator of a payroll-linked financial technology platform designed to provide staff with access to earned wages before payday. The company's platform offers on-demand wage access, payroll-linked savings, budgeting tools, integration with existing payroll systems, and mobile compatibility, enabling employers in industries like hospitality, healthcare, and retail to give employees flexible access to earnings and support financial wellbeing.</t>
  </si>
  <si>
    <t>Capita, Start Path, WorldOver Capital</t>
  </si>
  <si>
    <t>www.levelft.com</t>
  </si>
  <si>
    <t>433409-41</t>
  </si>
  <si>
    <t>Kosh</t>
  </si>
  <si>
    <t>Developer of a financial services platform designed to simplify the loan availing process. The company's platform uses machine learning algorithms to recommend savings plans by creating social media groups with friends to borrow together, enabling blue-collar workers to turn into micro-lenders for their community securely and affordably.</t>
  </si>
  <si>
    <t>100Unicorns, AU Small Finance Bank, Bharat Inclusion Seed Fund, Breathe Capital, CDM Capital (VC), Enrission India Capital, IIMA Ventures, India Quotient, JIF Capital, Startup Haryana, Venture Catalysts (Capital Markets/Institutions), VentureSouq, Y Combinator</t>
  </si>
  <si>
    <t>getkosh.com</t>
  </si>
  <si>
    <t>436335-31</t>
  </si>
  <si>
    <t>MergerDomo</t>
  </si>
  <si>
    <t>Developer of an online investment banking platform designed to assist organizations in preparing, sourcing, and executing deals by finding the right counterparty. The company's platform connects corporates and startups with investment bankers, consultants, strategic and financial investors, technology providers, and contract manufacturers, enabling businesses to get an online stop for business deals preparation, sourcing counterparties, and deal execution.</t>
  </si>
  <si>
    <t>MeitY Startup Hub, Nadir Godrej</t>
  </si>
  <si>
    <t>www.mergerdomo.com</t>
  </si>
  <si>
    <t>277618-51</t>
  </si>
  <si>
    <t>Aryze</t>
  </si>
  <si>
    <t>Cryptocurrency/Blockchain, FinTech, Mobile, Mobile Commerce</t>
  </si>
  <si>
    <t>Developer of a digital currency designed to offer a payment option with multi-asset integration and a range of integration tools for both private customers and businesses. The company's digital currency is a range of cryptographically secure, stablecoins linked to the value of an underlying national currency, which can be globally transferable and programmable using distributed ledger technology, enabling users to make seamless mobile payments through the digital wallet.</t>
  </si>
  <si>
    <t>InnoFounder, Keystones (Denmark), Rollman Management</t>
  </si>
  <si>
    <t>www.aryze.io</t>
  </si>
  <si>
    <t>267775-93</t>
  </si>
  <si>
    <t>Qihangjinfu</t>
  </si>
  <si>
    <t>Developer of an enterprise capital planning and management platform. The company develops advanced capital management system that deliver corporate finance solutions including corporate invoicing, capital budgeting, asset management and financial analysis for medium and large-sized enterprises, helping companies better management and utilize capital.</t>
  </si>
  <si>
    <t>58 Industry Fund, AA Investment, Albatross Venture, China Capital Management, China V Fund, Guiyang Venture Capital, Haibei Capital, MPC (Beijing), Yonghua Capital</t>
  </si>
  <si>
    <t>www.qihangjinfu.com/html/mainpage.html</t>
  </si>
  <si>
    <t>503821-09</t>
  </si>
  <si>
    <t>Akahu</t>
  </si>
  <si>
    <t>Developer of an open banking and finance infrastructure platform designed to facilitate the connection of financial accounts to third parties. The company's platform maintains functional data integrations with banks and other financial institutions which are bundled into a simple API for developers and deliver payment initiation, enriched transaction data, account data, identify verification, and bank account verification, enabling users to take control of their data and providing account connectivity.</t>
  </si>
  <si>
    <t>2120 New Zealand, Christopher Wong, K1W1, Start Path, STILL (New Zealand)</t>
  </si>
  <si>
    <t>www.akahu.nz</t>
  </si>
  <si>
    <t>528738-40</t>
  </si>
  <si>
    <t>Fumopay</t>
  </si>
  <si>
    <t>Developer of an open banking payment platform intended to provide a lower-cost alternative to card payments. The company's platform provides enhanced, cheap, and safe alternatives to traditional card payments, debt tracking, group payments, and budgeting, parental control for setting up allowances for automated management and social balance management, enabling users to get instant settlement and reduce card processing fees.</t>
  </si>
  <si>
    <t>Matthew Bruton</t>
  </si>
  <si>
    <t>www.fumopay.com</t>
  </si>
  <si>
    <t>996762-07</t>
  </si>
  <si>
    <t>Qlfy</t>
  </si>
  <si>
    <t>Developer of consumer lending software intended for increasing operational efficiency and reducing borrower friction. The company's software provides application programming interface integrations with financial aggregators, a prefiltering process for continuous optimization, machine learning eligibility scoring for secured and unsecured credit products, and income verification via open banking technology alongside expenditure analysis and risk scores, enabling financial institutions and brokers to streamline decision-making processes and deliver affordability assessments to potential borrowers.</t>
  </si>
  <si>
    <t>MONY Group.</t>
  </si>
  <si>
    <t>www.qlfy.co.uk</t>
  </si>
  <si>
    <t>185169-07</t>
  </si>
  <si>
    <t>Sharpfin</t>
  </si>
  <si>
    <t>Developer of wealth management software designed to digitize, accelerate, and automate administrative processes. The company's software features a risk management compliance framework, transactions reconciliation engine, and bookkeeping algorithm, which helps automate the wealth management process and reduce manual labor, enabling financial advisors, funds, as well as wealth and risk management companies to control risks, optimize performance, and reduce costs.</t>
  </si>
  <si>
    <t>Anton Lahdenperä, Katalysen Ventures</t>
  </si>
  <si>
    <t>www.sharpfin.com</t>
  </si>
  <si>
    <t>462660-22</t>
  </si>
  <si>
    <t>ROOV</t>
  </si>
  <si>
    <t>Developer of a personal finance management application intended to organize, visualize, manage, and optimize expenses. The company's platform allows users to track their invoices and store documents in a central place, users can validate the document and get insights on their expenses and bills, enabling users to create budget alerts and get warnings when they pass the budget.</t>
  </si>
  <si>
    <t>Anthony De Clerck, Dieter Aelvoet, Jonas Dhaenens, Paul Thiers, Thinc.Capital, Wim Derkinderen</t>
  </si>
  <si>
    <t>www.roov.app</t>
  </si>
  <si>
    <t>491238-28</t>
  </si>
  <si>
    <t>RepOptim</t>
  </si>
  <si>
    <t>Developer of a securities financing optimization platform designed to complement current workflows. The company's platform leverages artificial intelligence, natural language processing, and data science to effectively combine pre-trade analytics, post-trade analysis, and real-time workflow management and offer insights, enabling clients to run the business more efficiently, increase profitability, and make better, well-informed decisions.</t>
  </si>
  <si>
    <t>www.repoptim.com</t>
  </si>
  <si>
    <t>500527-54</t>
  </si>
  <si>
    <t>Seemexic, Sociedad Anónima De Capital</t>
  </si>
  <si>
    <t>Developer of a payment processing platform designed to simplify payment collections for businesses. The company offers a user-friendly interface, instant payment transfers, and low commission rates, enabling entrepreneurs and businesses in Mexico to efficiently manage their payments and improve cash flow.</t>
  </si>
  <si>
    <t>500 Startups LatAm, Alpha Impact 8, Avalancha Ventures, Village Capital</t>
  </si>
  <si>
    <t>www.axify.shop</t>
  </si>
  <si>
    <t>434938-87</t>
  </si>
  <si>
    <t>Guac</t>
  </si>
  <si>
    <t>Developer of a financial saving and investment application designed to help people to achieve their financial goals. The company's application offers auto-tip technology and percentage-based tools to track daily spending, provides data analysis, and seamlessly delivers cashback, enabling users to save and invest according to their life and financial goals.</t>
  </si>
  <si>
    <t>Broadshade Investments, Daymond John, Empire Group International, Staircase Digital, Wheelhouse Digital Studios</t>
  </si>
  <si>
    <t>www.joinguac.com</t>
  </si>
  <si>
    <t>664534-54</t>
  </si>
  <si>
    <t>Agant</t>
  </si>
  <si>
    <t>Developer of a stablecoin infrastructure platform designed to support compliant digital asset issuance and tokenisation in institutional finance. The company offers GBP-backed stablecoins, blockchain-based payment capabilities, and regulatory-focused risk management features, enabling financial institutions and digital asset participants to access programmable and compliant digital currency services.</t>
  </si>
  <si>
    <t>Dark Horse Venture Partners, Gondor Capital, Lattice Capital, Peachscore + Gust Accelerator Program, Refract Ventures, Solo Investments</t>
  </si>
  <si>
    <t>agant.io</t>
  </si>
  <si>
    <t>530873-02</t>
  </si>
  <si>
    <t>WineFi</t>
  </si>
  <si>
    <t>Operator of an investing platform intended to gain exposure to the fine wine market. The company offers curated wine portfolios, blockchain-backed transparency, and expert management to democratize fine wine investment and receive profits when the assets are sold, enabling individual and institutional investors to access a historically stable, tax-efficient asset class with low correlation to traditional markets.</t>
  </si>
  <si>
    <t>Coterie Holdings UK, Founders Capital, Jerry Buhlmann, KCP Nominees, Odin Investments, SeedLegals, SFC Capital</t>
  </si>
  <si>
    <t>www.winefi.co</t>
  </si>
  <si>
    <t>532824-31</t>
  </si>
  <si>
    <t>Joba</t>
  </si>
  <si>
    <t>Artificial Intelligence &amp; Machine Learning, Cryptocurrency/Blockchain, HR Tech, SaaS</t>
  </si>
  <si>
    <t>Operator of a decentralized job marketplace intended to connect skilled technical talent with potential employers. The company's platform utilizes blockchain technology and artificial intelligence to ensure trustless hiring, verifiable credentials, and streamlined invoicing, enabling employers and freelancers to get efficient and secure work experience.</t>
  </si>
  <si>
    <t>Decima (Tokyo)</t>
  </si>
  <si>
    <t>www.joba.network</t>
  </si>
  <si>
    <t>182567-35</t>
  </si>
  <si>
    <t>Sygno</t>
  </si>
  <si>
    <t>Developer of a financial analysis platform designed to detect and manage financial crime. The company's platform uses AI or Machine Learning models to better detect and prevent complex migrations, Anti-Money Laundering (AML), and Fraud models, based on available data, to enhance the TM performance, enabling clients to automate the fraud and transaction risk monitoring process.</t>
  </si>
  <si>
    <t>DutchBasecamp, FIS Fintech Accelerator, ROM Utrecht Region, TechQuartier, The Venture Center, TIN Capital</t>
  </si>
  <si>
    <t>www.sygno.com</t>
  </si>
  <si>
    <t>539118-37</t>
  </si>
  <si>
    <t>TacSnap</t>
  </si>
  <si>
    <t>Developer of an accounting application designed to streamline tax returns for freelancers. The company's application supports tax return filing for freelancers and sole proprietors by linking with credit cards and electronic money by displaying the amount of tax saved and the amount of tax paid to support the image when filing tax returns, enabling users to submit the final tax return without much hassle.</t>
  </si>
  <si>
    <t>ANOBAKA, Archetype Ventures, GMO Venture Partners, G-STARTUP, PKSHA Algorithm Fund, Shoichiro Mizutani, United, WiL (World Innovation Lab)</t>
  </si>
  <si>
    <t>taxnap.co.jp</t>
  </si>
  <si>
    <t>442170-19</t>
  </si>
  <si>
    <t>Trilo</t>
  </si>
  <si>
    <t>Artificial Intelligence &amp; Machine Learning, Big Data, FinTech, Marketing Tech, SaaS</t>
  </si>
  <si>
    <t>Developer of a cloud-native data protection platform designed for application backup and recovery. The company's platform supports Kubernetes, OpenStack, and virtualized environments with features including point-in-time application recovery, human-in-the-loop validation, migration across clusters and clouds, and policy-driven automation, enabling platform engineers and DevOps teams to maintain operational resilience and protect critical workloads in hybrid-cloud infrastructures.</t>
  </si>
  <si>
    <t>Chris Adelsbach, Frontline Ventures, Onstage (London), Redbus Ventures</t>
  </si>
  <si>
    <t>www.trilo.io</t>
  </si>
  <si>
    <t>458500-60</t>
  </si>
  <si>
    <t>PonchoPay</t>
  </si>
  <si>
    <t>Developer of an automated checkout technology platform designed for parents to access facilities related to childcare. The company offers a one-click checkout platform, aggregating government and employer funding and substantially reducing the cost of childcare, enabling employers to help working parent employees manage the costs and challenges of raising a family.</t>
  </si>
  <si>
    <t>FinTech Innovation Lab, Kamet Ventures</t>
  </si>
  <si>
    <t>www.ponchopay.com</t>
  </si>
  <si>
    <t>538949-44</t>
  </si>
  <si>
    <t>Teal (Financial Software)</t>
  </si>
  <si>
    <t>Developer of a payroll data platform designed to streamline income verification and enhance underwriting processes. The company's platform connects to payroll and human resources systems, offering real-time income and employment data with user consent at its core, helping lenders reduce credit risk, lower operational costs, and improve decision-making by providing granular data for better risk assessment and automated underwriting workflows.</t>
  </si>
  <si>
    <t>ACF Investors, ALSP20, Avonmore Developments, KFund, Odin Investments, Passion Capital, Scout Fund</t>
  </si>
  <si>
    <t>www.goteal.co</t>
  </si>
  <si>
    <t>149618-98</t>
  </si>
  <si>
    <t>MAXIMUS</t>
  </si>
  <si>
    <t>Provider of global payment infrastructure and digital enablement services intended to offer a wide range of ecosystems in the payments, reconciliation, remote monitoring, and self-service domains. The company offers services related to payment infrastructure, fraud risk, and remote management, self-service kiosks, foreign investments, and agency banking, enabling businesses to increase product offerings.</t>
  </si>
  <si>
    <t>Antennae Ventures, SIDBI Venture Capital</t>
  </si>
  <si>
    <t>www.maximusinfoware.in</t>
  </si>
  <si>
    <t>466476-22</t>
  </si>
  <si>
    <t>Fagura</t>
  </si>
  <si>
    <t>Operator of a private-to-private lending platform intended to provide loans at a lower interest rate than the financial market. The company's platform aims to connect investors interested in high profits and in a more consistent return than bank deposits with borrowers who get lower interest rates than banks or microfinance to manage their overall finances, enabling investors and borrowers to avail of financial deals at reasonable rates.</t>
  </si>
  <si>
    <t>Andreea Pipernea, Bravva Angels, Endeavor Romania, InnovX (Bucharest), iTICKET, Liviu Munteanu, Mozaic, Mozaic Ventures, Radu Cheltuială, u.ventures, UVentures</t>
  </si>
  <si>
    <t>www.fagura.com</t>
  </si>
  <si>
    <t>234791-20</t>
  </si>
  <si>
    <t>Lendbox</t>
  </si>
  <si>
    <t>Developer of a peer-to-peer lending platform designed to assist investors in interacting with pre-specified creditworthy borrowers. The company's platform cuts down the interest rates for borrowers and increases investor yields by eliminating mediators like commercial banks and depository institutions, enabling borrowers to get to the retail and institutional investors with varying risk appetites.</t>
  </si>
  <si>
    <t>IvyCap Ventures, Orios Venture Partners, Venture Garage</t>
  </si>
  <si>
    <t>www.lendbox.in</t>
  </si>
  <si>
    <t>438228-37</t>
  </si>
  <si>
    <t>Centi</t>
  </si>
  <si>
    <t>Provider of a digital payment platform intended to help users easily make digital cash payments via the point of sales terminal. The company's platform offers lower fees, hygienic, contactless transactions, and digital cash payment, it also offers event payment services that allow online publishers and content providers to accept payments for paywall removals, enabling merchants to accept digital currency payments through existing infrastructure.</t>
  </si>
  <si>
    <t>Archblock, Bloomhaus Ventures, Calvin Ayre, Jürg Conzett, SICTIC</t>
  </si>
  <si>
    <t>www.centi.ch</t>
  </si>
  <si>
    <t>181556-83</t>
  </si>
  <si>
    <t>Nivesh</t>
  </si>
  <si>
    <t>Developer of a mutual fund investment platform designed to make capital market investments available to all. The company's platform simplifies the investment process by categorizing funds as per broad investment objectives and further curating schemes to provide a shortlist, and helps in tracking the portfolio performance with timely alerts and notifications, enabling ordinary investors to invest in financial assets that are otherwise not attainable for them.</t>
  </si>
  <si>
    <t>Altius Ventures, Basab Pradhan, Bijoy George, Debasish Hota, Haystack Management Company, IAN Fund, LVX, Meraki Venture Capital, P. Sahad, Raghav Kapur, Rahul Gupta, Rajan Anandan, Sandeep Shroff, Vir Mehta, Vivek Khare, Windrose Capital (Pune)</t>
  </si>
  <si>
    <t>www.nivesh.com</t>
  </si>
  <si>
    <t>224293-60</t>
  </si>
  <si>
    <t>Axeptia Credit Intelligence</t>
  </si>
  <si>
    <t>Developer of a credit management platform designed to help businesses reduce credit risk, improve liquidity, and improve efficiency in credit management.
The company's software platform uses technology characterized by a high degree of security, flexibility, and scalability with modern data collection and structuring, interaction, reporting, analysis, and visualization tools, enabling clients to control and follow up on their credit and debt collection portfolio.</t>
  </si>
  <si>
    <t>home.axeptia.com</t>
  </si>
  <si>
    <t>481734-01</t>
  </si>
  <si>
    <t>Verve Super</t>
  </si>
  <si>
    <t>Operator of a superannuation fund intended to offer corporate pension services for women. The company's platform facilitates users to see how money is invested in different industrial sectors that are ethically responsible and offers coaching on financial and career skills, enabling women to improve their knowledge regarding finance and the management of their wealth.</t>
  </si>
  <si>
    <t>Earth Ventures</t>
  </si>
  <si>
    <t>www.vervesuper.com.au</t>
  </si>
  <si>
    <t>507445-93</t>
  </si>
  <si>
    <t>Eoliann</t>
  </si>
  <si>
    <t>Advanced Manufacturing, Artificial Intelligence &amp; Machine Learning, Big Data, Climate Tech, FinTech</t>
  </si>
  <si>
    <t>Developer of a climate software designed to offer climate analytics accurate and accessible, leveraging advanced technologies. The company's software offers real-time analysis, street-level granularity, multiple risk aggregation, full integration with clients' portfolios and preventative assessment, enabling financial institutions to predict the probability and impact of natural disasters.</t>
  </si>
  <si>
    <t>CDP Venture Capital (Rome), Exor, Fondazione Compagnia di San Paolo, Global Start Up Program, Montage Ventures, OpenEconomics, Primo Capital (Milano), TechQuartier, Terna Forward, UniCredit Start Lab, Vento (Venture Capital), Wharton Cypher</t>
  </si>
  <si>
    <t>www.eoliann.com</t>
  </si>
  <si>
    <t>522679-42</t>
  </si>
  <si>
    <t>Wych</t>
  </si>
  <si>
    <t>Developer of an open data compliance platform intended to facilitate secure data access and sharing. The company's platform provides comprehensive resources and support to ensure compliance with open banking regulations utilizing open banking application programming interfaces, enabling businesses to leverage the collected financial data effectively.</t>
  </si>
  <si>
    <t>Booster Innovation Fund, Brisbane Angels, New Zealand Growth Capital Partners, NZ Fintech Fund, NZVC</t>
  </si>
  <si>
    <t>www.wych.io</t>
  </si>
  <si>
    <t>517124-53</t>
  </si>
  <si>
    <t>Drivio (Financial Software)</t>
  </si>
  <si>
    <t>Operator of a financial loan marketplace intended to provide two-wheeler financing options. The company offers quick financing services and serves as a bouquet of financial products, using techniques like psych profiling, biometrics, and gamification backed by machine learning algorithms to make quick and effective lending decisions, enabling two-wheeler consumers to have financial services and loan options available within a few clicks.</t>
  </si>
  <si>
    <t>Ankit Agarwal, Ashish Sehgal, Credenc, Dinesh Hinduja Family Office, Gaurav Kapur, GSF India, Himanshu Tyagi, Karini Ventures, Murugavel Janakiraman, Rajesh Sawhney, Rameshwar Gupta, Sahil Chalana, Vansun Capital, Vivek Pillai</t>
  </si>
  <si>
    <t>www.drivio.in</t>
  </si>
  <si>
    <t>470650-33</t>
  </si>
  <si>
    <t>Tomorrow Super</t>
  </si>
  <si>
    <t>Developer of a digital-first wealth management platform designed to offer transparency and control over their private fund. The company's platform provides scalable, capital-light, high-margin wealth and technology businesses with the aspiration to become a significant multi-billion dollar business, enabling companies to ease their pension processing, track the performance of their investments in real-time, and give them greater visibility over how their money is being managed.</t>
  </si>
  <si>
    <t>Astralabs, Frank Zipfinger</t>
  </si>
  <si>
    <t>www.tomorrowsuper.com.au</t>
  </si>
  <si>
    <t>227950-30</t>
  </si>
  <si>
    <t>Wallet Engine</t>
  </si>
  <si>
    <t>Cryptocurrency/Blockchain, FinTech, Mobile, TMT</t>
  </si>
  <si>
    <t>Developer of a financial application designed to help clients connect with their worldwide customers irrespective of their country and level of financial inclusion. The company's application helps people interact over mobile aside from texts, smileys, stickers, and multimedia content, users can send items or the equivalent amount right into others' wallets, enabling users to buy and sell digital content such as photos or electronic movie tickets.</t>
  </si>
  <si>
    <t>www.walletengine.io</t>
  </si>
  <si>
    <t>437628-34</t>
  </si>
  <si>
    <t>Meu Tudo</t>
  </si>
  <si>
    <t>Developer of an online payroll interface designed to facilitate access to financial products and loans. The company's platform acts as a banking correspondent to provide intermediation and negotiation assistance with anti-fraud technology, enabling retired pensioners and federal and state servants to procure payroll loans digitally.</t>
  </si>
  <si>
    <t>BoostLAB, Bossa Invest, BTG Pactual, DOMO.VC, EXT Capital</t>
  </si>
  <si>
    <t>www.meutudo.com.br</t>
  </si>
  <si>
    <t>549237-43</t>
  </si>
  <si>
    <t>IGNOSIS</t>
  </si>
  <si>
    <t>Developer of a financial data intelligence platform designed for partnerships with businesses across India. The company's platform offers account aggregation, real-time data sourcing, lending infrastructure, and customer reviews powered by artificial intelligence, providing banking and financial services industries with hyper-personalization, automation, and democratized credit.</t>
  </si>
  <si>
    <t>AL Trust (India), Force Ventures (India), Groww, Kunal Shah, LVX, Razorpay, Surge (Accelerator)</t>
  </si>
  <si>
    <t>www.ignosis.ai</t>
  </si>
  <si>
    <t>517547-98</t>
  </si>
  <si>
    <t>Stack by me</t>
  </si>
  <si>
    <t>Developer of an investment application designed to provide community and training on how to start investing. The company aims to make the capital market available and accessible to all irrespective of gender through its online academy and community that interacts and educates each other, enabling users to investment journeys easily.</t>
  </si>
  <si>
    <t>Aggregate, Mastercard Lighthouse, Sean Percival, Time to Raise, VNTRS</t>
  </si>
  <si>
    <t>www.stackby.me</t>
  </si>
  <si>
    <t>490975-39</t>
  </si>
  <si>
    <t>Booke AI</t>
  </si>
  <si>
    <t>Developer of a bookkeeping and finance automation platform designed to automate repetitive client communications and categorize transactions. The company's platform extracts data from PDF, PNG invoices, and bills and manages bank accounts reconciliation routine with AI support, enabling accounting firms to expand their capacity to serve clients with the same team.</t>
  </si>
  <si>
    <t>Alchemist Accelerator, Cabra VC, Dmitriy Kustov, Insta Ventures, Kirill Parinov, Valentine Zavgorodnev</t>
  </si>
  <si>
    <t>www.booke.ai</t>
  </si>
  <si>
    <t>528885-19</t>
  </si>
  <si>
    <t>Carmine Finance</t>
  </si>
  <si>
    <t>Cryptocurrency/Blockchain, FinTech, InsurTech</t>
  </si>
  <si>
    <t>Developer of a decentralised finance platform designed to facilitate digital asset management and trading. The company's platform specialises in hedging and insuring DeFi risks through options like impermanent loss, hedging the value of commodities, insurance, no-liquidation loans with options as collateral, decreasing the probability of margin calls, hedging loan liquidations, enabling cryptocurrency users and investors to hedge and insure their portfolios across multiple chains using storage proofs.</t>
  </si>
  <si>
    <t>Filip Dousek, Presto Ventures, Technologické inkubace</t>
  </si>
  <si>
    <t>www.carmine.finance</t>
  </si>
  <si>
    <t>58974-49</t>
  </si>
  <si>
    <t>Ezuza</t>
  </si>
  <si>
    <t>Operator of a mobile payment and money transfer platform based in Mexico. The company provides an online platform through which users can make payments, transfer money, and customize corporate and bill payment services, enabling customers a convenient mode of payment.</t>
  </si>
  <si>
    <t>www.ezuza.com</t>
  </si>
  <si>
    <t>435520-63</t>
  </si>
  <si>
    <t>Funding (Queensland)</t>
  </si>
  <si>
    <t>Operator of an online mortgage marketplace intended to connect borrowers with lenders. The company's marketplace uses technology to make the mortgage lending process more efficient, offers property-secured loans for all purposes which have rapid settlements and simpler methods and invests in secured Australian property loans by selecting investments online, receiving interest monthly against a property that is secured, enabling borrowers and investors to solve their financing problems quickly.</t>
  </si>
  <si>
    <t>Bellite, Equity Venture Partners, Grand Prix Capital</t>
  </si>
  <si>
    <t>www.funding.com.au</t>
  </si>
  <si>
    <t>459080-02</t>
  </si>
  <si>
    <t>İnteraktif Kredi</t>
  </si>
  <si>
    <t>Provider of financial loans and credit counseling services intended to make the application process easy. The company specializes in assisting people to avail bank advances by offering credit, rent, and bond reports and calculating the installment amount, interest, and expense rates, and then making personalized recommendations based on financial conditions to start credit transactions, enabling clients to process the application and approve loans easily.</t>
  </si>
  <si>
    <t>Alesta Yatırım, Berkin Ozer, Betul Ozer, Caucasus Ventures, Escort Teknoloji Yatirim, Figen Korun, Finesta Yatırım, Halis Petrol, ITU ARI Teknokent, İTÜ Çekirdek, Keiretsu Forum, Keiretsu Forum Turkey, Sertaç Özinal, Tech Istanbul, Workup (Turkey)</t>
  </si>
  <si>
    <t>www.interaktifkredi.com.tr</t>
  </si>
  <si>
    <t>437741-92</t>
  </si>
  <si>
    <t>Kiddie Kredit</t>
  </si>
  <si>
    <t>Developer of a mobile chore-tracking platform designed to improve financial literacy among children. The company's platform assigns credit value based on the number of chores performed and the timeliness of completion, similar to the US credit score models, enabling parents to instill sound credit understanding in children through a fun and engaging medium.</t>
  </si>
  <si>
    <t>43North, ACT House, Anjal Z, Baron Davis, Ben Jen Holdings, CAFE Fintech Accelerator, Dwyane Wade, Fuerza Ventures, GoodLight Capital, Google Accelerator, GrowthX Capital, LearnLaunch Fund + Accelerator, Nueterra Capital, OnDeck, Plain Sight Capital, Springhouse Investments, Tampa Bay Wave, Techstars, Uncommon Ventures, Verve Capital, Very Big Things</t>
  </si>
  <si>
    <t>www.kiddiekredit.com</t>
  </si>
  <si>
    <t>515852-65</t>
  </si>
  <si>
    <t>Koywe</t>
  </si>
  <si>
    <t>B2B Payments, CloudTech &amp; DevOps, Cryptocurrency/Blockchain, FinTech, SaaS</t>
  </si>
  <si>
    <t>Developer of a web3 wallet technology designed to build financial applications for buying and selling cryptocurrency. The company offers simple and well-documented payment application programming interfaces (APIs) and software development kits (SDKs) to trade cryptocurrency and connect wallets and portfolios in the region through blockchain, enabling developers to instantly start leveraging crypto to offer services like remittances, wallets, and investments.</t>
  </si>
  <si>
    <t>99 Startups, Aligned Ventures, Bell Ventures (Limassol), Benjamin Labra, Bitso, Caladan, Concentric Team, Endeavor Miami, Factor Capital, Ferter, Golden Record Ventures, Goodwater Capital, Hi2 Global, K Capital Ventures, Kinled Holding, Manutara Ventures, Nazca, Peter Lindholm, Rebel Fund, Rhombuz Ventures, Ricardo Donoso, SeaX Ventures, Sujay Tyle, Tantauco Ventures, Timechain(UK), Wayra, Y Combinator</t>
  </si>
  <si>
    <t>www.koywe.com</t>
  </si>
  <si>
    <t>438560-65</t>
  </si>
  <si>
    <t>Kredit (Business/Productivity Software)</t>
  </si>
  <si>
    <t>Developer of an automated credit-building application designed to help companies fix and build credit scores. The company's application helps connect a monitoring plan, provides a repair strategy, and guides every step of the credit-building journey also analyzes credit reports, enabling clients to update the credit-building dashboard with building moves to get the credit score climbing.</t>
  </si>
  <si>
    <t>www.meetkredit.com</t>
  </si>
  <si>
    <t>153512-56</t>
  </si>
  <si>
    <t>Singularities</t>
  </si>
  <si>
    <t>Developer of an agent-oriented artificial intelligence platform designed for supply chains, consumer finance and personalization. The company's platform uses machine reasoning technology and mathematical optimization platform, to outgrow business limitations and inventory distortions, securing the visibility, adaptability and personalized attention that customers expect, enabling clients to augment the intelligence and reach of their day-to-day operations to face new business challenges.</t>
  </si>
  <si>
    <t>Carao Ventures, Kirk Bradley</t>
  </si>
  <si>
    <t>www.singularities.com</t>
  </si>
  <si>
    <t>481503-07</t>
  </si>
  <si>
    <t>SpendCare</t>
  </si>
  <si>
    <t>Developer of spending monitoring tools designed to let home care agencies safely spend money on behalf of their clients. The company's tools encompass smart monitoring, safe spending, expense sharing, rewards, and savings, enabling customers to monitor spending across accounts, prevent spending mistakes, and access rewards and discounts.</t>
  </si>
  <si>
    <t>AgeInnovate, AgeTech Collaborative from AARP, Dewey Holdings, InvestTN, Launch Tennessee, Nashville Entrepreneur Center, Samvid Ventures, Techstars</t>
  </si>
  <si>
    <t>www.spend.care</t>
  </si>
  <si>
    <t>465198-49</t>
  </si>
  <si>
    <t>Versal</t>
  </si>
  <si>
    <t>Developer of a multi-chain payments infrastructure designed to modernize money by facilitating the seamless movement of currencies across various digital assets. The company offers financial guidance to initiate transactions on one payment network and terminate on another with a single integration, enabling businesses to focus on their core work by removing the complexity of moving money and fully integrating and transacting in digital currencies worldwide.</t>
  </si>
  <si>
    <t>Alaya Capital, BCW Ventures, Blockchain Capital, Borderless Capital, Chainlink Labs, Grupo Supervielle, In5, Mysten Labs, Plug and Play Tech Center</t>
  </si>
  <si>
    <t>www.versal.money</t>
  </si>
  <si>
    <t>572024-98</t>
  </si>
  <si>
    <t>Xpendit</t>
  </si>
  <si>
    <t>Developer of an AI-powered financial control platform designed to automate corporate expense management and policy compliance. The company offers expense submission through WhatsApp, real-time validation, fraud detection, corporate card reconciliation, and ERP integrations, enabling enterprises to centralize financial operations and improve expense oversight.</t>
  </si>
  <si>
    <t>Fernando Elizalde, Gabriel Gurovich, Hernán Orellana, Ignacio Belmar, Imagine Ventures Management, Javier Perezanta, Kuiper (Mexico), Michael Everdad, Minga ventures, Miranda Correa, Pablo Girault, Rodrigo Irarrázaval, Sebastián Kreiss, WeBoost VC</t>
  </si>
  <si>
    <t>www.xpendit.com</t>
  </si>
  <si>
    <t>226541-80</t>
  </si>
  <si>
    <t>Open Payments</t>
  </si>
  <si>
    <t>Developer of an open banking platform designed to embed banking services directly into business software. The company offers a single API for real-time bank connectivity, account-to-account payments, financial data access and automated reconciliation workflows, enabling enterprise software providers and financial management platforms to integrate secure banking and payment capabilities within their applications.</t>
  </si>
  <si>
    <t>Alfvén &amp; Didrikson, Brightly Ventures, Global Brain, Goose Valley Ventures, Industrifonden, Luminar Ventures, Sony Financial Ventures, Vidici Ventures</t>
  </si>
  <si>
    <t>www.openpayments.io</t>
  </si>
  <si>
    <t>104398-57</t>
  </si>
  <si>
    <t>Simply Wall Street</t>
  </si>
  <si>
    <t>Developer of an online stock analysis platform designed to give investors stock information and insights based on underlying metrics. The company's mobile and web-based platform offers graphical interpretation and infographics on livestock data, which encompasses variables like income, value, future, past, and health, enabling retail investors to get a full understanding of the stock and the company's performance and identify investment opportunities.</t>
  </si>
  <si>
    <t>Adrian Bunter, Artesian, Ben Heap, Digital 4s Ventures, H2 Ventures, Innovation Capital, Investsmart Group, Jeremy Same, Michael An, Mike Quinn, Perle Ventures, QUAY Acceleration, Shayne Shepherd, Sydney Angels, Toby Heap</t>
  </si>
  <si>
    <t>www.simplywall.st</t>
  </si>
  <si>
    <t>484035-49</t>
  </si>
  <si>
    <t>Sprout</t>
  </si>
  <si>
    <t>Operator of an investment management platform intended to help investors to invest in private equity and venture capital opportunities. The company's platform provides ideas and strategies to access private market funds and co-investment opportunities alongside established investors, enabling investors to self-select opportunities based on their interests.</t>
  </si>
  <si>
    <t>www.viasprout.com</t>
  </si>
  <si>
    <t>539238-34</t>
  </si>
  <si>
    <t>Tulyp</t>
  </si>
  <si>
    <t>Developer of a cloud-based foreign exchange risk management platform designed to help businesses monitor and mitigate currency exposure. The company's platform offers real-time visibility into multi-entity foreign exchange exposure across currencies and maturities, aggregates transactional data to quantify the impact of currency fluctuations on revenue, margins, and EBITDA, integrates with existing enterprise software systems, and provides tools such as margin erosion calculators and hedging strategy frameworks, enabling CFOs and treasurers of small and medium-sized enterprises and mid-cap exporting companies to protect profitability and make informed treasury decisions.</t>
  </si>
  <si>
    <t>Kima Ventures, Purple Ventures, Speedinvest, Startupbootcamp Holding</t>
  </si>
  <si>
    <t>www.tulyp.io</t>
  </si>
  <si>
    <t>109053-19</t>
  </si>
  <si>
    <t>Capitalizarme</t>
  </si>
  <si>
    <t>Developer of a real estate investment platform designed to identify investment opportunities in real estate. The company's platform identifies properties to buy and lease, which helps to minimize the transaction costs associated with finding, purchasing, and managing the rental property, enabling real estate investors to make the down payment in a flexible schedule according to their particular financial situation.</t>
  </si>
  <si>
    <t>Alan Guendelman, Angel Ventures Mexico, Aurus Capital, Cristobal Forno, EWA Capital, Fen Ventures, Francisco Larrain, Francisco Pérez, Mountain Partners, Nazca, Pablo Valenzuela</t>
  </si>
  <si>
    <t>www.capitalizarme.com</t>
  </si>
  <si>
    <t>327436-12</t>
  </si>
  <si>
    <t>Icired</t>
  </si>
  <si>
    <t>Developer of a financial platform designed to solve the problems of collecting debts. The company's platform offers an online delinquency file which is open and accessible to companies that do not meet their contractual commitments and resort to non-payment of accumulated invoices, enabling businesses to access a reliable tool that provides financial data on the delinquency of the companies with which they are going to sign a contract and thus prevent default.</t>
  </si>
  <si>
    <t>Fitalent, Industrial Kolmer, Informa, Informa D&amp;B, Ubimia</t>
  </si>
  <si>
    <t>www.iciredimpagados.com</t>
  </si>
  <si>
    <t>328863-43</t>
  </si>
  <si>
    <t>Makor Group</t>
  </si>
  <si>
    <t>Provider of international brokerage and investment banking services intended to offer advice and execution to leading institutional investors. The company delivers support to clients with original and innovative trading and investment ideas, with a dedicated focus on risk arbitrage, special situations, relative value, and event-driven opportunity, enabling clients to execute their investment strategy as efficiently as possible, and providing access to liquidity.</t>
  </si>
  <si>
    <t>Alan Howard, Algorand Technologies</t>
  </si>
  <si>
    <t>www.makor-group.com</t>
  </si>
  <si>
    <t>496537-12</t>
  </si>
  <si>
    <t>Trezy</t>
  </si>
  <si>
    <t>Developer of a cash management platform designed to automate financial processes and give businesses control and visibility over their management. The company's platform automates administrative and financial overview from short to long-term strategy, sorts inflows and outflows, and gives insights along the way, enabling businesses to make the financial process convenient, allowing control, visibility, and traceability over their finances.</t>
  </si>
  <si>
    <t>Discovery Ventures (Berlin), Expansion Capital, Kima Ventures, Notion Capital, Pareto Holdings, Playfair Capital, Seedcamp, Sphere Ventures, SumUp, Ventures Together</t>
  </si>
  <si>
    <t>www.trezy.io</t>
  </si>
  <si>
    <t>166263-40</t>
  </si>
  <si>
    <t>Coowry</t>
  </si>
  <si>
    <t>Developer of a micro-payment platform designed to easily send and receive payments. The company's platform helps users trade or transfer currencies with other users by using their phone credit as exchangeable digital currency, enabling clients to transfer money without any commissions and hidden costs.</t>
  </si>
  <si>
    <t>28DIGITAL, Breega, Catorce Ventures, Swanlaab Venture Factory</t>
  </si>
  <si>
    <t>www.coowry.com</t>
  </si>
  <si>
    <t>517370-68</t>
  </si>
  <si>
    <t>Curvo</t>
  </si>
  <si>
    <t>Developer of an investment application designed to improve the financial well-being of Europeans through index investing. The company helps users create diversified portfolios of index funds tailored to their goals, enabling users to manage their savings in a secure and automated way over the long term.</t>
  </si>
  <si>
    <t>Be Angels, Brice Le Blevennec, Cindy Naegel, Digital Attraxion, Investsud, Jean-Philippe Mathieu, Matthias Plancke, Nicolas Hulsmans, Olivier Verdin, Pieter Eynde, Sabba Keynejad, Sebastien Dellis</t>
  </si>
  <si>
    <t>www.curvo.eu</t>
  </si>
  <si>
    <t>231936-13</t>
  </si>
  <si>
    <t>HappyEMI</t>
  </si>
  <si>
    <t>Operator of a financial platform intended to offer credit financing to consumers at the point of sale. The company's tool provides short-term loans with a minimum amount of documentation and at no interest rates, providing shoppers with instant financing at the point-of-sale in-store and online platforms.</t>
  </si>
  <si>
    <t>Actions Capital, Anand Sankeshwar, Anil Jain, JITO Incubation &amp; Innovation Foundation, Kairos HQ, Rajesh Bhansali, Refex Capital, Veeraa Ventures</t>
  </si>
  <si>
    <t>www.happyemi.com</t>
  </si>
  <si>
    <t>628299-01</t>
  </si>
  <si>
    <t>ComptaSecure</t>
  </si>
  <si>
    <t>Provider of accounting intelligence services intended to focus on optimizing and securing accounting processes. The company provides services such as analyzing accounting entries, ensuring compliance with fiscal regulations, automating compliance checks, and conducting full audits, enabling businesses to improve efficiency, mitigate risks, and streamline financial operations.</t>
  </si>
  <si>
    <t>SideAngels, Tomcat Invest</t>
  </si>
  <si>
    <t>www.comptasecure.fr</t>
  </si>
  <si>
    <t>753070-96</t>
  </si>
  <si>
    <t>Flyward</t>
  </si>
  <si>
    <t>Developer of a technology-driven SaaS company intended to help airlines, lessors, financiers, and appraisers optimize the lifecycle of their aviation assets. The company's platform provides a flexible, user-friendly platform that integrates essential data, including maintenance, technical, and contractual insights, to generate precise forecasts and comprehensive scenario analysis for complex aviation portfolios, enabling people to address the complex needs of aviation asset management.</t>
  </si>
  <si>
    <t>Leryon</t>
  </si>
  <si>
    <t>www.flyward.eu</t>
  </si>
  <si>
    <t>741880-54</t>
  </si>
  <si>
    <t>Liquid (Business/Productivity Software)</t>
  </si>
  <si>
    <t>Developer of an AI-enabled virtual data room and due diligence workflow platform designed for managing mergers and acquisitions. The company's platform centralizes deal workstreams by combining data room management, stakeholder communications, integrated Q&amp;A with duplicate question detection and suggested answers, AI-assisted search across documents, deal stage tracking and reporting, and security controls such as encryption and configurable access permissions, enabling M&amp;A advisors, corporate development teams, and other dealmakers to organize diligence materials, reduce repeated information requests, and maintain clearer oversight of transaction progress across multiple counterparties.</t>
  </si>
  <si>
    <t>Ascension (Private Equity), Clarendon Fund Managers, Techstart Ventures</t>
  </si>
  <si>
    <t>www.liquidacquire.com</t>
  </si>
  <si>
    <t>231720-13</t>
  </si>
  <si>
    <t>Punto Pago</t>
  </si>
  <si>
    <t>Developer of a financial technology platform designed to expand access to financial services for underserved populations. The company offers payment processing, digital lending, card services, and marketplace integration with physical and digital access points, enabling individuals and small businesses to conduct transactions and access financial products more easily.</t>
  </si>
  <si>
    <t>Broocknell Ventures, FinSight Ventures</t>
  </si>
  <si>
    <t>www.puntopago.net</t>
  </si>
  <si>
    <t>481816-36</t>
  </si>
  <si>
    <t>Manch</t>
  </si>
  <si>
    <t>Developer of an AI-driven, workflow-enabled, cloud-native, no-code platform designed for organizations to easily acquire, store, cleanse, enrich, and distribute external and master data. The company's platform allows organizations to streamline the data procurement and management processes, improve data quality, and ensure regulatory compliance to drive productivity and efficiency of the digital transformation, enabling clients from various industries to capture and authenticate third-party information and verify transaction workflows with agility and accuracy.</t>
  </si>
  <si>
    <t>Asvini Kumar, Bharat Inclusion Seed Fund, IIMA Ventures, Pentathlon Ventures</t>
  </si>
  <si>
    <t>www.manchtech.com</t>
  </si>
  <si>
    <t>234860-41</t>
  </si>
  <si>
    <t>Fundvisory</t>
  </si>
  <si>
    <t>Developer of financial advisory software intended to enable the deployment of modular digital investment and savings platforms for financial institutions. The company offers robo-advisory modules, API integrations, white-label platforms, portfolio simulation tools, and client profiling systems, enabling banks, insurers, and financial advisors access to tools for delivering and managing investment advisory services.</t>
  </si>
  <si>
    <t>www.fundvisory.fr</t>
  </si>
  <si>
    <t>522410-32</t>
  </si>
  <si>
    <t>Ensombl</t>
  </si>
  <si>
    <t>Operator of a financial advice platform intended to build the tools advisers can use to share and learn from one another. The company utilizes artificial intelligence to package de-identified adviser conversations up to a personal level, enabling finance professionals to get an environment where the natural learning between advisers has been consolidated from multiple locations.</t>
  </si>
  <si>
    <t>Virtual Business Partners</t>
  </si>
  <si>
    <t>www.ensombl.com</t>
  </si>
  <si>
    <t>1318383-55</t>
  </si>
  <si>
    <t>Otto Money</t>
  </si>
  <si>
    <t>Provider of AI-powered wealth management and financial advisory services designed to help individuals and investors plan, optimize, and manage investment portfolios and financial goals. The company provides AI-powered wealth management and financial advisory services intended to help clients build, preserve, and grow wealth through personalized investment planning, risk assessment, portfolio rebalancing, and expert guidance, enabling users to achieve better financial outcomes through tailored AI-driven investment planning and portfolio management.</t>
  </si>
  <si>
    <t>Amit Agarwal, Amit Gupta, Mohit Aron, Pravega Ventures, Rishi Kohli</t>
  </si>
  <si>
    <t>www.otto.money</t>
  </si>
  <si>
    <t>459373-96</t>
  </si>
  <si>
    <t>STRATxAI</t>
  </si>
  <si>
    <t>Developer of an AI-powered investment platform designed to simplify investing for both novices and experts. The company's platform offers pre-built strategies, automated portfolio execution, and powerful pro-tools, enabling retail investors to make confident investment decisions.</t>
  </si>
  <si>
    <t>Astralabs, Clydagh, Delta Partners, Enterprise Ireland, Furthr VC, GoAhead Ventures, Howard Roberts, Paschal Naylor, Peter Brophy, The Founders Arena</t>
  </si>
  <si>
    <t>www.stratxai.com</t>
  </si>
  <si>
    <t>226122-49</t>
  </si>
  <si>
    <t>AAZZUR</t>
  </si>
  <si>
    <t>Developer of a financial orchestration platform designed to empower companies to embed seamlessly tailored financial services into their offerings, boosting customer engagement and revenue. The company's platform offers pre-built, regulatory-compliant tools with API access, enabling clients to rapidly launch or integrate banking, wealth management, insurance, and other financial services, simplify customer experiences, and drive business growth.</t>
  </si>
  <si>
    <t>1818 Venture Capital, Alert Venture Fund, Alumni Ventures, Astorya.vc, Belmond Capital, Brand &amp; Co. Vermögensbetreuung, Creative Destruction Lab, FinTech Innovation Lab, Great Stuff Ventures, Haatch, Lutz Raettig, Plug and Play Tech Center, RBL_START, Start Path, Swen Nicolaus, TechQuartier, Techstars, Tenity, The House of Finance and Tech Berlin, Tyr Ventures</t>
  </si>
  <si>
    <t>www.aazzur.com</t>
  </si>
  <si>
    <t>226383-04</t>
  </si>
  <si>
    <t>Bankify</t>
  </si>
  <si>
    <t>Developer of a mobile wallet application designed to replace traditional personal finance tools. The company's social wallet application leverages new technology and legislative developments while working with existing financial service providers to facilitate financial goal planning, payment splitting, and wealth planning, enabling developers to get an intuitive interface and track ongoing shared expenses.</t>
  </si>
  <si>
    <t>Accelerator Frankfurt, Business Finland, Inv FinTech, Mastercard Lighthouse, Odysseus Investments, Plug and Play Tech Center, Reech Corporations Group, TechQuartier</t>
  </si>
  <si>
    <t>www.bankify.io</t>
  </si>
  <si>
    <t>482273-74</t>
  </si>
  <si>
    <t>Stratiphy</t>
  </si>
  <si>
    <t>Developer of an investment application designed to create personalized investment strategies. The company's application views historical performance, compares scenarios and investments using powerful analytics, and helps invest money using sustainability and environmental, social, and governance data, enabling investors to make it easy to track their sustainable investments and make an impact.</t>
  </si>
  <si>
    <t>Bigspace Investments, Engine (Accelerator), Innovate UK, Patha Capital</t>
  </si>
  <si>
    <t>www.stratiphy.io</t>
  </si>
  <si>
    <t>707887-27</t>
  </si>
  <si>
    <t>7 Ring</t>
  </si>
  <si>
    <t>FinTech, Wearables &amp; Quantified Self</t>
  </si>
  <si>
    <t>Developer of a wearable payment device designed to offer an advanced and convenient contactless payment method. The company offers a ring for transactions, providing seamless and efficient payment processing, enabling individuals and consumers seeking modern and efficient payment options, to experience an effortless, secure, and distinctive payment method for everyday transactions.</t>
  </si>
  <si>
    <t>Anchorage Capital Partners (India), Mumbai FinTech Hub, Value Angels, Venture Catalysts (Capital Markets/Institutions), Vinners</t>
  </si>
  <si>
    <t>www.seven.ooo</t>
  </si>
  <si>
    <t>268356-97</t>
  </si>
  <si>
    <t>Mipise</t>
  </si>
  <si>
    <t>Developer of a financial technology platform designed to digitize asset management activities and the collaborative economy. The company specializes in the development of white-label, technological tools and financial and banking expertise, enabling customers to increase efficiency and productivity and respond to new customer uses.</t>
  </si>
  <si>
    <t>BPI Group, Cedric Delorme, Enthéos, European Investment Fund, Investessor, Mandalore Partners, Marseille Innovation, Vatel Capital, WeLikeAngels</t>
  </si>
  <si>
    <t>www.mipise.com</t>
  </si>
  <si>
    <t>528242-77</t>
  </si>
  <si>
    <t>Fraccional.cl</t>
  </si>
  <si>
    <t>Operator of a real estate investment platform intended to make real estate investment accessible. The company offers a platform that allows anyone to enter the real estate market for a small charge, and real estate developers to sell properties by the square inch, and provides a plug-and-play system that fractionalizes properties through local legal structures, enabling clients to make it super easy to earn money from rental properties.</t>
  </si>
  <si>
    <t>Platanus Ventures</t>
  </si>
  <si>
    <t>www.fraccional.cl</t>
  </si>
  <si>
    <t>525439-72</t>
  </si>
  <si>
    <t>Evorest</t>
  </si>
  <si>
    <t>Developer of a digital platform designed to manage rental deposit accounts for tenants and property managers. The company provides a platform to open deposit accounts for tenants whose locked-up capital can be invested in passive ETFs and tracked, and also helps property managers digitize the process of operating deposit accounts with no paperwork and provides an increased level of damage coverage, enabling clients to access an all-in-one digital tool for rental deposits.</t>
  </si>
  <si>
    <t>www.evorest.ch</t>
  </si>
  <si>
    <t>182356-48</t>
  </si>
  <si>
    <t>Lendox</t>
  </si>
  <si>
    <t>Developer of an invoice trading platform designed to bring together investors and small and medium-sized enterprises looking for alternative financing. The company's platform facilitates the sale of invoices for immediate cash, providing flexible liquidity to banks, hedge funds, and private equity firms, enabling SMEs to raise capital without lengthy wait periods and investors to invest in a secure asset class.</t>
  </si>
  <si>
    <t>Clever Capital, Endeavor Romania, European Bank for Reconstruction and Development, Grow London, How to Web, InnovX (Bucharest), Netopia Ventures, Roca X, Smart Impact Capital, Spherik Accelerator, Startup Wise Guys, Visa Innovation Program</t>
  </si>
  <si>
    <t>www.lendox.com</t>
  </si>
  <si>
    <t>492837-58</t>
  </si>
  <si>
    <t>PollenPay</t>
  </si>
  <si>
    <t>Developer of a financial technology-driven payments platform designed to provide a buy now, pay later option. The company's platform offers an alternative to traditional credit by charging retailers to offer customers interest-free installment plans by splitting a purchase amount over multiple installments, enabling customers to enjoy purchasing products without worries and with no extra charges.</t>
  </si>
  <si>
    <t>Foundervine</t>
  </si>
  <si>
    <t>www.pollenpay.com</t>
  </si>
  <si>
    <t>221893-57</t>
  </si>
  <si>
    <t>Truust</t>
  </si>
  <si>
    <t>Developer of an escrow payment platform designed to limit financial and operational risks. The company's platform offers marketplaces' revenue models by supporting complex escrow rules and integrating additional add-on services such as logistics and consumer finance, enabling banks to operate efficiently and accelerate digital business.</t>
  </si>
  <si>
    <t>Comercia Global Payments, Finaves, GUX Global Investments, Inveready Asset Management</t>
  </si>
  <si>
    <t>www.truust.io</t>
  </si>
  <si>
    <t>340832-53</t>
  </si>
  <si>
    <t>Flexmoney</t>
  </si>
  <si>
    <t>Developer of digital credit infrastructure designed for installment-based financing and services. The company's platform integrates with merchants and financial institutions, supports digital EMI and buy now pay later options, allows cardless financing at checkout, and manages credit workflows and transactions, enabling merchants, lenders, and consumers to facilitate credit-based purchases and access financing options.</t>
  </si>
  <si>
    <t>Alexander Garden, Ambarish Malpani, Beerud Sheth, Ben Davey, Kortschak Investments, Mike Smith, Pivot Ventures, Pravega Ventures, Rajeev Dewal, Rishad Byramjee, Z5 Capital</t>
  </si>
  <si>
    <t>www.flexmoney.in</t>
  </si>
  <si>
    <t>184811-59</t>
  </si>
  <si>
    <t>Derivitec</t>
  </si>
  <si>
    <t>Developer of risk management software designed to cover risk needs from initial analysis to final attribution. The company's software offers the shareability to onboard new clients, flexibility to construct reports, and takes all the detailed information before it becomes a problem, enabling financial companies to increase transparency and streamline trading operations relating to complex derivatives.</t>
  </si>
  <si>
    <t>www.derivitec.com</t>
  </si>
  <si>
    <t>589060-54</t>
  </si>
  <si>
    <t>RaptorX (IT Consulting and Outsourcing)</t>
  </si>
  <si>
    <t>Developer of a fraud prevention platform designed to safeguard businesses from transaction and identity fraud. The company's platform utilizes supervised and unsupervised machine learning to analyze user behavior, identify threats, and offer features including transaction fortification, precise user profiling, and customizable configurations, enabling businesses to combat fraud and protect their financial interests.</t>
  </si>
  <si>
    <t>10,000 Startups-NASSCOM, Aman Gupta, Culture Cap, Eaglewings, I-Venture @ISB, Peak XV Partners, Peyush Bansal, PointOne Capital, SharkTank.com, Tyche Partners</t>
  </si>
  <si>
    <t>raptorx.ai</t>
  </si>
  <si>
    <t>268496-29</t>
  </si>
  <si>
    <t>Rosecut</t>
  </si>
  <si>
    <t>Developer of a financial platform designed to offer digital wealth management services. The company's platform leverages artificial intelligence to guide investment strategies created by private banking experts and offers bespoke guidance, active investment management, and visibility of wealth, enabling clients to make investments for long-term wealth generation and proactive risk management.</t>
  </si>
  <si>
    <t>Entrepreneurs First, InReach Ventures, Mandeep Singh, Pareto Holdings, Pretiosum Ventures, QVentures, SyndicateRoom</t>
  </si>
  <si>
    <t>www.rosecut.com</t>
  </si>
  <si>
    <t>111354-31</t>
  </si>
  <si>
    <t>Reclaimit</t>
  </si>
  <si>
    <t>Developer of a reclamation management platform intended to ensure customers receive payment from their suppliers. The company's platform offers tailored and flexible end-to-end aftermarket services that help retailers boost customer satisfaction, profitability, and sustainability, enabling clients to enhance aftermarket handling services for their customers.</t>
  </si>
  <si>
    <t>Anton Johansson, Jim Löfgren, Qvantea Capital, Spintop Ventures</t>
  </si>
  <si>
    <t>www.reclaimit.com</t>
  </si>
  <si>
    <t>1242062-47</t>
  </si>
  <si>
    <t>Intellend</t>
  </si>
  <si>
    <t>Developer of a full-stack lending-as-a-service platform designed to transform MSME lending in India through embedded finance. The company's platform integrates with digital ecosystems such as Petpooja and Gokwik to access real-time performance data, offers fixed or flexible daily repayment options and minimal paperwork, enabling MSMEs and small merchants to access digital credit and simplify day-to-day financial operations.</t>
  </si>
  <si>
    <t>Atrium Advisory, Dhananjay Tiwari, Incubate Fund Asia, M Venture Partners</t>
  </si>
  <si>
    <t>www.intellendtech.com</t>
  </si>
  <si>
    <t>484528-15</t>
  </si>
  <si>
    <t>Herconomy</t>
  </si>
  <si>
    <t>Operator of a community platform intended to empower women with resources to succeed, save money, and enjoy discounts. The company's platform offers financial services, capacity, community building, and access to new investments, funding, grants, and scholarships, enabling women to have access to grow their money, advance their knowledge, and build their network.</t>
  </si>
  <si>
    <t>Africa Startup Initiative Program, Ehi Onwudiwe, Google Accelerator, Nkiru Ayemere, Octerra Capital, Ope Makinwa, Oui Capital, Startupbootcamp AfriTech</t>
  </si>
  <si>
    <t>www.herconomy.com</t>
  </si>
  <si>
    <t>648990-19</t>
  </si>
  <si>
    <t>Finexer</t>
  </si>
  <si>
    <t>Developer of a financial data and payment platform designed for streamlining access to banking systems and services. The company's platform provides real-time access to bank account data, instant payments, batch payouts, account verification, identity checks, and robust developer tools through a unified API, enabling businesses and fintech providers to reduce compliance burdens, simplify integrations, and perform secure account-to-account transactions across multiple financial institutions with minimal operational overhead.</t>
  </si>
  <si>
    <t>British Business Bank, SFC Capital</t>
  </si>
  <si>
    <t>www.finexer.com</t>
  </si>
  <si>
    <t>519489-10</t>
  </si>
  <si>
    <t>Homaio</t>
  </si>
  <si>
    <t>CleanTech, FinTech</t>
  </si>
  <si>
    <t>Developer of a trading platform designed to invest in assets for both returns and impact, with a singular focus on reducing emissions. The company's platform provides individual investors with access to the carbon allowance market, enabling individual investors with access to invest in financial assets designed for returns and real impact.</t>
  </si>
  <si>
    <t>EREN Groupe, Mozza Angels, Pareto Holdings, RAISE Group, Raise Ventures, Redstone VC, Snaw Ventures, VR Ventures, XAnge</t>
  </si>
  <si>
    <t>www.homaio.com</t>
  </si>
  <si>
    <t>533207-62</t>
  </si>
  <si>
    <t>Mnaara</t>
  </si>
  <si>
    <t>Developer of an online investment platform designed to facilitate access to private market opportunities. The company's platform consolidates multiple investors to lower minimum investment barriers, provides curated access to top-performing global funds, offers tools for browsing and evaluating fund performance and documentation, and supports capital allocation and ongoing monitoring, enabling individual and institutional investors to participate in private market investments that were previously limited to select institutions.</t>
  </si>
  <si>
    <t>Innate Capital Partners</t>
  </si>
  <si>
    <t>www.mnaara.com</t>
  </si>
  <si>
    <t>498099-25</t>
  </si>
  <si>
    <t>Payleadr</t>
  </si>
  <si>
    <t>Developer of a fintech platform designed to collect recurring payments. The company's platform leverages best-in-class technology to remove payment friction to create, promote and manage installment payment plans, enabling customers to get small payments over time equals affordability and recurring billing frequency.</t>
  </si>
  <si>
    <t>Icehouse Ventures</t>
  </si>
  <si>
    <t>www.payleadr.com</t>
  </si>
  <si>
    <t>325238-95</t>
  </si>
  <si>
    <t>Finclude</t>
  </si>
  <si>
    <t>Operator of a credit scoring platform intended to permit individuals to assess affordability and creditworthiness. The company's platform is connected to the banks, which help aggregate and interpret transactional data and provide a view of creditworthiness and affordability, enabling customers to make proper credit decisions.</t>
  </si>
  <si>
    <t>www.finclude.ai</t>
  </si>
  <si>
    <t>100360-00</t>
  </si>
  <si>
    <t>Hyperverge</t>
  </si>
  <si>
    <t>Developer of an identity verification platform designed to ensure smooth onboarding across diverse devices and demographics. The company's platform offers tools for face detection, scene recognition, duplicate photo detection, and photo clustering for auto-tagging of people, scenes, and brands in images and videos, as well as simplifying anti-money laundering compliance and protection, enabling clients to make documentation, minimize fraud, and reduce user drop-offs while being compliant.</t>
  </si>
  <si>
    <t>IKP EDEN, The Catalyst Accelerator</t>
  </si>
  <si>
    <t>www.hyperverge.co</t>
  </si>
  <si>
    <t>438753-97</t>
  </si>
  <si>
    <t>FinMarie</t>
  </si>
  <si>
    <t>Artificial Intelligence &amp; Machine Learning, EdTech, FinTech, InsurTech</t>
  </si>
  <si>
    <t>Operator of an online investment and financial education platform intended to help women gain control and confidence in their finances at every stage of their financial journey. The company offers digital financial education, a robo-advisory investment system that uses algorithms to recommend and manage portfolios based on goals and risk tolerance, and financial coaching, enabling clients to receive financial guidance and structured tools for managing savings, insurance, and investments.</t>
  </si>
  <si>
    <t>Female Founders - Grow F, Google Accelerator, High-Tech Gründerfonds, Kickstart Innovation, MetLife Foundation, Smartbroker Holding, The House of Finance and Tech Berlin, Village Capital</t>
  </si>
  <si>
    <t>www.finmarie.com</t>
  </si>
  <si>
    <t>465298-66</t>
  </si>
  <si>
    <t>GoalTeller</t>
  </si>
  <si>
    <t>Operator of an artificial intelligence-based financial planning platform intended to automate financial planning for individuals. The company's tool offers automated advisory, real-time notifications, a PDF financial plan, and an actionable guide, enabling users to create and modify financial planning strategies and goals.</t>
  </si>
  <si>
    <t>Himanshu Bhagat, Kunal Shah, Prashasta Sheth, Raghunandan Gangappa, Rainmatter Capital, Ranjan Pai, Sprint VC, Vikas Poddar Family Office, Vivek Hinduja</t>
  </si>
  <si>
    <t>www.goalteller.com</t>
  </si>
  <si>
    <t>181812-43</t>
  </si>
  <si>
    <t>Swoopos</t>
  </si>
  <si>
    <t>Developer of a mobile point-of-sale system designed to help merchants accept mobile and card payments. The company's system provides features such as mobile ordering and payment, inventory and staff management, customer data and analytics, and integrations with delivery and accounting platforms, enabling business owners to manage operations efficiently.</t>
  </si>
  <si>
    <t>Endeavour Ventures, Entrepreneurial Spark, Foresight Group, GrowthInvest, Harminder Tawana</t>
  </si>
  <si>
    <t>www.swoopos.com</t>
  </si>
  <si>
    <t>481454-83</t>
  </si>
  <si>
    <t>Cubo Pago</t>
  </si>
  <si>
    <t>Developer of a payment services platform designed for card payment in any size of business. The company's platform offers affordable and easy-to-use technology suited for small and medium enterprises, starting with the point-of-sale systems that make payment accessible for merchants to charge it directly from the customer, enabling businesses to grow by charging payments through digital mode.</t>
  </si>
  <si>
    <t>Amador Holdings, Cacao Capital, Danielle Vogel, Global Founders Capital, IDB Lab, Innogen Capital Ventures, LatinLeap, Latitud, Rally Cap VC, Seedstars International Ventures, Soma Capital</t>
  </si>
  <si>
    <t>www.cubopago.com</t>
  </si>
  <si>
    <t>592944-94</t>
  </si>
  <si>
    <t>Halfmore</t>
  </si>
  <si>
    <t>Developer of a financial platform designed to manage kids' wealth. The company's platform allows users to open tax-advantaged accounts and generate tax filings, enabling parents to save and access tax benefits for their children, converting everyday household tasks into legitimate income that grows tax-free for decades.</t>
  </si>
  <si>
    <t>APL Ventures, Daniel Macklin, DEEPCORE, Draper Associates, Ian Brandy, Krew Capital, Peter Francis, Sehyuk Park, StartX (US)</t>
  </si>
  <si>
    <t>www.halfmore.co</t>
  </si>
  <si>
    <t>551715-22</t>
  </si>
  <si>
    <t>LEA Technologies</t>
  </si>
  <si>
    <t>Developer of a workflow automation software designed to streamline prospecting, client service, onboarding and advisor transitions in wealth management firms. The company's software utilizes artificial intelligence to automate labor-intensive tasks such as extracting data from brokerage statements for investment proposals, organizing client intake documents through intelligent renaming and compiling, enabling investment advisors to streamline operations, accelerate new business acquisition, and efficiently onboard clients with improved data quality.</t>
  </si>
  <si>
    <t>Entrepreneurs Roundtable Accelerator, Social Leverage</t>
  </si>
  <si>
    <t>leatechnologies.ai</t>
  </si>
  <si>
    <t>731711-17</t>
  </si>
  <si>
    <t>mystocks.africa</t>
  </si>
  <si>
    <t>Developer of a stock and bond trading application designed to access stock trading across Africa. The company's platform offers retail and institutional access to African stocks, bonds, ETFs, and funds with advanced data analysis and prebuilt workflows on African stock markets, providing market insights, trend visualization, investment tracking, and personalized investment recommendations, enabling investors to make informed decisions and helping investment firms optimize portfolio strategies.</t>
  </si>
  <si>
    <t>Accelerate Africa, Kaleo Ventures, Sunny Side Venture Partners, Visa Accelerator</t>
  </si>
  <si>
    <t>www.mystocks.africa</t>
  </si>
  <si>
    <t>279508-96</t>
  </si>
  <si>
    <t>R3 Score</t>
  </si>
  <si>
    <t>Operator of a risk-scoring and screening platform intended for background check screening. The company's platform standardizes individual risk assessments in employment and partner vetting, integrates data from strategic partners to ensure necessary legal and regulatory compliance, and includes a structured vendor onboarding process to optimize supplier diversity efforts, enabling organizations to efficiently sustain their talent and customer pipelines while adhering to strict regulatory requirements and promoting inclusive sourcing.</t>
  </si>
  <si>
    <t>www.r3score.com</t>
  </si>
  <si>
    <t>495820-99</t>
  </si>
  <si>
    <t>Sateeq</t>
  </si>
  <si>
    <t>Operator of an investment platform intended to invest in startups. The company's platform provides multiple highly-vetted investment opportunities in startups across various sectors, enabling investors to invest in companies at their early stages to generate more returns.</t>
  </si>
  <si>
    <t>Amit Singh, Amitesh Sinha, Gaurav Sharma, Himanshu Periwal, Kunwar Singh, Nikunj Jain, Robinhood, Sarthak Goel, Swiggy, The Good Glamm Group, Vaibhav Jalan, Wipro, YES Bank</t>
  </si>
  <si>
    <t>www.sateeq.crd.co</t>
  </si>
  <si>
    <t>158328-55</t>
  </si>
  <si>
    <t>T2P</t>
  </si>
  <si>
    <t>Developer of an e-wallet and payment gateway platform designed to facilitate electronic payment. The company offers configurable spend control tools with card monitoring and limit setting, a wallet system for creating, tracking, and managing business-specific transactions enriched with customer insights, and an online and in-store payment gateway that supports major payment methods, enabling corporate clients to centralize payments, manage expenses more flexibly, and support customer loyalty and growth.</t>
  </si>
  <si>
    <t>500 Global, 500 TukTuks, BCH Ventures, Beacon Venture Capital, Chanwanich Group, Dtac Accelerate, J-Venture, Telenor</t>
  </si>
  <si>
    <t>www.t2pco.com</t>
  </si>
  <si>
    <t>184747-78</t>
  </si>
  <si>
    <t>Responsive</t>
  </si>
  <si>
    <t>Developer of an operational platform designed to help independent advisory firms scale their business operations efficiently. The company offers client management workflows, operational support tools, and process automation capabilities, enabling independent Canadian advisory firms to take on more clients without adding more staff.</t>
  </si>
  <si>
    <t>Angivest Ventures, Co-operators, Edwin Blewett, Erik Westblom, FinTech Innovation Lab, INSART, Karn Santikarn, Plug and Play Tech Center, Shumka Centre for Creative Entrepreneurship, Stonewood, Takbo Group Holdings, Thanapol Kongoonma, The Founders Arena, YVRDXB</t>
  </si>
  <si>
    <t>www.responsive.ai</t>
  </si>
  <si>
    <t>483105-07</t>
  </si>
  <si>
    <t>TechPassport</t>
  </si>
  <si>
    <t>Developer of a supply chain intelligence platform designed to map, monitor, and manage third, fourth, and fifth-party dependencies. The company offers supply chain mapping, risk identification, and data reporting tools, enabling financial institutions to identify concentration risk and report to regulators.</t>
  </si>
  <si>
    <t>www.techpassport.io</t>
  </si>
  <si>
    <t>339892-03</t>
  </si>
  <si>
    <t>Updraft (Financial Software)</t>
  </si>
  <si>
    <t>Developer of a loan platform designed to help users pay off credit cards and consolidate borrowing. The company offers personal loans with fixed terms, monthly repayments, and eligibility checks based on income and affordability, enabling users to replace multiple high-interest debts with one manageable payment improve their credit scores through better financial habits.</t>
  </si>
  <si>
    <t>Faber Capital, Government of UK, Grow London, LC Nueva AIF, MoreThan Capital, National Westminster Bank, NB Ventures, Quilam Capital, Santander Corporate &amp; Investment Banking, Tech Nation Group</t>
  </si>
  <si>
    <t>www.updraft.com</t>
  </si>
  <si>
    <t>464041-99</t>
  </si>
  <si>
    <t>TheCarCrowd</t>
  </si>
  <si>
    <t>Operator of a crowdfunding platform for cars intended to invest in iconic cars. The company offers shares in the UK's sought-after classic cars to the general public at affordable prices, enabling individuals to participate in the classic car market and potentially benefit from the appreciation of these assets over time.</t>
  </si>
  <si>
    <t>Charlotte Street Capital, Notion Capital, Pario Ventures, Seedrs</t>
  </si>
  <si>
    <t>www.thecarcrowd.uk</t>
  </si>
  <si>
    <t>521976-25</t>
  </si>
  <si>
    <t>Tikpay</t>
  </si>
  <si>
    <t>Developer of a cloud-based ticketing and payment platform designed to simplify transportation payments for travelers and operators alike. The company offers an x-to-pay system for multiple modes of transport, providing management of accounts, employees, and concession records, and also offers data insights to help operators make informed decisions and grow their patronage and margins, all whilst reducing ticketing costs, enabling travelers to pay whenever and however they wish, and ensuring they are charged the best fare.</t>
  </si>
  <si>
    <t>AfterWork Ventures, Black Nova Venture Capital, Exhort Ventures, Func Ventures, Investible, Metagrove Ventures</t>
  </si>
  <si>
    <t>www.tikpay.com</t>
  </si>
  <si>
    <t>399114-28</t>
  </si>
  <si>
    <t>Linklusion</t>
  </si>
  <si>
    <t>Developer of cloud system provision and management support designed for small financial institutions. The company builds customer management systems, and provides provision of business management such as business improvement and fund procurement, enabling microfinance institutions to offer tiny loans to borrowers in rural areas.</t>
  </si>
  <si>
    <t>AS-Accelerator, J-Startup, PHYZ Holdings, Relic, SG Capital (Tokyo), Value Create Ventures</t>
  </si>
  <si>
    <t>www.linklusion.co.jp</t>
  </si>
  <si>
    <t>493205-14</t>
  </si>
  <si>
    <t>MEME (Financial Services)</t>
  </si>
  <si>
    <t>Operator of financial education software designed for children to learn to manage finances. The company's platform offers planning, development, and operation to learn about money practically through spending, saving, and earning, allowing parents and children to keep track of the flow of their money.</t>
  </si>
  <si>
    <t>Apt Women, FINOLAB, Japan Startup Support Association, MUFG Digital Accelerator, Riso Kagaku, Seiho Investment Works, Yusuke Konishi</t>
  </si>
  <si>
    <t>memetech.co.jp</t>
  </si>
  <si>
    <t>572257-72</t>
  </si>
  <si>
    <t>Serene (Financial Software)</t>
  </si>
  <si>
    <t>Developer of an artificial intelligence-powered financial well-being platform designed to analyze transaction data. The company's platform utilizes intelligence and behavioral science to analyze bank transaction data, proactively identifying signs of financial hardship like unexpected overdrafts or declining balances, enabling clients to help customers access financial guidance, debt management tools, emergency assistance, and fostering financial resilience.</t>
  </si>
  <si>
    <t>FinTech Innovation Lab, FinTechWales Foundry, Fuel Ventures, NatWest Group, Oxford Saïd Business School</t>
  </si>
  <si>
    <t>www.myserene.io</t>
  </si>
  <si>
    <t>443018-35</t>
  </si>
  <si>
    <t>NG Clearing</t>
  </si>
  <si>
    <t>Operator of a central clearing counterparty platform intended to provide growth and development in the Nigerian capital market. The company's platform offers clearing and settlement of exchange-traded derivative instruments along with risk management and it also acts as a guarantor to both parties in a transaction, enabling clients to have a successful execution of derivatives and other trades from various trade points.</t>
  </si>
  <si>
    <t>Consonance (Lagos), Nigerian Exchange Group</t>
  </si>
  <si>
    <t>www.ngclearing.com</t>
  </si>
  <si>
    <t>497228-59</t>
  </si>
  <si>
    <t>Buildd</t>
  </si>
  <si>
    <t>Developer of a banking-as-a-service platform designed to offer front-end services like onboarding, disbursals, collection, and escrow. The company's platform provides bundled tools to use an application programming interface stack to create financial products and services in a plug-and-play manner and go live, credit card as a service, embedded finance, and unsecured lending, enabling firms to support multiple payment channels with the ability to auto switch and recon.</t>
  </si>
  <si>
    <t>Aniruddha Patwardhan, Kedar Swadi, Kunal Sharma, Mankekar family office, Nitin Agarwal, Picus Capital, Ranjeet Singh</t>
  </si>
  <si>
    <t>www.buildd.in</t>
  </si>
  <si>
    <t>515674-36</t>
  </si>
  <si>
    <t>Hypoteq</t>
  </si>
  <si>
    <t>Developer of a mortgage consultant platform designed to compare mortgages. The company offers an online platform with mortgage comparison tools, financing partner access, cost calculation features, and guided application processes to simplify the process of obtaining and comparing real estate financing, enabling individuals and property buyers seeking financing to evaluate loan options and make informed decisions with clear and transparent information.</t>
  </si>
  <si>
    <t>Winti Ventures</t>
  </si>
  <si>
    <t>www.hypoteq.com</t>
  </si>
  <si>
    <t>268666-75</t>
  </si>
  <si>
    <t>Polaroo</t>
  </si>
  <si>
    <t>Developer of a digital payment platform designed to unify and manage domiciled expenses for customers. The company's platform assists in registering regular services like internet, water, and gas among others as well as managing all the payments and aggregating user data, enabling clients to deal with monthly bills, provide market research, and personalize their services to customers.</t>
  </si>
  <si>
    <t>Barlab Ventures, Blackster Capital, Carlos Pierre, Chris Bouwer, Dídac Lee, IGNIA, Kalonia, Menlo Media, Plug and Play Tech Center, Reus Capital Partners, Scale Lab Andorra</t>
  </si>
  <si>
    <t>www.polaroo.com</t>
  </si>
  <si>
    <t>433830-79</t>
  </si>
  <si>
    <t>Scalens</t>
  </si>
  <si>
    <t>Provider of augmented investor relations CRM services intended to assist the management of listed companies in data analysis and benchmarking. The company's platform offers insights into shareholder management, competitive intelligence, and financial communications, enabling financial institutions to enhance governance practices and effectively engage with investors while improving overall corporate performance.</t>
  </si>
  <si>
    <t>Rothschild &amp; Co, Truffle Capital</t>
  </si>
  <si>
    <t>www.scalens.com</t>
  </si>
  <si>
    <t>227395-90</t>
  </si>
  <si>
    <t>TrustElevate</t>
  </si>
  <si>
    <t>FinTech, Legal Tech, Mobile</t>
  </si>
  <si>
    <t>Developer of verified parental responsibility (VPR) technology designed to offer a comprehensive solution to address the unique needs of businesses interacting with children. The company's platform is designed to meet the evolving regulatory landscape, to provide a robust framework for compliance, advise companies on their level of risk and mitigating risk where children's data may be involved by obtaining parental consent by conducting privacy-preserving checks against authoritative data sources, enabling companies to meet online compliance needs and requirements.</t>
  </si>
  <si>
    <t>Adeline Arts And Science, Enterprise 100, FinTech Innovation Lab, Innovate UK, NCSC (UK), Plug and Play Tech Center, Wayra UK, Yabous Investments</t>
  </si>
  <si>
    <t>www.trustelevate.com</t>
  </si>
  <si>
    <t>171957-88</t>
  </si>
  <si>
    <t>Finch (Southbank, Australia)</t>
  </si>
  <si>
    <t>Developer of a social financial application designed to make payments for social life. The company's application uses data intelligence and lets the users split bills, make payments, run group tabs to track shared expenses, and get insights into their spending behavior by connecting credit or debit cards to pay friends instantly and cash out at any time, enabling users to make secured social payments and organize all the financial activities of their social life in one place.</t>
  </si>
  <si>
    <t>Allectus Capital, Liberty Financial, Yodlee</t>
  </si>
  <si>
    <t>www.finchxp.com</t>
  </si>
  <si>
    <t>399270-70</t>
  </si>
  <si>
    <t>Roadshow China</t>
  </si>
  <si>
    <t>Provider of digital integrated risk management (IRM) solutions and a roadshow platform intended to provide roadshow services for domestic and overseas listed companies and qualified investors. The company's platform hosts analyst video conferences, investor relations releases, company contact information and allows members participating in the roadshow to interact with the presenter, enabling investors to make quicker, more informed decisions.</t>
  </si>
  <si>
    <t>100Million Mainstay Companies, China International Marine Containers, Dark Horse Ventures, Eastmoney Innovation Capital, Hezi Asset Management, Motian Star, Oriental Fortune Investment Holdings, Zhejiang University Investment</t>
  </si>
  <si>
    <t>www.roadshowchina.cn</t>
  </si>
  <si>
    <t>547311-07</t>
  </si>
  <si>
    <t>Deep Algorithms Solutions</t>
  </si>
  <si>
    <t>Developer of an AI-powered cybersecurity and fraud prevention platform designed to combat sophisticated cyber fraud, particularly in banking and fintech environments. The company offers indigenous AI-driven platforms like adaptive behavioral intelligence identity security and for zero-day attack prevention and runtime application security, enabling customers to secure their digital financial ecosystems, improve fraud detection and make more informed, real-time security decisions.</t>
  </si>
  <si>
    <t>Himanshu Singhal, Ninety Nine SB Investment, Prakash Govindan, Unicorn India Ventures</t>
  </si>
  <si>
    <t>www.deepalgorithms.io</t>
  </si>
  <si>
    <t>865975-87</t>
  </si>
  <si>
    <t>Glyde (Financial Software)</t>
  </si>
  <si>
    <t>Developer of a multi-currency business account intended for international payments and foreign exchange. The company's platform lets users send and receive money across currencies, convert foreign exchange at selected rates, manage company cards, automate payments, reconcile transactions, and use reporting tools, enabling small businesses and other cross-border users to handle payments with more control over cost and timing.</t>
  </si>
  <si>
    <t>www.glyde.money</t>
  </si>
  <si>
    <t>266208-22</t>
  </si>
  <si>
    <t>Jamii.one</t>
  </si>
  <si>
    <t>Developer of a digital finance platform designed to transform data into financial opportunities. The company's platform offers traditional savings for communities a way to capture important data from their meetings and utilizes data to find affordable loans for the group, enabling people to take control of their finances and reach their financial goals with low-cost transactions, free payments and loans.</t>
  </si>
  <si>
    <t>Copenhagen Fintech Lab, Mastercard Lighthouse, Nordic Impact Funds, Renew Capital, Swiss Capacity Building Facility</t>
  </si>
  <si>
    <t>www.jamii.one</t>
  </si>
  <si>
    <t>894771-01</t>
  </si>
  <si>
    <t>Neurofin.AI</t>
  </si>
  <si>
    <t>Developer of a GenAI-first enterprise platform intended to drive operations and compliance automation across India's banking and financial services (BFSI) sector. The company's platform used a modular suite of AI-powered agents that automate operations, documentation, audits, compliance, and fraud checks for banks and non-banking financial companies, enabling users to automate the SOPs in real time.</t>
  </si>
  <si>
    <t>Antler, Fintech Yatra, Pentathlon Ventures, UNLEASH Capital Partners</t>
  </si>
  <si>
    <t>www.neurofin.ai</t>
  </si>
  <si>
    <t>327488-23</t>
  </si>
  <si>
    <t>PayPo</t>
  </si>
  <si>
    <t>Developer of an electronic payment platform designed to let users make deferred payments on their purchases at zero additional costs. The company's platform offers deferred payment options to online retailers so that their customers can buy products now and pay later through installments, enabling clients to order a product online and pay for it at a later date without any additional costs.</t>
  </si>
  <si>
    <t>DC24 ASI, RBL_START</t>
  </si>
  <si>
    <t>www.paypo.pl</t>
  </si>
  <si>
    <t>294492-97</t>
  </si>
  <si>
    <t>BCube Analytics</t>
  </si>
  <si>
    <t>Developer of a regulatory compliance platform intended to provide end-to-end collaboration for audits and compliance. The company's platform leverages AI to securely manage the uniform delivery of real-time audit, compliance, and regulatory services collaboratively across one or more organizations and delivers services to subscribers using secure SaaS portals, enabling accounting and consulting firms to digitally deliver compliance, audit, and regulatory change management services.</t>
  </si>
  <si>
    <t>EforAll, MassChallenge, Qubic Labs, Town Of Narragansett</t>
  </si>
  <si>
    <t>www.bcubeanalytics.com</t>
  </si>
  <si>
    <t>503854-39</t>
  </si>
  <si>
    <t>Blostem Fintech</t>
  </si>
  <si>
    <t>Developer of a fintech platform intended for collaboration amongst financial ecosystem participants. The company's blockchain platform delivers data privacy, transaction scalability, security, programmability, and provenance tracking, enabling financial institutions to verify the data of partners with other businesses to provide asset verification and offer use cases that will help to grow.</t>
  </si>
  <si>
    <t>ACV Capital, BlueLotus Ventures, growX Ventures, Kapil Bharti, MobiKwik, Rainmatter Capital, StartAD, Vistra ITCL</t>
  </si>
  <si>
    <t>www.blostem.com</t>
  </si>
  <si>
    <t>497382-58</t>
  </si>
  <si>
    <t>REVER</t>
  </si>
  <si>
    <t>Developer of technologies designed to create a new category in the e-commerce space. The company's platform revolutionizes the entire post-sale process, from returns to re-sales, reviews, and beyond, empowering businesses to grow and scale by providing them with the tools they need to succeed, enabling clients with frictionless, superfast, and sustainable returns anytime and anywhere.</t>
  </si>
  <si>
    <t>Acacia Venture Capital Partners, Barlon Capital, Enzo Ventures, Global Founders Capital, Greyhill Capital Partners, Lanai Ventures, Mundi Ventures, Oscar Pierre, Scaleup Spain Network, Sequoia Capital, Silence VC, Wayra, Y Combinator</t>
  </si>
  <si>
    <t>www.itsrever.com</t>
  </si>
  <si>
    <t>166538-71</t>
  </si>
  <si>
    <t>Axyon AI</t>
  </si>
  <si>
    <t>Developer of a financial analytics platform intended to serve the investment management industry. The company's platform utilizes artificial intelligence trained with specific target assets to analyze time horizons and projection metrics with model strategies to forecast market movements and investment risks, enabling asset managers to improve portfolio and risk management processes to innovate their investment.</t>
  </si>
  <si>
    <t>CDP Venture Capital (Rome), GEMINEA, Green Sands Equity, Horizon 2020, ING Innovation Studio, ING Ventures, Investment Opportunity 1, Montage Ventures, Simest, The Techshop, UniCredit</t>
  </si>
  <si>
    <t>www.axyon.ai</t>
  </si>
  <si>
    <t>600068-53</t>
  </si>
  <si>
    <t>PikkoPay</t>
  </si>
  <si>
    <t>Developer of a mobile self-checkout technology designed to facilitate digital payments among customers. The company offers a QR scanning technology that allows customers to scan items and pay directly from their smartphones, eliminating checkout lines, and also serves retailers by integrating with existing
infrastructure and providing real-time theft prevention, enabling storeowners to improve the in-store experience.</t>
  </si>
  <si>
    <t>Cegid Startup Program, EDHEC Entrepreneurs, EuraTechnologies, Finovam Gestion, Technopole de l'Aube</t>
  </si>
  <si>
    <t>www.pikkopay.fr</t>
  </si>
  <si>
    <t>399618-82</t>
  </si>
  <si>
    <t>CARL(Asset Management)</t>
  </si>
  <si>
    <t>Developer of an investment democratization technology platform designed for building investment portfolios. The company's platform offers exclusive access to quant investment strategies and quantitative hedge funds, and provides no lock-up periods and real-time performance updates through its mobile application, enabling investors to access high-performing hedge funds and invest in them.</t>
  </si>
  <si>
    <t>GEV Wind Power, Green Egg Ventures, Making Sense, Pandan Ventures, RevTech Labs Capital</t>
  </si>
  <si>
    <t>www.investwithcarl.com</t>
  </si>
  <si>
    <t>472545-73</t>
  </si>
  <si>
    <t>Hutsy</t>
  </si>
  <si>
    <t>Developer of a financial platform designed to make financial wellness achievable for people, regardless of their background or financial situation. The company's platform offers prepaid, reloadable cards as well as an integrated application that gives real-time insights into spending, along with tools and resources such as an option of a free credit score, enabling users to save money, build credit, and track their finances conveniently.</t>
  </si>
  <si>
    <t>CBC Dragons Den, Plug and Play Tech Center, Right Side Capital Management, Samvid Ventures, Techstars, University of Toronto Entrepreneurship, WeShall Investments</t>
  </si>
  <si>
    <t>www.hutsy.com</t>
  </si>
  <si>
    <t>685939-33</t>
  </si>
  <si>
    <t>Sightglass AI</t>
  </si>
  <si>
    <t>Developer of AI-powered investor relations management software designed for investment firms and asset owners. The company's platform features tracking and monitoring due diligence questionnaires (DDQs), DEI data collection with pre-built surveys and metrics dashboards, generating and downloading SB 54-compliant reports, analyzing responses across asset classes tracking progress over time, enabling clients to strengthen GP and LP relationships.</t>
  </si>
  <si>
    <t>www.usesightglass.com</t>
  </si>
  <si>
    <t>483295-96</t>
  </si>
  <si>
    <t>PF Nexus</t>
  </si>
  <si>
    <t>Developer of a renewable energy deal origination and matching platform designed to facilitate transactions between project owners and capital providers. The company's platform aggregates global utility-scale renewable energy opportunities into a searchable ecosystem, applies algorithmic matching between projects and investors, alerts and filters across developers, investors, and advisors, and centralizes collaboration and outreach workflows, enabling renewable energy market participants to reduce origination costs, increase qualified deal flow, and expand their transaction pipeline.</t>
  </si>
  <si>
    <t>Charlotte Street Capital, Rockstart</t>
  </si>
  <si>
    <t>www.pfnexus.com</t>
  </si>
  <si>
    <t>518869-54</t>
  </si>
  <si>
    <t>Mopso</t>
  </si>
  <si>
    <t>Artificial Intelligence &amp; Machine Learning, Cybersecurity, FinTech, Internet of Things, SaaS</t>
  </si>
  <si>
    <t>Developer of a digital platform designed for network analysis and machine learning for anti-money laundering. The company's platform facilitates flexibility and runs both in the cloud as a service and at customer premises, and it integrates with existing tools, infrastructure, and processes, allowing incremental deployments while preserving investments, enabling customers to have a platform that creates software by researching pioneering algorithmic alternatives to make combating financial crime effective.</t>
  </si>
  <si>
    <t>Apside (EU), CDP Venture Capital (Rome), CRIF High Mark, Fin+Tech, Fit 4 Start, G-Factor, Le Village by CA, Moltiply Group, NGI eSSIF-LAB, OVHcloud Startup Program, StartAD, Startupbootcamp Holding, Village Capital, Zest Group</t>
  </si>
  <si>
    <t>www.mopso.eu</t>
  </si>
  <si>
    <t>152509-96</t>
  </si>
  <si>
    <t>Alterest</t>
  </si>
  <si>
    <t>Developer of analytics software designed to provide seamless data delivery. The company's platform runs complex calculations of data points in less time, automating manual processes and removing spreadsheet risk to make data and analytical workflows simpler with in-depth analytics and flexible reporting on loan portfolios across geographies and asset classes, enabling consumers and SMEs to have access to more financing at better rates.</t>
  </si>
  <si>
    <t>AI Seed, Christian Moeller, Gaël de Boissard, Radek Jezbera, Sean Tai, Seedcamp, SFC Capital</t>
  </si>
  <si>
    <t>www.alterest.co</t>
  </si>
  <si>
    <t>436883-68</t>
  </si>
  <si>
    <t>Fortu Wealth</t>
  </si>
  <si>
    <t>Provider of digital private banking services intended for a borderless, private, and financial remedy. The company provides financing options for businesses requiring secure, reliable, and international financial reach by offering multicurrency payment accounts with direct access to financial services, enabling high-net-worth individuals (HNIs) and customers to experience financial freedom and gain complete control over their finances.</t>
  </si>
  <si>
    <t>www.fortu.co.uk</t>
  </si>
  <si>
    <t>532608-49</t>
  </si>
  <si>
    <t>Axodian</t>
  </si>
  <si>
    <t>Developer of global trade technology solutions intended for automating cross-border commerce operations. The company's platform offers digital management of trade documents and compliance checks, multi-currency payment processing, automated regulatory filings, integration with enterprise systems, status tracking and notifications, and analytics reporting, enabling exporters, small and medium-sized enterprises, and global supply chain teams to reduce manual work, improve accuracy, and gain visibility across international trade and payment workflows.</t>
  </si>
  <si>
    <t>Axilor Ventures, Capital-A (Bengaluru), Jayram Govindarajan, Sumit Agarwal</t>
  </si>
  <si>
    <t>www.axodian.com</t>
  </si>
  <si>
    <t>465495-13</t>
  </si>
  <si>
    <t>docStribute</t>
  </si>
  <si>
    <t>Developer of a digital signature and document distribution platform designed to send regulated and confidential documents to customers digitally in a secure way. The company's platform creates and automates digital signing sequences and workflows with real-time tracking, updates, and legally binding audit reports and uses cryptography, alphanumeric code, and verification processes to store documents and create secure links, enabling businesses to securely share documents with internal and external stakeholders.</t>
  </si>
  <si>
    <t>Brian Guckian, Financial Regulation Innovation Lab, Hava Ventures, Innovate UK, Jens-Peter Stein, Jon Gausen, Peter Peter, Philip Shelley, Philipp Eberle, Preben Ramm</t>
  </si>
  <si>
    <t>www.docstribute.com</t>
  </si>
  <si>
    <t>519972-31</t>
  </si>
  <si>
    <t>Safepay Nordic</t>
  </si>
  <si>
    <t>Developer of retail trading software intended to provide private trading between buyers and sellers. The company's platform helps to safely pay the amount with the assurance that the payment is made only if the item is received and approved, enabling buyers and sellers to secure trades across the marketplace.</t>
  </si>
  <si>
    <t>safepaynordic.dk</t>
  </si>
  <si>
    <t>459099-37</t>
  </si>
  <si>
    <t>Bullion Asset Management</t>
  </si>
  <si>
    <t>Developer of a digital gold platform designed to offer investments in gold. The company specializes in launching commodity-backed products, including tokens backed by silver and other precious metals, enabling investors to invest in precious metals digitally and safely.</t>
  </si>
  <si>
    <t>Aura Group, DigitalX, Leonie Hill Ai Pte. Ltd., Theta Gold Mines</t>
  </si>
  <si>
    <t>436055-77</t>
  </si>
  <si>
    <t>KPI Sense</t>
  </si>
  <si>
    <t>Developer of a finance model management software designed to use the data to grow the business. The company's software specializes in assisting in creating and driving the early financial strategy and building a scalable model, reviewing and cleaning up historical financial and bookings data, generating reports, as well as aiding in developing automated financial principles, enabling founders, builders, and mentors to have financial support and strategic growth.</t>
  </si>
  <si>
    <t>BlueTree Allied Angels, Born Capital (California), Goldin Ventures, Mudita Venture Partners, Network Ventures</t>
  </si>
  <si>
    <t>www.kpisense.com</t>
  </si>
  <si>
    <t>439173-82</t>
  </si>
  <si>
    <t>Fydem</t>
  </si>
  <si>
    <t>Gaming, SaaS</t>
  </si>
  <si>
    <t>Developer of a casino gaming platform intended to provide a safe place to enjoy gaming. The company's platform offers services that include evaluating online casinos based on a strict set of criteria, including licensing and regulation, game selection, payment methods, customer support, and more, enabling players to benefit from player protection and responsible gambling, and recommending online casinos that meet our standards.</t>
  </si>
  <si>
    <t>Benjamin Gaignault, Bpifrance, Jean-David Benichou, La French Tech Aix-Marseille Région Sud, Marseille Innovation, Maxime Gaignault, OneRagtime, Via.Io</t>
  </si>
  <si>
    <t>www.fydem.com</t>
  </si>
  <si>
    <t>466568-65</t>
  </si>
  <si>
    <t>Kinchaku</t>
  </si>
  <si>
    <t>Developer of a cloud-based financial application designed to create a digital pass. The company's application accumulates all the cards and subscriptions in one place and creates a digital wallet pass when they use the application to pay and make purchases, the merchants can give them discounts and offers, enabling merchants to provide tailored promotions to their customers based on their previous purchases.</t>
  </si>
  <si>
    <t>Bplats, F Ventures, FFG Venture Business Partners, Giftee, Gx Partners, Kintetsu Group Holdings, Miraise1, Open Network Lab, Plug and Play Tech Center</t>
  </si>
  <si>
    <t>www.kinchaku.com</t>
  </si>
  <si>
    <t>509836-51</t>
  </si>
  <si>
    <t>MCash</t>
  </si>
  <si>
    <t>Operator of a mobile e-wallet platform intended to provide micro-payment services. The company's platform provides a secure and interactive mobile electronic wallet and licensed electronic money issuer and merchants' networks, bill payment, airtime reload, e-parking, and other rewarding features, providing users with financial services in Malaysia.</t>
  </si>
  <si>
    <t>INCITABLE CAPITAL PARTNER SDN. BHD.</t>
  </si>
  <si>
    <t>www.mcash.my</t>
  </si>
  <si>
    <t>416604-34</t>
  </si>
  <si>
    <t>LoanSimple</t>
  </si>
  <si>
    <t>Operator of a financial services company intended to empower micro-businesses by offering them credit, payments, and insurance. The company's services include offering unsecured credit lines to underserved micro retailers to build and grow their micro-businesses, with facilities such as minimal documentation and no collateral requirement, enabling small businesses to run their operations by accessing diverse financial products.</t>
  </si>
  <si>
    <t>www.loansimple.in</t>
  </si>
  <si>
    <t>264817-36</t>
  </si>
  <si>
    <t>issuance</t>
  </si>
  <si>
    <t>Developer of an investment platform designed to provide online capital raising at scale. The company's platform offers broker-dealer integration, and transfer agent integration, as well as custom branding, and accepts online payment methods, enabling investors to have a seamless experience in end-to-end subscription and investment processes.</t>
  </si>
  <si>
    <t>Jeff Ramson, Mike Bishop, Pacific Corporate Group</t>
  </si>
  <si>
    <t>www.issuance.com</t>
  </si>
  <si>
    <t>528397-12</t>
  </si>
  <si>
    <t>Match Made</t>
  </si>
  <si>
    <t>Developer of an automation platform designed to streamline complex reconciliation processes for enterprises. The company's platform offers a variety of features, including transaction matching, parsing, reconciliation, and consolidation, data extraction, transformation, cross-platform integration, and real-time traceability, enabling finance and operations teams across sectors to improve accuracy, shorten closing cycles, and gain clearer control over their transactional data.</t>
  </si>
  <si>
    <t>Antler, Vertex Ventures Southeast Asia &amp; India</t>
  </si>
  <si>
    <t>www.matchmade.io</t>
  </si>
  <si>
    <t>126146-71</t>
  </si>
  <si>
    <t>Pepper (London)</t>
  </si>
  <si>
    <t>B2B Payments, FinTech, FoodTech, Marketing Tech, Mobile, Mobile Commerce, Restaurant Technology, SaaS, TMT</t>
  </si>
  <si>
    <t>Operator of a B2B software platform intended to support customer engagement and digital ordering for restaurant operators. The company offers loyalty and rewards tools, web and mobile ordering, subscriptions, delivery features, integrated payments, and data insights, enabling restaurant operators, pubs, cafes, and quick service brands in the UK to manage customer relationships, increase repeat visits, and simplify digital operations.</t>
  </si>
  <si>
    <t>Flavia Richardson, Funding London, London Co-Investment Fund, Sevenex Capital Partners, The FSE Group, VentureOut (US)</t>
  </si>
  <si>
    <t>www.pepperhq.com</t>
  </si>
  <si>
    <t>494490-79</t>
  </si>
  <si>
    <t>Bayfikr</t>
  </si>
  <si>
    <t>Developer of a remittance platform designed to provide control and convenience to all overseas Pakistanis. The company's platform allows users to pay utility bills for their family, school and university fees for their children, hospital fees for their loved ones, government payments, and more, enabling customers to make home country C2B payments directly and instantly.</t>
  </si>
  <si>
    <t>Sandbox (Dubai), SFC Capital</t>
  </si>
  <si>
    <t>www.bayfikr.net</t>
  </si>
  <si>
    <t>64258-57</t>
  </si>
  <si>
    <t>AirPOS</t>
  </si>
  <si>
    <t>Operator of point-of-sale and electronic commerce software intended to help small retailers manage their sales and inventory. The company's software offers a variety of electronic point-of-sale services, payment integrations, and other features as well as provides real-time visibility across inventory, financial data, and customer information, enabling clients to manage their business and serve their customers feasibly.</t>
  </si>
  <si>
    <t>Bright Sky Group of services, Craig McQueenie, David Kirk, Giant Associates, Michael Gill, Stephen Houston</t>
  </si>
  <si>
    <t>www.airpointofsale.com</t>
  </si>
  <si>
    <t>494661-52</t>
  </si>
  <si>
    <t>JustLend</t>
  </si>
  <si>
    <t>Developer of a peer-to-peer lending platform intended to ease the process of lending between family and friends. The company's platform aims at removing the stigma of borrowing money from family and friends by letting users set repayment terms and creating a campaign to invite their close ones, enabling users to raise money from other people and individuals to help their friends or family without having to worry about repayment terms.</t>
  </si>
  <si>
    <t>DSG Finance, Impact Fundry</t>
  </si>
  <si>
    <t>justlend.co</t>
  </si>
  <si>
    <t>442259-74</t>
  </si>
  <si>
    <t>Recovr</t>
  </si>
  <si>
    <t>Developer of an invoice recovery and receivables management platform designed to help businesses convert unpaid invoices into predictable cash flow. The company's platform offers automated invoice tracking, configurable recovery workflows, AI-driven follow-up calls, centralized dashboards, and integrated legal collaboration, enabling finance teams, management, and debt recovery professionals to accelerate payments, maintain control over customer interactions, and reduce operational effort.</t>
  </si>
  <si>
    <t>Alessandro Mazzocchetti, Be Angels, Cegid Startup Program, Finance&amp;Invest.Brussels, Hibiscus Investments, LeStudio VC, Start It X</t>
  </si>
  <si>
    <t>www.recovr.eu</t>
  </si>
  <si>
    <t>481644-19</t>
  </si>
  <si>
    <t>Invsta</t>
  </si>
  <si>
    <t>Developer of a fintech technology designed to improve digital client engagement and business efficiencies for wealth advisers and fund managers. The company offers tools for compliance management, automation of retirement goals, KYC authentication systems, risk profiling, financial calculations, and management of clients, and also provides tools for user analytics, investment tracking, and accessing insights of market trends, enabling clients with digital wealth and asset investment management systems for a digital age.</t>
  </si>
  <si>
    <t>Angel HQ, Creative HQ, Kiwibank FinTech Accelerator, NetX (New Zealand), RIMU Group, Sean Mccarthy, Simon Swallow</t>
  </si>
  <si>
    <t>www.invsta.com</t>
  </si>
  <si>
    <t>174131-74</t>
  </si>
  <si>
    <t>AdvicePay</t>
  </si>
  <si>
    <t>Developer of a payment processing platform designed to change compliant retainer billing. The company's platform, designed for fee-for-service financial planning, complies with custody regulations and offers subscription billing, single payments via ACH and credit cards, and a separate advisory and client portal, enabling firms to centralize oversight, automate billing, and maintain alignment with FINRA, SEC, and state requirements.</t>
  </si>
  <si>
    <t>First Chair Ventures, Front Street Capital (Asset Management), Goodworks Ventures, Kokopelli Capital, Yves-Marc Courtines</t>
  </si>
  <si>
    <t>www.advicepay.com</t>
  </si>
  <si>
    <t>521764-48</t>
  </si>
  <si>
    <t>Atlas (Financial Software)</t>
  </si>
  <si>
    <t>Developer of rental payment software designed to help tenants pay the rent and earn cashback. The company's platform facilitates users to skip a one-month rent, which can be paid after three months, and also allows the landlords to list their property to avail services, enabling tenants to simplify rent payment and win cashback and rewards.</t>
  </si>
  <si>
    <t>Better Tomorrow Ventures, Blockchain Founders Fund, Casey Winters, Common Metal, Deon Nicholas, ODF, Orange DAO, The Mint (San Francisco)</t>
  </si>
  <si>
    <t>useatlas.co</t>
  </si>
  <si>
    <t>550458-01</t>
  </si>
  <si>
    <t>Atlas One (Canada)</t>
  </si>
  <si>
    <t>Developer of a digital securities platform designed to reshape private capital markets through the strategic use of blockchain and digital technology. The company specializes in digital securities for the private capital markets, enabling private enterprises to raise capital and offers investors access to private market opportunities.</t>
  </si>
  <si>
    <t>Artrari One Capital, Blue Bay Ventures</t>
  </si>
  <si>
    <t>atlasone.ca</t>
  </si>
  <si>
    <t>442923-13</t>
  </si>
  <si>
    <t>Binaryx (Financial Software)</t>
  </si>
  <si>
    <t>Operator of a real estate tokenization crowd-investing marketplace intended to help in buying, exchanging, and storing crypto and other digital assets. The company's platform offers fractional ownership of properties worldwide through tokenization, allowing the purchase of a portion of a property rather than the entire property, enabling investors to generate passive income by investing in yield-generating rental properties.</t>
  </si>
  <si>
    <t>FinAccelerate, WebWise Capital</t>
  </si>
  <si>
    <t>www.binaryx.com</t>
  </si>
  <si>
    <t>185675-95</t>
  </si>
  <si>
    <t>Decision Engines</t>
  </si>
  <si>
    <t>Developer of a self-service business-driven cloud platform designed to provide end-to-end process automation. The company's platform automates industrial processes and finance automation by using AI-powered bots, leading-edge data science algorithms, and intelligent process orchestration, enabling businesses to replace manual tasks, perform autonomous decision-making, and improve operational efficiencies.</t>
  </si>
  <si>
    <t>AMEX Ventures, Hearst Ventures, March Capital, Momenta Ventures, SAP.iO, The Hive</t>
  </si>
  <si>
    <t>www.decisionengines.ai</t>
  </si>
  <si>
    <t>509502-88</t>
  </si>
  <si>
    <t>Easy Expense</t>
  </si>
  <si>
    <t>Developer of an expense-tracking application intended to help track expenses conveniently and efficiently. The company uses advanced image processing and artificial intelligence to extract key fields like vendor, category, tax, and payment methods for expenses and tax write-offs, enabling enterprises to track expenses from credit cards and bank accounts automatically.</t>
  </si>
  <si>
    <t>Better Tomorrow Ventures, The Fintech Fund, The Mint (San Francisco)</t>
  </si>
  <si>
    <t>www.easy-expense.com</t>
  </si>
  <si>
    <t>180320-32</t>
  </si>
  <si>
    <t>ePesos</t>
  </si>
  <si>
    <t>Developer of a financial platform designed to provide payroll advances and savings services. The company offers voluntary and automatic savings options, payroll advances without interest or credit checks, and a mobile application for access and management, enabling employees to access earned wages and manage savings while allowing employers to offer these services without cost or system integration.</t>
  </si>
  <si>
    <t>Citi T4I Challenge, Mouro Capital, Pomona Impact, Sorenson Impact Foundation, VilCap Investments, Village Capital</t>
  </si>
  <si>
    <t>www.epesos.com</t>
  </si>
  <si>
    <t>541101-16</t>
  </si>
  <si>
    <t>Ethos AI</t>
  </si>
  <si>
    <t>Developer of a model trust management platform designed to offer financial services. The company's platform centralises and automates the full lifecycle of risk oversight with features for model documentation, validation workflows, governance controls, automated reporting, real-time dashboards and compliance alignment with regulatory frameworks within financial operations, enabling banks, credit unions, fintechs and financial services organizations to monitor, govern and validate analytical models consistently while reducing manual effort, enhancing transparency across risk functions, supporting decision-making and maintaining adherence to industry standards.</t>
  </si>
  <si>
    <t>Better Tomorrow Ventures, Canapi Ventures, Capital One Ventures, Catalyze Advisors, TA Ventures, The Mint (San Francisco)</t>
  </si>
  <si>
    <t>www.ethosai.com</t>
  </si>
  <si>
    <t>467770-33</t>
  </si>
  <si>
    <t>Exirio</t>
  </si>
  <si>
    <t>Developer of a wealth management application designed to track all investments, in any currency. The company's platform connects to users' banks and brokers to automatically import and update transactions, portfolios, and performance, eliminating the need for manual data entry, enabling clients to compare their investments and get a definitive understanding of both investment growth, performances, and returns.</t>
  </si>
  <si>
    <t>AWS Clean Energy Accelerator 4.0, Eureka E-Cell, Loyal VC</t>
  </si>
  <si>
    <t>www.exirio.com</t>
  </si>
  <si>
    <t>483138-10</t>
  </si>
  <si>
    <t>Finresi</t>
  </si>
  <si>
    <t>Operator of a digital brokerage platform intended to democratize high-yield returns and passive income through real estate loan investments. The company's online brokerage focuses on small multifamily properties that allow users to upload their properties for sale in exchange for a commission, granting investors access to secured loans with monthly distributions without the hassles of traditional property management, enabling clients to buy, sell, and manage their real estate investments.</t>
  </si>
  <si>
    <t>Alumni Ventures, Ben Franklin Technology Partners of Southeastern Pennsylvania, Benjamin Franklin Technology Partners, Entrepreneurs Roundtable Accelerator, GOS Capital, New York Angels, Somersault Ventures</t>
  </si>
  <si>
    <t>www.finresi.com</t>
  </si>
  <si>
    <t>439107-58</t>
  </si>
  <si>
    <t>Gajiku</t>
  </si>
  <si>
    <t>Developer of a financial technology platform designed to simplify the payroll process by providing upfront salary access and other benefits. The company partners with employers to provide advance salary options to their employees and gives them access to withdraw their salary whenever they want and manage their finances, enabling employees to cover one-time expenses incurred and avoid high fees charged by the lenders.</t>
  </si>
  <si>
    <t>ACV Capital, Agung Ventures, Capria Ventures, Crusade Partners, FEBE Ventures, Michael Sampoerna's Office, Monk's Hill Ventures, Sampoerna Financial, Sequoia Capital</t>
  </si>
  <si>
    <t>www.gajikuapp.com</t>
  </si>
  <si>
    <t>544887-64</t>
  </si>
  <si>
    <t>Guama</t>
  </si>
  <si>
    <t>Developer of financial technology designed to offer access to credit. The company's technology uses financial information to understand payment behavior, creates credit history, and also provides credit cards, enabling people rejected by the traditional financial system to get credit facilities.</t>
  </si>
  <si>
    <t>gBETA, Hustle Fund, QAPU Ventures, Salkantay Ventures, Techstars, Visa</t>
  </si>
  <si>
    <t>www.guamacard.com</t>
  </si>
  <si>
    <t>615515-32</t>
  </si>
  <si>
    <t>Jupiter (Financial Services)</t>
  </si>
  <si>
    <t>Developer of a decentralized exchange platform designed for cryptocurrency aggregation. The company's platform offers optimal pricing, a broad token selection, and an enhanced user experience to create a comprehensive exchange system, enabling users to better integrate an open-source and easy-to-use terminal.</t>
  </si>
  <si>
    <t>Alliance (Other Capital Markets/Institutions), DWF Labs, HyperChain Capital, Jump Crypto, ParaFi Capital, Token Ventures, VC VentureX</t>
  </si>
  <si>
    <t>www.jup.ag</t>
  </si>
  <si>
    <t>528259-15</t>
  </si>
  <si>
    <t>Knomee</t>
  </si>
  <si>
    <t>Operator of a wealth management platform intended to support users with the right financial decisions. The company's platform offers a gamified self-discovery journey, real-time behavioral insights, and structured AI prompts for advisors, enabling wealth managers and financial firms to deepen client relationships, guide strategy, and retain customers through life changes, ultimately building trust and accelerating growth.</t>
  </si>
  <si>
    <t>Evolution Accelerator, gener8tor, Raiz Capital</t>
  </si>
  <si>
    <t>www.knomee.com</t>
  </si>
  <si>
    <t>472342-24</t>
  </si>
  <si>
    <t>Moneymie</t>
  </si>
  <si>
    <t>Developer of a fintech platform intended for providing banking services. The company's platform aims to offer cross-border payments and payouts through its B2B platform and APIs and they provide middleman trust services and liquidity for small and middle-market enterprises transacting in and out of Africa across all continents, enabling businesses to make payments to various other countries in a simple and secure way.</t>
  </si>
  <si>
    <t>www.moneymie.com</t>
  </si>
  <si>
    <t>902181-25</t>
  </si>
  <si>
    <t>Saf.money</t>
  </si>
  <si>
    <t>Developer of a digital financial platform designed to facilitate direct money transfers to Guatemalan bank accounts. The company's platform allows users to sign up via WhatsApp and receive funds directly into their accounts, enabling individuals with a streamlined and user-friendly method to access financial services and effectively manage their financial transactions.</t>
  </si>
  <si>
    <t>1A1z, Carao Ventures, Fulgur Ventures, Hivemind Ventures, Initial Capital</t>
  </si>
  <si>
    <t>web.saf.money</t>
  </si>
  <si>
    <t>431301-52</t>
  </si>
  <si>
    <t>Steamchain</t>
  </si>
  <si>
    <t>Artificial Intelligence &amp; Machine Learning, B2B Payments, Cryptocurrency/Blockchain, FinTech</t>
  </si>
  <si>
    <t>Developer of a payment platform designed to simplify international B2B transactions. The company offers cost-effective currency conversion, risk reduction for currency fluctuations, and streamlined billing processes, enabling businesses to save on transaction costs and improve financial efficiency.</t>
  </si>
  <si>
    <t>CFV Ventures, Expara, Ideaship, PAX Momentum, Portland Seed Fund, RevTech Labs Capital, The Batchery, Washington Maritime Blue</t>
  </si>
  <si>
    <t>www.steamchaincorp.com</t>
  </si>
  <si>
    <t>465166-09</t>
  </si>
  <si>
    <t>Woli</t>
  </si>
  <si>
    <t>EdTech, FinTech, LOHAS &amp; Wellness</t>
  </si>
  <si>
    <t>Developer of a financial software designed to empower kids and teens by giving them financial freedom and knowledge. The company's platform provides children with a digital banking tool, money app, and smart prepaid bank card, enabling kids to access digital payments along with a tool to help them learn good skills in money management.</t>
  </si>
  <si>
    <t>Eleven Ventures, Genesis Ventures (Greece), Hristo Borisov, Inspiring Earth, Jason Manolopoulos, Thanassis Sofianos, T-Life Capital, Victor Trokoudes, Visa Innovation Program, X-Europe</t>
  </si>
  <si>
    <t>www.woli.io</t>
  </si>
  <si>
    <t>527185-99</t>
  </si>
  <si>
    <t>Yancep</t>
  </si>
  <si>
    <t>Developer of a digital investment platform designed to provide accessible investment opportunities to clients. The company's platform offers the ability to invest while providing CMB-licensed intermediary institution assurance and thematic investments in electric vehicles, blockchain, clean energy, and agriculture, and users can transfer any amount of money through their bank application, enabling individuals to create suitable portfolio and reach their savings goals.</t>
  </si>
  <si>
    <t>Akbank, Appcent, Begum Oztan, Bilgiyi Ticarileştirme Merkezi, Boost the Future, EGİAD Melekleri, Emir Temizkan, Gedik Yatırım, Hackquarters, HackZone Scale Up, Inveo Ventures, İstinye Garage Incubation, Kocfinans, Koray Bahar, Lonca Entrepreneurship Center, Papara Elektronik Para, Siret Unsal, Tenity, Visa Innovation Program, Yagiz Gokdemir, Yakup Eksi</t>
  </si>
  <si>
    <t>www.yancep.com</t>
  </si>
  <si>
    <t>1201727-53</t>
  </si>
  <si>
    <t>Forecasterly</t>
  </si>
  <si>
    <t>Developer of a cloud-based financial forecasting application designed to automate revenue and cash flow projections. The company's platform allows users to connect their accounting tools, apply configurable forecasting models, run scenario analyses, and generate visual reports with minimal manual input, enabling small and mid-sized businesses and finance teams to create, update, and share forward-looking financial forecasts more efficiently and consistently.</t>
  </si>
  <si>
    <t>Christine Ahlstrand, DHS Venture Partners, Robin Rammericson, Stockholm School of Economics</t>
  </si>
  <si>
    <t>www.forecasterly.com</t>
  </si>
  <si>
    <t>454287-97</t>
  </si>
  <si>
    <t>Kashware</t>
  </si>
  <si>
    <t>Developer of a payment application software designed to simplify and manage money that is divided between different accounts. The company's platform connects all cards, wallets, banks, and payment applications to a secured application linked to a single payment card, enabling users to get rid of carrying multiple cards, wallets, cryptocurrencies, and payment applications in a single and manageable ecosystem.</t>
  </si>
  <si>
    <t>Anvaya Ventures, Avtar Monga, Forward Slash Capital, ICE.vc, JITO Incubation &amp; Innovation Foundation, LC Nueva AIF, PointOne Capital, Sprint VC, Startup Haryana, The Center of Excellence for IoT India, TiE SoCal Angels, Venture Garage, Vipul Agarwal</t>
  </si>
  <si>
    <t>www.kashware.com</t>
  </si>
  <si>
    <t>496321-57</t>
  </si>
  <si>
    <t>Sqft.capital</t>
  </si>
  <si>
    <t>Developer of funding and data insights platform intended to offer financial dealings and fundraising. The company's platform gives property developers a transparent route to structure their development finance, then filter and present the right lenders and investors, enabling developers to be their own brokers, giving ownership of the funding process to borrowers but also helping debt and equity lenders to visualize and assess data for profitable deals.</t>
  </si>
  <si>
    <t>Peter Rollings, RO Capital Partners, Sibner Capital</t>
  </si>
  <si>
    <t>www.sqft.capital</t>
  </si>
  <si>
    <t>231448-69</t>
  </si>
  <si>
    <t>Neonomics</t>
  </si>
  <si>
    <t>Developer of a single API connection point designed to offer secure, seamless and instant inter-bank communication. The company's platform offers access to identity data, balance inquiry, transaction history, fund coverage, payment initiation, payment details query, as well as payment status, enabling banks to easily and securely deploy financial innovations to increase revenue streams.</t>
  </si>
  <si>
    <t>Genaxis (Korea), Gunnar Rydning, NewMark Capital</t>
  </si>
  <si>
    <t>www.neonomics.io</t>
  </si>
  <si>
    <t>529626-88</t>
  </si>
  <si>
    <t>Ontik</t>
  </si>
  <si>
    <t>Provider of B2B payment operations software intended for trade account payment collection purposes. The company's platform offers branded payment links via SMS, email and WhatsApp, live aged debtor dashboards, automated follow-ups, ERP integrations, customer payment portals, and reconciliation support, enabling wholesalers and merchants to request, track and collect payments faster while reducing manual collection efforts and payment delays.</t>
  </si>
  <si>
    <t>Concept Ventures (London), Firstminute Capital, FJ Labs, Illusian Founder Office, Plug and Play Tech Center, Portfolio Ventures, PT1 Ventures, Seed X Liechtenstein, Seed-X, Tiny Supercomputer Investment Company, Tupelo Capital</t>
  </si>
  <si>
    <t>www.ontik.io</t>
  </si>
  <si>
    <t>222918-04</t>
  </si>
  <si>
    <t>TradeRiver USA</t>
  </si>
  <si>
    <t>Developer of a financial platform designed for supply chain and trade finance purposes. The company's platform offers global supply chain finance, invoice factoring, and financial services supply chain programs, enabling small to midsize businesses to access working capital, streamline international trade transactions, and improve cash flow management through flexible financing options and support for both buyers and sellers.</t>
  </si>
  <si>
    <t>Sancus Lending Group</t>
  </si>
  <si>
    <t>www.traderiverusa.com</t>
  </si>
  <si>
    <t>512282-89</t>
  </si>
  <si>
    <t>Alvo.market</t>
  </si>
  <si>
    <t>Developer of a business consulting and services platform intended for simplifying the transfer of businesses and assets. The company's platform specializes in the sale and takeover of small and midsize enterprises, start-ups, and digital assets by bringing together a whole community of enthusiasts at the service of the success of companies and entrepreneurs, enabling sellers, buyers, intermediaries, advisers, and financiers to simplify and speed up transactions.</t>
  </si>
  <si>
    <t>Aonia Ventures, Founders Future, INNEST</t>
  </si>
  <si>
    <t>www.alvo.market</t>
  </si>
  <si>
    <t>756637-12</t>
  </si>
  <si>
    <t>WealthAi</t>
  </si>
  <si>
    <t>Developer of an Artificial Intelligence (AI) driven wealth management platform designed to optimize wealth. The company's AI-powered application provides tools for portfolio optimization, compliance monitoring, digital asset management and pension planning, and integrates through a single API gateway and a marketplace for subscription and deployment, enabling clients to enhance productivity and make informed decisions.</t>
  </si>
  <si>
    <t>Founders Factory, Fuel Ventures, Tenity</t>
  </si>
  <si>
    <t>www.wealthai.tech</t>
  </si>
  <si>
    <t>464322-97</t>
  </si>
  <si>
    <t>Chaperone (Fintech)</t>
  </si>
  <si>
    <t>Developer of a digital payments platform designed to connect people and businesses through opportunity and convenience in a global economy. The company offers mobile money services, a payment gateway, merchant tools, card-to-wallet transfers, and a freelancing marketplace, enabling individuals, businesses, and service providers to manage payments, access funds, and engage securely in everyday digital transactions.</t>
  </si>
  <si>
    <t>Basadifeela Letsoalo, Computer Business Solutions, David Parry, Hindsight Ventures, Hlompho Hlalele, Ilembu Mwakalumbwa, Karabo Chadzingwa, Karabo Nkolanyane, Kutloano Motjolopane, Lephema Executive Transport, Lisebo Lephoto, Makoae Seoaholimo, Malefu Letsika, Mateboho Mamooe, Moliehi Tshehla, Mothibeli Linakane, Nokukhanya Mokhanoi, Ntsiu Ntlatlapa, Patso Mota, Seenyane Nthejane, Semoli Mokhanoi, Subway Industries, Tankiso Tshehla, Thuthukile Skweyiya, Tjatjobe Tshehla, Tlalane Lesoli</t>
  </si>
  <si>
    <t>www.chaperone.co.ls</t>
  </si>
  <si>
    <t>173637-91</t>
  </si>
  <si>
    <t>Ethis</t>
  </si>
  <si>
    <t>Operator of a fintech company intended to connect sustainable projects and businesses with international investors and donors. The company's platform drives the effective and impactful circulation of capital to the real economy in line with its vision to uplift humanity through financial technology, enabling people, high-net-worth individuals, corporations, and government entities to meet their economic and capital requirements.</t>
  </si>
  <si>
    <t>Azmi Global, EGS Beteiligungen, Expo City Dubai Foundation, HASAN.VC, Quest Ventures, ScaleUp Malaysia, Shahid Gazi, Zaheeruddin Khalid</t>
  </si>
  <si>
    <t>www.ethis.co</t>
  </si>
  <si>
    <t>433814-14</t>
  </si>
  <si>
    <t>Monicle Financial</t>
  </si>
  <si>
    <t>Developer of an asset management company intended for money diagnosis and consultation services for the working generation. The company offers financial services plans selected by professionals from various assets such as life insurance, investment trusts, stocks, and bonds, enabling working people to get consulting services to handle their assets.</t>
  </si>
  <si>
    <t>Coral Capital., Dentsu Soken, Monex Ventures</t>
  </si>
  <si>
    <t>moniclefinancial.co.jp</t>
  </si>
  <si>
    <t>565270-12</t>
  </si>
  <si>
    <t>Kutana Pay</t>
  </si>
  <si>
    <t>Developer of a fintech platform designed for cross-border B2B trade. The company's platform offers low-cost cross-border payments, secure transactions with digital escrow with embedded trade insurance, and AI-powered credit, enabling businesses with secure and cost-effective ways to conduct international trade.</t>
  </si>
  <si>
    <t>SFC Capital, Tapio Capital</t>
  </si>
  <si>
    <t>www.kutanapay.com</t>
  </si>
  <si>
    <t>460121-86</t>
  </si>
  <si>
    <t>Payaca</t>
  </si>
  <si>
    <t>CleanTech, FinTech, Mobile, SaaS</t>
  </si>
  <si>
    <t>Developer of an operating system designed to streamline and scale clean technology installations. The company's mobile and web apps have a blend of sales, customer relationship management, job management, payments, and analytics features that can support businesses from sole traders to small and medium-sized enterprises, enabling clients and businesses to design interactive quotes and simple connections to the best accounting and payments services.</t>
  </si>
  <si>
    <t>1818 Venture Capital, Blackfinch Ventures, Bristol Private Equity Club, SyndicateRoom</t>
  </si>
  <si>
    <t>www.payaca.com</t>
  </si>
  <si>
    <t>517705-12</t>
  </si>
  <si>
    <t>Amrapali Online Venture</t>
  </si>
  <si>
    <t>Developer of a digital savings application designed for saving money on the purchase of jewelry. The company offers a mobile and cloud-based financial platform with digital gold purchases, flexible savings plans, secure vault storage, redemption options in cash or jewellery, and integration with partner jewellers, enabling individual savers and jewellery buyers to conveniently build gold holdings and convert them into physical assets or monetary value.</t>
  </si>
  <si>
    <t>3to1 Capital, Aarii Ventures, Abhay Tandon, Badami Investments, Beacon Trusteeship, EvolveX Accelerator, Gaurav Singhvi Ventures, JITO Incubation &amp; Innovation Foundation, Misfits (India), Qi Ventures, Ratanada Ventures, Sachin Shetty, Shiva Mohandas, Shrish Mishra, Signal Ventures (Investor), Sonakshi Sinha, Sprint VC, Sunil Kumar Singhvi, Varun Dua, Venture Catalysts (Capital Markets/Institutions), Vijay Rajagopal, Vineet Saxena, We Founder Circle, Z Nation Lab</t>
  </si>
  <si>
    <t>www.plusgold.in</t>
  </si>
  <si>
    <t>438993-28</t>
  </si>
  <si>
    <t>Agro Supply</t>
  </si>
  <si>
    <t>Developer of an agricultural mobile layaway platform designed to save and invest in farming inputs without having to take credit. The company's platform combines savings, input supply, and training mechanisms wherein farmers buy scratch cards as a micro-saving scheme, and agricultural inputs such as fertilizer and seeds paid from the savings are delivered to them, enabling farmers to reduce costs and boost agricultural yield.</t>
  </si>
  <si>
    <t>Africa Eats, African Development Bank, African Food Changemakers, Catalyst Fund, Fledge (Seattle), SDG Impact Accelerator, Seedstars International Ventures, The Tony Elumelu Foundation, Village Capital</t>
  </si>
  <si>
    <t>www.agrosupplyltd.com</t>
  </si>
  <si>
    <t>628149-43</t>
  </si>
  <si>
    <t>Groundley</t>
  </si>
  <si>
    <t>Artificial Intelligence &amp; Machine Learning, FinTech, LOHAS &amp; Wellness</t>
  </si>
  <si>
    <t>Developer of a fintech company designed to highlight the realization that enterprises lack a clear view of what they actually buy. The company's artificial intelligence-powered platform helps finance departments of large companies unlock granular insights into external spending, track emissions, and discover cost-saving opportunities across a complex web of enterprise resource planning systems, countries, legal entities, and languages, enabling customers to unlock cost savings, eliminate reporting overhead, and reduce emissions across their products and value chain.</t>
  </si>
  <si>
    <t>Christian Dideriksen, Tenity</t>
  </si>
  <si>
    <t>www.groundley.com</t>
  </si>
  <si>
    <t>434801-89</t>
  </si>
  <si>
    <t>My Digital</t>
  </si>
  <si>
    <t>Developer of an accounting and billing platform designed to manage, maintain, update, and access accounts. The company's platform offers an expense approval system that processes payments, and streamlines billing processes, enabling businesses to simplify operations and reduce administrative burden.</t>
  </si>
  <si>
    <t>www.mydigitalaccounts.com</t>
  </si>
  <si>
    <t>96490-54</t>
  </si>
  <si>
    <t>NumberMall</t>
  </si>
  <si>
    <t>E-Commerce, FinTech, Mobile, TMT</t>
  </si>
  <si>
    <t>Developer of a merchant-managed and payments gateway platform designed to accelerate e-commerce adoption. The company's platform provides recharge, money transfer and e-commerce applications for retailers and tech-enabling the small merchant with a potent application on their smartphone, to process a variety of transactions including e-commerce, enabling businesses by reducing the investment considerably and increasing the return on investment.</t>
  </si>
  <si>
    <t>Sashi Reddi, SRI Capital, ValueLabs, Venture Gurukool</t>
  </si>
  <si>
    <t>www.numbermall.com</t>
  </si>
  <si>
    <t>186619-69</t>
  </si>
  <si>
    <t>Credan</t>
  </si>
  <si>
    <t>Provider of a one-stop consumer finance service platform intended to solve the problems in online P2P lending. The company's platform offers low cost client acquisition, automated approval and risk control, and other financial services for medium and small financial institutes, enabling them to decrease their turnover time on P2P lending deals.</t>
  </si>
  <si>
    <t>AAMA Angel Fund, Tisiwi</t>
  </si>
  <si>
    <t>www.credan.com</t>
  </si>
  <si>
    <t>490121-38</t>
  </si>
  <si>
    <t>Hivebuy</t>
  </si>
  <si>
    <t>Developer of a management platform intended to simplify the procurement process in businesses. The company's platform allows one to create, submit and track purchase requisitions, an intuitive approval process, a centralized database for managing supplier information, catalog management, budget tracking and spend analysis, enabling organizations to enhance operational efficiency.</t>
  </si>
  <si>
    <t>Cusp Capital Partners, Grace Accelerate Female Entrepreneurship, Haufe Group Ventures, Jan Kaniess, Nino Ulsamer, SIVentures, UP2B Accelerator</t>
  </si>
  <si>
    <t>www.hivebuy.com</t>
  </si>
  <si>
    <t>231575-23</t>
  </si>
  <si>
    <t>LedgerSync</t>
  </si>
  <si>
    <t>Developer of accounting and reconciliation software designed to streamline operations. The company's software provides direct integration with major accounting software systems and access to check images, deposit slips, statements, and transactions, enabling accountants and bookkeepers to access a secure, real-time connection with their clients' bank and credit card accounts anytime and anywhere.</t>
  </si>
  <si>
    <t>GAN Ventures, Hatcher+, Mucker Capital, Quake Capital, RevTech Labs Capital</t>
  </si>
  <si>
    <t>www.ledgersync.com</t>
  </si>
  <si>
    <t>123661-45</t>
  </si>
  <si>
    <t>Quotanda</t>
  </si>
  <si>
    <t>Developer of an online lending platform designed to allow access to education by improving financing options. The company's clients include schools, universities, foundations, governments, and financial institutions seeking to make education more affordable globally, enabling clients to set up student financing programs and make education affordable for students.</t>
  </si>
  <si>
    <t>Access Ventures, Andres Barrios, Bankia Fintech, Carlos Hernández, Derrick Deese, Fenway Summer, Fidelity National Information Services, Finnovista, G2 Momentum Capital, Horizon 2020, IDB Lab, Inclusion Plus, Irrazonables, Justin Nonemaker, Lisbon Challenge, Michael Manne, Parallel18, Startupbootcamp Holding, The Ark Fund, The Venture Center, Thomas Wenrich, Venture Hive, VilCap Investments, Village Capital</t>
  </si>
  <si>
    <t>www.quotanda.com</t>
  </si>
  <si>
    <t>279592-93</t>
  </si>
  <si>
    <t>Savology</t>
  </si>
  <si>
    <t>Developer of a financial planning platform designed for working professionals to meet their post-retirement financial goals. The company's platform is used to prepare a comprehensive financial report card based on various financial situations and provides personalized financial recommendations, enabling users to reduce their post-retirement financial risks and get a free financial plan, holistic report card, and personalized action items.</t>
  </si>
  <si>
    <t>Ben Tejes, Brady Murray, Bruce Miller, Chummy Fin Club, David Mann, Derrin Hill, Duff Capital Investors</t>
  </si>
  <si>
    <t>www.savology.com</t>
  </si>
  <si>
    <t>496288-09</t>
  </si>
  <si>
    <t>Valuelist</t>
  </si>
  <si>
    <t>Developer of an AI (artificial intelligence)-powered financial health and asset protection platform designed to manage and safeguard financial assets across complex portfolios. The company offers real-time asset consolidation, hybrid AI agents, insurance coverage auditing, protection gap detection, and operational risk monitoring, enabling institutional real estate firms, family offices, wealth managers, and individual asset holders to improve asset oversight and risk management.</t>
  </si>
  <si>
    <t>Synapse XLT</t>
  </si>
  <si>
    <t>www.valuelist.cl</t>
  </si>
  <si>
    <t>176498-83</t>
  </si>
  <si>
    <t>Wela Strategies</t>
  </si>
  <si>
    <t>Provider of investment guidance and management services intended to offer personal advice on investing and financial planning. The company's advising services follow research-based methodologies and careful asset allocation in exchange-traded funds (ETF) with an experienced investment team and low-cost options to investors and advisors seeking out exposure and prudent management, enabling investors with a diversified portfolio that helps accomplish their specific goals.</t>
  </si>
  <si>
    <t>Advanced Technology Development Center, Bob Conchiglia</t>
  </si>
  <si>
    <t>www.welastrategies.com</t>
  </si>
  <si>
    <t>442247-86</t>
  </si>
  <si>
    <t>Boost Capital</t>
  </si>
  <si>
    <t>Operator of chat-based microfinancial technology intended to make it cheap and easy for people globally to access financial services. The company's technology interviews customers through chatbots offers credit scores for digital loans through smartphones, and provides integrated financial literacy content into the product and marketing, enabling customers to safely take charge of their financial lives.</t>
  </si>
  <si>
    <t>Epic Angels, Hi2 Global, Hustle Fund, Insitor Impact Asia Fund, Iterative Accelerator, John Lojek, Laurence Hootnick, Loyal VC, Orbit Ventures (Venture Capital), Puon Penn, Shivaas Gulati, SOSV, Village Capital, Village Global, Wing Vasiksiri, XCEL NEXT</t>
  </si>
  <si>
    <t>www.boostkh.com</t>
  </si>
  <si>
    <t>436391-38</t>
  </si>
  <si>
    <t>Flash Payments</t>
  </si>
  <si>
    <t>Developer of a digital payments platform designed to facilitate global cross-border payments for individuals, businesses, and financial institutions. The company offers named local currency accounts, real-time payment capabilities, API and ERP integration, RippleNet-powered liquidity, and multi-currency support, enabling individuals, SMEs, enterprises, and financial institutions to send, receive, and reconcile international payments securely and efficiently.</t>
  </si>
  <si>
    <t>www.flash-payments.com</t>
  </si>
  <si>
    <t>154244-80</t>
  </si>
  <si>
    <t>Mintos</t>
  </si>
  <si>
    <t>Operator of a multi-asset investment platform intended to facilitate the flexible and efficient movement of capital. The company's platform delivers attractive returns while minimizing volatility and drawdowns across the full market cycle and caters to a diverse community of registered users, providing an easy-to-use platform for investors seeking simplicity with a focus on empowering wealth growth, enabling investors to start investing with minimal capital.</t>
  </si>
  <si>
    <t>Aigars Kesenfelds, Alberts Pole, Grumpy Investments, Kristaps Ozols, Maris Keiss, Nordic Secondary Fund, Rietumu Banka</t>
  </si>
  <si>
    <t>www.mintos.com</t>
  </si>
  <si>
    <t>597073-06</t>
  </si>
  <si>
    <t>Riddle (Financial Software)</t>
  </si>
  <si>
    <t>Developer of a financial productivity platform designed to automate financial processes. The company's software offers various features, including the integration of sales channels and automation of reconciliation processes, among others, enabling organizations to increase productivity with minimal human error.</t>
  </si>
  <si>
    <t>Bust (Sweden)</t>
  </si>
  <si>
    <t>www.getriddle.com</t>
  </si>
  <si>
    <t>442437-94</t>
  </si>
  <si>
    <t>Invluencer</t>
  </si>
  <si>
    <t>Developer of a blockchain investment intelligence platform designed to address the problems of risk and liquidity in early-stage investing. The company's protocol offers distributed due diligence through crowd-sourced analysis and tokenized incentives, enabling investors to make data-driven decisions in high-risk, information-scarce environments.</t>
  </si>
  <si>
    <t>Saudi Agricultural and Livestock Investment</t>
  </si>
  <si>
    <t>www.invluencer.com</t>
  </si>
  <si>
    <t>694454-41</t>
  </si>
  <si>
    <t>Qash</t>
  </si>
  <si>
    <t>Provider of a stablecoin-powered digital banking platform intended to support financial stability for individuals and businesses in volatile economies. The company offers cross-border payment capabilities using leading stablecoins and streamlined digital banking features, enabling people and organizations in unstable financial environments to improve access, reliability, and efficiency in everyday transactions.</t>
  </si>
  <si>
    <t>Antler, Plug and Play Tech Center</t>
  </si>
  <si>
    <t>www.qash.ai</t>
  </si>
  <si>
    <t>267299-74</t>
  </si>
  <si>
    <t>Happy Neo</t>
  </si>
  <si>
    <t>Operator of an online lending platform intended to offer human mobility and economic growth. The company's platform provides low-ticket unsecured loans to microentrepreneurs digitally and is disbursed within a day when the issued loans belong to diverse categories such as payments, agriculture, affordable housing, e-retail, invoice discounting, and dairy, enabling businesses to get access to credit facilities simply.</t>
  </si>
  <si>
    <t>DCR Workforce, Sparkle Fund</t>
  </si>
  <si>
    <t>happyness.net</t>
  </si>
  <si>
    <t>175207-33</t>
  </si>
  <si>
    <t>Paytweak</t>
  </si>
  <si>
    <t>Developer of a secure payment tool designed to facilitate online payments through emails and SMS. The company's tool offers universal secure payment links that convert hypertext links into digital payment channels while making emails and SMS encrypted, enabling professionals, companies, and local authorities to trigger secure payments by credit card in one click from an email or SMS and receive funds directly from the bank account without delay, intermediaries, or commissions paid.</t>
  </si>
  <si>
    <t>Chalus Chegaray &amp; Cie</t>
  </si>
  <si>
    <t>www.paytweak.com</t>
  </si>
  <si>
    <t>65591-83</t>
  </si>
  <si>
    <t>Lånekoll</t>
  </si>
  <si>
    <t>Provider of credit brokerage services intended to offer personalized advice to find loan terms for individuals. The company's services help to evaluate and compete for the entire credit commitment by comparing loans and helping choose the suitable one, enabling customers to reduce interest expenses and get paid by the banks upon successful lead conversion.</t>
  </si>
  <si>
    <t>Max Matthiessen</t>
  </si>
  <si>
    <t>www.lanekoll.se</t>
  </si>
  <si>
    <t>61050-97</t>
  </si>
  <si>
    <t>Oxford Risk</t>
  </si>
  <si>
    <t>Developer of a behavioural finance software platform designed to help investors make financial decisions throughout their lives. The company's platform offers investor suitability assessment tools, behavioural engagement technology, risk mapping and rating capabilities, and retirement income suitability analysis, enabling financial institutions, wealth managers, digital advisers, asset managers, and pension providers to deliver personalised investment recommendations and improve long term investor outcomes.</t>
  </si>
  <si>
    <t>Catalex Capital Limited, Grow London, Singapore FinTech Festival, University of Oxford</t>
  </si>
  <si>
    <t>www.oxfordrisk.com</t>
  </si>
  <si>
    <t>762867-64</t>
  </si>
  <si>
    <t>Syntax (Burton-On-Trent)</t>
  </si>
  <si>
    <t>Developer of a taxation platform designed to automate the tax review process. The company's platform uses artificial intelligence to extract information from various legislation, manuals, and cases, enabling tax professionals to streamline their workflows and increase efficiency.</t>
  </si>
  <si>
    <t>www.syntax.tax</t>
  </si>
  <si>
    <t>175289-59</t>
  </si>
  <si>
    <t>Vaultedge Software</t>
  </si>
  <si>
    <t>Artificial Intelligence &amp; Machine Learning, Big Data, Legal Tech, SaaS</t>
  </si>
  <si>
    <t>Developer of contract analysis software designed to facilitate automatic analysis of contracts, extraction of relevant provisions, and metadata. The company's software automates the US Mortgage document processing, indexes loan documents, extracts relevant metadata from them, and updates the data into LOS software, enabling lawyers and finance professionals to analyze and report on more contracts in less time.</t>
  </si>
  <si>
    <t>Dinesh Agarwal, Girish Mathrubootham, GSF India, Hirokazu Mashita, Murugavel Janakiraman, NetApp Excellerator, NextUnicorn.Fund, Powerhouse Ventures, Prasanna Krishnamoorthy, Roshan Abbas, Startup Karnataka, Upekkha, Venture Highway</t>
  </si>
  <si>
    <t>www.vaultedge.com</t>
  </si>
  <si>
    <t>497670-04</t>
  </si>
  <si>
    <t>Corporatings</t>
  </si>
  <si>
    <t>Developer of a data extraction platform designed to change the way statement information is published by companies. The company's platform specializes in extracting and processing structured and non-structured fundamental data directly from company publications, also provides pre-publication audit and granular data analysis, enabling financial professionals to access and analyze business data.</t>
  </si>
  <si>
    <t>50 Partners, Elaia Partners, IncubAlliance, SQY Cub incubator, VAeX Capital Partners</t>
  </si>
  <si>
    <t>www.corporatings.com</t>
  </si>
  <si>
    <t>530422-39</t>
  </si>
  <si>
    <t>4-Xtra Technologies</t>
  </si>
  <si>
    <t>Developer of event forecasting risk modeling technology designed to predict extreme events and synthetic data generation. The company predicts the likelihood of a multi-variate extreme event occurring and applies it to many use cases in financial services, such as fraud and credit delinquency forecasting, trading signal generation, portfolio optimization, ESG-related forecasting, and more, enabling organizations to reduce risk and losses using machine learning technology.</t>
  </si>
  <si>
    <t>Deepbridge Capital, KCP Nominees, Magnetic North (Stockton on Tees), University of Leeds</t>
  </si>
  <si>
    <t>www.4-xtra.ai</t>
  </si>
  <si>
    <t>324961-84</t>
  </si>
  <si>
    <t>Twid Rewards Global</t>
  </si>
  <si>
    <t>Continuation Fund Transaction</t>
  </si>
  <si>
    <t>Developer of a digital payment platform designed to let users pay using reward points. The company's platform consolidates all reward points from different sources, be it retail stores or credit cards, using a single application making them ubiquitous and fungible, and building them as a currency so that can be used freely for everything and everywhere, enabling customers to utilize accumulated reward points by making payments at the leading online and offline platforms.</t>
  </si>
  <si>
    <t>Alphabet, BEENEXT Capital Management, Capillary Technologies India, CRED, Google Accelerator, ICMG Partners, January Capital, JIF Capital, Kunal Shah, Rajul Garg, Rakuten Capital, Reddy Holdings (Hyderabad), SCV, Sequoia Capital, Shailesh Jacob, Surge (Accelerator), Vijay Anand, Visa Accelerator, Whiteboard Capital, YourNest Venture Capital</t>
  </si>
  <si>
    <t>www.twidpay.com</t>
  </si>
  <si>
    <t>459539-74</t>
  </si>
  <si>
    <t>Freede</t>
  </si>
  <si>
    <t>Developer of a debt resolution platform intended to revolutionize the way the credit and collection industry interacts with consumers. The company's platform features a social media analytics module, a consumer dashboard, and analytics tools to determine the optimal time to initiate a resolution interaction and present repayment options to accelerate liquidity, enabling agencies and institutions to resolve debt obligations and manage financial health and well-being.</t>
  </si>
  <si>
    <t>Capital Factory, Great North Ventures, Knoll Ventures, Lightbank (Venture Capital)</t>
  </si>
  <si>
    <t>www.freede.co</t>
  </si>
  <si>
    <t>469551-07</t>
  </si>
  <si>
    <t>Dvara E-Registry</t>
  </si>
  <si>
    <t>AgTech, Artificial Intelligence &amp; Machine Learning, FinTech</t>
  </si>
  <si>
    <t>Developer of an agri-financial technology platform designed to provide access to all stakeholders in the agri-value chain. The company offers a digital platform working with FPOs and farmers to ensure their success by providing access to credit, insurance, input and output markets, and extension services via partner institutions, using farm-level data and actionable insights generated using alternate data, remote sensing, GIS, and AI technologies, enabling smallholder farmers to access financial services and agricultural markets.</t>
  </si>
  <si>
    <t>Dvara, Omnivore (Mumbai)</t>
  </si>
  <si>
    <t>www.dvaraeregistry.com</t>
  </si>
  <si>
    <t>462638-26</t>
  </si>
  <si>
    <t>Lightning Reach</t>
  </si>
  <si>
    <t>Developer of a financial support platform designed to help financially vulnerable people receive instant support from grant providers. The company offers financial support discovery, eligibility assessment, application management, internal support scheme management, voucher delivery, and client support management, enabling charities, councils, utilities, banks, housing providers, and individuals to identify, apply for, and deliver financial assistance.</t>
  </si>
  <si>
    <t>Growth Impact Fund</t>
  </si>
  <si>
    <t>www.lightningreach.org</t>
  </si>
  <si>
    <t>266664-07</t>
  </si>
  <si>
    <t>AYLA (Financial Software)</t>
  </si>
  <si>
    <t>Developer of an AI-powered account-pioneering platform and assistant designed to control bill spending. The company's platform uses AI to bring visibility over the bills, no longer competing on marketing, but on customer ratings and service, enabling firms to compare and control their data, creating a transparent relationship between service providers and individuals.</t>
  </si>
  <si>
    <t>Imprint Capital Partners, Plug and Play Tech Center, Startupbootcamp Holding, TREGOYD INVESTMENTS</t>
  </si>
  <si>
    <t>www.ayla.app</t>
  </si>
  <si>
    <t>431305-30</t>
  </si>
  <si>
    <t>PencilPay</t>
  </si>
  <si>
    <t>Developer of an accounts receivable platform designed to automate trade account payments and credit management for wholesale businesses. The company's platform offers automated payment collection, credit checks, and integration with enterprise resource planning and accounting software, enabling wholesale businesses to improve payment collection and manage trade accounts more efficiently.</t>
  </si>
  <si>
    <t>Asena Family Office, Startupbootcamp Holding</t>
  </si>
  <si>
    <t>www.pencilpay.com</t>
  </si>
  <si>
    <t>467100-37</t>
  </si>
  <si>
    <t>HeyTrade</t>
  </si>
  <si>
    <t>Developer of an investment platform designed to help build a diversified portfolio tailored to investment goals. The company's platform provides access to a wide range of investment products, including thousands of stocks and exchange-traded funds and offers a variety of features to support different investing styles, including thematic investing in specific sectors or trends, enabling businesses and customers to secure transactions through the ability to link a user's bank account.</t>
  </si>
  <si>
    <t>www.heytrade.com</t>
  </si>
  <si>
    <t>438175-81</t>
  </si>
  <si>
    <t>Accountflow</t>
  </si>
  <si>
    <t>Developer of a cloud-based accounting reconciliation software designed to increase the quality of companies' accounts. The company's platform integrates with different enterprise resource planning (ERP) solutions and offers dashboards, automatic tuning, templates, and automatic comparison of bank transactions along with reconciliations of value-added tax (VAT) and payments, among others, enabling businesses to streamline and automate their accounting processes, save time and reduce costs.</t>
  </si>
  <si>
    <t>Angel Challenge, Cartavio (Norway), Erik Harrell, IdeKapital, Innovasjon Norge, Nordea Growth Fund, Startuplab Ventures, Svein-Magnus Sørensen, TheFactory</t>
  </si>
  <si>
    <t>www.accountflow.no</t>
  </si>
  <si>
    <t>517778-02</t>
  </si>
  <si>
    <t>Seiwa</t>
  </si>
  <si>
    <t>Developer of a medical fees management platform designed to simplify the financial operations of doctors for hospitals. The company's platform offers transparency and control of medical receipts and tracks disallowances, receipts, and transfer delays, enabling doctors to have an application to search, organize, and consolidate receipts, saving them time by organizing their finances and hospitals to keep their fee transfers transparent.</t>
  </si>
  <si>
    <t>WOW Aceleradora de Startups</t>
  </si>
  <si>
    <t>www.seiwa.app</t>
  </si>
  <si>
    <t>503842-24</t>
  </si>
  <si>
    <t>Bueno</t>
  </si>
  <si>
    <t>Developer of a business-to-business seller platform designed to offer buyers a zero credit risk policy. The company's platform offers a simple, risk-free way to accelerate payments without interest or credit risk, it offers buyers deferred and flexible payment terms with no credit risk, enabling B2B sellers to improve cash flow, fulfill larger orders, and accept new buyers with ease.</t>
  </si>
  <si>
    <t>bueno.money</t>
  </si>
  <si>
    <t>845836-21</t>
  </si>
  <si>
    <t>Loandock</t>
  </si>
  <si>
    <t>Developer of a comprehensive artificial intelligence (AI) platform designed to automate and streamline mortgage operations. The company offers AI-powered processing, instant underwriting, smart document verification, and full compliance monitoring, enabling mortgage lenders, brokers, and processors to reduce costs, accelerate approvals, and scale operations without added overhead.</t>
  </si>
  <si>
    <t>Antler, Georgia Tech VentureLab, Klaus Startup Challenge</t>
  </si>
  <si>
    <t>www.loandock.com</t>
  </si>
  <si>
    <t>234024-22</t>
  </si>
  <si>
    <t>Siembro</t>
  </si>
  <si>
    <t>AgTech, FinTech, Mobile</t>
  </si>
  <si>
    <t>Developer of a financial platform designed to make the financing process convenient and accessible for the agricultural sector. The company's platform offers an online registration portal with a payment and financing system for sellers, enabling agricultural businesses to get finance, accelerate credit, and boost savings.</t>
  </si>
  <si>
    <t>Agencia Córdoba Innovar y Emprender, Cacao Capital, Enture Capital, Finnovista, Kirchner Food Fellowship, NXTP Ventures, Seedstars International Ventures, Startupbootcamp Holding, VilCap Investments, Village Capital</t>
  </si>
  <si>
    <t>www.siembro.com</t>
  </si>
  <si>
    <t>517159-63</t>
  </si>
  <si>
    <t>Cents (Financial Services)</t>
  </si>
  <si>
    <t>Developer of a financial platform intended to help find and support charitable causes to generate a positive impact on society. The company's platform connects profit and non-profit organizations to raise money from community members, enabling companies to increase awareness and support social and environmental causes.</t>
  </si>
  <si>
    <t>40Jemz Ventures, Apside (EU), Cassa Depositi e Prestiti, Fin+Tech, Intesa Sanpaolo, RoundX, Startupbootcamp Holding, Sviluppo Imprese Centro Italia, XEquity</t>
  </si>
  <si>
    <t>www.centsdonations.com</t>
  </si>
  <si>
    <t>807599-35</t>
  </si>
  <si>
    <t>eKisanCredit</t>
  </si>
  <si>
    <t>Operator of a digital loan origination platform designed for cooperative banks, primary agricultural credit societies, and regional rural banks. The company's platform integrates digital loan application processes and connects to multiple financial institutions, enabling farmers to secure financial support, manage farm operations more efficiently, and enhance productivity across the agricultural value chain.</t>
  </si>
  <si>
    <t>National Bank for Agriculture and Rural Development</t>
  </si>
  <si>
    <t>www.ekcc.nabard.org</t>
  </si>
  <si>
    <t>513062-47</t>
  </si>
  <si>
    <t>FMP Ventures</t>
  </si>
  <si>
    <t>Operator of the social investment platform intended to connect investors with investment-ready companies seeking funds. The company's platform helps to present business ideas in short, video pitches to a network, enabling investors to increase return on investment.</t>
  </si>
  <si>
    <t>Bigspace Investments, Invest Northern Ireland, Lazaroo-Hood Group</t>
  </si>
  <si>
    <t>www.fundmypitch.com</t>
  </si>
  <si>
    <t>527574-16</t>
  </si>
  <si>
    <t>Good With</t>
  </si>
  <si>
    <t>Developer of a financial behaviour analytics platform designed to make lending fairer and more inclusive. The company's platform combines artificial intelligence, behavioral psychology, and open banking data to provide lenders with an accurate, human-centered view of credit risk and offers financial guidance on tax, insurance, loans, overdrafts, interest, and inflation, enabling young adults to grow money for their economic well-being.</t>
  </si>
  <si>
    <t>EHE Ventures, Ernst &amp; Young Global, GoodTech Ventures, Google Accelerator, Heath Innovation South West, Innovate UK, Joanna Invests, SantanderX, University of Plymouth</t>
  </si>
  <si>
    <t>www.goodwith.co</t>
  </si>
  <si>
    <t>512641-36</t>
  </si>
  <si>
    <t>Kintai</t>
  </si>
  <si>
    <t>Developer of a merchant cash advance platform intended to help businesses with loans tailored to their financial needs. The company's platform offers cash advances for small and medium enterprises and physical stores with point-of-sale operations without risk or friction, which is quick, flexible, and requires no paperwork or guarantees, enabling clients to finance their projects for payroll payments, purchase of materials, repairs, or paying taxes.</t>
  </si>
  <si>
    <t>Barlon Capital, Eulalia De Valls, SL, Institut Català de Finances, Nekko Capital, Prosegur Cash, Prosegur Compañia de Seguridad, TQ Eurocredit</t>
  </si>
  <si>
    <t>www.kintai.com</t>
  </si>
  <si>
    <t>228252-07</t>
  </si>
  <si>
    <t>GoldenPi</t>
  </si>
  <si>
    <t>Developer of an online investment platform designed to make fixed-income instruments like bonds accessible to individual investors. The company's platform offers curated bond collections, seamless digital transactions, and SEBI-registered services, enabling retail investors to diversify their portfolios with stable returns across corporate and government debt instruments.</t>
  </si>
  <si>
    <t>www.goldenpi.com</t>
  </si>
  <si>
    <t>538308-55</t>
  </si>
  <si>
    <t>WAC</t>
  </si>
  <si>
    <t>Developer of an hourly paid application intended for work, life, and money management. The company's application provides features to add or edit upcoming working shifts shifts and keep an accurate record of your hours and estimate the monthly pay slips, enabling users to manage their monthly bills between paydays and see what spending money they have left over.</t>
  </si>
  <si>
    <t>Lifted Ventures, Pxn Ventures, The Hive (Nottingham Trent University)</t>
  </si>
  <si>
    <t>wac.rocks</t>
  </si>
  <si>
    <t>494595-91</t>
  </si>
  <si>
    <t>CryptoSimple</t>
  </si>
  <si>
    <t>Developer of a financial services application designed to bridge the gap between traditional and crypto investing. The company's application manages a crypto portfolio and provides investment strategies, education, and tools for success, helping investors and users to learn about cryptocurrencies as an investment opportunity and invest safely.</t>
  </si>
  <si>
    <t>Incubateur Belle de Mai, La French Tech Aix-Marseille Région Sud, Morningstar Ventures, SIG, Taureon (San Francisco)</t>
  </si>
  <si>
    <t>www.cryptosimple.app</t>
  </si>
  <si>
    <t>538083-28</t>
  </si>
  <si>
    <t>Hectarea</t>
  </si>
  <si>
    <t>Operator of an agricultural investment platform intended to facilitate funding for sustainable farming projects. The company offers features such as detailed project presentations, an online simulator for investment projections, and a dashboard for tracking financial returns and environmental impact, enabling individual investors to support farmers committed to eco-friendly practices while achieving stable returns on their investments in agricultural land.</t>
  </si>
  <si>
    <t>Albert d'Anthoüard, Albo Club, Alexis Angot, Antoine Jeanjean, Cedric Bouygues, Clement Le Fournis, Fabian Langlet, Frederic Chleffer, Geoffroy Vincent, Guillaume Rigallaud, Hectar (France), Inco Ventures, Jean-Sebastien Beaucamps, Kiss Studio, Leo Lemordant, Michael David, Pierre Maillard, Pierre Yves Dargaud, Pierre Zevaco, Pierre-Lou Dominjon, Samuel Nahon, Thomas Didier, Thomas Givry, Unitec (Accelerator/Incubator)</t>
  </si>
  <si>
    <t>www.hectarea.io</t>
  </si>
  <si>
    <t>820225-81</t>
  </si>
  <si>
    <t>Kanaglee</t>
  </si>
  <si>
    <t>Developer of a cash flow management platform designed to help small businesses make decisions based on their cash flow data. The company's platform supports management through cash flow, the foundation of corporate activity, allows anyone to create and update a cash flow statement by linking internal company data and share it with related parties in real time, enabling users to manage their cashflows and streamline operations.</t>
  </si>
  <si>
    <t>ANOBAKA, BEENEXT Capital Management, DG Daiwa Ventures, Microsoft for Startups</t>
  </si>
  <si>
    <t>www.kanaglee.co.jp</t>
  </si>
  <si>
    <t>593319-97</t>
  </si>
  <si>
    <t>Ealyx</t>
  </si>
  <si>
    <t>Developer of an e-commerce trade-in platform designed to trade in pre-owned products. The company's platform allows customers to exchange second-hand products in exchange for a discount on the purchase of a new product, and offers multiple, relevant trade-in options and flexible payment options tailored for all shoppers, enabling retailers and e-commerce companies to attract, convert, and retain customers.</t>
  </si>
  <si>
    <t>Amit Gilon, Archipelago Next, Coben Ventures, David Garcia, Fernando Cabello-Astolfi, First Drop, Iván Párraga, Jaume Betrian, Lanai Ventures, Mission (Spain), Ona Capital, Plug and Play Tech Center, Tres Coronas</t>
  </si>
  <si>
    <t>www.ealyx.com</t>
  </si>
  <si>
    <t>467699-95</t>
  </si>
  <si>
    <t>Earnr</t>
  </si>
  <si>
    <t>Developer of finance and tax software designed to automate finances and tax submissions. The company's platform allows users to import bank transactions, track their earnings, streamline tax returns, and build a complete record of their self-employed income, enabling companies to reduce the time spent organizing finances and completing tax filings.</t>
  </si>
  <si>
    <t>7percent Ventures, Antler, Goodwater Capital, London Business School Incubator Programme</t>
  </si>
  <si>
    <t>www.earnr.co.uk</t>
  </si>
  <si>
    <t>227241-55</t>
  </si>
  <si>
    <t>Billte</t>
  </si>
  <si>
    <t>Developer of an online payment ecosystem designed to build rewarding relationships between companies and their customers through digital invoices. The company's platform is licensed to banks and it can be integrated into online banking or kept externally in a server controlled by banks, enabling banks and SMEs to understand their customer base.</t>
  </si>
  <si>
    <t>Banca dello Stato del Cantone Ticino, House of Insurtech Switzerland, SICTIC, Spicehaus Partners, Synpulse, Tenity</t>
  </si>
  <si>
    <t>www.billte.ch</t>
  </si>
  <si>
    <t>92443-42</t>
  </si>
  <si>
    <t>MR Presta</t>
  </si>
  <si>
    <t>Developer of an end-to-end small business lending platform designed to promote funding in emerging markets. The company's platform uses in-house lending technology, partners with external platforms that lack the scale or focus to build internal lending units, and leverages public and private application programming interfaces to aggregate business data, automate underwriting, and disburse financing, enabling small and medium-sized enterprises in emerging markets to access working capital and improve their growth prospects.</t>
  </si>
  <si>
    <t>Chartwell Holdings, Geekdom Fund, MassChallenge, Mercado Libre Fund, MercadoLibre, Techstars, Vaquero Global Investment, VentureOut (US), Village Capital</t>
  </si>
  <si>
    <t>www.mrpresta.com</t>
  </si>
  <si>
    <t>265627-00</t>
  </si>
  <si>
    <t>SteadyPay</t>
  </si>
  <si>
    <t>Developer of an embedded credit platform designed to make embedded finance convenient and accessible for growth. The company's application offers volatile income which is focused on the needs of the embedded partners of businesses and consumers and offers personal finance in return for a low, weekly fee, permitting customers to maintain financial wellness and protecting their income from volatility, enabling workers to budget with confidence for bills and essentials.</t>
  </si>
  <si>
    <t>Angel Invest, Ascension (Private Equity), Chris Adelsbach, Fair By Design, Government of UK, Henry de Zoete, Innovate UK, Launchbay Capital, N1 Investment Company, Salica Investments, Tech Nation Group, The Future Fund, TrueSight Ventures</t>
  </si>
  <si>
    <t>www.steadypay.co</t>
  </si>
  <si>
    <t>439107-85</t>
  </si>
  <si>
    <t>VUI</t>
  </si>
  <si>
    <t>Developer of an earned wage access platform designed to provide employees with on-demand income. The company's platform offers automated payroll integration, real-time salary advances, data encryption, information security compliance, and reconciliation tools, enabling businesses to offer flexible payment options to improve employee retention and financial wellness.</t>
  </si>
  <si>
    <t>ACE Ventures (Geneva), BLOCK71, FEBE Ventures, FJ Labs, Golden Gate Ventures, Goodwater Capital, Invertidos (Spain), IT Farma, IT-Farm, Kvision, MVP Ventures, Openspace Capital, Partech, Sketchnote Partners, Tekton Ventures, TO VC (New York), Venturra Capital, Y Combinator</t>
  </si>
  <si>
    <t>www.vuiapp.vn</t>
  </si>
  <si>
    <t>519922-90</t>
  </si>
  <si>
    <t>NetworksX</t>
  </si>
  <si>
    <t>Developer of a human and market insights platform designed to provide investment and market research services. The company's platform provides services including effective due diligence and strategy work through access to industry experts that are bespoke to customer needs, enabling private equity firms, public investors, management consultants and corporates to make decisions via the company's research methodology.</t>
  </si>
  <si>
    <t>Arbour Capital, JMD Ventures, Pitch Venture Capital</t>
  </si>
  <si>
    <t>www.networksx.co</t>
  </si>
  <si>
    <t>495993-16</t>
  </si>
  <si>
    <t>Parachute (Consumer Finance)</t>
  </si>
  <si>
    <t>Provider of financial services intended to help customers simplify debt and achieve financial understanding. The company offers debt services to allow checking loan eligibility, plan payments with a direct debit system, borrow money through websites, and earn rewards, enabling customers to manage finances efficiently.</t>
  </si>
  <si>
    <t>Archangel Network of Funds, Aurum Holdings, Highline Beta, Intuit Canada</t>
  </si>
  <si>
    <t>www.myparachute.co</t>
  </si>
  <si>
    <t>542315-35</t>
  </si>
  <si>
    <t>Datasinc</t>
  </si>
  <si>
    <t>Developer of a real estate data collection tool designed to collect, analyze, and validate real estate and credit data. The company leverages advanced algorithms and artificial intelligence to process large datasets, geolocate properties, and provide tailored solutions, enabling real estate professionals, financial institutions, and public administration to make informed decisions, optimize processes, and mitigate risks efficiently.</t>
  </si>
  <si>
    <t>Apside, CDP Venture Capital (Rome), HabiSmart, Intesa Sanpaolo, Zest Group</t>
  </si>
  <si>
    <t>www.datasinc.it</t>
  </si>
  <si>
    <t>143183-89</t>
  </si>
  <si>
    <t>DIGISEQ</t>
  </si>
  <si>
    <t>FinTech, Internet of Things, SaaS, Wearables &amp; Quantified Self</t>
  </si>
  <si>
    <t>Operator of an NFC (Near Field Communication) credential provisioning platform designed to securely enable digital interactions across connected devices and objects. The company offers proprietary provisioning infrastructure, direct payment network integrations, and security-accredited credential management capabilities, enabling payment providers, event organizers, loyalty program operators, and digital identity stakeholders to deploy secure NFC-based services across multiple applications.</t>
  </si>
  <si>
    <t>Catalyst, Grow London, R/GA IoT Venture Studio, R/GA Ventures, Rtekk Holdings, Smart Chip, Start Path, Techstars</t>
  </si>
  <si>
    <t>www.digiseq.co.uk</t>
  </si>
  <si>
    <t>482591-17</t>
  </si>
  <si>
    <t>MoneySavvy</t>
  </si>
  <si>
    <t>Operator of a digital financial planning platform intended to provide accessible and simplified financial management. The company's platform offers an integrated dashboard aggregating investments, pensions, savings, insurance, and debts with tailored guidance and progress tracking, enabling individuals and households to manage finances confidently and make informed financial decisions.</t>
  </si>
  <si>
    <t>Haatch</t>
  </si>
  <si>
    <t>moneysavvy.co.uk</t>
  </si>
  <si>
    <t>151070-59</t>
  </si>
  <si>
    <t>Loan Frame</t>
  </si>
  <si>
    <t>Operator of an online lending marketplace intended to connect lenders to borrowers and facilitate the transfer of funds. The company's platform provides a mechanism for financing and lending services, as well as offers technology, tools, and analytical techniques to connect small businesses to lenders, enabling small businesses to receive both secured and unsecured loans and grow their business, and lenders to lend their money out at market rates.</t>
  </si>
  <si>
    <t>Anurag Pundeer, Gojo &amp; Company, Kristine Hanson, Sanoch Management, Toos Daruvala, Vedanta Capital, William Campbell</t>
  </si>
  <si>
    <t>www.loanframe.com</t>
  </si>
  <si>
    <t>677408-50</t>
  </si>
  <si>
    <t>CredResolve</t>
  </si>
  <si>
    <t>Developer of an artificial intelligence system designed to enhance the efficiency of the digital, calling, and field collection channels for debt collection. The company's platform specializes in connectivity and borrower segmentation, legal notices and litigation handling, automated digital campaigns and payments, and field collection applications, enabling businesses to build custom workflows for communication campaigns as per their specific requirements with custom payment links.</t>
  </si>
  <si>
    <t>CDM Capital (VC), Merak Ventures, PedalStart, UNLEASH Capital Partners</t>
  </si>
  <si>
    <t>www.credresolve.com</t>
  </si>
  <si>
    <t>494273-53</t>
  </si>
  <si>
    <t>AGAM</t>
  </si>
  <si>
    <t>Developer of a financial platform designed to help banks assess customers with artificial intelligence. The company offers a software-as-a-service platform with real-time wage access, credit scoring, digital lending infrastructure, and integration with banks and financial institutions, enabling employees, businesses, and financial institutions to access funds quickly and manage financial needs more effectively.</t>
  </si>
  <si>
    <t>Achieving Women Equity, Development Bank of Wales, FinTechWales Foundry</t>
  </si>
  <si>
    <t>www.agam.ai</t>
  </si>
  <si>
    <t>158448-34</t>
  </si>
  <si>
    <t>Sharegroop</t>
  </si>
  <si>
    <t>Developer of an online payment platform designed to allow merchants to offer a predictive and personalized payment experience. The company's platform helps to customize their payment experience based on their customer profile with integrations such as buy now pay later, payment in several installments, multi-card solutions, payment to several, or omnichannel gift cards, enabling businesses to increase their conversion rate and boost sales.</t>
  </si>
  <si>
    <t>IncubAlliance, La Maison des startups, Plug and Play Tech Center, Truffle Capital</t>
  </si>
  <si>
    <t>sharegroop.com</t>
  </si>
  <si>
    <t>435940-03</t>
  </si>
  <si>
    <t>Advance Tech Lending</t>
  </si>
  <si>
    <t>Developer of a fintech platform designed to decrease the financial burden of employees. The company's platform handles all the administrative matters, from pre-approvals to onboarding and repayments and turns a portion of an employee's salary into a credit line, which the employees can access on-demand, enabling businesses to increase productivity through financial empowerment.</t>
  </si>
  <si>
    <t>Accion, Cross Ocean Ventures, Do Ventures, Foxmont Capital Partners, Google Accelerator, Integra Partners (Singapore), Kaya Founders, Next Billion Ventures, Phoenix Holdings (Family Office), Utopian Ventures (San Francisco), Wavemaker Partners</t>
  </si>
  <si>
    <t>www.advance.ph</t>
  </si>
  <si>
    <t>267350-86</t>
  </si>
  <si>
    <t>Enspan Innovations</t>
  </si>
  <si>
    <t>Developer of a supply chain financing platform designed to provide blockchain-enabled asset management, data traceability, and document sharing. The company's platform provides a digital marketplace for business applications on a SaaS model using blockchain, cloud, mobile, and image recognition, and offers to digitize paper records while increasing digital traceability, transaction quality, and supply chain partner collaboration, enabling clients to securely share information while building applications directly on top.</t>
  </si>
  <si>
    <t>European Union, Hatcher+, Innovate UK, Quake Capital</t>
  </si>
  <si>
    <t>www.enspan.io</t>
  </si>
  <si>
    <t>234071-02</t>
  </si>
  <si>
    <t>Advarisk</t>
  </si>
  <si>
    <t>Developer of an automated real estate collateral management platform designed for streamlining mortgage-based lending processes. The company's platform integrates property title verification, encumbrance checks, and portfolio monitoring with advanced algorithms and data analytics, enabling financial institutions to reduce turnaround times and improve recovery rates.</t>
  </si>
  <si>
    <t>BIG Capital (Vietnam), Breathe Capital, Cedar-IBSi FinTech lab, GIFT International Fintech Innovation Hub, ICICI Bank, Indian Angel Network, Marquee Angels, NABVENTURES, SEA Fund, Sharad Bhatia, Sprout Venture Partners, Unicorn Venture Partners, Varadarajan Srinivasan, We Founder Circle</t>
  </si>
  <si>
    <t>www.advarisk.com</t>
  </si>
  <si>
    <t>267702-40</t>
  </si>
  <si>
    <t>loyalBe</t>
  </si>
  <si>
    <t>FinTech, Marketing Tech, Mobile, Mobile Commerce</t>
  </si>
  <si>
    <t>Operator of a digital loyalty platform designed to help brands attract and retain customers. The company's platform uses open banking APIs to connect with users' bank accounts to award them with loyalty points and accordingly send targeted and relevant offers, enabling retailers to provide a personalized, frictionless experience that drives incremental revenue.</t>
  </si>
  <si>
    <t>Clarendon Fund Managers, Danske Bank, Invest Northern Ireland, MassChallenge, Tech Nation Group, Techstart Ventures, Visa Innovation Program</t>
  </si>
  <si>
    <t>www.loyalbe.io</t>
  </si>
  <si>
    <t>279645-94</t>
  </si>
  <si>
    <t>Fundeen</t>
  </si>
  <si>
    <t>CleanTech, FinTech, LOHAS &amp; Wellness</t>
  </si>
  <si>
    <t>Developer of a renewable energy crowdfunding platform designed to help clients invest in environmentally sustainable projects. The company's platform helps users to participate in project investments while including projects to get financing without having to resort to traditional financing formulas, enabling investors to ensure transparency, reliability and collaboration and promoting collective mobilization at the service of environmentally and economically sustainable initiatives.</t>
  </si>
  <si>
    <t>Chelsea Burns, Google Accelerator, Grupo Enhol, Icecyl. Instituto para la Competitividad Empresarial de Castilla y León, IDAE, Tetuan Valley</t>
  </si>
  <si>
    <t>www.fundeen.com</t>
  </si>
  <si>
    <t>171926-92</t>
  </si>
  <si>
    <t>INESPAY</t>
  </si>
  <si>
    <t>Developer of an application-based payment platform designed to provide speed and security in the collection process. The company's platform offers an application programming interface (API) that can be integrated into both online store platforms, web pages or custom web and mobile applications, enabling users to incorporate a means of collection based on the bank transfer.</t>
  </si>
  <si>
    <t>Angels Capital, Arturo Dowell, Bankia, Fernando Cabello-Astolfi, Iván Peña, Juan Roig, Lanzadera Accelerator, Plug and Play Tech Center, SantanderX</t>
  </si>
  <si>
    <t>www.inespay.com</t>
  </si>
  <si>
    <t>490894-48</t>
  </si>
  <si>
    <t>Nevly</t>
  </si>
  <si>
    <t>Developer of domain-specific intelligent systems designed to drive real-world impact through intelligent automation and decision-making. The company offers advanced AI technologies, tailored system design, future-oriented automation capabilities and offers structured credit repair and budget-building tools, credit, lending, and money-saving products, tailored wealth management services, and in-app brokerage services, thereby enabling financial users and operational teams to work more efficiently, enhance decision quality, and unlock transformative value.</t>
  </si>
  <si>
    <t>Tenacity Venture Capital</t>
  </si>
  <si>
    <t>nevly.com</t>
  </si>
  <si>
    <t>593808-13</t>
  </si>
  <si>
    <t>Saswat Finance</t>
  </si>
  <si>
    <t>Developer of a fintech platform intended to offer effective financial solutions at the doorstep in rural India. The company's platform offers cattle insurance, cattle finance, and digital health records for animal health and provides innovative and effective financial solutions, enabling agricultural businesses to get access to lending, agri-inputs and advisory services.</t>
  </si>
  <si>
    <t>Ankur Capital, Incubate Fund Asia, Seedstars International Ventures, Sparrow Capital, Venture Garage</t>
  </si>
  <si>
    <t>www.saswatfinance.com</t>
  </si>
  <si>
    <t>538910-11</t>
  </si>
  <si>
    <t>Juuli</t>
  </si>
  <si>
    <t>Developer of a financial management platform designed to simplify invoicing and payments for freelancers. The company's platform offers cross-border payouts, multi-currency support, tax-compliant invoicing, and real-time payment tracking, enabling independent workers and global teams to receive payments and expand their customer base.</t>
  </si>
  <si>
    <t>Tenity, Visa Innovation Program, Workup (Turkey)</t>
  </si>
  <si>
    <t>www.juuli.com</t>
  </si>
  <si>
    <t>1159410-88</t>
  </si>
  <si>
    <t>Saafehouse</t>
  </si>
  <si>
    <t>Developer of a cash and asset management platform designed to support oversight and administration of financial holdings. The company offers automated cash reconciliation, real-time portfolio tracking, reporting tools, and integration with custody and fund accounting systems, enabling custodians and alternative investment managers to monitor assets, manage liquidity, and maintain accurate records.</t>
  </si>
  <si>
    <t>saafehouse.com</t>
  </si>
  <si>
    <t>467667-82</t>
  </si>
  <si>
    <t>Transfez</t>
  </si>
  <si>
    <t>Developer of a remittance platform intended to make cross-region money transfers as smooth as domestic transfers. The company's platform helps in money transfers to foreign countries in a fully digital process with relatively fewer fees and in real-time settlement, enabling users to receive and send money in less time and create transactions in various currencies.</t>
  </si>
  <si>
    <t>Aabhas Khanna, BEENEXT Capital Management, East Ventures, MUFG Innovation Partners, Scale Up by Endeavor, Soma Capital, Y Combinator</t>
  </si>
  <si>
    <t>www.transfez.com</t>
  </si>
  <si>
    <t>462837-07</t>
  </si>
  <si>
    <t>Dapt Tech</t>
  </si>
  <si>
    <t>Developer of a project profitability platform intended to provide real-time profitability, payroll, and job costing insights. The company's platform connects accounting, time tracking, and payroll to simplify job costing and payroll complexities and meet compliance requirements, enabling companies to track and gain visibility to run and grow their businesses.</t>
  </si>
  <si>
    <t>Activate Venture Partners</t>
  </si>
  <si>
    <t>www.dapt.tech</t>
  </si>
  <si>
    <t>90130-78</t>
  </si>
  <si>
    <t>DigitalPay</t>
  </si>
  <si>
    <t>Developer of a digital payout platform designed to enable fast, flexible, and trackable disbursement of funds. The company's platform offers instant payment processing, multiple payout options, and seamless integration with existing systems, enabling businesses handling claims, refunds, rebates, and incentives to reduce administrative effort and deliver convenient payment experiences.</t>
  </si>
  <si>
    <t>Andrew Sandler, Bureau of the Fiscal Service, Cantwell Muckenfuss, Carneros Bay Capital, David Brown, David Mahoney, Fenway Summer, Greg Kidd, Hard Yaka, Leranax LP, Rajeev Date, Temerity Capital Partners, Thomas Brown, Tim Brinkman</t>
  </si>
  <si>
    <t>www.digitalpay.us</t>
  </si>
  <si>
    <t>399660-40</t>
  </si>
  <si>
    <t>GetVantage</t>
  </si>
  <si>
    <t>Operator of a revenue-based financing platform intended to facilitate growth-stage businesses to fund their digital marketing spending. The company offers cash flow-based financing, embedded lending, business performance analysis, application programming interface integration, funding management, and portfolio monitoring capabilities, enabling small businesses, digital commerce companies, software providers, and financial institutions to access flexible growth capital, manage cash flow, and expand business operations.</t>
  </si>
  <si>
    <t>Aalesh Avlani, Aarii Ventures, Ankit Agarwal, Anuj Golecha, Ashok Goel Family Office, Astir Ventures, Beams Fintech Fund, Chiratae Ventures, Dream Incubator, Fireside Ventures, Gaurav Singhvi Ventures, Haldiram's Family Office, Harshit Agrawal, Huddle (India), InCred Capital, Inflection Ventures, Jana Balasubramaniam, Jigar Zatakia, Karun Arya, Kishore Ganji, Manish Patel, Mitesh Shah, Naveen Surya, Punit Shah, Rajeev Ahuja, SaaSBOOMi, Samyakth Capital, Sanraj Family Ventures, Soham Avlani, Sony Innovation Fund, Sparkle Fund, Vaibhav Karnavat, Varanium Capital Advisors, VCMint Family Office, Venture Catalysts (Capital Markets/Institutions), Vivek Awasthi</t>
  </si>
  <si>
    <t>www.getvantage.co</t>
  </si>
  <si>
    <t>264409-21</t>
  </si>
  <si>
    <t>Kalgera</t>
  </si>
  <si>
    <t>Dveleoper of a digital personal financial management platform tailored to the needs of older people. The company's platform uses advanced AI models to identify financial vulnerability through transactional data, enabling financial institutions to proactively support at-risk customers, reduce compliance costs, and improve customer outcomes.</t>
  </si>
  <si>
    <t>NCSC (UK), Nesta, Open Banking, UCL Summer Accelerator</t>
  </si>
  <si>
    <t>www.kalgera.com</t>
  </si>
  <si>
    <t>706704-40</t>
  </si>
  <si>
    <t>Wasabil</t>
  </si>
  <si>
    <t>Provider of a financial technology ecosystem for commerce across Latin America, focused on electronic invoicing and tax compliance. The company specializes in value-added tax recovery on digital services, expense declaration, recurring invoice scheduling, and related automation, enabling businesses to save time and optimize their tax processes.</t>
  </si>
  <si>
    <t>Blue Zone Ventures, Platanus Ventures, Start-Up Chile</t>
  </si>
  <si>
    <t>www.wasabil.com</t>
  </si>
  <si>
    <t>266700-70</t>
  </si>
  <si>
    <t>moneyHOP</t>
  </si>
  <si>
    <t>Developer of a digital banking platform intended to simplify money exchange. The company's platform offers an economical way of exchanging money for international travelers and remittance solutions for individuals and businesses in India, enabling individuals and businesses to make international money transfers transparent and convenient.</t>
  </si>
  <si>
    <t>Andrew Banks, Ashok Krishnan, Kube VC, MassChallenge, Myron Ferro, Realm Capital Ventures, Unmesh Jagtap, Vaibhav Jain, Vladimir Gidirim, Zaggle</t>
  </si>
  <si>
    <t>www.moneyhop.co</t>
  </si>
  <si>
    <t>492636-61</t>
  </si>
  <si>
    <t>FX Kanin</t>
  </si>
  <si>
    <t>Developer of an automated trading software designed for cryptocurrency markets. The company's platform utilizes self-learning algorithms and artificial intelligence to facilitate algorithmic trading for hedge funds and trading firms, enabling institutional users to automate digital asset management and execute trades efficiently around the clock.</t>
  </si>
  <si>
    <t>Cloudmint, NS Ventures</t>
  </si>
  <si>
    <t>www.fxkanin.com</t>
  </si>
  <si>
    <t>527390-65</t>
  </si>
  <si>
    <t>Spendkey</t>
  </si>
  <si>
    <t>Operator of a financial platform intended to track spending across the organization. The company's platform unlocks critical insights buried within raw data and significantly reduces the time and effort required for manual analysis of business spending, enabling companies to improve earnings growth through data-driven decisions, speed to market, and gain customers.</t>
  </si>
  <si>
    <t>Fuel Ventures, Scalebridge Capital</t>
  </si>
  <si>
    <t>www.spendkey.io</t>
  </si>
  <si>
    <t>88696-09</t>
  </si>
  <si>
    <t>Forensic Alpha</t>
  </si>
  <si>
    <t>Developer of an equity forensic research platform designed to scan through financial statements and governance disclosures. The company's platform uses machine intelligence and deep analytical rigor to offer forensic reports and deliver an investment thesis that is differentiated, actionable, and fully substantiated by in-depth analysis, enabling analysts and portfolio managers to spot critical red flags hidden deep within the financial statements and governance disclosures and identify mispriced equities.</t>
  </si>
  <si>
    <t>Craigie Capital, Fuel Ventures, Funding London, London Co-Investment Fund, Startupbootcamp Holding, Thomas Balk</t>
  </si>
  <si>
    <t>www.forensicalpha.com</t>
  </si>
  <si>
    <t>453502-90</t>
  </si>
  <si>
    <t>Plend</t>
  </si>
  <si>
    <t>Operator of a consumer lending platform intended to help people access affordable credit. The company's platform is powered by open banking and uses live, forward-looking data, enabling customers to lend at affordable rates that were otherwise locked out from affordable credit due to inaccurate or completely invisible credit records.</t>
  </si>
  <si>
    <t>Active Partners, Ascension (Private Equity), DD Venture Capital, EY FinTech Growth Programme, Gary Dolman, Grow London, Haatch, Leon Partners, Nationwide Building Society, NBS Ventures, Oodle Car Finance, Paul Rippon, Realm Capital Ventures, Sivo, Starling Bank, Tech Nation Group, Tomahawk.VC, VentureCEO</t>
  </si>
  <si>
    <t>www.plend.com</t>
  </si>
  <si>
    <t>187693-21</t>
  </si>
  <si>
    <t>Plotinus</t>
  </si>
  <si>
    <t>Operator of an artificial intelligence-based investment advisory platform dedicated to offering better-fit approaches to access its investment strategies. The company's platform uses algorithmic trading strategies that help extract misperceptions of market value and provides investment advisory services through custom advisory arrangements, enabling clients and companies to generate market gains using available data.</t>
  </si>
  <si>
    <t>Clarendon Fund Managers</t>
  </si>
  <si>
    <t>www.plotinus.tech</t>
  </si>
  <si>
    <t>495040-60</t>
  </si>
  <si>
    <t>Otto Intelligence</t>
  </si>
  <si>
    <t>Developer of a wealth tech platform designed to help people align their portfolios with their investment goals. The company's platform helps to deliver financial personalization and helps to understand the next generation of investors, enabling financial advisors to integrate clients' effective management of portfolios.</t>
  </si>
  <si>
    <t>www.ottointelligence.co</t>
  </si>
  <si>
    <t>99073-90</t>
  </si>
  <si>
    <t>SatoshiPay</t>
  </si>
  <si>
    <t>Debt Conversion</t>
  </si>
  <si>
    <t>Developer of a payment platform designed to facilitate cross-border transactions. The company's software uses blockchain technology to streamline payments and offers enterprise-grade encryption and multi-signature authorization to ensure security, enabling users to have access to a frictionless international payment experience.</t>
  </si>
  <si>
    <t>Aeternity, Axel Springer Plug and Play Accelerator, Blue Star Capital (Private Equity), Borsenmedien, CONTENTshift, Daniel Masters, Digital Finance Group, Henning Peters, Hubraum, James Mellon, KR1, Plug and Play Tech Center, Polkadot, Stellar (Financial Software), Techcode</t>
  </si>
  <si>
    <t>www.satoshipay.io</t>
  </si>
  <si>
    <t>495415-81</t>
  </si>
  <si>
    <t>Yumminn</t>
  </si>
  <si>
    <t>Developer of a payment platform intended to allow users to pay their restaurant checks easily within seconds. The company offers a mobile web app solution for dine-in, integrated with point of sale systems, that allows restaurant customers to self-checkout in seconds from their phones, enabling restaurants to improve table turnover, average ticket size, customer satisfaction, and loyalty without having to worry about payment methods.</t>
  </si>
  <si>
    <t>Antai Ventures, ENISA, Oryon Universal, Seven Roots</t>
  </si>
  <si>
    <t>www.yumminn.com</t>
  </si>
  <si>
    <t>148073-68</t>
  </si>
  <si>
    <t>Riby</t>
  </si>
  <si>
    <t>Developer of a financial management platform designed to help cooperatives, trade groups, and associations manage their finances and get access to collateral-free loans. The company's platform helps automate savings processes, get high-interest investments, and make payments through a wide variety of efficient payment channels, along with a data enumerator and agent network, enabling clients to manage their finances effectively with growth potential.</t>
  </si>
  <si>
    <t>Co-Creation Hub, EchoVC Partners, Google Accelerator, GreenHouse Capital, Greentree Partners, Growth Capital (Nigeria), Kepple Africa Ventures, Make-IT in Africa, Microtraction, Passion Incubator, Village Capital</t>
  </si>
  <si>
    <t>www.riby.ng</t>
  </si>
  <si>
    <t>64742-32</t>
  </si>
  <si>
    <t>Invesdor</t>
  </si>
  <si>
    <t>Operator of a crowdfunding platform designed to connect European businesses with investors worldwide. The company's platform offers an online debt and equity crowdfunding facility, allowing users to invest in public and private companies, and also offers tailored financing solutions for companies in all phases of development, enabling businesses to meet capital needs and investors to benefit from lucrative opportunities.</t>
  </si>
  <si>
    <t>Allinvest Unternehmensbeteiligung, Corporatum, European Investment Fund, Heliad, Manny Fernandez, Navus Holding, Neulogy Ventures, Nicolas Nikula Vimarlund, Oleksii Serdiuk, PowerBank Ventures, Speedinvest, Taaleri, Tekes, Tomas Westerholm, UNIQA Ventures</t>
  </si>
  <si>
    <t>www.invesdor.com</t>
  </si>
  <si>
    <t>512347-78</t>
  </si>
  <si>
    <t>PropElle</t>
  </si>
  <si>
    <t>Developer of female-focused investment platform intended to focus on community, financial education and investments. The company's platform offers opportunities that align with users' values, including sustainable and Shariah-compliant options as well as provides financial education through monthly webinars, workshops and courses, enabling women to close the gender wealth gap and empower them to manage their financial futures.</t>
  </si>
  <si>
    <t>AM Alpha Holding, Google Accelerator</t>
  </si>
  <si>
    <t>www.propelle.io</t>
  </si>
  <si>
    <t>223501-69</t>
  </si>
  <si>
    <t>Climake</t>
  </si>
  <si>
    <t>Provider of asset financing services intended to make high-cost resources more accessible. The company offers insights into finance opportunities, helps align investor theses with sustainable goals, and builds partnerships across sectors to improve financial access for early-stage projects, enabling businesses to foster long-term growth and sustainability in emerging economies and sectors.</t>
  </si>
  <si>
    <t>Kredence Multi Trading, Vishvaraj Infrastructure</t>
  </si>
  <si>
    <t>www.climake.co</t>
  </si>
  <si>
    <t>340869-43</t>
  </si>
  <si>
    <t>RADIX Investimentos Florestais</t>
  </si>
  <si>
    <t>Operator of a forest crowdfunding platform intended to generate environmental and financial gains by investing in the planting of commercial forests of noble wood species. The company's platform focuses on planting and producing wood that, due to its visual characteristics of workability and durability, enabling customers to reap the benefits of forestry investments through affordable applications.</t>
  </si>
  <si>
    <t>Bossa Invest, Ecosia, Fundo Vale, SMU Investimentos</t>
  </si>
  <si>
    <t>radixflorestal.com.br</t>
  </si>
  <si>
    <t>522585-46</t>
  </si>
  <si>
    <t>BharatNXT</t>
  </si>
  <si>
    <t>Developer of a business payments platform designed to facilitate payments using credit cards. The company platform allows payments to vendors, rent, taxes, and other business expenses by converting credit card transactions into bank transfers, enabling businesses to manage cash flow and access short-term credit.</t>
  </si>
  <si>
    <t>Beacon Trusteeship, Google Accelerator, Helios Holdings, Inflection Point Ventures (India), Keiretsu Forum, Kennis Group, Panthera Peak Capital, Singularity Ventures, Spiral Ventures</t>
  </si>
  <si>
    <t>web.bharatnxt.in</t>
  </si>
  <si>
    <t>494697-70</t>
  </si>
  <si>
    <t>Autospend</t>
  </si>
  <si>
    <t>Developer of a digital payments platform designed to enable instant USDC transfers and cross-border money movement. The company offers onchain USDC transfers with instant settlement, email or username-based transfers, and local currency off-ramps to bank accounts and mobile wallets, enabling freelancers, remote workers, and individuals to send and receive digital dollars globally with seamless currency withdrawal.</t>
  </si>
  <si>
    <t>Ajim Capital, First Circle Capital, GreenHouse Capital, Hatcher+, ODF, Plug and Play Tech Center</t>
  </si>
  <si>
    <t>www.autospend.ai</t>
  </si>
  <si>
    <t>490693-06</t>
  </si>
  <si>
    <t>Dealflow (Financial Software)</t>
  </si>
  <si>
    <t>Developer of a financial invoicing platform designed to transfer money to another bank account. The company's platform helps to make money on brand collaborations and combines free global transfers, instant payouts, and payment flow automation in one place, enabling users to save fees, get credit, and automate every payment.</t>
  </si>
  <si>
    <t>Alexandros Bottenbruch, Andreessen Horowitz, Atlantis Ventures, Christopher Creatura, Daniel Dippold, Erik Hallum, EWOR, Martin Lykke Suhr, Petter Made, Quinten Selhorst, Ralf Reichert, Ralf Reitchert, Thorbjørn Rønje</t>
  </si>
  <si>
    <t>www.dealflow.live</t>
  </si>
  <si>
    <t>167460-58</t>
  </si>
  <si>
    <t>Backstartup</t>
  </si>
  <si>
    <t>Developer of an accounting and legal automation platform designed to aid in managing business activities. The company's platform offers the processing of documents and generating financial statements while liquidating national and municipal taxes on time, and provides legal advice and monthly payroll calculation of employees, enabling businesses to focus on the company's core activities while maintaining productivity.</t>
  </si>
  <si>
    <t>www.backstartup.com</t>
  </si>
  <si>
    <t>169089-76</t>
  </si>
  <si>
    <t>BetterWealth</t>
  </si>
  <si>
    <t>Provider of an automated investment advisory service intended to offer easy-to-understand recommendations for investment portfolios. The company specializes in algorithm-based portfolio management and investment advisory services tailored to specific customer needs, enabling individuals to reach their financial goals in all market conditions by investing in globally diversified exchange-traded funds.</t>
  </si>
  <si>
    <t>Anders Petersson, Mikael Hägg, Minc, NFT Ventures, Nils-Robert Persson, Norion Bank</t>
  </si>
  <si>
    <t>www.betterwealth.se</t>
  </si>
  <si>
    <t>113644-99</t>
  </si>
  <si>
    <t>Bkper</t>
  </si>
  <si>
    <t>Developer of a double-entry bookkeeping platform designed to simplify financial management. The company's platform addresses the complexities of debits and credits through a system that leverages natural language processing and machine learning to convert plain text into accurate double-entry accounting records, enabling businesses, startups, and financial teams to automate workflows and provide a secure, single source of truth for comprehensive financial visibility.</t>
  </si>
  <si>
    <t>Brazilian Service of Support for Micro and Small Enterprises, Fenwick &amp; West, Plug and Play Tech Center, SEED - Startups and Entrepreneurship Ecosystem Development, Social Capital, Unbank.Ventures</t>
  </si>
  <si>
    <t>www.bkper.com</t>
  </si>
  <si>
    <t>541249-57</t>
  </si>
  <si>
    <t>Conduiit</t>
  </si>
  <si>
    <t>Developer of cloud-based financial management platform designed for production finance. The company's platform offers comprehensive tools for managing payroll, accounts payable, invoices, and compliance, integrating with popular platforms and providing real-time notifications, enabling companies to streamline financial operations, reduce errors, and enhance profitability.</t>
  </si>
  <si>
    <t>Aperture Venture Capital, Black Tech Nation Ventures, Collide Capital, Fiat Ventures, Hiro Mizushima</t>
  </si>
  <si>
    <t>www.conduiit.app</t>
  </si>
  <si>
    <t>343088-65</t>
  </si>
  <si>
    <t>Dinie</t>
  </si>
  <si>
    <t>Provider of embedded lending services intended to provide MSMEs with the financial tools they need to succeed and prosper. The company's services include offering flexible embedded financial services to businesses with pre-approved credit limits, enabling digital platforms to provide financial services to underserved micro, small, and medium-sized enterprises.</t>
  </si>
  <si>
    <t>Accion, Actions Capital, BetaVentures, Capital Lab Ventures, DOMO.VC, Empirica Investimentos, Endeavor Global, IDB Lab, Impact Venture Capital, Latitud, Paytm, Rally Cap VC, ScaleUP Ventures, Tribe Capital</t>
  </si>
  <si>
    <t>www.dinie.com</t>
  </si>
  <si>
    <t>223847-11</t>
  </si>
  <si>
    <t>Fenige</t>
  </si>
  <si>
    <t>B2B Payments, FinTech, Mobile, Mobile Commerce, SaaS, TMT</t>
  </si>
  <si>
    <t>Developer of a mobile payment platform intended to automate and secure Internet-based payments and remittances for international money transfers. The company's platform integrates a cashless application that facilitates payments directly from master cards and between multiple credit or debit cards by connecting to accounts in no time, enabling users to make secure remittance payments directly from card to card, both within and across borders.</t>
  </si>
  <si>
    <t>European Regional Development Fund (Brandenburg), StartSmart CEE, Village Capital, WP2 Investments</t>
  </si>
  <si>
    <t>www.fenige.com</t>
  </si>
  <si>
    <t>506877-31</t>
  </si>
  <si>
    <t>MRGN</t>
  </si>
  <si>
    <t>Developer of a business intelligence platform designed to make budgeting and planning easier for small and medium enterprises. The company's platform uses artificial intelligence to provide insights that guide critical decisions and simulate various financial scenarios on strategic investment, enabling businesses to identify areas for improvement and competitive advantages.</t>
  </si>
  <si>
    <t>2Gether-International, DataPower Capital, Florida-Israel Business Accelerator, Ride Home Fund, Singularity Capital, Techstars, Wind Sprint Capital</t>
  </si>
  <si>
    <t>www.mrgn.ai</t>
  </si>
  <si>
    <t>812228-95</t>
  </si>
  <si>
    <t>Renn</t>
  </si>
  <si>
    <t>Developer of an AI accountant built to minimise taxes for micro businesses. The platform automates tax filing and expense tracking, ensuring that no deductions are missed, enabling users to save, and providing control over finances with minimal effort, all while maintaining accuracy through the combination of AI and human checks.</t>
  </si>
  <si>
    <t>Genesis Accelerator, Launch It Capital, Savyon Ventures, Techstars</t>
  </si>
  <si>
    <t>www.getrenn.com</t>
  </si>
  <si>
    <t>64215-55</t>
  </si>
  <si>
    <t>Startupxplore</t>
  </si>
  <si>
    <t>Operator of an investment platform intended to support startups to raise capital. The company's platform offers an open, fast, and transparent startup financing process, enabling investors to get qualified deal flows and make smarter and data-driven investments, and startups to access the funds required for their growth.</t>
  </si>
  <si>
    <t>Andreas Mihalovits, Bankinter Capital Riesgo, Cabiedes &amp; Partners, Carlos Domingo, el Instituto Valenciano de Finanzas, François Derbaix, Fundacion Innovacion Bankinter, Goxo, Iñaki de la Escalera, Javier Moral, L'Institut Valencià de Competitivitat Empresarial, Plug and Play Tech Center, Vincent Rosso, Viriditas Ventures, Yago Arbeloa</t>
  </si>
  <si>
    <t>www.startupxplore.com</t>
  </si>
  <si>
    <t>398956-24</t>
  </si>
  <si>
    <t>Tangy Market</t>
  </si>
  <si>
    <t>Developer of a music stock exchange platform designed to empower artists at the intersection of music and fintech. The company offers diversification, passive income, uncorrelated yields, long-term growth potential, buy, sell, and trade music royalties, enabling private investments in music royalties from songs, albums and music catalogs.</t>
  </si>
  <si>
    <t>Fast Track Malmo, Minc, Skåne Ventures, Unconventional Ventures</t>
  </si>
  <si>
    <t>www.tangymarket.com</t>
  </si>
  <si>
    <t>482125-33</t>
  </si>
  <si>
    <t>Tradeasy</t>
  </si>
  <si>
    <t>Developer of automated trading software designed to improve results with technology and methodology. The company's platform monitors and identifies market opportunities and automatically executes the trade using research and algorithmic trading signals and strategies, enabling investors to transform and democratize stock through liquidity and transparency.</t>
  </si>
  <si>
    <t>Keiretsu Forum, Lanzadera Accelerator, Tenity</t>
  </si>
  <si>
    <t>web.tradeasy.tech</t>
  </si>
  <si>
    <t>597445-75</t>
  </si>
  <si>
    <t>BlueKnight</t>
  </si>
  <si>
    <t>Developer of an AI-driven M&amp;A advisory platform intended to help dealmakers benchmark markets and discover buyers. The platform combines a multi-dimensional company dataset with proprietary M&amp;A reasoning models, enabling advisors to gain fast, contextual insights and identify strategic buyers with deal-grade rationale.</t>
  </si>
  <si>
    <t>www.blueknight.io</t>
  </si>
  <si>
    <t>492865-39</t>
  </si>
  <si>
    <t>Monitr</t>
  </si>
  <si>
    <t>Developer of a cloud-based financial performance management platform designed to manage cashflows. The company's platform offers financial reporting, accounting data integration, cash flow forecasting &amp; runway, and budgeting to gain insights into financial performance, enabling businesses to make a reliable forecast and save time.</t>
  </si>
  <si>
    <t>Pamica</t>
  </si>
  <si>
    <t>www.monitr.be</t>
  </si>
  <si>
    <t>491080-06</t>
  </si>
  <si>
    <t>Finance Nation</t>
  </si>
  <si>
    <t>Developer of a commercial finance platform designed to stimulate the market for small and medium enterprises (SMEs) lending. The company's platform streamlines the lending process by managing the end-to-end application process through technology innovation, enabling businesses to access finance decisions while helping lenders and intermediaries improve information and increase deal flow to deliver credit decisions.</t>
  </si>
  <si>
    <t>www.financenation.com</t>
  </si>
  <si>
    <t>222725-98</t>
  </si>
  <si>
    <t>LoanAdda</t>
  </si>
  <si>
    <t>Operator of a financial products and services aggregator platform designed to simplify the process of loan sanctions and approvals. The company's platform uses big data analytics and artificial intelligence to bring together the right borrowers to ensure quick customer turnaround and minimal paperwork for underbanked consumers across the globe by filtering data points with lenders' parameters, enabling underbanked consumers to increase the probability of loan approval.</t>
  </si>
  <si>
    <t>ah! Ventures, PRAAK Investments, Ratnaafin Capital, Refex Capital, Village Capital</t>
  </si>
  <si>
    <t>www.loanadda.com</t>
  </si>
  <si>
    <t>902497-33</t>
  </si>
  <si>
    <t>Vizmark</t>
  </si>
  <si>
    <t>Developer of a portfolio financial data management and visualization intended for tailored private market needs. The company offers tools to organize, analyze, and visualize financial data related to investment portfolios, and the platform helps to solve complex financial information, enabling users to gain insights and make informed decisions.</t>
  </si>
  <si>
    <t>www.vizmark.io</t>
  </si>
  <si>
    <t>455178-25</t>
  </si>
  <si>
    <t>Troc Circle</t>
  </si>
  <si>
    <t>Developer of an online netting platform designed to offset accounts receivable and payable. The company's platform generates and manages invoices, accepts and rejects netting deals simultaneously, enabling businesses to increase the speed of payments while canceling unnecessary fees associated with moving money.</t>
  </si>
  <si>
    <t>FinTech Innovation Lab, Innovationsstarter, Malek Hobeiche, Plug and Play Tech Center, Tenity</t>
  </si>
  <si>
    <t>www.troccircle.com</t>
  </si>
  <si>
    <t>509733-64</t>
  </si>
  <si>
    <t>Beansprout</t>
  </si>
  <si>
    <t>Operator of a financial insights platform designed for individual investors. The company's platform provides insights on various financial instruments such as bonds, mutual funds, and stocks, and offers research and reviews on brokerage and savings accounts, enabling investors in Singapore to make informed financial decisions.</t>
  </si>
  <si>
    <t>Anthony Chen, Aralia Capital, NTUitive</t>
  </si>
  <si>
    <t>www.growbeansprout.com</t>
  </si>
  <si>
    <t>229961-17</t>
  </si>
  <si>
    <t>Flow Cares</t>
  </si>
  <si>
    <t>Provider of credit management services intended to achieve optimal outcomes for debtors and borrowers. The company offers various services, including outsourced consumer credit management, purchasing unsecured consumer non-performing loans using predictive dialing, advanced strategy differentiation, and operator control, enabling businesses to maintain a healthy balance sheet and a standard nonperforming loan ratio.</t>
  </si>
  <si>
    <t>7deuce, ANKIT KASHYAP, Blauwpark Partners, DEG, Fintonia Group, Genesis Alternative Ventures, Integra Partners (Singapore), Pix Vine Capital, Prasetia Dwidharma, Quurve, Rajendra Kumar, Rhodium Capital, Sandeep Uberoi, SCB 10X, Siam Commercial Bank, SIG China, SIG Venture Capital</t>
  </si>
  <si>
    <t>www.flow-cares.ai</t>
  </si>
  <si>
    <t>399579-40</t>
  </si>
  <si>
    <t>Holo (Financial Software)</t>
  </si>
  <si>
    <t>Operator of a digital home financing platform intended to simplify the property buying process. The company offers access to a wide range of mortgage products, transparent pricing with no hidden fees, and personalized guidance, enabling home buyers in the UAE and beyond to secure the right financing and make informed property decisions.</t>
  </si>
  <si>
    <t>Aditum Investment Management, AL Maather, ANB Capital, Annex Investments (UAE), Dubai Future District Fund, Impact46, Janus Ventures, MoreThan Capital, Mubadala Investment Company, Oryx Fund, Plus Venture Capital, Salica Investments, Tawaref, Wamda Capital</t>
  </si>
  <si>
    <t>www.useholo.com</t>
  </si>
  <si>
    <t>903479-41</t>
  </si>
  <si>
    <t>EarthSync</t>
  </si>
  <si>
    <t>Artificial Intelligence &amp; Machine Learning, Big Data, CleanTech, FinTech, SaaS</t>
  </si>
  <si>
    <t>Developer of an AI-powered renewable energy and financial optimisation and market intelligence platform designed for energy planning and investment analysis purposes. The company's platform integrates granular time-of-day and sub-hourly energy modelling, techno-economic-impact-policy analysis, regulatory and emissions data, physics-informed machine learning, multi-technology optimisation for solar, wind, and storage, cloud-based collaboration, scenario simulation, and lifecycle financial analytics, enabling independent power producers, commercial and industrial energy consumers, and energy advisors to evaluate projects, manage regulatory complexity, compare outcomes, and make data-driven decisions across clean energy portfolios.</t>
  </si>
  <si>
    <t>ElectronVibe, Eximius Ventures, Theia Ventures</t>
  </si>
  <si>
    <t>earthsync.io</t>
  </si>
  <si>
    <t>149719-42</t>
  </si>
  <si>
    <t>Indexa Capital</t>
  </si>
  <si>
    <t>Developer of an online wealth management platform designed to increase profitability and maximize money security. The company's platform offers portfolios of investment funds indexed with global diversification and radically low costs, enabling clients to maintain portfolios according to their investment profile and the amount of their investment.</t>
  </si>
  <si>
    <t>Axon Partners Group</t>
  </si>
  <si>
    <t>www.indexacapital.com</t>
  </si>
  <si>
    <t>84687-31</t>
  </si>
  <si>
    <t>FORMCEPT</t>
  </si>
  <si>
    <t>Developer of a cloud-based data-driven analysis platform designed to make content analysis accessible to everyone. The company's platform offers competitive, financial, profile-based, trend, and sentiment analysis to collect, organize, and store data from various sources, including social media websites, and handles their data infrastructure problems, enabling companies to get all data insights and make a decision.</t>
  </si>
  <si>
    <t>www.formcept.com</t>
  </si>
  <si>
    <t>691804-99</t>
  </si>
  <si>
    <t>OQU</t>
  </si>
  <si>
    <t>Developer of an AI-powered workflow automation platform designed for commercial brokers and lenders. The company's platform deploys intelligent agents to automate lead qualification, document analysis, application routing, and end-to-end workflow management, integrating with existing CRM, LOS, and related systems, enabling financial services professionals to reduce manual processing, accelerate deal execution, and manage higher application volumes with existing resources.</t>
  </si>
  <si>
    <t>DataMining Tech, Fuel Ventures, Zinc</t>
  </si>
  <si>
    <t>www.oqu.ai</t>
  </si>
  <si>
    <t>436254-22</t>
  </si>
  <si>
    <t>SimpleEstate</t>
  </si>
  <si>
    <t>Developer of a commercial real estate investment platform designed to assist in investing in real estate. The company's platform offers search, analysis and management of objects and facilitates commercial real estate investments with market professionals, enabling clients to invest in professionally selected properties through a collective investment mechanism and obtain stable rental income.</t>
  </si>
  <si>
    <t>Alexander Nevinsky, Anton Schreider, AYR Capital, KAMA FLOW, Malina Ventures</t>
  </si>
  <si>
    <t>www.simpleestate.ru</t>
  </si>
  <si>
    <t>452766-16</t>
  </si>
  <si>
    <t>Wealthyhood</t>
  </si>
  <si>
    <t>Developer of a wealth management application designed to create a customized portfolio for young investors. The company's platform offers a smart, personalized, and commission-free money management application that helps to design portfolios in a few simple steps with a personalized experience, enabling users to track money and have full control and transparency.</t>
  </si>
  <si>
    <t>Alan Morgan, Bank of Cyprus Group, Dimitris Georgakopoulos, Dimitris Maroulis, Gaze Capital, Genesis Ventures (Greece), Global Wealth Group, Helidoni Group, Philippos Kourkoulos-Latsis, Stergios Athanasiadis, Thanasis Misdanitis, Thanasis Papagelis, T-Life Capital, Visa Innovation Program</t>
  </si>
  <si>
    <t>www.wealthyhood.com</t>
  </si>
  <si>
    <t>521003-26</t>
  </si>
  <si>
    <t>DealPotential</t>
  </si>
  <si>
    <t>Developer of an investment management platform designed to provide financial insights about funding. The company's platform simplifies advanced data and turns it into understandable information through analytics, artificial intelligence, and machine learning, enabling professionals and executives to make investment decisions.</t>
  </si>
  <si>
    <t>Movexum</t>
  </si>
  <si>
    <t>www.dealpotential.com</t>
  </si>
  <si>
    <t>496002-88</t>
  </si>
  <si>
    <t>Flobers</t>
  </si>
  <si>
    <t>Operator of a crowdfunding platform designed to invest in renewable energy. The company's platform uses technology to democratize investment in renewable energy projects, opening the possibility for small investors to invest in renewable energies generating optimal profitability, enabling people to be a part of a change that improves the planet.</t>
  </si>
  <si>
    <t>www.flobers.com</t>
  </si>
  <si>
    <t>160201-00</t>
  </si>
  <si>
    <t>Mr Shoebox</t>
  </si>
  <si>
    <t>Developer of a digital accounting platform intended to ensure communication between an accounting firm and a contractor. The company offers billing services, application development, cost tracking, document filings, project handling, bookkeeping, time reports, communication services, and report building, enabling clients to increase customer benefit and become more efficient.</t>
  </si>
  <si>
    <t>www.mrshoebox.com</t>
  </si>
  <si>
    <t>591507-82</t>
  </si>
  <si>
    <t>Rule</t>
  </si>
  <si>
    <t>Developer of a money-saving application designed to curb impulse spending and keep users accountable. The company's features include setting challenges dynamically generated for personal situations, linking bank accounts to receive notifications before going over budget, and implementing shopping cooldowns to discourage immediate purchases, helping users struggling with ADHD-related financial management challenges.</t>
  </si>
  <si>
    <t>Bethnal Green Ventures, London Venture Partners</t>
  </si>
  <si>
    <t>www.rulemoney.co.uk</t>
  </si>
  <si>
    <t>327240-37</t>
  </si>
  <si>
    <t>Getquin</t>
  </si>
  <si>
    <t>Developer of a financial management platform designed for investors to track their net worth, retirement plan, and optimize wealth management. The company's platform helps to track and analyze all assets in one place with advanced portfolio analytics, real-time data updates, data-driven insights, and recommendations, enabling investors to simulate scenarios and make better-informed financial decisions.</t>
  </si>
  <si>
    <t>Erik Podzuweit, German Accelerator, Heartfelt (Private Equity), Horizons Ventures, Maximilian Tayenthal, Motive Partners, Portage, Runa Capital, Sino, STARTPLATZ, State Street Investment Management, The House of Finance and Tech Berlin, Vealo Ventures</t>
  </si>
  <si>
    <t>www.getquin.com</t>
  </si>
  <si>
    <t>489366-01</t>
  </si>
  <si>
    <t>Etcho</t>
  </si>
  <si>
    <t>Operator of an investment platform intended to facilitate environmental, social, and corporate governance through investments. The company's platform offers an application that helps to assess the impact of stock investment portfolios and discover investment opportunities matching the impact goals, enabling investors to invest their money in a sustainable way.</t>
  </si>
  <si>
    <t>FinTech Innovation Lab</t>
  </si>
  <si>
    <t>www.etcho.io</t>
  </si>
  <si>
    <t>535388-14</t>
  </si>
  <si>
    <t>Eye2Scan</t>
  </si>
  <si>
    <t>Operator of an internal auditing platform intended to digitalize and automate the auditing process. The company's platform automates processes and detects anomalies, harnessing ERP data with integrity and security, strengthening, expanding, and standardizing controls and their KRIs, and enhancing reporting and risk management, empowering internal auditors and internal controllers to autonomously optimize their controls, extending them to subsidiaries, and comply with anti-fraud laws, without the need for excessive human and financial resources.</t>
  </si>
  <si>
    <t>Bignon, DLBFI, HAF Audit &amp; Conseil, Ker-Invest, Terrier, Verte Foret</t>
  </si>
  <si>
    <t>www.eye2scan.com</t>
  </si>
  <si>
    <t>225780-85</t>
  </si>
  <si>
    <t>Avanseo</t>
  </si>
  <si>
    <t>Operator of an online lending and financing platform designed to eliminate the complexity associated with traditional business finance. The company combines a marketplace that utilizes AI and automation technologies to let small businesses access financing, enabling enterprises to access working capital loans without collateral or guarantors.</t>
  </si>
  <si>
    <t>Newfund Management, Paris&amp;Co Incubateurs, Techmind</t>
  </si>
  <si>
    <t>www.avanseo.eu</t>
  </si>
  <si>
    <t>481334-23</t>
  </si>
  <si>
    <t>Card Blanch</t>
  </si>
  <si>
    <t>Provider of a ceramic premium-designed card intended to provide one card that combines all debit, credit, and reward cards. The company's payment card connects all debit and credit cards to reinvent the shopping experience so that a user never has to switch cards while making a payment, and also automatically applies merchant discounts, preventing the hassle of carrying all loyalty cards, enabling users to execute contactless payments for all their bank cards with insights on spending.</t>
  </si>
  <si>
    <t>www.cardblanch.com</t>
  </si>
  <si>
    <t>496713-25</t>
  </si>
  <si>
    <t>LeanPay</t>
  </si>
  <si>
    <t>Developer of a SaaS-based invoice management platform intended to centralize the management of accounts receivable. The company's platform allows real-time management of key indicators, centralized monitoring of invoices and customers, alerts based on the analysis of payment deadlines, automation of customer reminders, and an online payment portal, enabling businesses to manage their accounts, speed up payments, and increase turnover more quickly.</t>
  </si>
  <si>
    <t>Blue Factory ESCP, Bpifrance, Charles Christory, EuraTechnologies, Jérôme Proust, Le Village by CA, Seed4Soft, Sonorcap</t>
  </si>
  <si>
    <t>www.leanpay.io</t>
  </si>
  <si>
    <t>532628-11</t>
  </si>
  <si>
    <t>HiWiPay</t>
  </si>
  <si>
    <t>Provider of cross-border B2B payment and export documentation services designed to streamline receipt of international funds. The company offers a multi-currency payment platform with virtual accounts for foreign buyers, access to forex rates with zero percent markup, lower fees than traditional banks, integrated invoicing, and automated payment-to-invoice matching, enabling Indian exporters and global service freelancers to receive overseas payments quickly, maintain regulatory compliance, and improve overall earnings from international clients.</t>
  </si>
  <si>
    <t>GIFT International Fintech Innovation Hub, Jupiter Metaverse, Mitesh Shah, Nilesh Doshi, Ritesh Malik, Unicorn India Ventures, Unmaj Corporation</t>
  </si>
  <si>
    <t>www.hiwipay.com</t>
  </si>
  <si>
    <t>510015-07</t>
  </si>
  <si>
    <t>LandEx</t>
  </si>
  <si>
    <t>Developer of a crowdfunding land investment platform designed to allow everyone to invest in green assets. The company solves the problem of land ownership fractionalization so that retail investors gain access to land as an asset class, enabling investors to invest in land and earn profits on it.</t>
  </si>
  <si>
    <t>www.landex.ai</t>
  </si>
  <si>
    <t>162505-63</t>
  </si>
  <si>
    <t>GyanDhan</t>
  </si>
  <si>
    <t>Developer of an online education financing platform designed to finance overseas education loans. The company's platform arranges loans for students who want to study abroad by coordinating between banks and students using an internal risk-scoring model, helping students to receive affordable and hassle-free financing for higher studies.</t>
  </si>
  <si>
    <t>Arjun Batra, Aureolis Ventures, Catalyst Education (Education and Training Services (B2B)), CBA Capital, Classplus, Click Labs, Fintech Valley, Gray Matters Capital, HBS Alumni Angels of Brazil, JCurve, Paula Mariwala, Pravega Ventures, Pravin Gandhi, Samar Singla, Satyen Kothari, Stanford Angels &amp; Entrepreneurs India, Starfish Advisors, Sundaram Finance</t>
  </si>
  <si>
    <t>www.gyandhan.com</t>
  </si>
  <si>
    <t>1241950-06</t>
  </si>
  <si>
    <t>Gamevestor</t>
  </si>
  <si>
    <t>Developer of a crowdinvesting platform designed to democratize video game financing in Europe by bringing together creators and investors. The company's platform helps studios unlock in the industry by giving them access to funding and a direct connection with their audience, allows passionate gamers not only to support projects, but to invest in the games they truly believe in, sharing in their financial success, enabling users to get democratize video game financing as per their requirement.</t>
  </si>
  <si>
    <t>Ben Fiquet, ForsVC, LeanSquare</t>
  </si>
  <si>
    <t>www.gamevestor.co</t>
  </si>
  <si>
    <t>747969-67</t>
  </si>
  <si>
    <t>ReBloom</t>
  </si>
  <si>
    <t>Developer of a financial information platform designed to become a one-stop platform for the secondary private investment market. The company's platform connects buyers and sellers in the secondary private market by leveraging data and AI, providing investment preferences using data insights and advanced algorithms, enabling buyers and sellers to streamline secondary transactions and democratize investments in privately owned companies, and liquidity in an illiquid market.</t>
  </si>
  <si>
    <t>Alexander Avanth, Allan Rasmussen, EP Capital, Jannick Pedersen, Kenn Meier, Niels Lauritzen, Thomas Tottrup</t>
  </si>
  <si>
    <t>www.rebloom.ai</t>
  </si>
  <si>
    <t>491070-61</t>
  </si>
  <si>
    <t>Foodcoin</t>
  </si>
  <si>
    <t>Developer of a payment application designed to make crypto transactions in the hospitality industry. The company's application collects coins in the wallet every time a transaction is made with a bar or restaurant using their app, which can be used to pay for later transactions, enabling hoteliers to make profits while letting customers pay with their crypto coins instead of money.</t>
  </si>
  <si>
    <t>Chamberi Ventures, Madrid Emprende, Pascual Innoventures</t>
  </si>
  <si>
    <t>www.foodcoin.global</t>
  </si>
  <si>
    <t>969946-66</t>
  </si>
  <si>
    <t>Haboo Money</t>
  </si>
  <si>
    <t>Developer of a payment and digital wallet platform designed for debt repayment optimisation. The company's platform includes personalised repayment plans, variable recurring payments, a save as you repay digital wallet, embedded support channels, and data-driven nudging features, enabling lenders and borrowers to manage repayments more flexibly, reduce arrears, improve financial resilience, and enhance customer engagement through adaptive scheduling and proactive support mechanisms.</t>
  </si>
  <si>
    <t>SyndicateRoom, Techstars</t>
  </si>
  <si>
    <t>www.haboomoney.com</t>
  </si>
  <si>
    <t>493232-41</t>
  </si>
  <si>
    <t>Our Leg Up</t>
  </si>
  <si>
    <t>Developer of a prop-tech platform designed to match prospective home buyers with guarantors and help them earn a return on real estate equity. The company's platform facilitates unlocking hidden sources of investment capital by aggregating established homeowners who have equity in their properties and matching them with a pool of aspiring homeowners who require a prime mortgage but have a low deposit, enabling homeowners to receive a return on often inaccessible equity without any cash outlay.</t>
  </si>
  <si>
    <t>Antler, Startupbootcamp Holding, Techstars, The Generator</t>
  </si>
  <si>
    <t>www.ourlegup.com</t>
  </si>
  <si>
    <t>588635-65</t>
  </si>
  <si>
    <t>Quid (Financial Services)</t>
  </si>
  <si>
    <t>B2B Payments, FinTech, Supply Chain Tech</t>
  </si>
  <si>
    <t>Operator of a supply chain fintech company intended to support distributors, retailers, manufacturers and D2C brands. The company provides retailers or dealers with the flexibility to benefit from a zero-interest credit period and extend credit according to their specific requirements, enabling clients to facilitate the discovery of effective working capital financing products.</t>
  </si>
  <si>
    <t>Dexter Ventures, Mint Cap Enterprises, Piyush Jain, Stonepark Capital, Sushant Kumar</t>
  </si>
  <si>
    <t>www.quidcash.in</t>
  </si>
  <si>
    <t>459085-69</t>
  </si>
  <si>
    <t>Odonatech</t>
  </si>
  <si>
    <t>Developer of a fintech application platform designed to offer personalized, transparent, and efficient investment advice. The company uses behavioral finance and artificial intelligence-based algorithms to identify risk tolerance and predict cognitive and emotional biases that push investors away from rationality, enabling advisors to coach each client based on their personality.</t>
  </si>
  <si>
    <t>Crédit Agricole Alpes Développement, Gate1, HUB612, Le Tarmac</t>
  </si>
  <si>
    <t>www.odonatech.com</t>
  </si>
  <si>
    <t>458725-60</t>
  </si>
  <si>
    <t>Wright.</t>
  </si>
  <si>
    <t>Provider of data-driven robo-investment management and advisory services intended for investors with different risk profiles. The company uses purely quantitative investment management strategies based on large sets of historical data ranging from fundamental, technical, macroeconomic, and alternative data types and extensive statistical testing to remove any investor biases and backtesting errors, along with analysis and tracking tools, enabling individuals and businesses to engage in quantitative investing and increase returns.</t>
  </si>
  <si>
    <t>Ajat Hukkoo, Department of Science and Technology (Government of India), Google Accelerator, Innovation Partners Capital, Orios Venture Partners, Zone Startups India</t>
  </si>
  <si>
    <t>www.wrightresearch.in</t>
  </si>
  <si>
    <t>509760-28</t>
  </si>
  <si>
    <t>Delegasi</t>
  </si>
  <si>
    <t>Operator of an automated accounting platform intended to offer financial assistance for small businesses in Indonesia. The company uses artificial intelligence-based technology to provide and assist users in preparing financial reports and analyzing their businesses monthly, as well as offering financial statements in the form of income statements, cash flow statements, and balance sheets to monitor assets, debts, and own capital, enabling businesses to streamline their accounting services.</t>
  </si>
  <si>
    <t>BEENEXT Capital Management, Y Combinator</t>
  </si>
  <si>
    <t>www.delegasi.co</t>
  </si>
  <si>
    <t>462390-40</t>
  </si>
  <si>
    <t>Nova Money</t>
  </si>
  <si>
    <t>Operator of a financial platform intended to make personal finance easy to understand. The company's platform offers a personalized AI money planner that helps in setting savings goals and tracking spending patterns, enabling users to plan for their finances and progress towards their goals.</t>
  </si>
  <si>
    <t>Crowdcube Capital, Francisco Calisto, George Quentin, Impact Fundry, Patha Capital, Pioneer Fund, Rockstart, Somerset Capital (Menlo Park), X-Europe</t>
  </si>
  <si>
    <t>www.novamoney.com</t>
  </si>
  <si>
    <t>528165-91</t>
  </si>
  <si>
    <t>FINx1</t>
  </si>
  <si>
    <t>Developer of a fintech platform designed to build financial applications without coding knowledge. The company's platform offers a no-code portal to develop and launch fintech solutions without any technical expertise, and an intuitive drag-and-drop interface, enabling users to create financial applications and services that meet their specific business needs.</t>
  </si>
  <si>
    <t>Chris Adelsbach, D&amp;FG Elements, Grow London</t>
  </si>
  <si>
    <t>www.finx1.com</t>
  </si>
  <si>
    <t>268273-72</t>
  </si>
  <si>
    <t>PlaceMake.io</t>
  </si>
  <si>
    <t>Developer of a location decision-analytics platform designed to score and rank places to quantify performance and streamline assessment and comparison. The company's artificial intelligence-based operating system offers investment management, comprehensive analytics, portfolio optimization, and asset valuation, enabling users to perform quantitative analysis and identify arbitrage opportunities and investment targets.</t>
  </si>
  <si>
    <t>AyBe, Initial Capital, noa (London)</t>
  </si>
  <si>
    <t>www.placemake.io</t>
  </si>
  <si>
    <t>266662-45</t>
  </si>
  <si>
    <t>Uelz</t>
  </si>
  <si>
    <t>Developer of a billing application designed to help recurring revenue businesses. The company's applications and services in the cloud record, control, and analyze the information of all customers and sales, and help manage payments, subscriptions, and customers from one place, enabling clients to save time and manage and grow their online business.</t>
  </si>
  <si>
    <t>Alex Saiz, Angels Capital, Antonio Handlich, COREangels, Croton Capital, David Lozano, Decelera Ventures, Enisa National Innovation Company, Firstech Ventures, Google Accelerator, InsurTech Hub Munich, Kalonia, Lanzadera Accelerator, Leonardo Wehe, Metxa, Parallel18, Rockstart, Scaleup Spain Network, Startup Valencia, Telefónica, Tetuan Valley, TheVentureCity, Uhaldia Investments, Visa Innovation Program, Wayra</t>
  </si>
  <si>
    <t>www.uelzpay.com</t>
  </si>
  <si>
    <t>184581-10</t>
  </si>
  <si>
    <t>Beekin</t>
  </si>
  <si>
    <t>Developer of a real estate analytics platform designed to provide institutional-scale investment management. The company's platform provides real-time insights and information about their wealth and helps multifamily and single-family investors with valuations, contract management, accounting and reporting, and analytics, enabling clients to harness vast quantities of data to make real estate investment decisions.</t>
  </si>
  <si>
    <t>Alumni Ventures, FinTech Sandbox, Gaingels, MassChallenge, RWT Horizons</t>
  </si>
  <si>
    <t>www.beekin.co</t>
  </si>
  <si>
    <t>515058-58</t>
  </si>
  <si>
    <t>SCFPe</t>
  </si>
  <si>
    <t>Operator of a supply chain finance platform intended to provide payment solutions. The company's platform offers an API and AI-enabled underwriting engine that enables credit and facilitates flexible repayment options, enabling businesses to resolve their working capital and growth capital challenges and encouraging business expansion.</t>
  </si>
  <si>
    <t>Cogniphy, PointOne Capital</t>
  </si>
  <si>
    <t>scfpe.tech</t>
  </si>
  <si>
    <t>163399-42</t>
  </si>
  <si>
    <t>Wrebit</t>
  </si>
  <si>
    <t>Developer of a mobile accounting software designed to help companies manage daily administration. The company's software allows clients to post accounting documents such as income statements and balance reports, enabling small organizations to complete their accounting documentation by themselves.</t>
  </si>
  <si>
    <t>Almi Invest, Collaxio, Helo (Sweden), Mastercard Lighthouse, Wengbrand Holding</t>
  </si>
  <si>
    <t>www.wrebit.se</t>
  </si>
  <si>
    <t>509785-75</t>
  </si>
  <si>
    <t>FundTier</t>
  </si>
  <si>
    <t>Operator of a crowdfunding platform designed to provide an alternative source of funding for small and medium-sized enterprises (SMEs) based in Singapore. The company connects local businesses seeking funding with investors looking for alternative investments, enabling SMEs to accumulate wealth and expand, and helping them to grow their business worldwide and meet their business aspirations.</t>
  </si>
  <si>
    <t>www.fundtier.com</t>
  </si>
  <si>
    <t>158850-91</t>
  </si>
  <si>
    <t>JenID Solutions</t>
  </si>
  <si>
    <t>Cybersecurity, SaaS, TMT</t>
  </si>
  <si>
    <t>Developer of a KYC automation software designed to make the world a safer place. The company's tool verifies the ID documents and provides security applications, with fraud prevention, legal certainty, cost minimization, and increased conversion rates, enabling businesses from a variety of sectors to perform automated and reliable checks of government-issued IDs, including passports, national IDs, and driver's licenses in real-time.</t>
  </si>
  <si>
    <t>bm-t Beteiligungsmanagement Thuringen</t>
  </si>
  <si>
    <t>www.jenidsolutions.com</t>
  </si>
  <si>
    <t>183184-12</t>
  </si>
  <si>
    <t>Getxerpa</t>
  </si>
  <si>
    <t>Developer of a financial platform designed to save money automatically for financial projects and goals. The company uses saving rules and auto-categorizes all transactions so the users can see where the money goes, compare expenses over time, and send recommendations to meet the target on time, enabling customers to transform everyday habits and actions into saving opportunities.</t>
  </si>
  <si>
    <t>Center for Advanced Hindsight, Minga ventures, Startupbootcamp Holding, Village Capital</t>
  </si>
  <si>
    <t>www.getxerpa.com</t>
  </si>
  <si>
    <t>509458-60</t>
  </si>
  <si>
    <t>RocketPay</t>
  </si>
  <si>
    <t>Developer of a digital payment application designed to allow online payments. The company's software automatically sends and receives payments on a set installment frequency by creating an e-Mandate by entering customer details and payment details, enabling users to collect credit or fees directly from the customer's bank account to their bank account.</t>
  </si>
  <si>
    <t>AL Trust, All In Capital, Anchorage Capital Partners (India), BlueLotus Ventures, ChanakyaVC, Graycell Ventures, Inflection Point Ventures (India), iSeed (India), Misfits (India), Purple Seed Capital, Sadev Ventures, Sprint VC, WarmUp Ventures</t>
  </si>
  <si>
    <t>www.rocketpay.co.in</t>
  </si>
  <si>
    <t>527528-98</t>
  </si>
  <si>
    <t>Scalata.ai</t>
  </si>
  <si>
    <t>Developer of a Generative Artificial Intelligence-powered software-as-a-service platform designed to automate and enhance complex data workflows in the financial services industry. The company's platform uses machine learning, cognitive models, and Generative Artificial Intelligence agents to process structured and unstructured data, standardize information, and deliver actionable insights through customizable dashboards, reports and workflow automation, enabling financial institutions to improve efficiency and decision-making.</t>
  </si>
  <si>
    <t>www.scalata.ai</t>
  </si>
  <si>
    <t>483367-60</t>
  </si>
  <si>
    <t>Wiserpay</t>
  </si>
  <si>
    <t>Developer of a digital debt collection platform designed for businesses to run a smooth debt collection process. The company's executive dashboard builds client profiles, including preferences and history, using artificial intelligence and data analytics with statistical data and insightful conclusions about their debtors, enabling lenders to take control of their cash flow and debts.</t>
  </si>
  <si>
    <t>Fusion VC, GUTS, Launch It Capital, Savyon Ventures</t>
  </si>
  <si>
    <t>www.wiserpay.co</t>
  </si>
  <si>
    <t>522799-03</t>
  </si>
  <si>
    <t>LINE Bank</t>
  </si>
  <si>
    <t>Provider of financial services and platform intended to connect LINE app users to banking services. The company's services and platform connects banks through open API so that app users can access deposits, consumer finance, insurance, fund investment and other integrated services in one place as well as build a personal credit score and establish a credit rating for young users, enabling users to access financial services on a widely used and familiar communication platform.</t>
  </si>
  <si>
    <t>www.linebank.com.tw</t>
  </si>
  <si>
    <t>533208-70</t>
  </si>
  <si>
    <t>Profitual</t>
  </si>
  <si>
    <t>Developer of an artificial intelligence-driven financial planning and analysis platform designed to automate the creation of budgets, forecasts, and financial reporting. The company's platform uses machine learning for predictive analytics, dynamic scenario planning, and real-time data integration, enabling small to large businesses to streamline financial processes and make data-driven decisions for improved profitability and operational efficiency.</t>
  </si>
  <si>
    <t>New Brunswick Innovation Foundation, Next (Consulting Services), TLT East Ventures</t>
  </si>
  <si>
    <t>www.profitual.ai</t>
  </si>
  <si>
    <t>264762-19</t>
  </si>
  <si>
    <t>Micruity</t>
  </si>
  <si>
    <t>Big Data, FinTech, InsurTech, Mobile, SaaS</t>
  </si>
  <si>
    <t>Developer of an income connectivity platform designed to build financial infrastructure for secure retirement. The company's platform builds an infrastructure to pensionize the retirement income ecosystem, facilitating frictionless data sharing between insurers, asset managers, recordkeepers, and other third-party technology companies, enabling clients to transform their retirement savings plans into retirement income.</t>
  </si>
  <si>
    <t>Allianz Life Insurance Company of North America, Allianz Life Ventures, Alpine Meridian, Altari Ventures, Angels Capital, Collab Capital, DMZ (Toronto), EvoNexus, Franklin Resources, gener8tor, Global Insurance Accelerator, Great North Ventures, Guardian Life Insurance Company of America, JP Morgan Asset Management, MaRS Investment Accelerator Fund, MassChallenge, Nationwide Ventures, Pacific Life Insurance, Prudential Financial, Rebalance Capital, Reinsurance Group of America, SixThirty Ventures, State Street Investment Management, TIAA Ventures, Western &amp; Southern Financial Group</t>
  </si>
  <si>
    <t>www.micruity.com</t>
  </si>
  <si>
    <t>542731-33</t>
  </si>
  <si>
    <t>Mylapay</t>
  </si>
  <si>
    <t>Developer of cloud-native payment infrastructure designed to streamline financial transaction management and card processing. The company's platform integrates modules for real-time authorization switching, automated reconciliation, and secure authentication across global card networks and unified payment interfaces, enabling banks and payment aggregators to consolidate the entire acquiring lifecycle into a single-window system that eliminates revenue leakage and reduces operational overhead through data-driven profitability analytics and automated dispute settlement.</t>
  </si>
  <si>
    <t>CDM Capital (VC), Credit Saison India, GrowthCap Ventures, Saison Capital</t>
  </si>
  <si>
    <t>www.mylapay.com</t>
  </si>
  <si>
    <t>501709-78</t>
  </si>
  <si>
    <t>Sepanta</t>
  </si>
  <si>
    <t>Artificial Intelligence &amp; Machine Learning, Infrastructure</t>
  </si>
  <si>
    <t>Developer of an artificial intelligence platform designed to integrate artificial intelligence into enterprise operations. The company offers proprietary artificial intelligence models, domain-specific expertise, and engineering services for workflow integration, enabling enterprises to automate operational processes and improve business performance.</t>
  </si>
  <si>
    <t>www.sepanta.io</t>
  </si>
  <si>
    <t>597792-52</t>
  </si>
  <si>
    <t>Bankey</t>
  </si>
  <si>
    <t>Developer of a payment application designed for transferring money from a bank account via an updated API. The company provides consulting services for management planning functions at financial institutions, such as system research, new business, and business plan formulation, enabling clients to make instant, low-cost, bank-to-bank account payments, including direct debits from their bank accounts.</t>
  </si>
  <si>
    <t>Asia Headlines, Google Accelerator, Gx Partners, PrimePartners Group, Quantum Leap Ventures (Japan), The University of Tokyo Founder's Association Support Fund, UT Founders</t>
  </si>
  <si>
    <t>bankey.jp</t>
  </si>
  <si>
    <t>265362-76</t>
  </si>
  <si>
    <t>Dryrun</t>
  </si>
  <si>
    <t>Developer of a cash flow management software designed to help business owners manage the inflows and outflows of cash. The company's software features cash flow projection, pipeline visualization, scenario creation, budget forecasts, sales forecasts, and profit analysis, enabling clients to get insights into the state of their business and make informed operational decisions.</t>
  </si>
  <si>
    <t>Accelerate Fund, AICPA and CPA.com Startup Accelerator, Alberta Innovates, Arden Tse, Edmonton Unlimited, GrowthX Capital, Intuit, Intuit Canada, Sprout Fund, Startup TNT, The Sprout Fund, Valhalla Private Capital, Yaletown Partners</t>
  </si>
  <si>
    <t>www.dryrun.com</t>
  </si>
  <si>
    <t>465368-50</t>
  </si>
  <si>
    <t>Genuine Impact</t>
  </si>
  <si>
    <t>Developer of research tools designed to offer insights for long-term investors. The company's application offers features including portfolios, collections, insights, portfolio manager, securities comparison, and stock checklist, along with reports, analysis, and news on various topics relating to finance and the stock market, enabling individual investors to make better investment decisions with intelligence and tools that turn complex data into simple visuals.</t>
  </si>
  <si>
    <t>iNCReDiBLe LaBS UK, Love Capital, Passive Income Capital</t>
  </si>
  <si>
    <t>www.genuineimpact.io</t>
  </si>
  <si>
    <t>221763-70</t>
  </si>
  <si>
    <t>Sabbatic</t>
  </si>
  <si>
    <t>Developer of a cloud-based expense management platform designed to automate and streamline the expense management process for businesses of all sizes. The company's platform provides invoice, expense, document and data management and also makes businesses adjust spending policy and gain transparency in internal processes, enabling clients to digitize invoice and expense ticket processes.</t>
  </si>
  <si>
    <t>Clave (Pamplona), Gestión de Capital Riesgo del País Vasco</t>
  </si>
  <si>
    <t>www.sabbatic.es</t>
  </si>
  <si>
    <t>534498-13</t>
  </si>
  <si>
    <t>Sync Savings</t>
  </si>
  <si>
    <t>Developer of a financial platform designed to build the infrastructure of cash savings. The company's platform features distribution through API integrations and provides slick, responsive, compliance-centric tooling and reporting, enabling users to connect with savers while users get wider, effortless access to the savings products.</t>
  </si>
  <si>
    <t>Arāya Ventures, Charles Delingpole, Mark Ransford, Michael Tefula, Michele Attisani, Phillip Chambers</t>
  </si>
  <si>
    <t>www.sync-savings.com</t>
  </si>
  <si>
    <t>103347-64</t>
  </si>
  <si>
    <t>Wishberry</t>
  </si>
  <si>
    <t>Operator of a crowdfunding platform intended for companies to raise crowdsourced capital. The company's platform leverages the power of rewards-based crowdfunding to help entrepreneurs raise funds to spur creativity and innovation, enabling entrepreneurs to raise funds for the expansion and growth of their businesses.</t>
  </si>
  <si>
    <t>3one4 Capital, Alok Mittal, Amit Ranjan, Ashim Mehra, Deep Kalra, Deepak Goel, Dinesh Agarwal, Graycell Ventures, LVX, Mithun Sacheti, Mohandas Pai, Navyug Mohnot, Rajan Anandan, Reliance Big Entertainment, Rohit Khattar, Seeders, Shankar Mahadevan, Sharad Sharma, Sunil Kalra, Sunil Patil, TiE Delhi, Venkat Raju, Vikramaditya Motwane</t>
  </si>
  <si>
    <t>www.wishberry.in</t>
  </si>
  <si>
    <t>490293-01</t>
  </si>
  <si>
    <t>Scribe (Media and Information Services (B2B))</t>
  </si>
  <si>
    <t>Operator of a data platform intended to uncover insights about private companies and end data entry from documents. The company's platform utilizes research-led artificial intelligence to organize unstructured data from PDFs, enabling firms to accelerate lending and investment decisions, reduce admin in financial services, and support business activity.</t>
  </si>
  <si>
    <t>Antler, EdenBase (London), Fuel Ventures, Hiddentao Ventures, Innovate UK</t>
  </si>
  <si>
    <t>www.scribelabs.ai</t>
  </si>
  <si>
    <t>1034904-97</t>
  </si>
  <si>
    <t>Avido</t>
  </si>
  <si>
    <t>Developer of artificial intelligence (AI) testing and compliance software designed for financial institutions. The company's platform automates the generation of task-level test cases mapped to business rules, regulatory requirements, and product expectations, enabling organizations to evaluate AI system performance, detect policy violations, and produce audit-ready evidence of quality, compliance, and business impact through statistical testing.</t>
  </si>
  <si>
    <t>Mastercard Lighthouse, People Ventures, Techstars</t>
  </si>
  <si>
    <t>www.avidoai.com</t>
  </si>
  <si>
    <t>541658-08</t>
  </si>
  <si>
    <t>CasaPay</t>
  </si>
  <si>
    <t>Developer of a rental payment processing platform designed to rid people of the hassle of renting and living. The company's platform offers a suite of features including rent financing, automated rent collection, tenant credit scoring, and fraud detection, enabling operators to receive their rent on time every month, even if a renter is late or defaults on their payment.</t>
  </si>
  <si>
    <t>Icebreaker.vc, REACH, Tenity</t>
  </si>
  <si>
    <t>www.casapay.com</t>
  </si>
  <si>
    <t>1152922-51</t>
  </si>
  <si>
    <t>Metrics (Business/Productivity Software)</t>
  </si>
  <si>
    <t>Developer of an AI design lab platform intended to create applications for next-generation computing interfaces. The company's platform encompasses artificial intelligence research, user interface prototyping, and application development workflows, enabling customers to visualize real-time business data, generate customized reports, and understand key performance indicators without accounting expertise, dramatically reducing reporting time and empowering smarter decision-making through intuitive, interactive analytics.</t>
  </si>
  <si>
    <t>One Capital (Tokyo), Startup Brain</t>
  </si>
  <si>
    <t>www.metrics.finance</t>
  </si>
  <si>
    <t>436705-21</t>
  </si>
  <si>
    <t>Kudos Finance</t>
  </si>
  <si>
    <t>Developer of a digital lending service designed to assist in financing businesses. The company's services include providing unsecured loans in the form of MSME loans, business loans, machinery loans and short-term loans through a digital lending engine with an in-built application program interface (API) to lend to customers through partnerships in a B2B2C model, enabling small-scale urban businesses to get access to financing opportunities for growth.</t>
  </si>
  <si>
    <t>AB Claymore, Amit Choudhary, AngelBay, Anish Achuthan, Anurag Sinha, Better Capital (California), Ganesh Rao, Krishna Iyer, Manish Chhajed, Nischal Shetty, Nithin Kamath, Nitin Gupta, Patanjali Somayaji, Rohit Chanana, Sorabh Agarwal, Sumit Maniyar, Vaibhav Domkundwar</t>
  </si>
  <si>
    <t>www.platform.kudosfinance.in</t>
  </si>
  <si>
    <t>227171-26</t>
  </si>
  <si>
    <t>Fenestra</t>
  </si>
  <si>
    <t>AdTech, Artificial Intelligence &amp; Machine Learning, Cryptocurrency/Blockchain, FinTech</t>
  </si>
  <si>
    <t>Developer of a configurable programmatic productivity platform designed to record and verify financial transactions. The company's platform helps advertisers understand and optimize spending throughout their programmatic media supply chain to ensure that returns are maximized, enabling users to perform ongoing monitoring and optimize in-flight campaigns with minimum effort.</t>
  </si>
  <si>
    <t>Force Over Mass Capital</t>
  </si>
  <si>
    <t>www.fenestra.io</t>
  </si>
  <si>
    <t>483640-21</t>
  </si>
  <si>
    <t>Supervest</t>
  </si>
  <si>
    <t>Developer of an investment platform designed to connect retail investors and financial advisors to small business finance opportunities. The company's platform offers direct access to diverse investment opportunities across individual merchant deals, including various note options with defined terms and regular interest payments, enabling retail investors and financial advisors to build diversified portfolios and pursue goals of income generation, diversification, and value growth.</t>
  </si>
  <si>
    <t>www.supervest.com</t>
  </si>
  <si>
    <t>434352-25</t>
  </si>
  <si>
    <t>Aura Cloud</t>
  </si>
  <si>
    <t>Developer of a cloud-based banking platform designed to help businesses launch new products and services quickly. The company features an architecture compatible with different cloud providers and offers corporate credit, consumer credit, personal loans, and card issuances, enabling financial companies and banks to increase their revenue opportunities and reduce operating costs.</t>
  </si>
  <si>
    <t>Almi Invest, Wellstreet Partners</t>
  </si>
  <si>
    <t>www.auracloud.com</t>
  </si>
  <si>
    <t>111561-04</t>
  </si>
  <si>
    <t>InCol Intelligence</t>
  </si>
  <si>
    <t>Operator of a mortgage analytics platform intended to provide investors with alternative investment opportunities. The company offers mortgage analytics, whole loan portfolio acquisition or disposal, loan asset origination, and capital for expansion purposes, enabling firms without a capital markets sponsor to access expertise and capital markets.</t>
  </si>
  <si>
    <t>Enterprise Ireland, Somers</t>
  </si>
  <si>
    <t>www.incolintelligence.com</t>
  </si>
  <si>
    <t>494407-81</t>
  </si>
  <si>
    <t>LinkTrust-Pay</t>
  </si>
  <si>
    <t>Product Crowdfunding</t>
  </si>
  <si>
    <t>Provider of a cashless payment platform intended to facilitate digital transactions. The company offers a consolidated digital payment terminal alongside an integrated electric motorcycle, enabling customers to execute QR code transactions effortlessly and access sustainable mobility.</t>
  </si>
  <si>
    <t>linktrust-pay.com</t>
  </si>
  <si>
    <t>91653-04</t>
  </si>
  <si>
    <t>Tradeworks Denmark</t>
  </si>
  <si>
    <t>Developer of a cloud-based trade automation software designed to optimize trading results for financial securities. The company's software supports algorithmic trading on several financial instruments, such as Forex and futures, and allows all MT4/5 brokers worldwide to grow their brokerage to its full potential, enabling individual traders to get started with algo-trading without the need for any programming.</t>
  </si>
  <si>
    <t>Accelerace, Copenhagen Fintech Lab, EJ Ventures, Erwin Jurtschitsch, Henrik Lie-Nielsen, Innovationsfonden, Joo Seng Wong</t>
  </si>
  <si>
    <t>www.tradeworks.io</t>
  </si>
  <si>
    <t>181395-64</t>
  </si>
  <si>
    <t>FinChat</t>
  </si>
  <si>
    <t>Developer of a compliance monitoring software designed to monitor business chats for regulated enterprises like banks and financial firms. The company's platform captures all business-related instant messaging communications conducted through employees' mobile devices and sends this captured data to corporate servers for storage, enabling firms to retrieve desired selected data for purposes of audit trail, dispute resolution, fraud investigation, and e-discovery.</t>
  </si>
  <si>
    <t>DBS Accelerator, Lion Trust (Singapore), Monetary Authority of Singapore, Qatar FinTech Hub Wave, Quesnay, SEEDS Capital, Seedstars</t>
  </si>
  <si>
    <t>www.finchat.tech</t>
  </si>
  <si>
    <t>482277-97</t>
  </si>
  <si>
    <t>Wiseflow</t>
  </si>
  <si>
    <t>Developer of a carbon-offsetting payment platform designed to allow customers and businesses to plant trees with each transaction. The company's platform features services that include checkout processing, predictable payouts to bank accounts, and transaction and refund management, enabling businesses to showcase their ESG efforts, improve brand loyalty, and increase sales.</t>
  </si>
  <si>
    <t>Patha Capital</t>
  </si>
  <si>
    <t>www.wiseflow.ai</t>
  </si>
  <si>
    <t>501165-19</t>
  </si>
  <si>
    <t>Ammonite</t>
  </si>
  <si>
    <t>Developer of an artificial intelligence-powered financial technology platform designed to streamline wealth management processes. The company's platform utilises artificial intelligence to convert unstructured data such as meeting notes and transcripts into structured formats, and provides tools for client engagement, goal mapping, and the automated creation of suitability reports, enabling financial advisors to work with greater operational efficiency and effectively service a wider variety of clients.</t>
  </si>
  <si>
    <t>BlackOx Ventures, Fiorangelo Salvatorelli, Industrial Thought</t>
  </si>
  <si>
    <t>ammonite-ai.com</t>
  </si>
  <si>
    <t>436402-90</t>
  </si>
  <si>
    <t>Flowy (Business/Productivity Software)</t>
  </si>
  <si>
    <t>Developer of a cash registry software designed to simplify retail business. The company's software offers calculations, a product database, and store access in real-time, as well as provides receipt printers and product scanners, enabling store operators to save time, achieve better sales results, and simplify their business.</t>
  </si>
  <si>
    <t>Vision Ventures (Slovakia)</t>
  </si>
  <si>
    <t>www.flowy.sk</t>
  </si>
  <si>
    <t>498201-67</t>
  </si>
  <si>
    <t>Ideel</t>
  </si>
  <si>
    <t>Developer of a household expense management platform designed to optimize and simplify bill payments. The company's platform centralizes all household expenses, offers tools for bill optimization, and provides alerts for important updates, enabling users to manage their finances efficiently, reduce costs, and minimize administrative burdens.</t>
  </si>
  <si>
    <t>Bpifrance, Guillaume Lavoisier, platform58, Seventure, Techmind, Tudigo</t>
  </si>
  <si>
    <t>www.ideel.io</t>
  </si>
  <si>
    <t>470620-18</t>
  </si>
  <si>
    <t>Bond Origination Technologies</t>
  </si>
  <si>
    <t>Developer of an operating platform designed to automate pre-trade workflows for bankers. The company's platform helps to provide relevant market data, automate and streamline low-value tasks, maintain live pricing curves and run advanced analytics on new issue pricing datasets, enabling DCM and syndicate bankers to generate revenues.</t>
  </si>
  <si>
    <t>FinTech Sandbox, Hugh Carter, JLR Star, Peter Charles, Sarwat Faruqui</t>
  </si>
  <si>
    <t>www.primarynexus.com</t>
  </si>
  <si>
    <t>484303-33</t>
  </si>
  <si>
    <t>Drona Pay</t>
  </si>
  <si>
    <t>Artificial Intelligence &amp; Machine Learning, Big Data, FinTech, InsurTech</t>
  </si>
  <si>
    <t>Developer of a real-time payment fraud detection platform designed for prevention and regulatory reporting purposes, customer management and delinquency reduction. The company's platform uses machine learning and alternate data to offer a framework covering risk scoring, case management, and analytics for credit cards, debit cards, and scams, enabling financial institutions and insurance companies to reduce bust-offs, anti-money laundering regulations, and merchant frauds.</t>
  </si>
  <si>
    <t>Amrish Rau, Credit Saison India, Jitendra Gupta, Kunal Shah, Saison Capital, SPJIMR Start-Up Incubation Centre, Varanium Capital Advisors</t>
  </si>
  <si>
    <t>www.dronapay.com</t>
  </si>
  <si>
    <t>470469-70</t>
  </si>
  <si>
    <t>AgroForte</t>
  </si>
  <si>
    <t>AgTech, Artificial Intelligence &amp; Machine Learning, Big Data, FinTech, Mobile</t>
  </si>
  <si>
    <t>Developer of an online personal credit line platform designed to facilitate financial life by promoting financial inclusion in the countryside. The company's platform offers digital credit services without collateral to small farmers through credit analysis based on the data provided by the integrator, such as production volume, quality of the batches and debt history, which allows assertiveness in offering credit, enabling rural producers to receive a loan at lower interest rates, which is deposited directly into their account that they can repay within a few months.</t>
  </si>
  <si>
    <t>Apoema Hub, Arthur O'Keefe, Baita, BoostLAB, Catálise Investimentos, Crivo, Felipe Moraes, Futurum Capital, Guillermo Arauz, Kalei Ventures, Muralha Capital, Sebastiao Ferreira, The Yield Lab Latam</t>
  </si>
  <si>
    <t>www.meuagroforte.com.br</t>
  </si>
  <si>
    <t>510601-78</t>
  </si>
  <si>
    <t>Juice (Financial Software)</t>
  </si>
  <si>
    <t>Developer of a founder-focused lending platform designed to provide e-commerce businesses with the nutrients to grow healthily. The company's platform fosters sustainable, healthy growth and long-term resilience, sustained by the nutrients of the expertise, the non-dilutive financing solutions are designed to help 
Businesses expand without compromise, for customer acquisition and inventory, and make the process straightforward, enabling founders to get data-driven insights to understand and maximize their growth potential.</t>
  </si>
  <si>
    <t>Aern Capital, BNY Investments Dreyfus, Falco Group, Velocity Capital</t>
  </si>
  <si>
    <t>www.getmejuice.com</t>
  </si>
  <si>
    <t>179734-24</t>
  </si>
  <si>
    <t>GwenneG</t>
  </si>
  <si>
    <t>Developer of a crowdfunding platform designed to provide funding facilities to other companies. The company, through its platform, allows contributors to finance all types of projects in the form of donations, loans, or equity participation, enabling small businesses to avail themselves of easy funding opportunities.</t>
  </si>
  <si>
    <t>Banque des Territoires</t>
  </si>
  <si>
    <t>www.gwenneg.bzh</t>
  </si>
  <si>
    <t>343423-00</t>
  </si>
  <si>
    <t>Till</t>
  </si>
  <si>
    <t>Developer of a digital financial platform designed to assist teenagers in tracking their money movements with detailed insights. The company's platform allows children to track their savings and investments independently with the help of collaborative and personalized guidance, enabling families to inculcate money-saving habits in their kids in an efficient manner.</t>
  </si>
  <si>
    <t>www.tillfinancial.com</t>
  </si>
  <si>
    <t>465543-28</t>
  </si>
  <si>
    <t>Mortgage Master (Financial Software)</t>
  </si>
  <si>
    <t>Developer of a mortgage brokering platform intended to help homeowners find reasonable and suitable home loan rates. The company's platform works in a neutral position as it partners with all banks and empowers them to behave in the homeowner's interests and offers rebates and subsidies to offset and absorb the upfront refinancing cost, enabling customers to avail of a home loan at the lowest possible rate.</t>
  </si>
  <si>
    <t>Andy Lim, Balaji Swaminathan, Tembusu Partners, Woon Young Jeong</t>
  </si>
  <si>
    <t>www.mortgagemaster.com.sg</t>
  </si>
  <si>
    <t>464257-36</t>
  </si>
  <si>
    <t>nBanks</t>
  </si>
  <si>
    <t>Developer of financial software intended to aggregate essential banking services to save resources and time. The company's platform aggregates essential banking services and provides important and certified information about new clients through their banking value, enabling companies, accountants, and business advisors to create a new market, one that relies on transparency, accessibility, and direct communication.</t>
  </si>
  <si>
    <t>www.nbanks.net</t>
  </si>
  <si>
    <t>436457-26</t>
  </si>
  <si>
    <t>IVM Markets</t>
  </si>
  <si>
    <t>Developer of an AI-powered SaaS platform designed to increase investor affluence through transparent custom-made investment avenues. The company's platform offers decision and analytics tools to fintech, brokers, wealth firms, and banks, it leverages artificial intelligence and curates the thematic list of stocks that the client is comfortable with and the most return and secure investment choices are identified before moving to the trade execution, enabling clients to curate the investment options from multiple of possibilities.</t>
  </si>
  <si>
    <t>AltaIR Capital, Begin Capital, Blackwood Ventures (Denmark), Geekdom Fund, Rock Capital, SixThirty Ventures, Vibranium.VC</t>
  </si>
  <si>
    <t>www.ivmmarkets.com</t>
  </si>
  <si>
    <t>436759-66</t>
  </si>
  <si>
    <t>Niveshi</t>
  </si>
  <si>
    <t>Operator of an artificial intelligence-based investment platform intended to generate automated trading strategies for improved profitability. The company's platform provides quantitative strategies, executes them, and assists in capital allocation among different strategies, enabling customers to transact in financial markets efficiently.</t>
  </si>
  <si>
    <t>3one4 Capital, Amit Ranjan, Anupam Mittal, Apurva Salarpuria, Kalyan Atchyutani, Nurture Ventures, SenseAI Ventures, Startup Haryana, TT Venkatraghavan, Tushar Singh, Veeraa Ventures, Venkat Raju, Vivek Khare</t>
  </si>
  <si>
    <t>www.niveshi.com</t>
  </si>
  <si>
    <t>489133-99</t>
  </si>
  <si>
    <t>Candlestick</t>
  </si>
  <si>
    <t>Developer of an AI-powered stock-picking platform designed to assist retail investors in getting proper returns in the market. The company's platform offers weekly picks for free or to buy a subscription for daily recommendations on stocks, enabling users to invest in the stock market and gain substantial returns based on the available data insights.</t>
  </si>
  <si>
    <t>University of Toronto</t>
  </si>
  <si>
    <t>www.candlestick.ai</t>
  </si>
  <si>
    <t>467137-72</t>
  </si>
  <si>
    <t>Neokred</t>
  </si>
  <si>
    <t>Operator of a digital financial infrastructure platform intended to streamline identity verification, payments, and data privacy management. The company offers digital identity verification tools, fraud monitoring systems, payment processing capabilities, and consent management features, enabling businesses across commerce and financial services to manage transactions and user data with regulatory alignment and operational control.</t>
  </si>
  <si>
    <t>Cedar-IBSi FinTech lab, ICMG Partners, Nitin Agarwal, Rajesh Jain, Virenxia Group</t>
  </si>
  <si>
    <t>www.neokred.tech</t>
  </si>
  <si>
    <t>118215-01</t>
  </si>
  <si>
    <t>MytripleA</t>
  </si>
  <si>
    <t>Developer of a crowdfunding platform designed to assist businesses and freelancers in borrowing directly from private investors. The company's platform offers peer-to-peer lending of loan products and factors, and also features loan and investment simulators, enabling businesses to get risk-adjusted return profiles and a flexible alternative financing source.</t>
  </si>
  <si>
    <t>Bonsai Partners, European Regional Development Fund (Brandenburg), INNVIERTE SICC, Inveready Asset Management, Sancus Lending Group</t>
  </si>
  <si>
    <t>www.mytriplea.com</t>
  </si>
  <si>
    <t>482514-85</t>
  </si>
  <si>
    <t>Vitto</t>
  </si>
  <si>
    <t>Operator of a financial platform intended for local-language preferred borrowers to avail micro-financial services. The company's platform offers a range of loan options, including products specifically designed for women entrepreneurs, micro, small, and medium-sized enterprises, new businesses, and startups, enabling companies to secure funding for their growth.</t>
  </si>
  <si>
    <t>Ankit Prasad, Beej Network, Bharat Inclusion Seed Fund, CHARUSAT Innovative Ventures Foundation, Faad Network, Gujarat University Startup and Entrepreneurship Council, HexGn, i-Hub Gujarat, IIMA Ventures, Imperial Enterprise Lab, LVX, MassChallenge, Mobavenue, Reserve Bank Innovation Hub, Saurabh Aggarwal, Singapore FinTech Festival, Soonicorn, Village Capital, We Founder Circle</t>
  </si>
  <si>
    <t>www.vitto.money</t>
  </si>
  <si>
    <t>148190-41</t>
  </si>
  <si>
    <t>WinWinner</t>
  </si>
  <si>
    <t>Operator of a crowdfunding platform intended to help startups, scale-ups, and Small and medium-sized enterprises raise funding. The company's platform leverages technology to connect small and medium enterprises with potential investors with transparency and due diligence requirements, and connects entrepreneurs and investors, enabling enterprises to raise money without much hassle and red tape.</t>
  </si>
  <si>
    <t>Start It X</t>
  </si>
  <si>
    <t>www.winwinner.be</t>
  </si>
  <si>
    <t>184431-34</t>
  </si>
  <si>
    <t>Worthy Property Bonds</t>
  </si>
  <si>
    <t>Developer of a financial platform designed to help retail investors invest in higher-yielding alternative assets. The company's services include offering a micro-investment application that monitors the everyday spending of users while automatically investing added funds into interest-earning bonds, which in turn support small creditworthy businesses, enabling investors to save and grow their money.</t>
  </si>
  <si>
    <t>Jack Richards, Richard Alterman, The JumpFund, Village Capital, Winterpoint Capital</t>
  </si>
  <si>
    <t>www.worthybonds.com</t>
  </si>
  <si>
    <t>509694-94</t>
  </si>
  <si>
    <t>Equito</t>
  </si>
  <si>
    <t>Developer of an investment platform designed for investors to invest in real estate by purchasing tokens. The company's platform tokenizes real estate assets, allowing fractional ownership and the ability to invest in portions of properties rather than entire units and receive monthly returns, with options to withdraw or reinvest earnings, enabling investors with passive income and portfolio diversification.</t>
  </si>
  <si>
    <t>Lanzadera Accelerator</t>
  </si>
  <si>
    <t>www.equito.app</t>
  </si>
  <si>
    <t>495830-80</t>
  </si>
  <si>
    <t>Actlogica</t>
  </si>
  <si>
    <t>Developer of a financial software platform designed to support capital markets, insurance, and wealth management operations. The company's platform provides portfolio analytics, asset management tools, and investor risk profiling, enabling wealth managers and family offices to analyze investments and manage client portfolios.</t>
  </si>
  <si>
    <t>Rainmatter Capital</t>
  </si>
  <si>
    <t>www.actlogica.com</t>
  </si>
  <si>
    <t>588622-87</t>
  </si>
  <si>
    <t>Loula</t>
  </si>
  <si>
    <t>Developer of a payment platform designed to help businesses provide employees access to their earned money. The company's platform integrates with HR and payroll systems for onboarding and managing employees and their salaries, and offers smart analytics with flexibility for employees to access their earned wages, enabling employees to manage their money and keep track of it.</t>
  </si>
  <si>
    <t>Antler, Outlier Ventures, XRPL Accelerator</t>
  </si>
  <si>
    <t>www.getloula.com</t>
  </si>
  <si>
    <t>845841-97</t>
  </si>
  <si>
    <t>Auditstage</t>
  </si>
  <si>
    <t>Developer of an AI-powered audit workflow automation platform designed to streamline the financial audit lifecycle. The company offers a unified system integrating audit methodology, financial data, working papers, and review workflows, enabling audit firms to improve efficiency, maintain compliance, and enhance audit quality.</t>
  </si>
  <si>
    <t>Frederic Pieters, Paul-Henri Boey, Smartfin(Brussels), Start It X</t>
  </si>
  <si>
    <t>www.auditstage.com</t>
  </si>
  <si>
    <t>518849-92</t>
  </si>
  <si>
    <t>Fundvis</t>
  </si>
  <si>
    <t>Developer of a fund administration platform designed to manage multiple funds simultaneously. The company's platform digitalizes and automates workflows and data collection for setup and lifecycle management, enabling businesses to cooperate and organize with all stakeholders and increase productivity and save time.</t>
  </si>
  <si>
    <t>Alessia Lorenti, Fit 4 Start, Luxembourg House of Financial Technology, Luxinnovation, Martin Vogel, Olivier Renault, Robert Kneip</t>
  </si>
  <si>
    <t>www.fundvis.org</t>
  </si>
  <si>
    <t>465343-48</t>
  </si>
  <si>
    <t>Keese Finance</t>
  </si>
  <si>
    <t>Developer of an online financial application designed to integrate and organize bank accounts and credit cards across multiple countries. The company's platform tracks earnings and expenditures with automatically categorized and itemized transactions, enabling clients to organize their multi-country banking and manage their finances more effectively.</t>
  </si>
  <si>
    <t>www.keese.io</t>
  </si>
  <si>
    <t>433280-62</t>
  </si>
  <si>
    <t>Rubypayeur</t>
  </si>
  <si>
    <t>Developer of a digital debt collection platform designed to help businesses recover unpaid invoices. The company's platform provides recovery of debts and late payments and the option to verify the authenticity of a business, enabling lenders to recover their debt on time and avoid faulty payments or bad debts.</t>
  </si>
  <si>
    <t>Cameleon Invest, Libeo, Rivierazul Advisors</t>
  </si>
  <si>
    <t>www.rubypayeur.com</t>
  </si>
  <si>
    <t>134061-49</t>
  </si>
  <si>
    <t>LandlordInvest</t>
  </si>
  <si>
    <t>Operator of an online lending marketplace intended to invest in property-backed peer-to-peer lending. The company offers an online marketplace with asset-backed lending, borrower evaluation based on performance, loan management, and payment processing capabilities, enabling property investors and individual lenders to access funding and invest in secured real estate loans with transparent processes and regular income generation.</t>
  </si>
  <si>
    <t>Alan Gabbay, Concept Ventures (London), Lee Josephs, LNK Partners, Reece Chowdhry</t>
  </si>
  <si>
    <t>www.landlordinvest.com</t>
  </si>
  <si>
    <t>501106-51</t>
  </si>
  <si>
    <t>Blackcopper</t>
  </si>
  <si>
    <t>Provider of digital financial services intended to bridge the financial accessibility gap for underserved small business owners. The company uses alternate data through machine learning models to create profiles for small and medium-scale businesses, enabling business owners to get various loan and investment opportunities to power growth and help them thrive in the economy.</t>
  </si>
  <si>
    <t>Expert DOJO, Techstars</t>
  </si>
  <si>
    <t>www.blackcopper.io</t>
  </si>
  <si>
    <t>443072-71</t>
  </si>
  <si>
    <t>Brass</t>
  </si>
  <si>
    <t>Operator of a digital bank intended to provide a suite of products and tools to help grow businesses. The company's offerings include a free current account that can be opened from any device without the need to make any monthly transactions or maintain a minimum balance, enabling customers to get optimal financial tools and banking services to grow their businesses.</t>
  </si>
  <si>
    <t>Hustle Fund, Olumide Soyombo, Oo Nwoye, P1 Ventures, Paystack, PiggyVest, Ventures Platform</t>
  </si>
  <si>
    <t>www.trybrass.com</t>
  </si>
  <si>
    <t>435311-83</t>
  </si>
  <si>
    <t>Financial Tech Sweden</t>
  </si>
  <si>
    <t>Operator of an incubation-providing platform intended to offer operational support to entrepreneurs and help them build market-leading companies. The company's platform incubates, builds, develops operationally, and strategically invests in fintech companies, enabling clients to avail assistance to build market-leading companies from scratch.</t>
  </si>
  <si>
    <t>Henrik von Schoultz, Polynom Investment, Webrock Ventures</t>
  </si>
  <si>
    <t>www.fts.ventures</t>
  </si>
  <si>
    <t>517024-54</t>
  </si>
  <si>
    <t>KrillPay</t>
  </si>
  <si>
    <t>Developer of a cross-border banking platform designed to connect migrants in developed markets with unbanked and underbanked consumers in Africa. The company offers local accounts, digital wallets, domestic and international payments, currency exchange, savings, investments, and artificial intelligence-powered financial assistance, enabling individuals, families, and businesses to manage money and access financial services across borders.</t>
  </si>
  <si>
    <t>AngelList, gBETA, gener8tor, Halogen Ventures, Interactive Investor, National Australia Bank</t>
  </si>
  <si>
    <t>www.krillpay.com</t>
  </si>
  <si>
    <t>521411-77</t>
  </si>
  <si>
    <t>Liquify (Financial Software)</t>
  </si>
  <si>
    <t>AgTech, Cryptocurrency/Blockchain, FinTech, Impact Investing, Supply Chain Tech</t>
  </si>
  <si>
    <t>Developer of a blockchain-based invoice financing marketplace designed to connect African small and medium-sized enterprises with global capital markets for improved access to working capital. The company's digital platform uses blockchain technology to eliminate fraud and streamline the entire financing process and provides invoice assignment and access to short-maturity investment opportunities, enabling SME exporters in emerging markets to unlock liquidity, improve cash flow, and accelerate business growth by trading invoices with international investors.</t>
  </si>
  <si>
    <t>Accelerate Africa, Andrea Gay, Black Valley, Digital Africa (Paris), Equitable Ventures, Founders Factory Africa, Future Africa, Launch Africa Ventures, Techstars</t>
  </si>
  <si>
    <t>www.liquify.digital</t>
  </si>
  <si>
    <t>708111-28</t>
  </si>
  <si>
    <t>Magnolia Financial</t>
  </si>
  <si>
    <t>Operator of a crypto-based firm intended to offer bitcoin-related services. The company provides bitcoin custody services built to serve the biggest and most innovative companies on the planet, including brokerage services and native bitcoin transfer services, enabling clients to integrate with the traditional finance system with ease.</t>
  </si>
  <si>
    <t>BitcoinFi Accelerator, Boost VC, Concentric Team, Draper Associates, Epoch Ventures, Vibe Cap</t>
  </si>
  <si>
    <t>magnolia.financial</t>
  </si>
  <si>
    <t>493372-18</t>
  </si>
  <si>
    <t>Rebill</t>
  </si>
  <si>
    <t>Developer of a fintech platform designed to offer payment orchestration and recurring billing opportunities. The company's platform offers companies a single trust point and automation system for cross-country and multi-currency revenue operations and allows them to link multiple payment gateways in a single transaction by offering full flexibility to manage any type of recurring billing scenario, enabling e-commerce and SaaS companies to use advanced metrics, increase their acceptance rates and save time in billing.</t>
  </si>
  <si>
    <t>Arash Ferdowsi, Exceptional Capital, Federico Mirás, Guillermo Rauch, Hayden Simmons, Igor Marchesini, Jan Deepen, Magma Partners, Orbis Capital, Rally Cap VC, Soma Capital, Start-Up Chile, Stefan Jeschonnek, SV Angel, Tiger Global Management, Y Combinator</t>
  </si>
  <si>
    <t>www.rebill.com</t>
  </si>
  <si>
    <t>437684-14</t>
  </si>
  <si>
    <t>Reeudo</t>
  </si>
  <si>
    <t>Developer of a cross-border student payment system intended to facilitate student payment experiences. The company engages in changing and influencing the experience of global students by developing digital workflows in partnership with global banks to make the entire experience seamless for students who travel abroad for higher studies and have to pay tuition fees, loans, and insurance services, enabling students and their parents to seamlessly receive money across borders, reducing the cost and time to send money abroad.</t>
  </si>
  <si>
    <t>AngelBay, India Accelerator, Indian Institute of Management Bangalore</t>
  </si>
  <si>
    <t>www.reeudo.com</t>
  </si>
  <si>
    <t>631448-02</t>
  </si>
  <si>
    <t>Savvy Trader</t>
  </si>
  <si>
    <t>Developer of a social investing platform designed to provide transparency into influential investors' portfolios and trading strategies. The company offers a digital platform where investors can share and monetize their portfolios, track real-time trades, view performance metrics, and engage with followers through portfolio-specific communities and notifications, enabling users to analyze professional investment strategies and make more informed market decisions.</t>
  </si>
  <si>
    <t>www.savvytrader.com</t>
  </si>
  <si>
    <t>439165-81</t>
  </si>
  <si>
    <t>Traduality</t>
  </si>
  <si>
    <t>Developer of an AI-powered platform designed to help regulated businesses serve non-English-speaking communities efficiently. The company's platform tracks language demand across channels, enables AI-powered face-to-face communication, integrates with call center software for interpretation, and automates content translation, enabling financial institutions, insurers, and healthcare providers to enhance accessibility, compliance, and customer engagement at scale.</t>
  </si>
  <si>
    <t>Curql, Elevate Ventures, gener8tor, GrowthX Capital, Larry Kress, Next Level Ventures, Right Side Capital Management</t>
  </si>
  <si>
    <t>www.traduality.com</t>
  </si>
  <si>
    <t>234325-72</t>
  </si>
  <si>
    <t>Truss</t>
  </si>
  <si>
    <t>Developer of accounts payable automation and payment processing software designed to offer expense management services. The company's software automates the entire cycle from billing to invoicing and reconciliation via secure ACH transfer between any bank or credit union and pay vendors, collects payments from customers, and manages corporate cards and banking for US construction companies, enabling businesses to save time on manual data entry and eliminating the reliance and dependence on traditional means like cheque-based payments.</t>
  </si>
  <si>
    <t>Bonfire Ventures, MicroVentures, Tribe Capital, Women's Equity Lab</t>
  </si>
  <si>
    <t>www.trusspayments.com</t>
  </si>
  <si>
    <t>464235-67</t>
  </si>
  <si>
    <t>Vector ML Analytics</t>
  </si>
  <si>
    <t>Developer of an artificial intelligence-powered financial planning and forecasting platform designed for estimation, or projection, of likely future income or revenue and expenses. The company's platform integrates financial planning and analysis with asset and liability management and features and profitability modelling for detailed insights from balance sheets and income statements at the loan and deposit instrument level, while also taking the entire trial balance into account, enabling banks and institutions to instantly generate a five-year projected balance sheet and income statement to make informed decisions related to profitability, capital, and liquidity.</t>
  </si>
  <si>
    <t>EV Private Investments, Plug and Play Tech Center, RevTech Labs, RevTech Labs Capital, Right Side Capital Management</t>
  </si>
  <si>
    <t>www.vector-cfo.com</t>
  </si>
  <si>
    <t>169167-52</t>
  </si>
  <si>
    <t>Tipigo</t>
  </si>
  <si>
    <t>Operator of an online wealth management platform intended to automate investment portfolios. The company's platform uses artificial intelligence to combine human insight and machine learning to offer a data-driven alpha engine that harnesses the power of world-leading, professional equity analysts to build outperforming stock portfolios, enabling clients to identify outperforming investment opportunities.</t>
  </si>
  <si>
    <t>Clear Future</t>
  </si>
  <si>
    <t>www.tipigo.com</t>
  </si>
  <si>
    <t>490098-34</t>
  </si>
  <si>
    <t>Sinqro</t>
  </si>
  <si>
    <t>Developer of an online platform designed to optimize restaurant operations and maximize revenue. The company offers centralized management of menus, orders, reservations, and deliveries, enabling restaurant owners to streamline workflows and reduce manual tasks.</t>
  </si>
  <si>
    <t>www.sinqro.com</t>
  </si>
  <si>
    <t>515683-45</t>
  </si>
  <si>
    <t>SurveyGauge</t>
  </si>
  <si>
    <t>Developer of financial technology platform intended to improve the collaboration between businesses and banks. The company offers customer insights for banks, financial institutions and bank insights for corporate treasuries, enabling users with the provision of real-time, valid, and actionable customer feedback.</t>
  </si>
  <si>
    <t>CVX Ventures, Peter Grøftehauge</t>
  </si>
  <si>
    <t>surveygauge.com</t>
  </si>
  <si>
    <t>465481-45</t>
  </si>
  <si>
    <t>VitraCash</t>
  </si>
  <si>
    <t>Developer of an online financial application designed to offer cashless payments while traveling. The company's application utilizes artificial intelligence and machine learning technology to track how users spend, with automatic categorization and analysis of all the spending in one place, enabling users to save money on every transaction and earn rewards.</t>
  </si>
  <si>
    <t>vitracash.com</t>
  </si>
  <si>
    <t>489209-23</t>
  </si>
  <si>
    <t>Finadeck</t>
  </si>
  <si>
    <t>Developer of financial management and reporting software designed for financial planning, consolidation, and analysis purposes. The company's platform provides tools for budgeting, forecasting, business intelligence reporting, data aggregation, automated consolidation processes including currency conversion and minority interest calculations, real-time dashboards, integration with accounting systems, customizable reporting and analytics, and cloud-based data management, enabling finance teams and enterprises to manage financial data, automate reporting workflows, and support decision-making processes.</t>
  </si>
  <si>
    <t>Gorilla Capital (Helsinki)</t>
  </si>
  <si>
    <t>www.finadeck.com</t>
  </si>
  <si>
    <t>470758-60</t>
  </si>
  <si>
    <t>Rachuneo</t>
  </si>
  <si>
    <t>Developer of an energy platform designed to optimize energy costs for companies and individuals by comparing offers from electricity and gas suppliers. The company compares tariffs and promotions for electricity and gas, supports switching suppliers, and provides energy consulting and renewable energy guidance, enabling users to reduce energy expenses and manage energy-related decisions in one place.</t>
  </si>
  <si>
    <t>Autopay (Financial Software), Paweł Poleński</t>
  </si>
  <si>
    <t>www.rachuneo.pl</t>
  </si>
  <si>
    <t>264682-63</t>
  </si>
  <si>
    <t>MyMoneyKarma</t>
  </si>
  <si>
    <t>Developer of a financial platform designed to manage money and provide investment recommendations securely.The company's platform leverages machine learning algorithms to analyze and monitor finances and then recommend available investment strategies and products that are unbiased and personalized to individual needs, enabling users to actively track their finances and take financial responsibility into their own hands.</t>
  </si>
  <si>
    <t>8VC, Recursive Ventures, StartX (US), Thomvest Ventures, T-Hub, Ulu Ventures</t>
  </si>
  <si>
    <t>moneykarma.com</t>
  </si>
  <si>
    <t>518844-88</t>
  </si>
  <si>
    <t>50fin</t>
  </si>
  <si>
    <t>Developer of an online lending platform intended to specialize in loans against securities. The company's platform helps to democratize and digitize capital markets lending, specifically catering to the needs of Indian investors, enabling users to help achieve their financial goals effortlessly.</t>
  </si>
  <si>
    <t>100X.VC, Aeroflex Enterprises, Aniket Nikumb, Arali Ventures, Arun Venkatachalam, Dinesh Agarwal, Dinesh Gulati, First Founder Investment, GSF India, Keynote Financial Services, KRS Jamwal, Manish Kumar, Manish Verma, Murugavel Janakiraman, Nitin Gupta, Rajesh Sawhney, Randev Ventures, Rikesh Mirchandani, Sumit Khadria, Varun Bansal</t>
  </si>
  <si>
    <t>www.50fin.in</t>
  </si>
  <si>
    <t>228471-49</t>
  </si>
  <si>
    <t>BigWin Infotech</t>
  </si>
  <si>
    <t>Developer of a peer-to-peer lending platform intended to let borrowers take loans from individual investors who lend money for an agreed-upon interest rate. The company's platform offers an application that utilizes a proprietary credit risk management tool to assess the creditworthiness of an individual before uploading the proposal, enabling lenders to be informed about the person to whom they are providing loans.</t>
  </si>
  <si>
    <t>JITO Incubation &amp; Innovation Foundation</t>
  </si>
  <si>
    <t>www.bigwininfotech.com</t>
  </si>
  <si>
    <t>509774-23</t>
  </si>
  <si>
    <t>FundingBee</t>
  </si>
  <si>
    <t>Operator of a financial platform designed to provide microfinance and business support to entrepreneurs. The company's platform offers financial services like small capital loans, seamless payments, tracking transactions, and extending the network with webinar facilities, enabling women entrepreneurs to fulfill their business capital needs and get networking and open paths.</t>
  </si>
  <si>
    <t>Agent Comapny, Agent Insurance Group, Apt Women, Atsushi Ushimaru, Chishima Real Estate, Delight Ventures, Evergreen Co., Ltd., FOURDIGIT, H2 Investment, Hokkoku Bank, Kazuki Sakamoto, Kumpul, Kunihiro Ogihara, Luatsu, MG Capital (Japan), Mirai Cross, Sunway iLabs, Yuki Imai</t>
  </si>
  <si>
    <t>www.fundingbee.my</t>
  </si>
  <si>
    <t>315180-82</t>
  </si>
  <si>
    <t>Digital India Payments</t>
  </si>
  <si>
    <t>Operator of a mobile commerce platform intended to offer digital payment services. The company's tool offers a network of retail access points for delivering various banking and financial services and caters to various other needs like direct cash disbursement, insurance policies, bill payments, prepaid cards, and wallet services, enabling users to get access to digitalization and convenience for every transaction.</t>
  </si>
  <si>
    <t>IC1101 Ventures</t>
  </si>
  <si>
    <t>www.digitalindiapayments.com</t>
  </si>
  <si>
    <t>233699-14</t>
  </si>
  <si>
    <t>GalaxyCard</t>
  </si>
  <si>
    <t>Developer of a smartphone-linked digital credit card designed to offer instant credit. The company's cards are linked to various reward programs, to which users can subscribe and earn points and they can be used at a variety of vendors, including restaurants, spas and salons, fashion and apparel stores, enabling customers to obtain credit to make offline and online payments.</t>
  </si>
  <si>
    <t>Anant Agarwal, Gopinath Latpate, JITO Incubation &amp; Innovation Foundation, Samyakth Capital, Software Technology Parks of India, Sprint VC, Veeraa Ventures</t>
  </si>
  <si>
    <t>www.galaxycard.in</t>
  </si>
  <si>
    <t>186676-75</t>
  </si>
  <si>
    <t>Mercatório</t>
  </si>
  <si>
    <t>Developer of an investment platform designed to diversify portfolios by investing in these precatórios. The company's platform allows one to invest in debts owed by government entities, which generally carry lower credit risk, providing investors with high returns and inflation protection.</t>
  </si>
  <si>
    <t>Bossa Invest, Darwin Startups, FIEMG Lab, InovAtiva</t>
  </si>
  <si>
    <t>www.mercatorio.com.br</t>
  </si>
  <si>
    <t>436522-06</t>
  </si>
  <si>
    <t>Agrifi.ai</t>
  </si>
  <si>
    <t>Developer of an AI-powered space tech analytics platform intended to bridge farmers with bankers. The company's platform offers a credit scoring algorithm for farmers, FPOs, and financial management for retailers, enabling farmers to optimize credit risk and eliminate the counterparty default risk for produce buyers.</t>
  </si>
  <si>
    <t>BonBillo, GROW Accelerator, Indigram Labs Foundation, Orbit Ventures (Venture Capital), SOSV, Tenity</t>
  </si>
  <si>
    <t>www.agrifi.ai</t>
  </si>
  <si>
    <t>591053-05</t>
  </si>
  <si>
    <t>Continual</t>
  </si>
  <si>
    <t>Developer of a compliance management platform designed to help organizations manage regulatory obligations and identify potential risks. The company offers intuitive software that centralises compliance workflows, streamlines policy management, and automates routine tasks, enabling businesses in regulated industries to improve oversight and reduce operational burden.</t>
  </si>
  <si>
    <t>www.usecontinual.com</t>
  </si>
  <si>
    <t>458214-94</t>
  </si>
  <si>
    <t>Fazil.Crypto</t>
  </si>
  <si>
    <t>Developer of a platform designed to simplify the process of buying and managing cryptocurrencies for users in Spain. The company offers an easy-to-use app with access to over 300 cryptocurrencies, enabling individuals to invest safely and securely with regulated features and cold storage technology.</t>
  </si>
  <si>
    <t>Lanzadera Accelerator, Madrid Emprende, Tenity</t>
  </si>
  <si>
    <t>www.fazilcrypto.com</t>
  </si>
  <si>
    <t>121065-58</t>
  </si>
  <si>
    <t>GREX Alternative Investments Market</t>
  </si>
  <si>
    <t>Operator of a private market platform intended to help startups raise funding. The company offers a fundraising program and connects investors with startups, helping startup businesses and unlisted companies to raise capital from private investors.</t>
  </si>
  <si>
    <t>Chandru Badrinarayanan, Kunal Bajaj</t>
  </si>
  <si>
    <t>www.grexaim.com</t>
  </si>
  <si>
    <t>483083-74</t>
  </si>
  <si>
    <t>Wealth8</t>
  </si>
  <si>
    <t>Operator of a digital wealth management platform intended to connect people with wealth and investment opportunities by providing easy access to global investment products. The company's platform provides global investment products, offers financial education, improves financial literacy and builds investment skills for long-term wealth creation, and democratizes access to wealth creation for the community, enabling users with a simple and affordable way to save and invest.</t>
  </si>
  <si>
    <t>www.wealth-8.com</t>
  </si>
  <si>
    <t>84161-08</t>
  </si>
  <si>
    <t>FinFolio</t>
  </si>
  <si>
    <t>Developer of a portfolio management and trading platform intended to assist investment advisors and professional wealth managers. The company's platform offers performance reporting, trading, order management, portfolio rebalancing, billing and client and contact management services that integrate with almost all the products in the wealth management space, enabling financial professionals to manage wealth efficiently.</t>
  </si>
  <si>
    <t>Zero G Capital</t>
  </si>
  <si>
    <t>www.finfolio.com</t>
  </si>
  <si>
    <t>641290-51</t>
  </si>
  <si>
    <t>Kloutit</t>
  </si>
  <si>
    <t>Developer of an AI-powered chargeback management software designed to increase business success rate in recovering revenue from fraudulent chargebacks. The company's software automates dispute resolution by sending defenses directly to payment processors and offering progress tracking, enabling businesses with key metrics and data analytics to help them identify trends and make strategic decisions that maximize their revenue recovery.</t>
  </si>
  <si>
    <t>Axel Serena, BStartup10, Daniel Romy, Francesc López, Lanai Ventures, Luis Solé, Manuel Roca, Raúl Morón, Ricardo Fernandez</t>
  </si>
  <si>
    <t>kloutit.com/en</t>
  </si>
  <si>
    <t>467661-16</t>
  </si>
  <si>
    <t>Spare8</t>
  </si>
  <si>
    <t>Operator of a digital precious metals investment and leasing platform intended for wealth management purposes. The company's platform provides users with the ability to purchase 24k 99.9% pure physical-backed assets starting from small denominations, automate savings through recurring mandates, and engage in a gold leasing program where assets are lent to vetted jewellers to generate annual yields, enabling individual retail investors in India to diversify their portfolios with secure, liquid, and yield-bearing commodities.</t>
  </si>
  <si>
    <t>2 a.m. Ventures, Ajay Adiseshann, Anoop Mathur, Broom Ventures, Incisive Ventures, Jaydeep Deshpande, Magic Fund, Param Agrawal, Rajiv Shastri, Sachin Seth, Varanium Capital Advisors, Yagnesh Sanghrajka</t>
  </si>
  <si>
    <t>www.spare8.com</t>
  </si>
  <si>
    <t>126952-21</t>
  </si>
  <si>
    <t>SwitchMe</t>
  </si>
  <si>
    <t>Provider of online home loan services intended to change how people approach their finances. The company offers an end-to-end service that helps people take a home loan or transfer their home loan, and an unbiased and well-researched evaluation of home loan plans, enabling customers to save time and money by evaluating their best options.</t>
  </si>
  <si>
    <t>Ajay Sarupria, B.V.R. Mohan Reddy, Elevate Innovation Partners, Karamveer Singh, Pranav Pai, Pravin Gandhi, Rajan Anandan, Sachin Oswal, Singapore Angel Network, Uday Sodhi</t>
  </si>
  <si>
    <t>www.switchme.in</t>
  </si>
  <si>
    <t>463095-91</t>
  </si>
  <si>
    <t>Cake Equity</t>
  </si>
  <si>
    <t>Developer of a cap table and equity management platform designed to help startup founders boost team motivation through equity ownership. The company offers essential equity tools, an intuitive interface, and transparent pricing, enabling startup teams to understand and engage with their ownership stake to drive company success.</t>
  </si>
  <si>
    <t>Advance Queensland, AfterWork Ventures, Blue Corridor Ventures, Brisbane Angels, Cohort Innovation Space, Cooke Capital (Brisbane), Euphemia (Melbourne), FB10x adVentures, Guy Pearson, Jason Roper, Jonathan Lui, LAUNCH Fund, Prtnr, QIC, Rampersand, Richard Moore, SaaSCraft Ventures, START EQUITY VENTURES, Startmate, Steam Ventures (Australia), Stout Street Capital, Techstars, The Syndicate (United States), TORUS (Palm Beach), Tribe Global Ventures</t>
  </si>
  <si>
    <t>www.cakeequity.com</t>
  </si>
  <si>
    <t>517263-04</t>
  </si>
  <si>
    <t>E-Doc Online</t>
  </si>
  <si>
    <t>Developer of an artificial intelligence-based financial data gateway designed to analyze financial data for financially excluded groups. The company's platform offers read-only access to the bank account balance, statements, and transactions and allows users to submit their financial data and decision-makers to view a snapshot of a user's financial history without the need to upload any document, enabling clients to offer an open banking framework to customers for securely delivering tamperproof financial data, preventing fraud, and providing real-time data insights.</t>
  </si>
  <si>
    <t>Creative Destruction Lab, First Circle Capital, Google Accelerator, Grow London, Plug and Play Tech Center, SFC Capital, Startupbootcamp Holding, Visa Accelerator</t>
  </si>
  <si>
    <t>www.e-doconline.co.uk</t>
  </si>
  <si>
    <t>464168-44</t>
  </si>
  <si>
    <t>Findeed</t>
  </si>
  <si>
    <t>Developer of a fintech platform designed to offer collateral-free loans to help underserved customers meet their needs. The company's platform makes financial services accessible to the underserved using data analytics, technology and community partnerships, enabling working-class citizens of the country to get credit and loans.</t>
  </si>
  <si>
    <t>Anicut Capital, First Cheque, Redbrook, Venture Highway, Vijay Anand</t>
  </si>
  <si>
    <t>www.findeed.in</t>
  </si>
  <si>
    <t>496441-09</t>
  </si>
  <si>
    <t>In4startups</t>
  </si>
  <si>
    <t>Developer of a fintech platform designed to provide an investment network for Startups. The company's platform offers entrepreneurial analysis, valuation analysis, legal analysis, and financial analysis to selected entrepreneurs, and investor analysis is also carried out to measure the expectations of the investors, enabling entrepreneurs and investors to connect with each other and receive funding.</t>
  </si>
  <si>
    <t>Abramak Bilgi Teknolojileri Sanayi ve Ticaret Anonim Şirketi, Asya Ventures, Cogito Park Bilişim ve Teknoloji Yatırımları Ticaret Anonim Şirketi, Orkun Beyaz, Save Teknoloji Anonim Şirketi</t>
  </si>
  <si>
    <t>www.in4startups.com</t>
  </si>
  <si>
    <t>268503-76</t>
  </si>
  <si>
    <t>Split</t>
  </si>
  <si>
    <t>Developer of a buy now pay later platform designed to change the way people finance their purchases. The company's platform integrates with websites or applications to give people the ability to split their costs and manage them through installment payments, enabling businesses to offer their customers the choice of paying in interest-free installments.</t>
  </si>
  <si>
    <t>500 Global, 500 Southeast Asia, Entrepreneurs First, Iterative Accelerator, Louise Daley, Sur Ventures (VC), Winacore Capital</t>
  </si>
  <si>
    <t>www.paywithsplit.co</t>
  </si>
  <si>
    <t>144564-04</t>
  </si>
  <si>
    <t>3-Cubed</t>
  </si>
  <si>
    <t>Developer of a digital platform designed to optimize operations by integrating processes, risk, finance, IT, and teams for unified decision-making. The company's platform offers dynamic digital twin modeling, comprehensive workflow alignment, and operational monitoring, enabling businesses seeking operational efficiency and cost-effective growth to achieve more informed decisions and improved outcomes.</t>
  </si>
  <si>
    <t>Aeroflex Enterprises</t>
  </si>
  <si>
    <t>www.insorce.com</t>
  </si>
  <si>
    <t>232248-43</t>
  </si>
  <si>
    <t>Finmo (Financial Software)</t>
  </si>
  <si>
    <t>Developer of a financial platform designed to record expenses and file tax returns in one place. The company's platform understands users' income, expenses, and tax liability by digitally storing receipts and centrally recording income and expenses, enabling customers and clients to file their annual tax returns by connecting with an accountant when it's time to file a self-assessment.</t>
  </si>
  <si>
    <t>Founders Factory, Symvan Capital, WCS Nominees</t>
  </si>
  <si>
    <t>www.finmo.co.uk</t>
  </si>
  <si>
    <t>467808-04</t>
  </si>
  <si>
    <t>SOBI Analytics</t>
  </si>
  <si>
    <t>Developer of an innovative artificial intelligence platform designed for financial advisors and business owners. The company's platform extracts key insights from financial and non-financial data, presenting easy-to-understand reports and metrics in real-time, enabling clients to monitor KPIs, forecast future performance and make informed decisions, improving business efficiency and profitability.</t>
  </si>
  <si>
    <t>Capital Innovators, Enterprise Ireland, SFC Capital</t>
  </si>
  <si>
    <t>asksobi.com</t>
  </si>
  <si>
    <t>181912-96</t>
  </si>
  <si>
    <t>MaxMyWealth</t>
  </si>
  <si>
    <t>Developer of a fintech platform designed to facilitate savings and investment decisions. The company's platform permits users to make savings and investment decisions via an intelligent application that helps to select the premium mutual funds as well as provides expected wealth views, interactive graphs, goal tracking and forecasts, intelligent withdrawal, and tax loss harvesting, enabling clients to access an alternative way of saving in a cost-efficient manner.</t>
  </si>
  <si>
    <t>Ankurit Capital, Ashish Khandelia, CoinShares Capital Markets (UK), Global Advisors, Krishna Kumar, Venture Gurukool</t>
  </si>
  <si>
    <t>www.maxmywealth.com</t>
  </si>
  <si>
    <t>121404-97</t>
  </si>
  <si>
    <t>SnapnSave</t>
  </si>
  <si>
    <t>AdTech, Mobile</t>
  </si>
  <si>
    <t>Developer of a mobile-based cashback application designed to help promote a brand. The company's application helps create promotions based on real-time purchase data and provides cashback on everyday grocery and in-store purchases via scanned receipts, enabling brands to interact with consumers and support purchase decisions.</t>
  </si>
  <si>
    <t>GoldFish Fund, Kalon Venture Partners, Smollan Group, TAT Capital Partners, Vunani</t>
  </si>
  <si>
    <t>www.snapnsavepromote.co.za</t>
  </si>
  <si>
    <t>523319-59</t>
  </si>
  <si>
    <t>Edger Finance</t>
  </si>
  <si>
    <t>Developer of a web-based decision support tool designed to empower retail investors with necessary data, tools and processes for better investment decisions. The company's platform offers open access to almost all features, including stock analysis and exploration of themes, while also providing an option to save information through free user accounts, enabling retail investors to navigate the stock market like professionals.</t>
  </si>
  <si>
    <t>IBM fintechx, Katalysen Ventures, Startup Wise Guys, Tenity</t>
  </si>
  <si>
    <t>edger.finance</t>
  </si>
  <si>
    <t>572239-99</t>
  </si>
  <si>
    <t>Ascend Capital</t>
  </si>
  <si>
    <t>Operator of a non-banking financial firm intended to provide loans specifically for electric vehicles in India. The company aims to accelerate the adoption of EVs by offering accessible and affordable loans to individual buyers with EV-focused expertise, tailored loan options, and simplified processes, enabling clients to transition to sustainable transportation while enjoying the economic and environmental benefits of electric vehicles.</t>
  </si>
  <si>
    <t>Asha Impact, InfoEdge Ventures</t>
  </si>
  <si>
    <t>www.ascendcap.in</t>
  </si>
  <si>
    <t>85114-45</t>
  </si>
  <si>
    <t>GrowishPay</t>
  </si>
  <si>
    <t>Developer of financial software designed to offer social payment technologies. The company's software offers e-wallet-based payment options for group payments, omnichannel gift registry, closed-loop payments, cashback, and loyalty via application programming interface (API), software development kit (SDK), and software as a service, enabling e-commerce, schools, financial institutions, retail, and others to conduct easy and hassle-free banking transactions.</t>
  </si>
  <si>
    <t>B Heroes, Banca Sella Holding, CDP Venture Capital (Rome), Club degli investitori, Digital Magics, Federico Fulgoni, Life-science Innovations, Matteo Romano, Premiaweb, R301 Capital, Sella Direct Ventures, Sisal, Zest Group</t>
  </si>
  <si>
    <t>www.growishpay.com</t>
  </si>
  <si>
    <t>170092-09</t>
  </si>
  <si>
    <t>Kashing</t>
  </si>
  <si>
    <t>Developer of a smart payment technology designed to offer comprehensive and secure payment services. The company's smart payment technology combines online and in-store payment facilities to offer flexible payment processing services, enabling stores to streamline, reduce costs, and simplify the complexities of payment processing with seamless customer service.</t>
  </si>
  <si>
    <t>Innvotec, SFC Capital</t>
  </si>
  <si>
    <t>www.kashing.co.uk</t>
  </si>
  <si>
    <t>494570-35</t>
  </si>
  <si>
    <t>GoSolo</t>
  </si>
  <si>
    <t>Developer of a business administration platform designed to simplify company formation and financial management for small businesses. The company offers digital banking, company registration, and payment processing tools, enabling entrepreneurs and small business owners to manage administrative and financial operations more efficiently.</t>
  </si>
  <si>
    <t>Blue Lake VC, Google Accelerator, Grow London, KCP Nominees, Max Lytvin, Menlo Partners, Nodes Ventures, Oleksiy Shevchenko, SFC Capital, UK-Ukraine TechBridge</t>
  </si>
  <si>
    <t>www.gosolo.net</t>
  </si>
  <si>
    <t>471675-97</t>
  </si>
  <si>
    <t>Upya Technologies</t>
  </si>
  <si>
    <t>Developer of a SaaS-based platform designed to help last-mile distributors across Africa and Asia in building and scaling their frontier distribution business. The company's platform focuses on unearthing key data concerning consumer habits and payment patterns that can inform pricing models and distribution models, enabling distributors of any products and services to efficiently manage operations, teams, and customers in complex environments.</t>
  </si>
  <si>
    <t>Energy Catalyst (Accelerator), Guy Pearson</t>
  </si>
  <si>
    <t>www.upya.io</t>
  </si>
  <si>
    <t>433250-29</t>
  </si>
  <si>
    <t>Loyalize</t>
  </si>
  <si>
    <t>Developer of a white-label B2B platform designed to connect customers with the loyalty program. The company's platform helps retailers let their customers add payment cards to an existing loyalty program, enabling retailers, loyalty partners, and POS Integrators to enhance their customer journey by providing a code and helping customers earn rewards on all payment card purchases, online and in-store.</t>
  </si>
  <si>
    <t>SFC Capital, Startupbootcamp Holding</t>
  </si>
  <si>
    <t>www.loyalize.ai</t>
  </si>
  <si>
    <t>113239-27</t>
  </si>
  <si>
    <t>Dr.Bill</t>
  </si>
  <si>
    <t>Developer of a medical billing application designed to make billing feasible and remove the pain of manual data entry, paper, index cards, and clunky software. The company's application permits physicians to manage their health billing and offers features such as claims management, compliance tracking, patient eligibility checks, practice management, and payment processing, enabling doctors to simplify their billing process.</t>
  </si>
  <si>
    <t>RBCx</t>
  </si>
  <si>
    <t>www.dr-bill.ca</t>
  </si>
  <si>
    <t>521493-40</t>
  </si>
  <si>
    <t>My Easy Transfer</t>
  </si>
  <si>
    <t>Developer of a money transfer platform intended to allow customers to send money when and where they want. The company's platform offers a secure money transfer service with reduced exchange fees and no additional costs while sending or receiving payments online, enabling businesses to ensure the timely provision and distribution of money as per clients' choice.</t>
  </si>
  <si>
    <t>216 Capital Ventures, United Gulf Financial Services</t>
  </si>
  <si>
    <t>www.myeasytransfer.com</t>
  </si>
  <si>
    <t>507245-05</t>
  </si>
  <si>
    <t>RemitAid</t>
  </si>
  <si>
    <t>Developer of cross-border payment platform designed to allow easy and risk-free transfers to overseas trading partners. The company's platform allows the making of invoice information online, completing payment with a single button using a corporate credit card which not only solves the problem of cash flow but also eliminates the risk of non-collection and non-delivery of goods, enabling buyers to mitigate the risk of product non-delivery due to advance payment and deterioration of cash flow due to advance payment and suppliers to mitigate the uncollected risk of receivables arising from credit payment.</t>
  </si>
  <si>
    <t>Animal Spirits, Chugin Capital Partner, Genesia Ventures, Nobunaga Capital Village, Primal Capital (Japan), Seibu Shinkin Capital, SMBC Venture Capital, UGM Group (China), United</t>
  </si>
  <si>
    <t>remitaid.co.jp</t>
  </si>
  <si>
    <t>513214-93</t>
  </si>
  <si>
    <t>Boodil</t>
  </si>
  <si>
    <t>Developer of a cardless payment application designed to transform the way consumers spend and engage with brands whilst being rewarded for their purchases. The company's application facilitates the use of open banking payment technology to make it safe and seamless to pay, enabling customers to have an application that makes it rewarding, simple, and safe for consumers to pay online.</t>
  </si>
  <si>
    <t>3B4 Investments, Anthony Morrow, Ben Luscombe, Gary Corbett, Louis Rix, Reg Rix</t>
  </si>
  <si>
    <t>www.boodil.com</t>
  </si>
  <si>
    <t>522865-99</t>
  </si>
  <si>
    <t>Lemon (Financial software)</t>
  </si>
  <si>
    <t>Developer of subscription management software designed to help users track and manage their subscriptions. The company allows users to see all their subscriptions in one place, including those for streaming services, digital products and memberships and helps identify areas where they might be spending too much, enabling users to save money by eliminating unused subscriptions and optimizing their spending on subscription services.</t>
  </si>
  <si>
    <t>www.lemon.co</t>
  </si>
  <si>
    <t>231465-43</t>
  </si>
  <si>
    <t>Luna Connect</t>
  </si>
  <si>
    <t>Developer of an automated digital lending platform designed to deliver digital efficiencies to borrowers. The company's software streamlines the due diligence process with algorithms that employ alternative data and machine intelligence, replacing manual decisions with a hybrid of human and artificial intelligence, enabling local lending institutions to provide personalized customer experiences.</t>
  </si>
  <si>
    <t>Enterprise Ireland, NDRC, PorterShed</t>
  </si>
  <si>
    <t>www.lunaconnect.io</t>
  </si>
  <si>
    <t>512164-63</t>
  </si>
  <si>
    <t>Finsmart.AI</t>
  </si>
  <si>
    <t>Developer of an artificial intelligence-based financial management platform intended to monitor, analyze, and optimize financial data. The company's platform offers a user-friendly interface and extensive features, generating insightful reports by interpreting complex financial data, providing forecasting services, and sophisticated financial integration infrastructure with financial management, start-ups, and investors' portfolio company tracking in an affordable and agile approach, enabling clients to know the current condition of the company and make efficient decisions for business.</t>
  </si>
  <si>
    <t>Boost the Future, ENA Venture Capital, TT Ventures PİLOT, YTU Startup House</t>
  </si>
  <si>
    <t>www.finsmart.ai</t>
  </si>
  <si>
    <t>489278-98</t>
  </si>
  <si>
    <t>Kashin (Consumer Finance)</t>
  </si>
  <si>
    <t>Developer of a microlending application designed to request monetary loans. The company's application provides small loans to underbanked people and controls risk using social reputation scores and smartphone-based variables with secure transactions, enabling customers to enjoy the right to access credit and legal, reliable financial support with transparency and no hidden fees.</t>
  </si>
  <si>
    <t>99 Startups, Dupe Ventures, First Check Ventures, FunFair Ventures, Goodwater Capital, Greyhill Capital Partners, Knockout Capital, Leonis Investissement, MrPink VC, Newtopia VC, Redwood Ventures, Smart Growth Investments, Unpopular Ventures, Winnipeg Capital, Y Combinator</t>
  </si>
  <si>
    <t>kashin.app</t>
  </si>
  <si>
    <t>606983-05</t>
  </si>
  <si>
    <t>10clear</t>
  </si>
  <si>
    <t>Developer of an artificial intelligence companion platform designed to understand and assess financial and sustainability reporting compliance. The company's platform provides an AI-powered reporting compliance solution and automates regulatory, accounting, and sustainability disclosure and data evaluations, enabling users to have financial and non-financial reports and streamline compliance.</t>
  </si>
  <si>
    <t>Altari Ventures, Defined, Entrepreneurs Roundtable Accelerator, Lytical Ventures, MGV</t>
  </si>
  <si>
    <t>www.10clear.com</t>
  </si>
  <si>
    <t>490849-75</t>
  </si>
  <si>
    <t>actyv.ai</t>
  </si>
  <si>
    <t>Mobile, SaaS, Supply Chain Tech, TMT</t>
  </si>
  <si>
    <t>Developer of an enterprise SaaS platform designed to help transform their supply chains and empower their channel partners. The company's platform allows enterprises to onboard partners, get paid instantly, and upscale the financial health of their supply chain, it also has access to the right information required to create a modern credit score that reflects the small and medium-sized enterprises's current reality, enabling SME's to monitor the overall financial health of their supply chain.</t>
  </si>
  <si>
    <t>100Unicorns, 1Digi Investment</t>
  </si>
  <si>
    <t>www.actyv.ai</t>
  </si>
  <si>
    <t>221983-12</t>
  </si>
  <si>
    <t>Apurata</t>
  </si>
  <si>
    <t>Developer of a financial services platform designed to offer small loans to middle-class Latin Americans. The company's platform helps users to apply digitally so that they can get access to online loans, personal credits, personal loans and online credits, enabling users to get access to credit in less than half an hour.</t>
  </si>
  <si>
    <t>500 Global, 500 Startups LatAm, Escala.vc, Kevin Moore, Y Combinator</t>
  </si>
  <si>
    <t>www.apurata.com</t>
  </si>
  <si>
    <t>224405-38</t>
  </si>
  <si>
    <t>Asaak</t>
  </si>
  <si>
    <t>Developer of a mobile-based microfinance platform designed to democratize financial services and help businesses grow confidently. The company's platform manages lending operations, underwriting, application processing, investor management, and loan servicing, enabling clients to access various digital finance tools to reach customers.</t>
  </si>
  <si>
    <t>500 Global, Addem Capital, Aleksandar Stojanovski, Altun Capital, Aria Emiko (Investment), Bwiz Capital, Cartography Capital, Catalyst Fund, Cauris, David Teten, Double Feather Partners, Duro VC, Edoardo Marzocco, End Poverty. Make Trillions., Fahd Butt, Founders Factory Africa, Gabriele Farina, HOF Capital, Jedar Capital, JP Morgan Chase, Justin Poirier, Keith Bonnici, Kentucky Morrow, Locke Mountain Ventures, Luca Cosentino, Mastercard Foundation, Nobska Point Capital, Occoquan Capital, Rebel One Ventures, Resolute Ventures, Rishi Mukherjee, Rockefeller Philanthropy Advisors, SAIS Accelerator, Simple Capital Partners, Social Capital, Sur Ventures (VC), Tushar Narayan, Versatile Venture Capital, Village Capital, White Paper Capital, Yash Bathia</t>
  </si>
  <si>
    <t>www.asaak.com</t>
  </si>
  <si>
    <t>491048-56</t>
  </si>
  <si>
    <t>CreditChek</t>
  </si>
  <si>
    <t>Developer of a financial platform designed to assess and verify the creditworthiness of consumers in Africa. The company's platform helps to verify credit status using pre-approved data received from bank statements, government, and other real-time financial sources, and offers financial data verification services for retail businesses and microfinance institutions, enabling financial institutions to avoid loan stacking through historical profiling and determine appropriate financing.</t>
  </si>
  <si>
    <t>Adamantium Fund, Aidi Ventures, Assembly Investors, Atom Capital, Cascador, Ham Serunjogi, Hindsight Ventures, Isaac Ewaleifoh, Janngo, MTN Cloud Accelerator, Ogundiran Kayode, Serunjogi Ventures, Tosin Sotande, Unipeg Capital, Vastly Valuable Ventures</t>
  </si>
  <si>
    <t>www.creditchek.africa</t>
  </si>
  <si>
    <t>115382-62</t>
  </si>
  <si>
    <t>Ensibuuko</t>
  </si>
  <si>
    <t>Developer of a borrower data infrastructure platform designed to improve credit access for underserved communities. The company offers savings, repayment, and behavioural data aggregation capabilities, enabling financial institutions, savings cooperatives, and community lending groups to assess borrower creditworthiness and make informed lending decisions.</t>
  </si>
  <si>
    <t>Adrian Jonklaas, Ed Levinson, FCA Investments, Fledge (Seattle), Glen Lougheed, GSMA, Ict4ag, New Avenue Capital, Outbox Hub, Pallasite Ventures, Parveen Kaler, Shawna Quinton, Unilever, Village Capital</t>
  </si>
  <si>
    <t>ensibuuko.com</t>
  </si>
  <si>
    <t>129937-78</t>
  </si>
  <si>
    <t>Incredible</t>
  </si>
  <si>
    <t>Developer of a repayment orchestration platform designed for borrowers and lenders. The company's platform utilizes open banking to analyze the connected accounts, providing a transparent overview of the interest fees and the actual cost of the debt with the help of an algorithm that suggests pay-off strategies, enabling individuals to manage their credit.</t>
  </si>
  <si>
    <t>DealBench, EY FinTech Growth Programme, Fuel Ventures, Full Circle Africa, Keith Grose, Mark Ransford, Odin Investments, Techstars</t>
  </si>
  <si>
    <t>www.getincredible.com</t>
  </si>
  <si>
    <t>495934-12</t>
  </si>
  <si>
    <t>Medscore</t>
  </si>
  <si>
    <t>HealthTech, Mobile, SaaS</t>
  </si>
  <si>
    <t>Operator of a market access platform designed to support prescription drug entry and commercialization in emerging markets with regulatory compliance. The company offers end-to-end market access services, including regulatory, distribution, and compliance management, enabling pharmaceutical sponsors to launch and scale prescription drugs across emerging regions with operational oversight.</t>
  </si>
  <si>
    <t>AVV (Ascend Vietnam Ventures), Capria Ventures, Crusade Partners, Javis Ventures, Son Tech Investment, ts.i.</t>
  </si>
  <si>
    <t>www.med.holdings</t>
  </si>
  <si>
    <t>895368-34</t>
  </si>
  <si>
    <t>Merble</t>
  </si>
  <si>
    <t>Operator of a home equity management platform intended to increase property value through data-driven renovation insights. The company's platform uses AI and image analysis to identify home improvement projects with high return on investment by turning renovation into a strategic tool, enabling homeowners to unlock and grow home equity for long-term financial benefit.</t>
  </si>
  <si>
    <t>Cintrifuse Capital, Entrepreneurs Roundtable Accelerator, Evolution VC Partners</t>
  </si>
  <si>
    <t>www.merble.ai</t>
  </si>
  <si>
    <t>466856-11</t>
  </si>
  <si>
    <t>Pocket Finance</t>
  </si>
  <si>
    <t>Developer of a digital financial platform designed to help small investors to improve their financial literacy. The company's platform aims to bridge the gap between financial professionals and their clients and offers a web-based advisor portal where real-time actionable information is displayed and automated reports can be requested, enabling users to avail instant advice over any financial matter.</t>
  </si>
  <si>
    <t>Alberta Catalyzer, Invest Nova Scotia, Volta (Nova Scotia)</t>
  </si>
  <si>
    <t>www.pocketfinance.com</t>
  </si>
  <si>
    <t>267672-43</t>
  </si>
  <si>
    <t>Splitgrid</t>
  </si>
  <si>
    <t>Developer of finance management software designed to distribute cash funds automatically to reduce capital tied up for stores and minimize risk for suppliers. The company's software ensures that the payment for an individual product, such as a garment, is distributed between the store and the supplier directly when a product is registered at the checkout, enabling clients to get access to a tool in order to increase profitability in a vulnerable industry and decrease the risk.</t>
  </si>
  <si>
    <t>Almi Invest, Inkubera, Innovestor, NFT Ventures, Norion Bank</t>
  </si>
  <si>
    <t>www.splitgrid.com</t>
  </si>
  <si>
    <t>232665-22</t>
  </si>
  <si>
    <t>SureGifts</t>
  </si>
  <si>
    <t>Developer of a non-cash remittance platform designed to make sending vouchers and donating to charities easier. The company's platform is used to buy digital vouchers which are redeemable for goods and services using remittance tokens at zero transaction fees, instant access to shopping vouchers, and the ability to track the use of remittances sent, enabling customers to support their loved ones globally.</t>
  </si>
  <si>
    <t>500 Global, CRE Venture Capital, Future Africa, GreenHouse Capital, Hacked Capital, Hashed, Musha Ventures, Uzoma Dozie, Venture Garden Group</t>
  </si>
  <si>
    <t>www.suregifts.com.ng</t>
  </si>
  <si>
    <t>182914-39</t>
  </si>
  <si>
    <t>ThriveAgric</t>
  </si>
  <si>
    <t>AgTech, Big Data, FinTech</t>
  </si>
  <si>
    <t>Developer of an agricultural technology designed to empower smallholder farmers across Africa. The company's services offer finance, data-driven practices, and access to local and global markets for their commodities, enabling agriculturalists to increase their capacities to meet supply, quality, and food safety standards required by domestic and export markets.</t>
  </si>
  <si>
    <t>500 Global, African Netpreneur Prize Initiative, AYuTe Africa Challenge, Berrywood Capital, Bidra Innovation Ventures, Challenge Fund for Youth Employment, Google Accelerator, Resilience17, Ventures Platform, Visa Everywhere Initiative, West Africa Trade &amp; Investment Hub, Y Combinator</t>
  </si>
  <si>
    <t>www.thriveagric.com</t>
  </si>
  <si>
    <t>143995-78</t>
  </si>
  <si>
    <t>BigPay</t>
  </si>
  <si>
    <t>Operator of an online payment platform intended to provide transparent and quick payments through the wallet. The company offers financial payment services through point-of-sale architecture and offers prepaid and loyalty cards, enabling clients to make online transactions with low fees and secure technology.</t>
  </si>
  <si>
    <t>AirAsia MOVE, Capital A, SK Group</t>
  </si>
  <si>
    <t>www.bigpayme.com</t>
  </si>
  <si>
    <t>864767-26</t>
  </si>
  <si>
    <t>InsightAI</t>
  </si>
  <si>
    <t>Developer of an artificial intelligence-based fraud detection platform designed to prevent revenue loss, reduce false positives, and ensure compliance. The company integrates artificial intelligence, data analytics, and fintech expertise to reshape the financial industry and the platform seamlessly connects with leading bookkeeping and e-commerce software, eliminating manual data downloads and streamlining workflows, enabling clients to enhance security and operational efficiency.</t>
  </si>
  <si>
    <t>PedalStart</t>
  </si>
  <si>
    <t>www.insightai.in</t>
  </si>
  <si>
    <t>222683-95</t>
  </si>
  <si>
    <t>udu (US)</t>
  </si>
  <si>
    <t>Operator of an AI-powered deal-sourcing platform designed to automate the search, discovery, and analysis of target businesses. The company's platform brings together live dynamic web searching, analysis using machine learning, and complete data privacy in an easy-to-use package by leveraging advancements in data harvesting, enabling private equity customers and portfolio companies to identify prospects faster, find opportunities that would have been overlooked, automate various manual processes, and shorten the business development cycle.</t>
  </si>
  <si>
    <t>NC Tweener Fund</t>
  </si>
  <si>
    <t>www.udu.co</t>
  </si>
  <si>
    <t>453362-41</t>
  </si>
  <si>
    <t>Proppos</t>
  </si>
  <si>
    <t>Developer of a self-checkout platform designed to automatically identify products using artificial intelligence. The company's platform offers computer vision-based checkout systems for foodservice and retail industries, enabling clients to streamline the checkout process in self-service restaurants, grab-and-go stores, and travel-related venues with accuracy and ease.</t>
  </si>
  <si>
    <t>Banco Sabadell, BStartup10, Eatable Adventures, FGBO Capital, Scale Lab Andorra, Spain Foodtech, Wayra, Zone2boost</t>
  </si>
  <si>
    <t>www.proppos.com</t>
  </si>
  <si>
    <t>515328-58</t>
  </si>
  <si>
    <t>Ezio</t>
  </si>
  <si>
    <t>Developer of a payment platform designed to simplify expense tracking. The company's platform manages bank accounts and cards, and offers digital receipt capture and a web dashboard for administrative control, enabling home care and all medico-social establishments with easier reconciliation of spending.</t>
  </si>
  <si>
    <t>ABAB (Atlantic Business Angels Booster), Banque Populaire Grand Ouest, Birdhouse (Antwerp), Pays de la Loire Participations, platform58</t>
  </si>
  <si>
    <t>www.ezio.app</t>
  </si>
  <si>
    <t>399166-75</t>
  </si>
  <si>
    <t>Wealth42</t>
  </si>
  <si>
    <t>Developer of a Robo-advisor application designed to provide goal-based financial planning. The company's platform personalized investment objectives which help build a habit of saving, allows to set financial goals, and provides investment plans with analysis from market experts, enabling users to simplify personal finances across loans, investments, savings, taxes, and insurance and get personalized banking and investing experience.</t>
  </si>
  <si>
    <t>Amit Lakhotia, Ankur Warikoo, Anupam Mittal, Aprameya Radhakrishna, Cloud Capital (India), First Cheque, Kunal Shah, Nishith Rastogi, Sagar Yarnalkar, Srikanth Iyer, Subbarao Telidevara, Venk Krishnan, Y Combinator</t>
  </si>
  <si>
    <t>wealth42.com</t>
  </si>
  <si>
    <t>494823-07</t>
  </si>
  <si>
    <t>BeyondIRR</t>
  </si>
  <si>
    <t>Operator of a wealth management platform intended to simplify investment decision-making. The company's platform offers intelligent insights on client portfolios, enhances sales processes with product insights, offers actionable portfolio guidance integrating market trends and strategies of the enterprise, monitors, reviews, and rebalances portfolios, enabling wealth businesses to make client acquisition, client engagement, and client retention easier.</t>
  </si>
  <si>
    <t>Rainmatter Capital, Sujeet Kumar</t>
  </si>
  <si>
    <t>www.beyondirr.com</t>
  </si>
  <si>
    <t>608994-19</t>
  </si>
  <si>
    <t>Tradomate</t>
  </si>
  <si>
    <t>Developer of an artificial intelligence-based trading intelligence platform intended to inform decision-making and market interaction for traders in India. The company's platform offers real-time screeners, trade monitoring, strategy analysis, and automation tools, an easy-to-use interface, a comprehensive strategy builder, and three-layered backtesting precision, enabling traders to navigate the complexities of the financial world with confidence and precision.</t>
  </si>
  <si>
    <t>Antler, NASSCOM DeepTech Club</t>
  </si>
  <si>
    <t>www.tradomate.one</t>
  </si>
  <si>
    <t>459969-49</t>
  </si>
  <si>
    <t>Zuberi Technologies Ghana</t>
  </si>
  <si>
    <t>Developer of human resource payment system designed to offer all-in-one employee benefits through the application. The company offers a salary streaming feature that allows workers access to a part of their salary daily after they have worked, enabling employees and salaried workers to have the opportunity to access their salary daily rather than wait for the month-end.</t>
  </si>
  <si>
    <t>GOODsoil VC, Google Accelerator, Microtraction, Start OA</t>
  </si>
  <si>
    <t>tryzuberi.framer.website</t>
  </si>
  <si>
    <t>227444-50</t>
  </si>
  <si>
    <t>CostPocket</t>
  </si>
  <si>
    <t>Developer of accountancy software designed to help accountants receive receipts from their clients in a much faster and easier way. The company's expense management software automates business expense entry, eliminates paper trail, reduces administrative effort, and helps to ease the workflow and save most of the time accountants spend on receipts, enabling clients to save time on receipt delivery.</t>
  </si>
  <si>
    <t>Janis Rancans, Kaspar Hanni, Mastercard Lighthouse</t>
  </si>
  <si>
    <t>www.costpocket.com</t>
  </si>
  <si>
    <t>515101-42</t>
  </si>
  <si>
    <t>Level2</t>
  </si>
  <si>
    <t>Developer of a visual no-code quantitative strategy creation tool designed for retail traders. The company offers services that engage tech-savvy traders around the world, across all asset classes, ages, genders, wealth stages, and levels of financial expertise, enabling investors and traders to make financial investments and increase revenues</t>
  </si>
  <si>
    <t>Development Bank of Wales, Onstage (London), Techstars</t>
  </si>
  <si>
    <t>www.trylevel2.com</t>
  </si>
  <si>
    <t>498052-63</t>
  </si>
  <si>
    <t>SALT.</t>
  </si>
  <si>
    <t>Developer of a financial platform intended to provide boat finance. The company uses certified open banking technology and offers a paperwork-free application process, enabling users to secure loans for leisure boats with real-time processing and professional support.</t>
  </si>
  <si>
    <t>Chipco Investments</t>
  </si>
  <si>
    <t>www.salt-finance.com</t>
  </si>
  <si>
    <t>339861-34</t>
  </si>
  <si>
    <t>Cashy</t>
  </si>
  <si>
    <t>Operator of an invoice payment platform designed to manage accelerated supplier payments within corporate supply chains. The company's platform supports invoice uploading, dynamic discount configuration, supplier onboarding, payment date selection, settlement tracking, and reporting dashboards, enabling large enterprises and their small- and medium-sized business suppliers to manage cash flow timing, improve liquidity predictability, and reduce reliance on traditional short-term financing mechanisms.</t>
  </si>
  <si>
    <t>4Growth Venture Capital, Accelpoint, BEYOND (Copenhagen), D2XCEL, Maciej Zientara, Opoka Fundusz Inwestycji Zamkniętych, PFR Ventures, SAS, SPINAKER Alfa, X-Europe</t>
  </si>
  <si>
    <t>www.cashy.pl</t>
  </si>
  <si>
    <t>438904-09</t>
  </si>
  <si>
    <t>Enable Banking</t>
  </si>
  <si>
    <t>Developer of a financial platform designed to simplify the usage of the open banking application programming interface for everyone. The company's platform includes the library, documentation, and tools that provide the freedom to connect with every European bank within one's privacy without third-party services, enabling users to increase transparent application programming interface connectivity.</t>
  </si>
  <si>
    <t>70 Ventures, Forward VC, Kiuas Accelerator, Mastercard Lighthouse, RBL_START, Wellstreet Partners</t>
  </si>
  <si>
    <t>www.enablebanking.com</t>
  </si>
  <si>
    <t>741912-22</t>
  </si>
  <si>
    <t>Interface</t>
  </si>
  <si>
    <t>Developer of an AI-driven platform designed to assist e-commerce sellers in reclaiming funds from marketplace disputes. The company's platform utilizes proprietary models to diagnose discrepancies in payment records, retrieve necessary documentation, dispute false deductions, and follow up with marketplaces, enabling online retailers to recover lost revenue efficiently.</t>
  </si>
  <si>
    <t>Accel, Alphabet, Antler, Google Accelerator, NewBuild Venture Capital</t>
  </si>
  <si>
    <t>www.getinterface.tech</t>
  </si>
  <si>
    <t>464454-10</t>
  </si>
  <si>
    <t>SympliFi</t>
  </si>
  <si>
    <t>Developer of a financial technology platform designed to transform credit access facilities. The company's platform creates economic opportunity and accelerates financial inclusion in emerging markets by increasing access and decreasing the cost of credit for micro and small businesses, enabling clients to directly access financial services back home for themselves and their families.</t>
  </si>
  <si>
    <t>1to4 Foundation, Ada Ventures, Akuna Capital, FFWD London, Foundervine, Google Accelerator, Jasco Venture, Mercy Corps, Ossian Capital, Simplex Ventures, Techstars, The Goldman Sachs Group</t>
  </si>
  <si>
    <t>www.symplifi.finance</t>
  </si>
  <si>
    <t>523420-48</t>
  </si>
  <si>
    <t>Incentiv</t>
  </si>
  <si>
    <t>Developer of private equity infrastructure tools intended to support equity lifecycle management and secondary transactions. The company provides cap table administration, ESOP and equity tracking, shareholder management, secondary deal execution, fund operations support, digital documentation, compliance workflows, secure data rooms, investor access controls, transaction dashboards, payment processing, and reporting features, enabling private companies, founders, shareholders, and investors to manage ownership structures, conduct compliant share transfers, access liquidity, and participate in private market investments through a centralized system.</t>
  </si>
  <si>
    <t>Udtara Ventures</t>
  </si>
  <si>
    <t>www.incentiv.finance</t>
  </si>
  <si>
    <t>520993-63</t>
  </si>
  <si>
    <t>XBOOKS</t>
  </si>
  <si>
    <t>Developer of a tax reporting platform designed to offer methods for investments or payments for individuals and companies that use cryptocurrencies. The company's platform assists in generating reports of all their transactions, classifying them, calculating capital gains or losses, and acquiring all the accounting data necessary to draw up tax returns or company financial statements in a compliant manner with tax regulations and provisions of the reference country, enabling crypto users to record and create reports of their cryptocurrencies and blockchain assets.</t>
  </si>
  <si>
    <t>Angels for Impact, Avvio Capital, Davide Coletto, Enrico Giacomelli, NexumStp, Primo Capital (Milano), Rigel Ventures, Sella Direct Ventures, SFC Capital, Vertis SGR</t>
  </si>
  <si>
    <t>www.xbooks.it</t>
  </si>
  <si>
    <t>491535-55</t>
  </si>
  <si>
    <t>Aura Pay</t>
  </si>
  <si>
    <t>Developer of a digital payment platform intended to help users send remittances to their families. The company's platform sends money directly by promoting the reduction of inequalities through financial inclusion with accessible, practical, and transactional accounts, enabling customers to avoid complications when receiving remittances and to program their finances in a hassle-free manner.</t>
  </si>
  <si>
    <t>Casa Santo Domingo, Mission (Spain), VujaDe Ventures</t>
  </si>
  <si>
    <t>www.somosaurapay.com</t>
  </si>
  <si>
    <t>494093-26</t>
  </si>
  <si>
    <t>Cashplannr</t>
  </si>
  <si>
    <t>Developer of a cash flow forecasting application intended to understand the financial impact of business decisions. The company's platform offers automatic cash flow forecasting with real-time data and allows for assessing the feasibility of ideas, investments, and projects, enabling businesses to grow their business without financial surprises.</t>
  </si>
  <si>
    <t>Birdhouse (Antwerp), Pitchdrive</t>
  </si>
  <si>
    <t>www.cashplannr.com</t>
  </si>
  <si>
    <t>168620-41</t>
  </si>
  <si>
    <t>Credi2</t>
  </si>
  <si>
    <t>Provider of digital financing services intended to conceptualize, build, and operate solutions for banks, payment institutions, and retailers. The company's services offer a buy now, pay later (BNPL) module to reduce implementation and operational efforts, and credit card providers can quickly supply end-to-end digital products for consumers, enabling clients to have the latest technology and processes for payment and financing solutions in a short period.</t>
  </si>
  <si>
    <t>8eyes, Alfred Luger, Barikuta Partners, Christian Kaar, Crossventures, Dieter von Holtzbrinck Ventures, Florian Gschwandtner, Hansmann Family Office, Hevella Capital, Johann Hansmann, Kailuana, Michael Grabner Media, Raiffeisen Zentralbank Österreich, Reimann Investors, Rene Giretzlehner, Speedinvest, Stefan Kalteis, Volkswagen Pon Financial Services</t>
  </si>
  <si>
    <t>www.credi2.com</t>
  </si>
  <si>
    <t>434631-88</t>
  </si>
  <si>
    <t>Fairfield</t>
  </si>
  <si>
    <t>Developer of a credit and debt management platform designed to manage problematic loans. The company's platform revolutionizes the world of debt collection, characterized by innovative tools and artificial intelligence models, and offers a debt marketplace for effective traceability and flexibility, enabling companies, consumers, and recovery workers to solve critical credit situations in a personalized, simple, and friendly way.</t>
  </si>
  <si>
    <t>B Heroes</t>
  </si>
  <si>
    <t>www.fairfieldmarketplace.com</t>
  </si>
  <si>
    <t>509781-88</t>
  </si>
  <si>
    <t>FinHero</t>
  </si>
  <si>
    <t>Developer of a digital financing platform intended to provide a sustainable and efficient financing ecosystem as an alternative to conventional financing. The company's platform engages in providing services such as financial application processing, customization, trade finance, automated collections, accounts receivable financing, an automated backend system, and the entire adherence to the relevant laws regarding data privacy, enabling clients to maintain the confidentiality of submitted documents.</t>
  </si>
  <si>
    <t>Arrow Capital, Chun Chong, NTT Data Group, Penang i4.0 Seed Fund</t>
  </si>
  <si>
    <t>www.finheroasia.com</t>
  </si>
  <si>
    <t>230489-56</t>
  </si>
  <si>
    <t>Pod (Financial Software)</t>
  </si>
  <si>
    <t>Developer of a social goal-based savings application designed to save money for specific goals. The company's platform allows savings to be separated from spending accounts, stabilizes finances, plans effectively, and unlocks services, enabling users to avail themselves of personalized savings experiences and get rewards for completing milestones.</t>
  </si>
  <si>
    <t>1337 Ventures, Indonesia Women Empowerment Fund, Sunway iLabs, The Hive Southeast Asia, YCAB Ventures</t>
  </si>
  <si>
    <t>www.usepod.com</t>
  </si>
  <si>
    <t>483629-86</t>
  </si>
  <si>
    <t>Zenpay Solutions</t>
  </si>
  <si>
    <t>Developer of a digital banking platform designed to bridge the financial gap between employers and employees and provide hassle-free digital payment services. The company's platform offers a relevant and convenient mode to manage digital payments which allows making numerous payments with the convenience of a single digital card to track and manage financial expenses effectively and efficiently, allowing blue-collar workers to access banking services in a simplified way.</t>
  </si>
  <si>
    <t>Aditya Mittal, Anant Aggarwal, AngelBay, Ashish Mittal, Desire Infrabuild Private Limited, Naresh Vigh, Nitin Agarwal, Pavitra Walwekar, Raghav Singhal, Venture Garage, Viney Equity Market</t>
  </si>
  <si>
    <t>www.zenpaysolutions.com</t>
  </si>
  <si>
    <t>489278-62</t>
  </si>
  <si>
    <t>Payroll Integrations</t>
  </si>
  <si>
    <t>Developer of an integration platform-as-a-service and unified API platform designed to streamline connectivity between enterprise software and employer payroll systems. The company offers API-based payroll integrations and a unified connectivity layer, enabling benefit providers and fintech firms to automate data exchange with employer payroll platforms and improve operational efficiency.</t>
  </si>
  <si>
    <t>Arthur Ventures, Chris Miller</t>
  </si>
  <si>
    <t>www.payrollintegrations.com</t>
  </si>
  <si>
    <t>91429-66</t>
  </si>
  <si>
    <t>Confido Legal</t>
  </si>
  <si>
    <t>Artificial Intelligence &amp; Machine Learning, B2B Payments, FinTech, Legal Tech, SaaS</t>
  </si>
  <si>
    <t>Operator of a payment processing platform intended for law and legal technology companies. The company's platform offers features such as reducing processing fees, automating workflows, and improving client experience with mobile-friendly payment pages, enabling legal firms to collect payments faster and reduce administrative work.</t>
  </si>
  <si>
    <t>Aquiline Capital Partners, Breakwater Ventures Management, Context Ventures, Live Oak Bank, The Legal Tech Fund</t>
  </si>
  <si>
    <t>www.confidolegal.com</t>
  </si>
  <si>
    <t>491637-97</t>
  </si>
  <si>
    <t>Waytobill</t>
  </si>
  <si>
    <t>Developer of a payment platform intended to facilitate recurring transactions for various subscription-based businesses. The company's platform offers features such as seamless integration with CRM systems, diverse payment methods including direct debit and card payments, and automated invoice reminders, enabling businesses to enhance customer retention and satisfaction while streamlining payment processes.</t>
  </si>
  <si>
    <t>Almi Invest, Gorilla Capital (Helsinki), Mastercard Lighthouse, Micael Holmström, Nordic Opportunity, Polynom Investment, Wellstreet Partners</t>
  </si>
  <si>
    <t>www.waytobill.com</t>
  </si>
  <si>
    <t>303049-90</t>
  </si>
  <si>
    <t>Whitehall Finance</t>
  </si>
  <si>
    <t>Developer of a working capital platform designed to ensure suppliers have the option to receive immediate payment and approve invoices. The company's software provides information on the status of all transactions for businesses, suppliers, and investors on better terms than can typically be found using traditional finance options, enabling buyers to be paid immediately when they choose to be and allowing them to share in the benefits.</t>
  </si>
  <si>
    <t>Jenson Ventures, Otala Markets, The FSE Group</t>
  </si>
  <si>
    <t>www.whitehallfinance.com</t>
  </si>
  <si>
    <t>157034-98</t>
  </si>
  <si>
    <t>LenDenClub</t>
  </si>
  <si>
    <t>Developer of an online peer-to-peer lending platform designed to make credit easily accessible. The company's platform is an automated, simple-to-use, transparent, and hassle-free place that acts as an intermediary between lenders looking for high returns with creditworthy borrowers looking for short-term personal loans, enabling users to mitigate risk, diversify portfolios, and maximize their returns.</t>
  </si>
  <si>
    <t>Aeroflex Enterprises, Alok Bansal, Anirudh Damani, Artha India Ventures, Artha Venture Partners (Mumbai), Beams Fintech Fund, Daud Ali, Gaurav Singhvi Ventures, GI Ventures (India), Hardik Pandya, Jayesh Shah, Krishna Bhupal, Krishna Jhunjhunwala, Kube VC, Kunal Shah, Mitesh Shah, Nandi Mehta, Narendra Karnavat, Ohm Stock Brokers, QED Innovation Labs, Ramakant Sharma, Shajikumar Devakar, Shuchi Kothari, Som Ventures, Transworld Holdings, Tuscan Ventures, Venture Catalysts (Capital Markets/Institutions), Vikas Kapoor, Vikram Lakhotia</t>
  </si>
  <si>
    <t>www.lendenclub.com</t>
  </si>
  <si>
    <t>471793-87</t>
  </si>
  <si>
    <t>Xpresslane</t>
  </si>
  <si>
    <t>Developer of a checkout platform designed to improve checkout conversions. The company's platform provides secure checkouts to D2C brands with a unified identity across all e-commerce merchants to bring efficiency, enabling customers and merchants to get smooth transactions and secure checkouts, and get an improved online shopping experience.</t>
  </si>
  <si>
    <t>Axilor Ventures, Faad Network, Karan Chowdhary, Manipal Technologies, Manish Chowdhary, Opus Technologies, PointOne Capital, Ramesh Krishnamoorth, Rohit Chanana, Venture Garage, Vetrichelvan Jeyapalpandy, Yatra Angel Network</t>
  </si>
  <si>
    <t>www.xpresslane.in</t>
  </si>
  <si>
    <t>483696-01</t>
  </si>
  <si>
    <t>Fintelite</t>
  </si>
  <si>
    <t>Developer of an intelligent process automation platform designed to streamline the loan application process for financial institutions. The company's platform offers services such as text recognition, transaction analysis, and bank statement analysis, enabling users to boost efficiency and accuracy in their loan processing.</t>
  </si>
  <si>
    <t>AppWorks, Artificial Intelligence Institute for Progress, BEENEXT Capital Management, Global FinTech Hackcelerator, Hi2 Global, Indonesia Women Empowerment Fund, MyAsiaVC, Peak XV Partners, Scale Up by Endeavor, Venturra Capital, Y Combinator, YCAB Ventures</t>
  </si>
  <si>
    <t>www.fintelite.ai</t>
  </si>
  <si>
    <t>521645-14</t>
  </si>
  <si>
    <t>Fintellity</t>
  </si>
  <si>
    <t>Developer of a payment platform designed to provide businesses with financial profiles to make customer decisions. The company's platform integrates with the customer's banking software for online transactions with access to real-time data about customers' financial profiles, helps promote financial well-being, build sustainable relationships and helps businesses approve and retain customers, reduces fraud, and save money on operational costs, enabling clients to expand their customer reach and make informed financial decisions while reducing costs.</t>
  </si>
  <si>
    <t>Foundervine, Symvan Capital</t>
  </si>
  <si>
    <t>www.fintellity.com</t>
  </si>
  <si>
    <t>510736-42</t>
  </si>
  <si>
    <t>GonnaOrder</t>
  </si>
  <si>
    <t>Developer of an online ordering system designed to help restaurants and food businesses manage digital transactions and customer interactions. The company offers a platform that includes features for response code table ordering, self-service or takeaway management, and home delivery coordination, while providing tools for real-time order status updates, multi-language menu displays, enabling hospitality providers to increase revenue and improve operational efficiency through streamlined contactless payments and reduced customer waiting times.</t>
  </si>
  <si>
    <t>Dimitrios Farmakis, Imperial Enterprise Lab, Pavlos Kalaitzoglou, Whitebeam</t>
  </si>
  <si>
    <t>www.gonnaorder.com</t>
  </si>
  <si>
    <t>589829-50</t>
  </si>
  <si>
    <t>LIA (Financial Software)</t>
  </si>
  <si>
    <t>Developer of a B2B credit management software platform designed to help businesses manage invoices, due dates, and post-due follow-ups in a structured workflow. The company offers integrations with ERP, banking, and CRM systems, automated monitoring of open receivables, priority highlighting, and AI-generated reminder communications, enabling small and mid-sized businesses and growing companies to improve cash flow visibility, reduce overdue invoices, and lower manual effort for finance teams.</t>
  </si>
  <si>
    <t>dPixel, Fabrick, G-Factor, PLAI Accelerator, Sella Direct Ventures, Tenity</t>
  </si>
  <si>
    <t>www.getyourlia.com</t>
  </si>
  <si>
    <t>471388-42</t>
  </si>
  <si>
    <t>Aggois</t>
  </si>
  <si>
    <t>AgTech, E-Commerce, FinTech</t>
  </si>
  <si>
    <t>Developer of an agri-finance platform designed to offer reliability assurance to farmers which involves quality, quantity, traceability and maximum price guarantee. The company's platform offers upfront payment against valid MSP receipts and a minimum guaranteed price for produce and converts erratic receivables into regular cash flows, enabling farmers to mitigate cash crunch arising from MSP payment delays.</t>
  </si>
  <si>
    <t>Bharat Inclusion Seed Fund, Innovation and Agri-enterpreneurship, Ipreneur Accelerator, Jawahar R-ABI, Sprout Venture Partners</t>
  </si>
  <si>
    <t>www.aggois.com</t>
  </si>
  <si>
    <t>518316-40</t>
  </si>
  <si>
    <t>FinStack (Financial Software)</t>
  </si>
  <si>
    <t>Developer of a no-code global SaaS platform designed to digitize access to credit with zero engineering dependency. The company's platform takes care of the API integration, feature computations, underwriting journeys, and loan management systems in less than ten minutes without needing to hire a single developer, enabling banks, NBFCs, and fintech to underwrite loans for the billions of citizens of the world.</t>
  </si>
  <si>
    <t>Entrepreneurs First, MIT WPU TBI</t>
  </si>
  <si>
    <t>www.finstack.in</t>
  </si>
  <si>
    <t>472434-94</t>
  </si>
  <si>
    <t>Reveniu</t>
  </si>
  <si>
    <t>Developer of an all-in-one subscription management platform designed to help businesses and individuals receive payments with debit and credit cards. The company's platform gives a suite of powerful tools to get to market and save time and money, enabling nonprofits, content creators, and businesses to collect recurring payments.</t>
  </si>
  <si>
    <t>Fen Ventures, Start-Up Chile</t>
  </si>
  <si>
    <t>www.reveniu.com</t>
  </si>
  <si>
    <t>500989-33</t>
  </si>
  <si>
    <t>Zeed</t>
  </si>
  <si>
    <t>Developer of an investment app designed to use short-form videos to empower Gen-Z investors. The company's platform provides video content on investment trends and general financial knowledge, it makes investing more accessible by pairing in-house finance content with trade execution, assisting investors with video-driven investing.</t>
  </si>
  <si>
    <t>Odin Investments, SFC Capital</t>
  </si>
  <si>
    <t>www.zeed.ai</t>
  </si>
  <si>
    <t>231467-77</t>
  </si>
  <si>
    <t>LayUp Payments</t>
  </si>
  <si>
    <t>Developer of a digital recurring payment system designed for e-commerce and point of sale environments. The company's platform offers interest-free installments, subscription management, pre-order capabilities, and integration with major online storefronts via plugins and APIs, along with a proprietary mobile terminal application for in-store use, enabling businesses and SMEs to efficiently manage payment plans, reduce manual follow-ups, and expand access to alternative, credit-free payment methods that promote financial inclusion across diverse markets.</t>
  </si>
  <si>
    <t>Araxi (south africa), Breega, Foresight (Business/Productivity Software), Techstars</t>
  </si>
  <si>
    <t>www.layup.co.za</t>
  </si>
  <si>
    <t>484554-16</t>
  </si>
  <si>
    <t>FitBUX</t>
  </si>
  <si>
    <t>Developer of an online lending platform designed to make financial planning hassle-free and help young professionals manage their money. The company's platform specializes in capital analytics and artificial intelligence and automates fully customized financial planning by integrating both tangible assets and intangible assets, enabling clients to have a way to make informed financial decisions.</t>
  </si>
  <si>
    <t>Joe Rizzi, John Lawrence, Robert Topping, Tampa Bay Wave, Topping Capital</t>
  </si>
  <si>
    <t>www.fitbux.com</t>
  </si>
  <si>
    <t>130162-24</t>
  </si>
  <si>
    <t>Plane (Financial Software)</t>
  </si>
  <si>
    <t>Developer of a global payroll platform designed to simplify hiring and paying people abroad. The company's platform offers cloud based payroll processing, contractor payment management, employee onboarding tools, benefits administration, and compliance management features, enabling startups, business operators, and human resources teams to manage hiring, payments, and workforce records through a single system.</t>
  </si>
  <si>
    <t>Credo Ventures, Innovation Nest, Samuel Altman, Y Combinator</t>
  </si>
  <si>
    <t>www.plane.com</t>
  </si>
  <si>
    <t>530538-40</t>
  </si>
  <si>
    <t>Pledger (Financial Software)</t>
  </si>
  <si>
    <t>Developer of a credit-guaranteed platform designed to make loans more accessible. The company's platform, integrated into the information systems of financial institutions, allows the borrower to deposit their savings as collateral, where savings will not be touched unless the borrower defaults, enabling borrowers to get loans at competitive rates and with reduced granting criteria.</t>
  </si>
  <si>
    <t>www.pledger.fr</t>
  </si>
  <si>
    <t>156180-52</t>
  </si>
  <si>
    <t>Bridg Payment Solutions</t>
  </si>
  <si>
    <t>Developer of a payment application designed to make transactions without any data plans. The company's application facilitates a transaction to occur between multiple devices, even if the phones have a connection to the internet, utilizing Bluetooth technology, enabling users to make easy, safe, and wireless payments that have a larger reach with complete user control.</t>
  </si>
  <si>
    <t>500 Global, European Commission, MetLife Foundation, TURN8, Village Capital</t>
  </si>
  <si>
    <t>www.bridgtheapp.com</t>
  </si>
  <si>
    <t>384721-30</t>
  </si>
  <si>
    <t>Contalink</t>
  </si>
  <si>
    <t>Developer of a SaaS-based web accounting automation platform designed to provide all the financial information. The company's platform specializes in accounting, finance, and administration to comply with the requirements of an office such as taxation, reducing operational costs, eliminating license costs and other related accounts, enabling accountants to reduce costs and generate new c.</t>
  </si>
  <si>
    <t>500 Global, 500 Startups LatAm, Chandaria Capital, Finnovista, FoundersX Ventures, Kalonia, Liquid 2 Ventures, Noveus Capital, Realm Capital Ventures, SCM AD Ventures, Scribble Ventures, Soma Capital, Startupbootcamp Holding, Super Capital, Super Capital One, Y Combinator</t>
  </si>
  <si>
    <t>www.contalink.com</t>
  </si>
  <si>
    <t>458066-44</t>
  </si>
  <si>
    <t>eShandi</t>
  </si>
  <si>
    <t>Developer of a digital financial infrastructure platform intended to expand access to credit and payment services for underserved individuals and small businesses. The company offers AI (artificial intelligence)-driven risk models and embedded finance capabilities, enabling underserved individuals and small businesses across Africa to access capital and financial services more easily.</t>
  </si>
  <si>
    <t>Angel Fair Africa, Enygma Ventures, Inoks Capital, Visa Accelerator</t>
  </si>
  <si>
    <t>www.eshandi.com</t>
  </si>
  <si>
    <t>438149-08</t>
  </si>
  <si>
    <t>Nu-Credits</t>
  </si>
  <si>
    <t>Developer of a trade finance platform designed to provide payment services and document verification tools for importers and exporters. The company's platform purchases the invoices after the goods or services are sold to clients and provides cross-border financing to industries such as manufacturing, agriculture, and others, enabling businesses to facilitate invoice financing for domestic and international markets and offering them efficient, flexible, and competitive solutions.</t>
  </si>
  <si>
    <t>Accelerating Asia, Block.IS, Fuel Ventures, Hawk He, Open Network Lab, Plug and Play Tech Center, Qatar FinTech Hub Wave, Tech Nation Group</t>
  </si>
  <si>
    <t>www.nu-credits.com</t>
  </si>
  <si>
    <t>719455-69</t>
  </si>
  <si>
    <t>Aircap (Financial Software)</t>
  </si>
  <si>
    <t>Developer of an open finance platform designed to bring automation and transparency to monitoring portfolio companies and managing financial flows for unlisted investment professionals. The company offers centralized accounts with French IBANs, multi-bank aggregators and tailored Mastercard integrations, enabling customers to track cash flows in real-time, instantly approve company expenditures and proactively mitigate investment risks through automated transactional alerts.</t>
  </si>
  <si>
    <t>Bpifrance, platform58</t>
  </si>
  <si>
    <t>www.aircap.tech</t>
  </si>
  <si>
    <t>228568-06</t>
  </si>
  <si>
    <t>Lendismart</t>
  </si>
  <si>
    <t>Developer of a retail technology financing platform designed to connect those who require financing to multiple lenders and alternative payment options. The company's platform operates in the point-of-sale financing market to facilitate the process of finding financing for sales and users need to enter personal details to request financing, enabling retail stores to offer purchase financing to users.</t>
  </si>
  <si>
    <t>Andalucia Open Future, BStartup10, Faraday Venture Partners, Seedrocket</t>
  </si>
  <si>
    <t>www.lendismart.com</t>
  </si>
  <si>
    <t>493401-07</t>
  </si>
  <si>
    <t>Yellow Metal</t>
  </si>
  <si>
    <t>Operator of a gold loan platform intended to transform the way people use their household gold in rural India. The company's platform offers gold loans at minimal interest rates without hidden charges and offers customer support, enabling customers to utilize their idle gold to secure financial support at their doorstep.</t>
  </si>
  <si>
    <t>First Cheque, Java Capital (India), LVX, Novo Capital, Rajesh Sawhney, SN Damani, Spiral Ventures, WaterBridge Ventures</t>
  </si>
  <si>
    <t>www.yellowmetal.co</t>
  </si>
  <si>
    <t>287645-77</t>
  </si>
  <si>
    <t>Confirmu</t>
  </si>
  <si>
    <t>Provider of credit risk assessment service intended for financial inclusion regardless of age, location, or past performance. The company's service offers alternative credit scores for lenders in the form of a mobile software development kit or as a white-label solution for people with little or no credit history by combining financial data and a questionnaire into an alternative credit scoring system, enabling lenders to understand who their potential borrowers and help borrowers get access to credit.</t>
  </si>
  <si>
    <t>DIFC Innovation Hub, Global FinTech Hackcelerator, Holt Xchange, InterSystems Ventures, Inv FinTech, July Ventures, Orbit Ventures (Venture Capital), Reserve Bank Innovation Hub, Seedstars International Ventures, Son Tech Investment, SOSV, Tech in Asia, The Israeli Insurtech Accelerator, V Hospitality Company, Y Combinator</t>
  </si>
  <si>
    <t>www.confirmu.com</t>
  </si>
  <si>
    <t>749280-79</t>
  </si>
  <si>
    <t>Money Squirrel</t>
  </si>
  <si>
    <t>Developer of a savings automation tool designed to automate and manage cash flow and taxes efficiently. The company offers financial management services, automatic income detection, automatic calculation and management of money, and spending analysis, enabling businesses to streamline their financial processes and focus on growth.</t>
  </si>
  <si>
    <t>Lazaroo-Hood Group, Woodhurst</t>
  </si>
  <si>
    <t>www.moneysquirrel.uk</t>
  </si>
  <si>
    <t>500959-45</t>
  </si>
  <si>
    <t>Startgram</t>
  </si>
  <si>
    <t>Developer of an equity management platform designed to help expert and non-expert investors effectively direct new capital to innovative start-ups and SMEs. The company's platform utilizes artificial intelligence algorithms to collect and process startup data by assigning a reference rating to each campaign being evaluated, enabling businesses to assess business plans and financial plans.</t>
  </si>
  <si>
    <t>CDP Venture Capital (Rome), ERA Global, Global Start Up Program, Mival Capital, Personae Accelerator, Zest Group</t>
  </si>
  <si>
    <t>www.startgram.it</t>
  </si>
  <si>
    <t>152054-56</t>
  </si>
  <si>
    <t>Taxhub</t>
  </si>
  <si>
    <t>Developer of an online tax filing platform intended to offer CPA-prepared tax returns for individuals and businesses. The company's platform enables users to upload tax documents directly to the website either through text or email, they can then schedule a call or video conference with a CPA to seek guidance and complete filing, enabling individuals and small businesses to easily file for tax returns.</t>
  </si>
  <si>
    <t>www.gettaxhub.com</t>
  </si>
  <si>
    <t>433400-68</t>
  </si>
  <si>
    <t>Atrato</t>
  </si>
  <si>
    <t>Developer of a payment platform designed to help customers underwrite fair and simple installment purchases. The company's platform allows merchants to grow their sales and improve demand for their products and services, enabling users to make monthly purchases without using a card.</t>
  </si>
  <si>
    <t>Accel, Architect Capital, Finnovista, Four Cities Capital, Martin Schrimpff, Mexamerica Ventures, Soma Capital, Startupbootcamp Holding, William Clerico, Y Combinator</t>
  </si>
  <si>
    <t>www.atratopago.com</t>
  </si>
  <si>
    <t>279644-23</t>
  </si>
  <si>
    <t>Bamboo (Brokerage)</t>
  </si>
  <si>
    <t>Developer of a digital investment platform designed to help users discover, invest, and track their investments. The company's platform uses data encryption and two-factor authentication protection while handling financial data, enabling users to get expert advice and financial support to track their portfolios safely.</t>
  </si>
  <si>
    <t>2080 Ventures, ACE Ventures (Geneva), Ajoje Capital Partners, Asime Ventures, Chandaria Capital, Daft Capital, EarlyBird Venture Lab, Expansion Venture Capital, Forbes8 Digital Startup Accelerator, Future Africa, Greenlights Capital, Greycroft, HoaQ, Ingressive (Nigeria), Kepple Africa Ventures, Magic Fund, Michael Seibel, Motley Fool Ventures, Norrsken Africa Seed, Outlierz Ventures, Rebel Fund, Riverside Ventures, Saison Capital, Samurai Incubate Africa, Tahseen Consulting, The Chrysalis Capital, The Continent Venture Partners, Tiger Global Management, Whoa Ventures, Y Combinator</t>
  </si>
  <si>
    <t>investbamboo.com</t>
  </si>
  <si>
    <t>437630-32</t>
  </si>
  <si>
    <t>Conta Simples</t>
  </si>
  <si>
    <t>Developer of digital bank accounts designed to make financial transactions agile and secure. The company's platform allows small and medium-sized companies to carry out everything from transfers, withdrawals, and payments while also offering digital accounts with multiple corporate cards and Internet banking facilities, enabling businesses to make financial transactions more organized and accessible from a mobile app or a computer.</t>
  </si>
  <si>
    <t>B Venture Capital, Base10 Partners, Big Bets, big_bets, BoostLAB, Bossa Invest, Broadhaven Capital Partners, Cassio Greco, Diego Gomes, DOMO.VC, Dorival Dourado, Eduardo Glitz, EXT Capital, Fabrice Grinda, FEA Angels, FJ Labs, Google Accelerator, Gustavo Souza, InovaBRA, JAM Fund, Marcelo Maisonnave, Mauricio Kigiela, Michael Sidgmore, NVA Capital, Paulo Silveira, Pedro Englert, Quartz (Brazil), Rodrigo Dantas, SaaSholic, Spectra Investments, Tribe Capital, Valor Capital Group, Y Combinator</t>
  </si>
  <si>
    <t>www.contasimples.com</t>
  </si>
  <si>
    <t>439518-61</t>
  </si>
  <si>
    <t>Cradle Finance</t>
  </si>
  <si>
    <t>Developer of a business-to-business (B2B) payments platform based in Bengaluru, Karnataka. The company's platform assists small businesses in collecting online payments from other companies for free by offering purchase credit and collection of payments, enabling businesses to conduct payment collection efficiently and cost-effectively.</t>
  </si>
  <si>
    <t>www.cradlefinance.com</t>
  </si>
  <si>
    <t>226814-23</t>
  </si>
  <si>
    <t>CredPal</t>
  </si>
  <si>
    <t>Developer of a financial platform designed to ease consumer credit purchase of anything across various online and offline merchants. The company's platform offers transparency in services facilitating users to set up their account and choose their payment plan leveraging technology to minimize risk and connect to multiple financial institutions that provide credit for customers, enabling customers to have convenient credit access to make their purchases and also allows retail businesses provide on-demand credit for the consumer population</t>
  </si>
  <si>
    <t>Acasia, Acasia Ventures, Adriaan Pienaar, CFV Ventures, DMZ (Toronto), DMZ Ventures, First Circle Capital, First City Monument Bank, Google Accelerator, GreenHouse Capital, LongCommerce, MAVA Ventures, RevTech Labs Capital, Stacked Capital, Startupbootcamp Holding, Tangerine Life Insurance, Uncovered Fund, Village Capital, Visa, Y Combinator, Youcef Es-skouri</t>
  </si>
  <si>
    <t>www.credpal.com</t>
  </si>
  <si>
    <t>277799-95</t>
  </si>
  <si>
    <t>Facio</t>
  </si>
  <si>
    <t>Developer of a digital financial platform designed to provide loans to the working class. The company's platform integrates with the employer's system to offer credit facilities or loans without any intermediary fees on an interest basis that will be deducted monthly from employees' payroll, enabling businesses to consider and offer secure liquidity options.</t>
  </si>
  <si>
    <t>Discovery Ventures (Berlin), FEBE Ventures, Gabriel Braga, Igor Marchesini, Mago Capital, Michael Seibel, Monashees, ONEVC, Saison Capital, Soma Capital, Spectra Investments, Tekton Ventures, Uncorrelated Ventures, Y Combinator</t>
  </si>
  <si>
    <t>www.facio.com.br</t>
  </si>
  <si>
    <t>433408-96</t>
  </si>
  <si>
    <t>Kanda Products &amp; Services</t>
  </si>
  <si>
    <t>Developer of quoting and invoicing software designed to let tradespeople offer finance, automate paperwork, and get paid on time. The company's software is an estimating tool that contractors can use to send estimates with the option of offering escrow financing for clients who are unable to pay the price upfront, enabling clients to compete on price as well as making it affordable for homeowners to have work done on their house.</t>
  </si>
  <si>
    <t>www.grow.kanda.co.uk</t>
  </si>
  <si>
    <t>439507-99</t>
  </si>
  <si>
    <t>Letter</t>
  </si>
  <si>
    <t>Developer of a banking and financial platform designed to get access to investment and financial opportunities. The company's platform includes customized debit cards, which come with diverse investment and lending opportunities, also gives where a customer can provide donations tracking such donation progress, and proper account management from its platform, enabling high net worth individuals to manage their wealth and liquidity.</t>
  </si>
  <si>
    <t>Alex MacCaw, Andrew Wilkinson, Chris Williams, Christian Reber, Darius Monsef, Duro Ventures, Earl Grey Capital, Gaingels, Haroon Mokhtarzada, Hiten Shah, Jude Gomila, Opera Ventures, Realm Capital Ventures, Ride Home Fund, Rogue Capital, The Emprise Group, Tiny Capital, Wisam Abdulla, Y Combinator, Zack Onisko</t>
  </si>
  <si>
    <t>www.letter.co</t>
  </si>
  <si>
    <t>438307-30</t>
  </si>
  <si>
    <t>Safepay</t>
  </si>
  <si>
    <t>Operator of digital payment infrastructure intended for e-commerce and financial transaction processing. The company's platform integrates a comprehensive suite of developer-friendly application programming interfaces, software development kits, and modular checkout components that facilitate the acceptance of diverse payment methods like credit cards, bank accounts, and digital wallets, enabling merchants to automate recurring billing, minimize transaction friction through secure tokenization, and optimize checkout conversion rates through intelligent payment orchestration and real-time data analytics.</t>
  </si>
  <si>
    <t>ACE Ventures (Geneva), Fatima Gobi Ventures, Global Founders Capital, Gobi Partners, HOF Capital, i2i Ventures (Pakistan), Mantis VC, Rally Cap VC, Soma Capital, Stripe, The Fintech Fund, Y Combinator</t>
  </si>
  <si>
    <t>www.getsafepay.pk</t>
  </si>
  <si>
    <t>303408-73</t>
  </si>
  <si>
    <t>Spring (San Francisco)</t>
  </si>
  <si>
    <t>Developer of a payment platform designed for online and offline transactions. The company's platform offers an online digital banking portal built around the phone number that allows customers to make payments, transfer funds, buy airtime, and pay bills, enabling customers to make cross-border payment transactions quickly and conveniently.</t>
  </si>
  <si>
    <t>99 Startups, 9Yards Capital Management, Alex Gálvez, Andreessen Horowitz, Brad Flora, Efeoghene Ori-Jesu, Friale, GreenHouse Capital, Hacked Capital, Halo Labs (United States), Maria Alegre, Michael Seibel, Microtraction, Mozilla, Noah Cohen, Radu Spineau, Samurai Incubate Africa, Saviu Ventures, Sequoia Capital, Swell Partners, VentureSouq, Y Combinator, Zach Cohen</t>
  </si>
  <si>
    <t>www.springinafrica.com</t>
  </si>
  <si>
    <t>279989-56</t>
  </si>
  <si>
    <t>Tasker AI</t>
  </si>
  <si>
    <t>Developer of an automation tool designed for collecting data and automating knowledge economy tasks. The company aims to democratize AI development by empowering users to create AI assistants without prior programming knowledge, while also understanding user objectives to guide users through the creation process to achieve their desired outcomes, enabling clients to streamline the creation and deployment of AI assistants.</t>
  </si>
  <si>
    <t>Actions Capital, Alliance (Other Capital Markets/Institutions), BECO Capital, Cadenza Capital, Class 5 Global, Endure Capital, ex/ante, Ghaf Capital Partners, GreenHouse Capital, Hub71, Leonis Investissement, Mohammed Bin Rashid Innovation Fund, Novo Capital, Pioneer Fund, Plug and Play Tech Center, Reserve Media, Start Path, Superscrypt, The Venture Dept, UDHC, Valhalla Ventures, Venture Mena, VentureSouq, Veris Ventures, Y Combinator</t>
  </si>
  <si>
    <t>www.tasker.ai</t>
  </si>
  <si>
    <t>489048-94</t>
  </si>
  <si>
    <t>Verde (Financial Software)</t>
  </si>
  <si>
    <t>Developer of a digital platform designed to simplify and expand access to working capital loans. The company's platform helps access loans by offering more agile and transparent rural credit and financial services digitally, including insurance and digital banks, enabling small and medium farmers in Brazil to grow their businesses with faster and more transparent financial resources.</t>
  </si>
  <si>
    <t>Iporanga Ventures, Lupa Capital, Rhombuz Ventures, Y Combinator, Zentani Capital</t>
  </si>
  <si>
    <t>www.verde.agr.br</t>
  </si>
  <si>
    <t>267106-78</t>
  </si>
  <si>
    <t>VertoFX</t>
  </si>
  <si>
    <t>Developer of a currency exchange software designed to make international payments on a single platform. The company's software provides liquidity and price discovery tools that aid in exchanging exotic and foreign currencies, enabling businesses to handle large revenues every year, to make international payments to their suppliers.</t>
  </si>
  <si>
    <t>Accelerated Digital Ventures, Accion, ACE Ventures (Geneva), DIFC Innovation Hub, Middle East Venture Partners, Milken-Motsepe Prize, P1 Ventures, Quona Capital, TMT Investments, Treasury (New York), Unicorn Growth Capital, Utopian Ventures (San Francisco), Ventures Platform, Y Combinator, Zrosk Investment Management</t>
  </si>
  <si>
    <t>verto.co</t>
  </si>
  <si>
    <t>509638-06</t>
  </si>
  <si>
    <t>Collekto</t>
  </si>
  <si>
    <t>Developer of financial technologies intended for debt collection and stressed asset reconstruction. The company's platform utilizes a proprietary deep reinforcement learning algorithm to streamline the retail debt collection process by increasing the efficiency of collections and reducing the turnaround time for early settlements of delinquent accounts, enabling lenders and banks to create efficient bids against competing companies while maintaining a healthy profit.</t>
  </si>
  <si>
    <t>Peaceful Progress, SAN Angels Network</t>
  </si>
  <si>
    <t>www.collekto.in</t>
  </si>
  <si>
    <t>454288-24</t>
  </si>
  <si>
    <t>Castler</t>
  </si>
  <si>
    <t>Developer of an escrow payments software designed to make escrow services accessible and convenient. The company's platform safely parks the money and facilitates transparent transactions with various features such as two-factor authorization, digital escrow transactions, email notifications, and transaction data, enabling users to make secure transactions while buying or selling goods on listing platforms and marketplaces.</t>
  </si>
  <si>
    <t>100Unicorns, Ajay Rajani, Astir Ventures, BetaPlus (India), BlueLotus Ventures, Capital 2B, Faad Network, Flipkart Ventures, Forward Slash Capital, GIFT International Fintech Innovation Hub, IIFL Finance, Jana Balasubramaniam, LVX, Naveen Kukreja, Navin Suriya, NSRCEL-IIMB, Piper Serica Advisors, PointOne Capital, Rainmatter Capital, Silver Ridge Accelerator, Stride Ventures, Venture Catalysts (Capital Markets/Institutions), Zerodha</t>
  </si>
  <si>
    <t>www.castler.com</t>
  </si>
  <si>
    <t>515667-97</t>
  </si>
  <si>
    <t>FinKey</t>
  </si>
  <si>
    <t>Developer of a lead generation platform intended to advise managers to defend their capitalistic interests. The company's platform helps clients to sell their SMEs or bring in new shareholders that involve a good organization of legal and financial information and they specialize in mergers and acquisitions, enabling clients to access suitable technologies to accelerate their development.</t>
  </si>
  <si>
    <t>Bpifrance, Business Angels Stuttgart Region, Crédit Agricole Alpes Développement, Finsight Group, HUB612</t>
  </si>
  <si>
    <t>www.finkey.fr</t>
  </si>
  <si>
    <t>509128-84</t>
  </si>
  <si>
    <t>Keble</t>
  </si>
  <si>
    <t>Developer of a real estate investment platform designed to make global property ownership more accessible. The company's platform offers shared property ownership options, outright home and land purchases, curated and insured listings, flexible funding through a digital wallet, and end-to-end property management covering rentals and maintenance, enabling individual investors and diaspora buyers to participate in income-generating international real estate with reduced complexity and ongoing oversight.</t>
  </si>
  <si>
    <t>ARM Labs, Funema, GreenHouse Capital, Techstars, TVC Labs</t>
  </si>
  <si>
    <t>www.keble.co</t>
  </si>
  <si>
    <t>500021-65</t>
  </si>
  <si>
    <t>Bhive Alts</t>
  </si>
  <si>
    <t>Developer of a real estate investment platform designed to connect investors with real estate deals. The company's platform offers comprehensive property analytics, full-stack expertise, institutional deals through negotiations and diligence, and property management services, enabling retail investors to invest in the high-return asset class of commercial real estate in order to diversify investments.</t>
  </si>
  <si>
    <t>Agility Venture Partners, Aloke Bajpai, Blume Venture Advisors, Expert DOJO, Gruhas, Kazi Zaman, KYT Ventures, LVX, Madhusudan Ekambaram, Mumbai Angels, Nikhil Kamath, Nilesh Patel, Prashant Singh, Sreeram Reddy Vanga</t>
  </si>
  <si>
    <t>www.bhivealts.com</t>
  </si>
  <si>
    <t>268231-69</t>
  </si>
  <si>
    <t>QuarterOne</t>
  </si>
  <si>
    <t>Developer of a sales forecasting application designed to help small businesses that need real-time insight to avoid big budgets and complex technology projects. The company's application uses live data to get complete control of the forecast without disrupting existing business processes and also get a real-time view of the team, client, and business performance against targets, enabling small businesses to improve their sales forecasting and increase their revenue.</t>
  </si>
  <si>
    <t>Seedcamp</t>
  </si>
  <si>
    <t>quarterone.replit.app</t>
  </si>
  <si>
    <t>495511-84</t>
  </si>
  <si>
    <t>SILT DIGITAL ID</t>
  </si>
  <si>
    <t>Developer of identity provider software designed to offer a verification process. The company's software helps companies verify users and other companies automatically, without asking for photos every time, enabling companies to reduce fraud and chargebacks, or be KYC, AML &amp; PEP compliant and increase their conversion rates and mass contracts.</t>
  </si>
  <si>
    <t>4Founders Capital, Albert Armengol, Joel Vicient, Lanzadera Accelerator, The Mountain Venture Capital, The Valley Venture Capital</t>
  </si>
  <si>
    <t>www.getsilt.com</t>
  </si>
  <si>
    <t>472207-06</t>
  </si>
  <si>
    <t>TellerOne</t>
  </si>
  <si>
    <t>Developer of a credit digital bank platform intended to solve the challenges of P2P payment. The company's platform offers a credit-facilitated digital account for cross-border spending and access to loans for basic needs, enabling customers to have accounts and access financial services in multiple countries for personal and business banking.</t>
  </si>
  <si>
    <t>Probiq 360</t>
  </si>
  <si>
    <t>tellerone.com</t>
  </si>
  <si>
    <t>460253-44</t>
  </si>
  <si>
    <t>Kobi</t>
  </si>
  <si>
    <t>Developer of a loyalty platform designed to reimburse sports activities through everyday purchases. The company's platform has partnerships with stores, where users make a purchase, the stores give a commission that is put into the fundraiser, and users can use the money in the fundraiser to reimburse sports expenses, enabling users to practice the sport of their choice.</t>
  </si>
  <si>
    <t>Abtal VC, Bpifrance, Cyril Gane, EuraTechnologies, Finorpa, Raphaël Varane, Teampact Ventures</t>
  </si>
  <si>
    <t>www.kobisport.eu</t>
  </si>
  <si>
    <t>438223-51</t>
  </si>
  <si>
    <t>Stack Wealth</t>
  </si>
  <si>
    <t>Developer of a social banking platform designed to empower millennials to lead healthier financial lives. The company's platform features an artificial intelligence-powered personalized manager, which tracks all accounts in one place and controls their finances, enabling users to save, pay bills to avoid overspending, and develop financial strategies.</t>
  </si>
  <si>
    <t>AG Collective Capital, Ajith Karimpana, Chandaria Capital, Cleo Capital, Cultiv8, Dhiraj Soni, Divya Rao, Dragon Capital (California), Earlsfield Capital, Emles Venture Partners, Goodwater Capital, Harvard Management Company, ICE.vc, IIIT-H Foundation, Inmad Akhund, Kunal Shah, Magic Fund, Michael Katchen, Midhun Dandamudi, Mrunal Jhaveri, Olive Tree Capital, Orbit Ventures (Venture Capital), Paul Desmarais, Rebalance Accelerator, Rohit Chanana, Side Door Ventures, SN Damani, Soma Capital, SOSV, Startup Haryana, SucSEED Indovation, Tanuj Shori, Ujwal Boyalla, Uncommon Capital, Vision Capital Ventures, Vulpes Ventures, West Quad Ventures, Xseed Partners, Y Combinator</t>
  </si>
  <si>
    <t>www.stackwealth.in</t>
  </si>
  <si>
    <t>466683-58</t>
  </si>
  <si>
    <t>ComplyCube</t>
  </si>
  <si>
    <t>Developer of a comprehensive identity verification and compliance platform designed to enable trust in internet transactions at scale. The company provides an all-in-one verification platform with KYC capabilities, document verification, biometric checks, and screening across countries, enabling businesses to verify and onboard customers securely while meeting regulatory requirements.</t>
  </si>
  <si>
    <t>Blue Lake Capital, Grow London, Puhua Capital, Zelos Venture Partners</t>
  </si>
  <si>
    <t>www.complycube.com</t>
  </si>
  <si>
    <t>464221-45</t>
  </si>
  <si>
    <t>Schwarzthal Tech</t>
  </si>
  <si>
    <t>Operator of a financial crime intelligence platform intended to identify potential risks. The company's platform offers artificial intelligence empowered by cutting-edge technology and offers a graphical solution that employs graph-based databases to assess and investigate complex cases, enabling banks and financial institutions to access global screening and real-time risk assessment tools.</t>
  </si>
  <si>
    <t>SFC Capital, Startupbootcamp Holding, Village Capital</t>
  </si>
  <si>
    <t>www.schwarzthal.tech</t>
  </si>
  <si>
    <t>483356-62</t>
  </si>
  <si>
    <t>Strabo</t>
  </si>
  <si>
    <t>Developer of a financial platform designed to link multiple accounts from around the world on a single dashboard. The company's platform connects all financial accounts, investments, and cryptocurrency globally into one dashboard and shows real-time net worth using in-built analytics, and transfers funds across currencies, enabling investors to save time on financial decisions, manage their money and assets from around the world.</t>
  </si>
  <si>
    <t>Hyper (Sydney), KCP Nominees, Onstage (London), SFC Capital, Tenity</t>
  </si>
  <si>
    <t>www.strabo.app</t>
  </si>
  <si>
    <t>515985-85</t>
  </si>
  <si>
    <t>Vumi</t>
  </si>
  <si>
    <t>Developer of portfolio management software designed to visually monitor and analyze investments to make better data-backed decisions. The company's platform integrates with more brokers, financial institutions, and exchanges and more shares, investment funds, ETFs, and cryptocurrencies, helping users to manage their investments from a single place, in an easy, intuitive, and visual way.</t>
  </si>
  <si>
    <t>www.vumi.io</t>
  </si>
  <si>
    <t>500837-23</t>
  </si>
  <si>
    <t>BetterInvest</t>
  </si>
  <si>
    <t>Developer of an alternative investment platform designed to empower retail investors. The company's platform offers investment opportunities across diverse asset classes, ranging from private debts to commercial real estate, enabling investors with access to alternative investment vehicles.</t>
  </si>
  <si>
    <t>Isha Homes, Kathir Kavin, Manoj Poosappan, Sanjay Wadhwa, Suresh Krishnasamy, SVF (Other Financial Services)</t>
  </si>
  <si>
    <t>www.betterinvest.club</t>
  </si>
  <si>
    <t>469350-82</t>
  </si>
  <si>
    <t>Bizplay</t>
  </si>
  <si>
    <t>Developer of an expense management system intended to keep an automated record of transactions. The company analyzes the transaction details of the corporate and personal cards and the details of receipt submission among the purchase details and provides only the purchase details for the purpose of company business by scraping method, enabling clients to easily maintain digitalized records and get reports.</t>
  </si>
  <si>
    <t>Daegyeong Investment, Hana Ventures, Hyundai Venture Investment Corporation, JB Financial Group, Jeonbuk Technology Holdings, KB Securities, Kookon Nv, Korea Investment &amp; Securities, Kwangju Bank, NH Investment &amp; Securities, Positive Investment, WebCash, Yanolja</t>
  </si>
  <si>
    <t>www.bizplay.co.kr</t>
  </si>
  <si>
    <t>184800-61</t>
  </si>
  <si>
    <t>Healthfin</t>
  </si>
  <si>
    <t>Operator of a financing platform designed to provide financial assistance to underinsured patients needing immediate funds for medical treatment. The company's tool facilitates user registration, uploading documents, loan approval, loan disbursal, and more, enabling patients to access healthcare loans from multiple lenders for planned expenses, recurring medical needs, and other medical services.</t>
  </si>
  <si>
    <t>10,000 Startups-NASSCOM, Axilor Ventures, Eureka E-Cell, Manish Khera, The Fintech Meetup, Venture Garage</t>
  </si>
  <si>
    <t>www.app.healthfin.in</t>
  </si>
  <si>
    <t>159457-33</t>
  </si>
  <si>
    <t>i2ifunding</t>
  </si>
  <si>
    <t>Operator of a peer-to-peer lending platform intended to connect verified borrowers with lenders. The company's platform enables borrowers to get personal loans at attractive interest rates, which can be used for the purchase of consumer durable, debt consolidation, medical expenses, education expenses, and cash cycle optimization, enabling users to get unsecured loans through a transparent, quick and easy process.</t>
  </si>
  <si>
    <t>Manish Poddar, Prem Ventures, SucSEED Venture Partners</t>
  </si>
  <si>
    <t>www.i2ifunding.com</t>
  </si>
  <si>
    <t>608977-81</t>
  </si>
  <si>
    <t>Zaimo.ai</t>
  </si>
  <si>
    <t>Developer of SaaS-based AI-driven management platform designed to plan, and manage budgets. The company's platform combines financial modeling, business plan creation, variance analysis, and reporting, enabling businesses to streamline management processes, reduce administrative burdens, and focus on strategic growth.</t>
  </si>
  <si>
    <t>Angel Investors, Chiba Dojo, DEEPCORE, Delight Ventures, East Ventures, Global Brain, Kernel Deepcore, Spurcle, Takami Watanabe</t>
  </si>
  <si>
    <t>lp.zaimo.ai</t>
  </si>
  <si>
    <t>527751-82</t>
  </si>
  <si>
    <t>Approva (Financial Software)</t>
  </si>
  <si>
    <t>Developer of a financial platform designed to connect mortgage brokers and lenders to facilitate loan approvals. The company's platform helps to refinance mortgages and connect mortgage brokers and lenders, potentially facilitating communication and collaboration, enabling brokers and alternative lenders to fund more mortgages in record time.</t>
  </si>
  <si>
    <t>Brickyard, C2 Ventures, DMZ (Toronto), IFH Lab, InvestTN, Michigan Rise, Red Cedar Ventures, Techstars</t>
  </si>
  <si>
    <t>www.approva.co</t>
  </si>
  <si>
    <t>437744-35</t>
  </si>
  <si>
    <t>B9</t>
  </si>
  <si>
    <t>Developer of a payroll disbursement platform intended to help get early access to their accrued but unpaid payroll. The company's platform offers application-based financial services, including interest-free payroll advance options, free virtual and physical debit cards, bill payments, cross-border cash transfers, checking of accounts and day-to-day banking, enabling gig workers to build a financial future.</t>
  </si>
  <si>
    <t>BergTop VC, Freesearch Ventures, Igor Shoifot, Joint Journey Intelligent Investments, Mbanq Labs, MGF Development, Sky Light Invest, The Garage Syndicate</t>
  </si>
  <si>
    <t>www.bnine.com</t>
  </si>
  <si>
    <t>493648-57</t>
  </si>
  <si>
    <t>Banca.Me</t>
  </si>
  <si>
    <t>Developer of financial software intended to focus on providing credit loans and investments. The company's software offers features such as financial, investment advisory, and consumer loans, enabling customers with a democratic, transparent, and cooperative financial availability.</t>
  </si>
  <si>
    <t>Nakama Ventures, Patricio Diaz, SantanderX, Techstars</t>
  </si>
  <si>
    <t>www.banca.me</t>
  </si>
  <si>
    <t>490692-43</t>
  </si>
  <si>
    <t>Climatize</t>
  </si>
  <si>
    <t>Operator of a crowdfunding platform intended to make every transaction an investment in climate action. The company's platform helps to choose renewable energy projects, make reoccurring or one-time investments, and periodically receive the repayments from investments, enabling clients to measure and reduce their environmental impact and fight the climate crisis.</t>
  </si>
  <si>
    <t>Blue Tulip Awards, Central Coast Angels, Climate Capital, Community Power Accelerator, Consorci de la Zona Franca, Cyan Ventures, Earth (Berlin), ESADE Ramon Llull University, For ClimateTech, Myriad Venture Partners, NYSERDA, OM Fund, Responsibly Ventures, Santa Cruz Accelerates, Seed9, Stone Mountain Ventures, Techstars, Temerity Capital Partners, Village Capital</t>
  </si>
  <si>
    <t>www.climatize.earth</t>
  </si>
  <si>
    <t>437819-05</t>
  </si>
  <si>
    <t>College Cash</t>
  </si>
  <si>
    <t>Developer of a debt repayment platform designed to reduce student loan debt. The company's platform helps users to track their money and disburse it the way they like and participate in user-generated content campaigns from their favorite brands to start reducing their student loan debt, helping students to avoid the debt trap, and enabling brands to create photo and video marketing content highlighting their product or service.</t>
  </si>
  <si>
    <t>Capital Factory, Gaingels, LOUD Ventures, Omaha Phoenix Capital, Pride VC, StartOut Growth Lab, Tampa Bay Wave, Techstars, Village Capital</t>
  </si>
  <si>
    <t>www.yourcollegecash.com</t>
  </si>
  <si>
    <t>534578-14</t>
  </si>
  <si>
    <t>Cyphr</t>
  </si>
  <si>
    <t>Operator of a lending and credit platform intended to reduce loan application and approval times. The company's platform boosts decision accuracy with a cloud-based loan application and risk management tool, enabling community lenders to make lending decisions without increasing risk.</t>
  </si>
  <si>
    <t>Ascendo Venture Capital, Black Ambition, Black Operator Ventures, East Chop Capital, gener8tor, LaunchKC, NXTUS, Plug and Play Tech Center, Start Path, Techstars, The Veteran Fund, Transparent Collective</t>
  </si>
  <si>
    <t>www.cyphrai.com</t>
  </si>
  <si>
    <t>442271-35</t>
  </si>
  <si>
    <t>Defynance</t>
  </si>
  <si>
    <t>Developer of a loan refinancing and investing platform designed to pay back existing student loans using an income share agreement. The company's platform uses a proprietary algorithm to predict the right income share and continually optimize pricing and underwriting decisions besides acting as a digital marketplace that uses AI to enhance connections between refinancing candidates and investors, both institutional and retail, enabling investors to widen their portfolio with low volatility, good return, and social impact-driven investment opportunity, while students acquire financial freedom in order to live life on their own terms.</t>
  </si>
  <si>
    <t>Advanced Technology Development Center, Community Safety &amp; Wellness Accelerator, Innate Capital Partners, Techstars</t>
  </si>
  <si>
    <t>www.defynance.com</t>
  </si>
  <si>
    <t>496421-38</t>
  </si>
  <si>
    <t>Fincra (Financial Software)</t>
  </si>
  <si>
    <t>Developer of a payment infrastructure platform intended for businesses to make and receive payments across borders. The company's platform offers a variety of features, including real-time payments, cross-border payments and fraud prevention, enabling businesses to access the global payments market more easily and efficiently.</t>
  </si>
  <si>
    <t>www.fincra.com</t>
  </si>
  <si>
    <t>589964-68</t>
  </si>
  <si>
    <t>FreshCredit</t>
  </si>
  <si>
    <t>Developer of a credit management platform designed to increase access to credit on a global scale and empower individuals to own and manage their data. The company's platform offers to build relationships with banks, lenders, and other financial institutions around the world to expand the availability of credit and increase access to financial services for people who may otherwise be unable to obtain them, enabling users to achieve their financial goals and improve their overall quality of life.</t>
  </si>
  <si>
    <t>AWS Clean Energy Accelerator 4.0, Google Accelerator, Microsoft for Startups, Open Campus Accelerator, WTIA Startup Program</t>
  </si>
  <si>
    <t>www.freshcredit.com</t>
  </si>
  <si>
    <t>537351-49</t>
  </si>
  <si>
    <t>Graph (Financial Software)</t>
  </si>
  <si>
    <t>Operator of an invoice payment processing platform intended to manage global business operations. The company's platform facilitates payment and streamlines financial management processes, provides an API for a custom system, and detects and prevents threats, enabling businesses to manage international finances efficiently and securely.</t>
  </si>
  <si>
    <t>Kaleo Ventures, Microtraction, Techstars</t>
  </si>
  <si>
    <t>www.graph.finance</t>
  </si>
  <si>
    <t>437957-65</t>
  </si>
  <si>
    <t>Kassa</t>
  </si>
  <si>
    <t>Developer of a mobile payment application designed to provide an easy way to split expenses. The company's application assists in tracking all individual incomes and expenses, following up with friends, and offers money transfer features, enabling users to review the amounts from time to time and also manage their long-term debts.</t>
  </si>
  <si>
    <t>www.kassa.co</t>
  </si>
  <si>
    <t>234917-56</t>
  </si>
  <si>
    <t>KolayBi'</t>
  </si>
  <si>
    <t>Developer of an enterprise resource planning platform designed to increase the efficiency and sustainability of small and medium-sized enterprises by optimizing their office work. The company's platform manages the entire accounting process, registers data, and generates reports by recording caries and keeping track of collection and payment information instantly, as well as creates invoices and waybills for existing orders by saving them on the system, enabling small and medium-sized enterprises to digitalize their traditionally conducted pre-accounting activities.</t>
  </si>
  <si>
    <t>4Minds Capital, Oyak Yatirim Menkul, QNBEYOND Acceleration Program, QNBEYOND Ventures, TechOne Venture Capital, Varol Civil</t>
  </si>
  <si>
    <t>www.kolaybi.com</t>
  </si>
  <si>
    <t>279520-30</t>
  </si>
  <si>
    <t>Kwara</t>
  </si>
  <si>
    <t>Developer of a digital banking platform designed for savings and credit cooperatives. The company's platform offers an operating system with an open application programming interface, enabling cooperative financial institutions to accelerate their inclusion into the formal financial system.</t>
  </si>
  <si>
    <t>Base Capital (Cape Town), Bonum Ventures, Breega, Chris Adelsbach, Do Good Invest, DOB Equity, EarlyBird Venture Lab, Emerge (Accelerator), Entrepreneurs for Entrepreneurs Africa, FINCA Ventures, Finparx, Future Africa, Globivest, Google Accelerator, Ground Squirrel Ventures, HoaQ, Karthikeyan Sathyamoorthy, Kepple Africa Ventures, Launch Africa Ventures, Michael Jarmuz, New General Market Partners, NINJA Accelerator, Norrsken Evolve, Norrsken VC, Samurai Incubate Africa, Silverbacks Holdings, SoftBank Group, Start Path, Stefan Tirtey, The Raba Partnership, Verdant Frontiers, Willard Ahdritz</t>
  </si>
  <si>
    <t>www.kwara.com</t>
  </si>
  <si>
    <t>467033-95</t>
  </si>
  <si>
    <t>Lenco</t>
  </si>
  <si>
    <t>Developer of an online banking platform designed to provide online current bank accounts for businesses as well as different financial services. The company's platform features analytics on spending and customized account instructions that assign and take full control of the functions of the team, enabling startup companies and hotel businesses to grow and manage their business accounts.</t>
  </si>
  <si>
    <t>10x Founders, Cascador, Christian Edler, DG Daiwa Ventures, Dupe Ventures, First Circle Capital, FoundersX Ventures, Ingressive (Nigeria), Kepple Africa Ventures, Kube VC, Leonis Investissement, LoftyInc Capital Management, Millennia Capital, Nordstar Partners, Pioneer Fund, Soma Capital, Techstars, True Capital Management, Y Combinator, Zedcrest Group</t>
  </si>
  <si>
    <t>www.lenco.co</t>
  </si>
  <si>
    <t>308003-05</t>
  </si>
  <si>
    <t>LiST</t>
  </si>
  <si>
    <t>Developer of an AI-based medical underwriting and longevity risk analysis platform designed to support underwriting and risk assessment decisions. The company's platform uses natural language processing to extract and structure information from medical documentation, applies automated underwriting and risk analysis models, and generates pricing and risk outputs for partner workflows, including risk management and decision support in short processing times, enabling insurers, underwriters, and other financial services users to evaluate longevity-linked risk with data-driven results.</t>
  </si>
  <si>
    <t>Atooro Fund, Techstars, The Israeli Insurtech Accelerator</t>
  </si>
  <si>
    <t>www.listfunding.com</t>
  </si>
  <si>
    <t>539223-85</t>
  </si>
  <si>
    <t>Loot</t>
  </si>
  <si>
    <t>Developer of a credit and working capital provider platform designed to offer quick and flexible credit services. The company's platform differentiates itself with a tailored approach to lending products and a way of applying cash back and industry-specific rewards, enabling clients to split business bills into cash flow payments.</t>
  </si>
  <si>
    <t>www.getloot.com</t>
  </si>
  <si>
    <t>514975-60</t>
  </si>
  <si>
    <t>Nestimate (Financial Services)</t>
  </si>
  <si>
    <t>Operator of an income analytics platform intended to make it easy to implement retirement income estimates in a defined contribution plan. The company's platform offers consultative fiduciary support, income adoption, and assistance with income needs, and a software analytics platform, enabling users to select and monitor guaranteed income in a retirement plan, and tools for participants to become familiar with and utilize the power of projected income.</t>
  </si>
  <si>
    <t>AgeTech Collaborative from AARP, Altari Ventures, Brock Smith, gener8tor, Husker Venture Fund, InsurTech NY, Invest Nebraska, Nassau ReImagine, Nebraska Angels, PGSA Venture Capital, Pruven Capital, Right Side Capital Management, S3 Ventures, TIAA Ventures</t>
  </si>
  <si>
    <t>www.mynestimate.com</t>
  </si>
  <si>
    <t>1173280-06</t>
  </si>
  <si>
    <t>o11</t>
  </si>
  <si>
    <t>Developer of an artificial intelligence agent platform designed to automate workflows within enterprise applications. The company's platform enables users to build financial models, clean datasets, and audit workbooks in spreadsheet applications, generate brand-consistent slide decks from outlines, perform long-form drafting and inline research in document editors, manage sales pipelines in CRM systems, and drive infrastructure operations across cloud environments using natural-language commands, enabling knowledge workers to automate work directly inside existing applications.</t>
  </si>
  <si>
    <t>645 Ventures, KPMG, LeapYear (US), Spot VC, Vaelion Ventures, Y Combinator</t>
  </si>
  <si>
    <t>www.o11.ai</t>
  </si>
  <si>
    <t>521415-01</t>
  </si>
  <si>
    <t>Ola Invierte</t>
  </si>
  <si>
    <t>Developer of a financial app designed to manage money and structure your long, medium, and short-term objectives. The company's app helps to offer a newsletter on relevant topics, live and recorded courses and workshops, coaching sessions, investment accounts, and automated portfolios, enabling users to improve their knowledge, improve return on investments, and pay off high-interest debt.</t>
  </si>
  <si>
    <t>Astir Ventures, Latitud, Techstars</t>
  </si>
  <si>
    <t>www.siguelaola.com</t>
  </si>
  <si>
    <t>251484-04</t>
  </si>
  <si>
    <t>Planto</t>
  </si>
  <si>
    <t>Developer of a financial management mobile application. The company's application is based on artificial intelligence technology and user's credentials are kept confidential, enabling the users to get access to financial advice regarding personal investments, financial account analysis or mortgage.</t>
  </si>
  <si>
    <t>Artesian, Cyberport Hong Kong, Leadway Venture, Portage</t>
  </si>
  <si>
    <t>www.planto.hk</t>
  </si>
  <si>
    <t>510414-13</t>
  </si>
  <si>
    <t>Radar (Santiago)</t>
  </si>
  <si>
    <t>Developer of enterprise treasury management services designed to specialize in payment reconciliation, disbursement, and collections. The company offers visibility into the business's cash flows, facilitating informed decisions on acquiring liquidity and strategically investing corporate capital, enabling organizations to improve customers' payment experience and reduce costs.</t>
  </si>
  <si>
    <t>Align Ventures, Cristian Sanchez, Cristobal Forno, Devlabs Ventures, Endeavor Chile, Everywhere Ventures, Lenox Partners, Nicolás Orellana, Rhombuz Ventures, Start-Up Chile, Startup Istanbul, Taram Capital, The Fintech Fund, Tomas Zavala</t>
  </si>
  <si>
    <t>www.somosradar.com</t>
  </si>
  <si>
    <t>510634-90</t>
  </si>
  <si>
    <t>Radius (Idaho)</t>
  </si>
  <si>
    <t>Developer of a tuition payment application designed to facilitate cross-border payments for international students. The company offers new-to-country and new-to-credit individuals the ability to bank and build credit through the next-generation card application which allows students to send airtime and money to government and immigration agencies, colleges, universities, businesses, and organizations abroad as well as for paying goods, products, and services abroad, enabling students to accept, process, and disburse money with a product suite.</t>
  </si>
  <si>
    <t>Bronze Valley, Elevate Ventures, gener8tor, Techstars, Village Capital</t>
  </si>
  <si>
    <t>withradius.com</t>
  </si>
  <si>
    <t>264513-16</t>
  </si>
  <si>
    <t>Raseedi</t>
  </si>
  <si>
    <t>Developer of a fintech application designed to help consumers save telecom credit. The company's application uses a smart algorithm to cross-match user consumption with the suitable packages on both lines and automates calls from the cheap SIM for each call, enabling users to save money on food and medical by getting coupons, promo codes, discounts, and budget limits.</t>
  </si>
  <si>
    <t>500 Global, Camel Ventures, Falak Startups, Samurai Incubate Africa</t>
  </si>
  <si>
    <t>www.raseediapp.com</t>
  </si>
  <si>
    <t>594084-16</t>
  </si>
  <si>
    <t>Regfyl</t>
  </si>
  <si>
    <t>Operator of a compliance management platform intended to streamline regulatory processes for businesses. The company offers a comprehensive system that integrates customer onboarding, ongoing monitoring and regulatory reporting, featuring tools for identity verification, risk assessment and automated case management, enabling financial services and other sectors to enhance compliance efficiency, reduce costs, and simplify audits while maintaining a strong security posture.</t>
  </si>
  <si>
    <t>Africa Fintech Foundry, DCG Expeditions, Digital Currency Group, Musha Ventures, Oxbridge AI Challenge, Rally Cap VC, Techstars</t>
  </si>
  <si>
    <t>www.regfyl.com</t>
  </si>
  <si>
    <t>437758-93</t>
  </si>
  <si>
    <t>Simba</t>
  </si>
  <si>
    <t>Developer of a mobile banking and money transfer platform intended to help immigrants, their families, and communities thrive. The company's platform combines banking and sending money for its clients and simplifies the time-consuming and tedious processes, enabling immigrants to increase their economic impact in their country of residence and country of origin.</t>
  </si>
  <si>
    <t>Noemis Ventures</t>
  </si>
  <si>
    <t>www.hellosimba.com</t>
  </si>
  <si>
    <t>265171-87</t>
  </si>
  <si>
    <t>SparkChange (Financial Software)</t>
  </si>
  <si>
    <t>Developer of a data analytics platform for financial institutions designed to integrate carbon prices into their investment and risk strategies. The company's platform offers advanced data sets, analytical models, and expert insights, enabling financial institutions to capitalize on the opportunities and manage the risks arising from the transition to a low-carbon economy.</t>
  </si>
  <si>
    <t>www.sparkchange.io</t>
  </si>
  <si>
    <t>433134-10</t>
  </si>
  <si>
    <t>Summit()</t>
  </si>
  <si>
    <t>Developer of an AI-based custom development and automation platform designed to enhance workflow automation capabilities. The company offers configurable triggers, actions, and model-building tools, enabling software developers and business teams to build complex workflows beyond the limitations of traditional no-code platforms.</t>
  </si>
  <si>
    <t>Capital Factory, O'Reilly AlphaTech Ventures, TinySeed</t>
  </si>
  <si>
    <t>www.usesummit.com</t>
  </si>
  <si>
    <t>232272-28</t>
  </si>
  <si>
    <t>Vevolution</t>
  </si>
  <si>
    <t>Provider of an investment and community platform intended to support innovation and growth in the bioeconomy sector. The company offers features such as curated access to startups and ventures across AgriFoodTech, Climate Tech, Biotech, Next-Gen Materials, and Sustainable AI, along with tools for deal sourcing, direct investor-founder engagement, and data room management, enabling investors and innovators to connect, collaborate, and accelerate the development of technologies aimed at transforming food systems, energy production, and sustainable materials for long-term environmental and economic impact.</t>
  </si>
  <si>
    <t>Big Idea Ventures</t>
  </si>
  <si>
    <t>www.vevolution.com</t>
  </si>
  <si>
    <t>593434-27</t>
  </si>
  <si>
    <t>VitalSwap</t>
  </si>
  <si>
    <t>Developer of a payment application designed to send and make secure payments across the globe. The company's tool offers a safe deal to ensure no fraud, makes quicker payments in an account, uses improved encryption technology to secure funds, and provides free access to a smart and duly documented application programming interface for integration and checkout, enabling users to have the best exchange rate from the marketplace.</t>
  </si>
  <si>
    <t>African Diaspora Network, BeNimble Foundation, Elevate Ventures, gBETA, GrowthX Capital, Jason Halpern, Olumide Omobomi, Roger Lee</t>
  </si>
  <si>
    <t>www.vitalswap.com</t>
  </si>
  <si>
    <t>596794-42</t>
  </si>
  <si>
    <t>Wallid (Financial Software)</t>
  </si>
  <si>
    <t>Developer of a secure identification and checkout platform designed to offer pay-by-bank checkout powered by open banking. The company's application offers facilities such as bank payments, onboarding, identification, and checkout, and integrates directly with Shopify checkout, enabling online businesses to increase conversion rates while reducing fraud, chargebacks, and payment fees.</t>
  </si>
  <si>
    <t>EGI Booster, Invest in Spain, SFC Capital, Startup Wise Guys, Unicorn.Events</t>
  </si>
  <si>
    <t>www.wallid.co</t>
  </si>
  <si>
    <t>436019-86</t>
  </si>
  <si>
    <t>Hent</t>
  </si>
  <si>
    <t>Developer of a property management platform designed to reduce operational costs and improve the financial efficiency of property rental. The company's platform simplifies the management of the sale contract for real estate subdivisions, and additionally issues and sends payment slips and billing notifications, enabling users to reconcile payments and simplifying rentals for owners, brokers, and tenants.</t>
  </si>
  <si>
    <t>Brian Requarth, Canary (Brazil), Julian Toniol, Norte Ventures, Y Combinator</t>
  </si>
  <si>
    <t>www.hent.com.br</t>
  </si>
  <si>
    <t>818651-53</t>
  </si>
  <si>
    <t>DataSync</t>
  </si>
  <si>
    <t>Developer of an AI-driven data management tool intended for financial services. The company's platform automatically identifies, resolves, and maintains consistency in data quality across different applications, incorporating rules developed from extensive knowledge of investment data and offering configurable synchronization options, enabling investment management firms to implement a comprehensive data quality strategy rapidly.</t>
  </si>
  <si>
    <t>AI Forge, Ascension (Private Equity)</t>
  </si>
  <si>
    <t>www.datasyncdq.com</t>
  </si>
  <si>
    <t>463303-72</t>
  </si>
  <si>
    <t>Quads Financial Technologies</t>
  </si>
  <si>
    <t>Developer of a transportation business application designed to provide business loans for trucking companies. The company's application tracks financial and operational data to pre-approve loans from various bank partners, enabling truckers or trucking companies with no formal credit score to access loans from banks.</t>
  </si>
  <si>
    <t>AdvantEdge Founders, Astir Ventures, Better Capital (California), Declan Kelly, Ian Logan, Musaab Hakami, Nitin Agarwal, SN Damani, Y Combinator, Yan Boey</t>
  </si>
  <si>
    <t>www.krab.in</t>
  </si>
  <si>
    <t>112959-37</t>
  </si>
  <si>
    <t>Kampi</t>
  </si>
  <si>
    <t>AgTech, Artificial Intelligence &amp; Machine Learning, Mobile</t>
  </si>
  <si>
    <t>Developer of an AI-powered platform designed to support shrimp farm management through photo-based monitoring. The company's platform offers smartphone compatibility, offline functionality, and pond-specific forecasting, and provides information on predictive pool analytics, cycle history, group performance, projection management, harvest simulation, and planning for effective management, enabling shrimp producers to plan harvests, monitor growth, and make timely decisions.</t>
  </si>
  <si>
    <t>Aqua Spark, Atlantico Partners, Banque de Développement économique du Québec, BDC Capital, Build Collective, Edō Capital, FounderFuel, Hamnett Hill, Investissement Quebec, Ministre Déléguée à la Politique Industrielle, Obvious Ventures, QED Investors, Québec International, Real Ventures, Stephane Gagne, Unreasonable Group, YUL Capital</t>
  </si>
  <si>
    <t>www.bekampi.com</t>
  </si>
  <si>
    <t>720829-54</t>
  </si>
  <si>
    <t>vertX IQ</t>
  </si>
  <si>
    <t>Developer of a financial platform designed for automated monitoring and performance benchmarking. The company's platform specializes in combining and displaying all asset, liability, financial, actuarial, and operational data and providing real-time insights, strategic forecasting, and tailored reporting, enabling pension funds and institutional investors to digitize their data flows and processes and make informed strategic and operational decisions.</t>
  </si>
  <si>
    <t>Alfred Widmer, Dave Stoll</t>
  </si>
  <si>
    <t>www.vertx-iq.com</t>
  </si>
  <si>
    <t>462021-49</t>
  </si>
  <si>
    <t>Pyse</t>
  </si>
  <si>
    <t>Operator of an investment platform intended to make sustainability accessible to everyone. The company allows high net-worth individuals to invest large sums of money in sustainable projects to get them off the ground and operational and then opens it up to retail investors once it's at an advanced stage and able to yield returns, enabling retail investors to invest projects that create social and environmental impacts with a shortened lock-in period of six months, as opposed to multiple years and reducing the ticket size to a fractional amount.</t>
  </si>
  <si>
    <t>The Sustainability Mafia</t>
  </si>
  <si>
    <t>www.pyse.in</t>
  </si>
  <si>
    <t>463302-55</t>
  </si>
  <si>
    <t>CashBook</t>
  </si>
  <si>
    <t>Developer of a cash accounting platform intended to keep a track record of income and expenses for businesses. The company's platform provides a digital record-keeping application for adding entries, segregating records and checking the overall balance in real time, along with providing a shared network where every member can do entries simultaneously, enabling small businesses to manage their bookkeeping services in a simplified way.</t>
  </si>
  <si>
    <t>100X.VC, Anupam Mittal, Astir Ventures, Better Tomorrow Ventures, FinSight Ventures, Goodwater Capital, IIM Indore Alumni Angel Fund, JAM Fund, Kunal Shah, Realm Capital Ventures, Soma Capital, Tribe Capital, Y Combinator</t>
  </si>
  <si>
    <t>www.cashbook.in</t>
  </si>
  <si>
    <t>443108-80</t>
  </si>
  <si>
    <t>Débito Direto Services De Pagamontos</t>
  </si>
  <si>
    <t>Developer of financial software designed to centralize all payment slips and accounts payable. The company's technology provides services such as paying bills online, and installment payments, without relying on the bureaucracy of the banks, enabling micro and small businesses to simplify the process of their financial management.</t>
  </si>
  <si>
    <t>Catarinense Technology Association, Darwin Startups, Impulsiona Program, Torq (Brazil)</t>
  </si>
  <si>
    <t>www.debitodireto.com</t>
  </si>
  <si>
    <t>495767-35</t>
  </si>
  <si>
    <t>Financielle</t>
  </si>
  <si>
    <t>Developer of a financial application designed to provide finance-related education and action in one place. The company offers motivational content, practical money tools, and a supportive community, enabling women to be adept in all areas of finance, especially in literacy, pay, and wealth, and thus reduce financial inequality.</t>
  </si>
  <si>
    <t>3 Sisters Ventures, Anthony Morrow, Baltic Ventures (United Kingdom), GC Angels, Haatch, Innovate UK, Lois Day, Mark Hartley, Rupert Wingate-Saul, SantanderX, Scott Weavers-Wright OBE, The Growth Company, Tony Prestedge</t>
  </si>
  <si>
    <t>www.financielle.com</t>
  </si>
  <si>
    <t>769740-40</t>
  </si>
  <si>
    <t>Fundin</t>
  </si>
  <si>
    <t>Developer of artificial intelligence-powered platform that simplify grant request writing for startups designed to ease the process of securing funding for charities and non-profits. The company's platform offers centralized organization profiles, automated funding matching, guided application drafting, and progress tracking, enabling non-profits and small and medium-sized enterprises to apply more efficiently and secure funding with less time, cost, and administrative burden.</t>
  </si>
  <si>
    <t>www.fundin.ai</t>
  </si>
  <si>
    <t>522973-45</t>
  </si>
  <si>
    <t>Little Birdie (Business/Productivity Software)</t>
  </si>
  <si>
    <t>Developer of a subscription and bill management application designed to offer financial services. The company provides alerts for price changes, and subscription/bill end dates including free trials, and contract renewal dates, it also brings personalized deals to the end user at the moments that matter therefore disrupting price comparison, it also has a marketplace for hundreds of the best subscriptions and free trials for consumers and businesses, enabling users to find reasonable deals and value.</t>
  </si>
  <si>
    <t>www.littlebirdie.co.uk</t>
  </si>
  <si>
    <t>496765-45</t>
  </si>
  <si>
    <t>OneVision</t>
  </si>
  <si>
    <t>FinTech, HR Tech, Mobile, Mobile Commerce</t>
  </si>
  <si>
    <t>Developer an online payment processing platform designed to facilitate e-commerce transactions. The company's platform allows firms to accept various payment methods, including credit cards, debit cards, and digital wallets, through their website and mobile applications, enabling businesses to expand their customer base, increase sales, and streamline their payment processing operations.</t>
  </si>
  <si>
    <t>Investment Readiness Accelerator, MA7 Ventures, MOST Ventures, Talgat Ismail, Western Technology Investment</t>
  </si>
  <si>
    <t>www.onevision.kz</t>
  </si>
  <si>
    <t>608007-97</t>
  </si>
  <si>
    <t>TapReady</t>
  </si>
  <si>
    <t>Developer of a payment software designed to enable quick and secure contactless payment acceptance on any NFC-enabled device. The company's software facilitates digital transactions that utilize near-field communication technology to make payments through mobile devices, such as smartphones and tablets, enabling customers to pay or receive payments without any hurdles.</t>
  </si>
  <si>
    <t>Alpha Gaps, Future Africa, Impact Foundation, Kaleo Ventures</t>
  </si>
  <si>
    <t>www.tapready.io</t>
  </si>
  <si>
    <t>277638-49</t>
  </si>
  <si>
    <t>Fintainium</t>
  </si>
  <si>
    <t>Developer of a cloud-based financial platform designed to provide cash-flow management for small and midsize businesses. The company's end-to-end financial technology helps businesses control the way they make and receive payments by providing the most innovative and wide-reaching selection of payment methods, enabling small and medium-sized businesses to enhance their financial workflow and increase management visibility and reporting, sustaining growth and profit.</t>
  </si>
  <si>
    <t>Aspire Fund Management, Bruning Bank</t>
  </si>
  <si>
    <t>www.fintainium.com</t>
  </si>
  <si>
    <t>301039-39</t>
  </si>
  <si>
    <t>FinVu</t>
  </si>
  <si>
    <t>Operator of an account aggregator platform intended to build the digital infrastructure for financial services. The company's platform helps to offer real-time sharing with consent, encryption for data in transit, and an application programming interface to fetch information and data that can be used for a variety of purposes, such as lending, personal finance management, collections, and wealth management, enabling businesses to access and analyze customer financial data with customer consent.</t>
  </si>
  <si>
    <t>360 ONE, IIFL Capital Services, M2P Fintech, Sparkle Fund, The Fintech Meetup, Varanium Capital Advisors, WestBridge Capital (San Mateo), Yatra Angel Network</t>
  </si>
  <si>
    <t>www.finvu.in</t>
  </si>
  <si>
    <t>234233-38</t>
  </si>
  <si>
    <t>xMoney</t>
  </si>
  <si>
    <t>Developer of a financial technology platform designed to enable global payments, financial management, transaction splitting, and card issuing. The company offers payment processing, recurring billing, invoicing, marketplace payouts, and card issuing systems, enabling clients to accept payments, manage finances, and scale operations in multiple currencies and payment methods.</t>
  </si>
  <si>
    <t>Sui Name Service</t>
  </si>
  <si>
    <t>www.xmoney.com</t>
  </si>
  <si>
    <t>268792-48</t>
  </si>
  <si>
    <t>Ninja Lender</t>
  </si>
  <si>
    <t>Operator of a business-to-business-to-consumer marketplace intended to increase financial inclusion and give access to loans for rejected borrowers. The company aids banks and lending companies to buy and sell rejected loan applications online, enabling institutions to increase customer loyalty as well as reduce their customer acquisition cost by selling these applications to other credit providers.</t>
  </si>
  <si>
    <t>Fil Rouge Capital, Huge Thing, Startup Wise Guys</t>
  </si>
  <si>
    <t>www.ninjalender.net</t>
  </si>
  <si>
    <t>466518-34</t>
  </si>
  <si>
    <t>Otto Finance</t>
  </si>
  <si>
    <t>Developer of a financial platform designed to address the financial health and well-being of employees. The company's platform revolutionizes the financial landscape by democratizing access to financial health, informed by research in behavioral science and empowers individuals from all walks of life to access personalized financial advisory services, enabling people to connect with a personal financial coach and achieve their financial goals through financial planning.</t>
  </si>
  <si>
    <t>Fåntell, Gaingels, Global Founders Capital, Sequoia Arc</t>
  </si>
  <si>
    <t>www.ottofinance.io</t>
  </si>
  <si>
    <t>438928-57</t>
  </si>
  <si>
    <t>Floodlight</t>
  </si>
  <si>
    <t>Operator of a carbon verification and risk infrastructure platform intended to support compliance-grade carbon markets. The company offers satellite-based monitoring, greenhouse gas emissions quantification, carbon sequestration verification, value-at-risk assessment, scenario-based risk analysis, enabling enterprises and financial institutions to manage carbon assets with continuous risk evaluation and improved audit transparency.</t>
  </si>
  <si>
    <t>Kickstart Innovation, MassChallenge, Techstars, Village Global</t>
  </si>
  <si>
    <t>floodlightglobal.com</t>
  </si>
  <si>
    <t>533489-41</t>
  </si>
  <si>
    <t>BizPay</t>
  </si>
  <si>
    <t>Developer of a digital wallet and software suite designed to track corporate spending, control wastages, and save money. The company's platform provides corporate prepaid cards and wallets for employees, a fully integrated and mobile-first expense management system, a travel booking portal, and an e-commerce portal for office supplies, enabling businesses to have holistic visibility and control over all business spending.</t>
  </si>
  <si>
    <t>Beacon Trusteeship, Inflection Point Ventures (India)</t>
  </si>
  <si>
    <t>www.bizpay.co.in</t>
  </si>
  <si>
    <t>507388-51</t>
  </si>
  <si>
    <t>Kosh.ai</t>
  </si>
  <si>
    <t>Developer of a financial platform designed to automate payment transaction operations. The company's platform offers various features such as payment gateways, internal reports, bank statements, downloadable reports, and many more, enabling clients to streamline payment reconciliation processes in a hassle-free manner.</t>
  </si>
  <si>
    <t>Anicut Capital, First Cheque, Sunn91 Ventures</t>
  </si>
  <si>
    <t>www.kosh.ai</t>
  </si>
  <si>
    <t>465884-38</t>
  </si>
  <si>
    <t>PaySika</t>
  </si>
  <si>
    <t>Operator of a digital banking platform intended to provide accessible financial services and payment capabilities. The company offers virtual and physical bank cards, real-time transaction management, and chatbot-based account access, enabling individuals in French-speaking Africa to make payments, receive funds, and manage finances conveniently and securely.</t>
  </si>
  <si>
    <t>Adedayo Amzat, Aurelien Breton, Benjamin Chemla, Charles Delingpole, Charles-Edouard Bouee, Damien Guermonprez, DFS Lab, Didier Valet, Digital Africa (Paris), Founder Institute, Fuze (Africa), HoaQ, Kalys Ventures, La French Tech, LoftyInc Capital Management, Oui Capital, SM Capital (San Marino), Sunny Side Venture Partners, Techmind, Thibault Poutrel, Visa Accelerator</t>
  </si>
  <si>
    <t>www.paysika.co</t>
  </si>
  <si>
    <t>187983-91</t>
  </si>
  <si>
    <t>Switch.</t>
  </si>
  <si>
    <t>Developer of an online payment platform designed to connect high-volume merchants with a myriad of service providers. The company helps scale payment operations by connecting with relevant financial institutions across multiple geographies, rolling out innovative products, and building enterprise-level financial applications, enabling businesses to easily integrate multiple acquirers, currencies, and payment methods over a single integration.</t>
  </si>
  <si>
    <t>www.switchpayments.com</t>
  </si>
  <si>
    <t>497389-78</t>
  </si>
  <si>
    <t>IndiaClan</t>
  </si>
  <si>
    <t>Developer of a financial literacy and investment platform intended to discover and connect with verified financial influencers. The company's platform helps to manage money, diversify wealth, and invest in the financial markets in a structured and secure way, enabling investors to seek professional advice to achieve personal financial dreams conveniently.</t>
  </si>
  <si>
    <t>First Cheque, Goodwater Capital, PointOne Capital</t>
  </si>
  <si>
    <t>www.indiaclan.com</t>
  </si>
  <si>
    <t>277233-22</t>
  </si>
  <si>
    <t>Property Bridges</t>
  </si>
  <si>
    <t>Provider of real estate finance intended to facilitate loans to the construction sector. The company's platform provides non-bank finance to developers and gives investors access to these attractive, property-backed loans, enabling property developers to connect with lenders to make property finance faster, more efficient, and more reliable.</t>
  </si>
  <si>
    <t>Aros Kapital, Brian Hurley, Enterprise Ireland, Lagan Investments, NDRC</t>
  </si>
  <si>
    <t>www.propertybridges.com</t>
  </si>
  <si>
    <t>483089-32</t>
  </si>
  <si>
    <t>Anfin</t>
  </si>
  <si>
    <t>Developer of a digital trading platform designed to democratize financial investment for novice retail investors in Vietnam through liquidity and transparency. The company offers help to Vietnamese to gain financial knowledge, form strategies, discover and invest in several asset classes, provides objective information about the market, stock investment knowledge, and personal financial management, enabling clients to help users make informed investment decisions to limit risks and achieve desired returns.</t>
  </si>
  <si>
    <t>AngelHub, Clément Benoit, Dupe Ventures, First Check Ventures, Global Founders Capital, Goodwater Capital, Kharis Capital, MicroVentures, Monk's Hill Ventures, Newman Capital, R2 Venture Partners, R2 Ventures, Rebel Fund, Spring Camp, Sprint VC, XA Network, Y Combinator</t>
  </si>
  <si>
    <t>www.anfin.vn</t>
  </si>
  <si>
    <t>471504-07</t>
  </si>
  <si>
    <t>ARQ (Financial Services)</t>
  </si>
  <si>
    <t>Developer of a financial application designed to provide access to USD for people in Latin America. The company's application allows users to create an account for buying digital dollars from smartphones, grow their savings in dollars every day, convert them back to pesos, and check their transactions in real time, enabling individuals to activate the investment function and review their transactions and returns whenever they want.</t>
  </si>
  <si>
    <t>Borderless Capital, Castle Island Ventures, Expansion Capital, Founders Fund, Google Accelerator, Kaszek, Lunch Partners, PERSEA Ventures, QuantumLight Capital, Sequoia Capital, Spectra Investments, Y Combinator</t>
  </si>
  <si>
    <t>www.arqfinance.com</t>
  </si>
  <si>
    <t>463303-18</t>
  </si>
  <si>
    <t>Avocado (Austin)</t>
  </si>
  <si>
    <t>Artificial Intelligence &amp; Machine Learning, Mobile, Restaurant Technology, SaaS</t>
  </si>
  <si>
    <t>Developer of a restaurant operations technology intended to provide in-person, online, and kiosk ordering along with payroll and bookkeeping services. The company's application provides customized menus based on consumers' dietary preferences or allergies and gives access to trustable food reviews, enabling restaurant owners to organize their operations, increase order capacity, and provide a favorable experience to customers.</t>
  </si>
  <si>
    <t>Global Founders Capital, KDB NextRound, Y Combinator</t>
  </si>
  <si>
    <t>www.avocadopos.com</t>
  </si>
  <si>
    <t>454378-15</t>
  </si>
  <si>
    <t>Baraka</t>
  </si>
  <si>
    <t>Developer of an investment application intended to give everyone access to the stock markets. The company's platform offers educational content, digestible market news, and in-depth stock analysis and avails commission-free investing in stocks, initial public offerings, and exchange-traded funds, enabling investors to explore investment opportunities easily.</t>
  </si>
  <si>
    <t>AB Xelerate, Abdulla Elyas, Badra Capital, BYLD (Dubai), Class 5 Global, Creator Ventures, FJ Labs, Flybridge (New York), Food Labs, Fox Ventures (United Arab Emirates), Future100, Global Founders Capital, Hub71, IMO Ventures, Incubayt Investments, Joel Ayala, Knollwood Investment Advisory, Negma Group, Nuwa Capital, Ocean Investment, Raptor Group, Spade Ventures, The Community Fund, Tribe Capital, Valar Ventures, VentureSouq, Y Combinator</t>
  </si>
  <si>
    <t>www.getbaraka.com</t>
  </si>
  <si>
    <t>433403-20</t>
  </si>
  <si>
    <t>Breezeful</t>
  </si>
  <si>
    <t>Operator of an online mortgage brokering platform intended to help people find home mortgages locally. The company's platform utilizes machine learning to assist in mortgage financing by negotiating with lenders and comparing available rates, enabling consumers to secure mortgage financing at the lowest available rates.</t>
  </si>
  <si>
    <t>GoAhead Ventures, Y Combinator</t>
  </si>
  <si>
    <t>www.breezeful.com</t>
  </si>
  <si>
    <t>463252-69</t>
  </si>
  <si>
    <t>Broad</t>
  </si>
  <si>
    <t>Developer of a financial platform designed to access the international financial market in a simple, practical, and accessible way. The company's platform offers a multi-currency account and card, as well as support for multicurrency technology, enabling users to eliminate transaction fees in financial transactions.</t>
  </si>
  <si>
    <t>Goodwater Capital, Y Combinator</t>
  </si>
  <si>
    <t>www.broad.app</t>
  </si>
  <si>
    <t>399616-12</t>
  </si>
  <si>
    <t>Chipax</t>
  </si>
  <si>
    <t>Developer of a web application designed to organize finances efficiently. The company's platform automates processes and carries out the operation in an orderly and transparent way, connecting sales and purchase invoices, expenses, fees, remuneration, and taxes to a checking account to keep total control, enabling businesses to manage their cash flow and other financial statements.</t>
  </si>
  <si>
    <t>500 Global, 500 Startups LatAm, Chile Ventures, ChileGlobal Ventures, CORFO's Seed Capital Program, Fen Ventures, Kayyak Ventures, MicroVentures, Y Combinator</t>
  </si>
  <si>
    <t>www.chipax.com</t>
  </si>
  <si>
    <t>501573-88</t>
  </si>
  <si>
    <t>Erad</t>
  </si>
  <si>
    <t>Operator of an online fund management platform intended to provide startups in the Middle East with growth capital. The company allows online businesses to connect their sales, marketing, and accounting data to the platform and receive non-dilutive capital funding, enabling businesses to get access to growth funding, as well as key insights and analyses about their business to increase their profit.</t>
  </si>
  <si>
    <t>500 Global, AlJazira Capital, Arāya Ventures, BeyondCapital, Conjunction Capital, Cur8 Capital, Dubai Silicon Oasis Authority, Future100, Janus Ventures, Joa Capital, Khwarizmi Ventures, Kube VC, Nuwa Capital, Oraseya Capital, Palm Ventures (Saudi Arabia), Realm Capital Ventures, Sprint VC, VentureSouq, Y Combinator</t>
  </si>
  <si>
    <t>www.erad.co</t>
  </si>
  <si>
    <t>458997-94</t>
  </si>
  <si>
    <t>Fintoc</t>
  </si>
  <si>
    <t>Developer of a financial technology platform designed to facilitate digital payment processing and bank reconciliation. The company's platform offers the initiation of payments, recurring charges, and automated reconciliation directly from bank accounts, enabling businesses with streamlined transaction management, reduced costs, and enhanced operational efficiency.</t>
  </si>
  <si>
    <t>BICE Ventures, Brighter Capital, Diede van Lamoen, Eduardo Martinez Lobera, Inigo Belausteguigoitia, Minga ventures, Monashees, Platanus Ventures, Plug and Play Tech Center, Propel Venture Partners, Soma Capital, Y Combinator</t>
  </si>
  <si>
    <t>www.fintoc.com</t>
  </si>
  <si>
    <t>481361-68</t>
  </si>
  <si>
    <t>FrontPage</t>
  </si>
  <si>
    <t>Developer of an online financial platform designed to make stock investing accessible to traders and investors. The company's platform is an online expert-advising system provider targeting market traders, which allows them to connect with share market experts and get tips and advice on trades, enabling investors to learn from each other and discuss stocks in their portfolios.</t>
  </si>
  <si>
    <t>AdvantEdge Founders, Anupam Mittal, Ashneer Grover, Earlsfield Capital, Eastlink Capital, Goodwater Capital, Google Accelerator, Jitendra Gupta, Kube VC, Kunal Khattar, Kunal Shah, Lalit Keshre, Nitin Gupta, Pankaj Chaddah, Pravin Jadhav, Sachin Bhatia, Soma Capital, Tribe Capital, VentureSouq, Y Combinator</t>
  </si>
  <si>
    <t>front.page</t>
  </si>
  <si>
    <t>265375-45</t>
  </si>
  <si>
    <t>Gerald</t>
  </si>
  <si>
    <t>Developer of a billing platform designed to protect late fees on household bills. The company's platform tracks and manages bills and makes payments after connecting to biller accounts, enabling customers to automatically pay their household bills with an overdraft.</t>
  </si>
  <si>
    <t>Alchemist Accelerator, Cap Table Coalition, Frontures, Global Insurance Accelerator, Goodwater Capital, InsurTech NY, Open Opportunity Fund, Right Side Capital Management, VentureSouq, Village Capital, Y Combinator</t>
  </si>
  <si>
    <t>www.joingerald.com</t>
  </si>
  <si>
    <t>463034-35</t>
  </si>
  <si>
    <t>GimBooks</t>
  </si>
  <si>
    <t>Developer of a cloud-based bookkeeping and accounting platform designed to offer bookkeeping and integrated banking services to businesses. The company's platform offers the ability to create invoices, track expenses, and manage inventory, enabling businesses to manage employees, customers, and vendors and stay on top of their incomes and expenses.</t>
  </si>
  <si>
    <t>36Inc, First Check Ventures, Google Accelerator, LoftyInc Capital Management, NSRCEL-IIMB, Upekkha, Y Combinator</t>
  </si>
  <si>
    <t>www.gimbooks.com</t>
  </si>
  <si>
    <t>279563-05</t>
  </si>
  <si>
    <t>Gotrade</t>
  </si>
  <si>
    <t>Developer of a stock trading application designed to help retail investors has access to public equity markets. The company's application offers fractional US stocks to be traded on Indonesian markets with biometric access and bit encryption, enabling investors to earn more returns on investment and invest in a low-risk market.</t>
  </si>
  <si>
    <t>Airtree Ventures, Amand Ventures, BEENEXT Capital Management, Carlos Gonzalez-Cadenas, Frank Strausse, Joel Yarbrough, Kibo Ventures, Matt Robinson, Mitsubishi UFJ Financial Group, MUFG Innovation Partners, Phoenix Court, Picus Capital, Plug and Play Tech Center, Prasetia Dwidharma, Raptor Group, Rapyd Ventures, Social Leverage, Soma Capital, Taurus Ventures, Twenty Two Ventures, Velocity Capital Fintech Ventures, Voveo Capital, Y Combinator</t>
  </si>
  <si>
    <t>www.heygotrade.com</t>
  </si>
  <si>
    <t>459360-28</t>
  </si>
  <si>
    <t>Hapi App</t>
  </si>
  <si>
    <t>Developer of a stock trading platform designed to democratize access to the stock market and make buying and selling stocks simple and easy for everyone. The company's platform helps to get registered in a few minutes, trade at zero commissions and execute real-time transactions, enabling users to trade and invest in stocks and securities with ease.</t>
  </si>
  <si>
    <t>AAF Management, Asymmetry Ventures, BBVA Anthemis Venture Partnership, Blaine Vess, Endeavor Perú, Globivest, Goodwater Capital, Halo Labs (United States), Harvard Management Company, Immeasurable, Inca Investments, Inca Ventures, Mural Capital, Portage, Rhombuz Ventures, Socially Financed, SoftEQ Venture Studio, Unpopular Ventures, Y Combinator</t>
  </si>
  <si>
    <t>hapi.trade</t>
  </si>
  <si>
    <t>470073-07</t>
  </si>
  <si>
    <t>Hudson Labs</t>
  </si>
  <si>
    <t>Developer of an artificial intelligence-powered equity research software designed to predict corporate crises using underused and unstructured data. The company's software extracts and organizes hard-to-find information in public company disclosures like annual reports and performs detailed analysis in real time, enabling investors to improve portfolio returns based on textual content and linguistic signals.</t>
  </si>
  <si>
    <t>Activation Fund, Born Capital (California), Brighter Capital, FoundersX Ventures, Good News Ventures, Immeasurable, Y Combinator, Zillionize</t>
  </si>
  <si>
    <t>www.hudson-labs.com</t>
  </si>
  <si>
    <t>481235-86</t>
  </si>
  <si>
    <t>Hypercore</t>
  </si>
  <si>
    <t>Developer of a loan administration platform designed to streamline post-close operations for private credit firms. The company's platform offers a unified system of record for structured deal data, workflow management, portfolio operations, and AI-driven loan administration services, enabling private credit funds to improve operational transparency, reduce manual reconciliation, and maintain institutional controls.</t>
  </si>
  <si>
    <t>Atinc, Insight Partners (New York), Luana Investments, NZVC, Versatile Venture Capital, Y Combinator</t>
  </si>
  <si>
    <t>www.hypercore.ai</t>
  </si>
  <si>
    <t>434848-96</t>
  </si>
  <si>
    <t>InstaKin</t>
  </si>
  <si>
    <t>Developer of a financial platform designed to give access to financial services for migrants in America. The company's platform helps people send money back home to help their families in a cashless, secure, instant, and fully digitized manner, enabling migrants to help their families manage their financial needs.</t>
  </si>
  <si>
    <t>2080 Ventures, Antler, Armando Biondi, Asaph Engel, Carlos Kronen, First Check Ventures, Goodwater Capital, Hamad Alawad, Inspire Us, Jean-Philippe Bray, Leonis Investissement, MassChallenge, Michael Melikian, Pioneer Fund, Raphaël Carteni, Sabih Mir, Taher Savliwala, Timur Daudpota, Vishwesh Jirgale, Y Combinator</t>
  </si>
  <si>
    <t>www.instakin.com</t>
  </si>
  <si>
    <t>463133-17</t>
  </si>
  <si>
    <t>Kodo</t>
  </si>
  <si>
    <t>Operator of a spend management platform intended to provide businesses with loans for working capital requirements. The company's credit card offers interest-free credit to startups along with an expense management tool to track multiple cards across the team and reduce employee time spent on expense management, accounting, and budgeting, enabling clients to avail capital to meet their expenses, execute payments, as well as automate repetitive financial tasks through the spend management tool.</t>
  </si>
  <si>
    <t>8i Ventures, Brex, Fintech Nation, Goat Capital, Immeasurable, Leonis Investissement, Pioneer Fund, Wayfinder Ventures, Y Combinator</t>
  </si>
  <si>
    <t>www.kodo.com</t>
  </si>
  <si>
    <t>481353-94</t>
  </si>
  <si>
    <t>Koshex</t>
  </si>
  <si>
    <t>Developer of a wealth management platform designed to make an individual understand the money movement in real-time. The company's platform allows automated investing in mutual funds, and digital gold and invests in technology, clean energy, automobiles, and US equity by providing tools to users to assess and differentiate the value of potential future outcomes and make enhanced financial decisions, enabling customers to invest in diverse investment avenues that are tailored to suit their financial goals.</t>
  </si>
  <si>
    <t>Beagle Partners, Cryptoverse Ventures, Gaurav Sharma, Goodwater Capital, Rally Cap VC, Sprint VC, The Fintech Fund, Y Combinator</t>
  </si>
  <si>
    <t>koshex.com</t>
  </si>
  <si>
    <t>459006-40</t>
  </si>
  <si>
    <t>Kredi</t>
  </si>
  <si>
    <t>Developer of a financial platform intended for consumers to easily avail of loans for various purposes via higher credit. The company's platform hosts a mathematical algorithm that connects users with the financial institutions most likely to accept credit applications, enabling consumers to acquire a new or used home and a variety of modalities and schemes according to their needs.</t>
  </si>
  <si>
    <t>Acacia Venture Capital Partners, Amplo, Artfo Holdings, Duro VC, Emles Venture Partners, First Check Ventures, Goodwater Capital, Google Accelerator, Harvard Management Company, Immeasurable, Leonis Investissement, Liquid 2 Ventures, Melek Capital, Olive Tree Capital, Orbit Ventures (Venture Capital), Soma Capital, SOSV, Y Combinator</t>
  </si>
  <si>
    <t>www.kredi.mx</t>
  </si>
  <si>
    <t>483347-53</t>
  </si>
  <si>
    <t>Levro</t>
  </si>
  <si>
    <t>Developer of a business banking platform designed to help companies expand overseas. The company's platform specializes in allowing businesses to hold, convert, pay in, and payout multiple currencies using one account as a part of the global financial infrastructure by optimizing for cost, speed, and compliance, enabling businesses to work with customers, pay suppliers, hold currencies, and operate in different currencies around the world and also simplify and automate their payments at scale.</t>
  </si>
  <si>
    <t>Abstract Ventures, Electric Ant, Frontline Ventures, Kintxo Cortés, Mentors Fund, Moonfire, Palrecha Capital, Phoenix Investment Club (San Francisco), Side Door Ventures, Y Combinator</t>
  </si>
  <si>
    <t>www.levro.com</t>
  </si>
  <si>
    <t>482533-93</t>
  </si>
  <si>
    <t>marketfeed</t>
  </si>
  <si>
    <t>Developer of an automated trading platform designed to help earn returns through sophisticated options trading strategies. The company's platform offers users financial education along with pre-built equity and options trading strategies, enabling customers to participate in the stock market through automated trading without the need to manage individual stocks themselves.</t>
  </si>
  <si>
    <t>AvanTech Ventures, Dragon Capital (California), Kube VC, Olive Tree Capital, Soma Capital, Sprint VC, Vibe Capital, Y Combinator</t>
  </si>
  <si>
    <t>www.marketfeed.com</t>
  </si>
  <si>
    <t>463323-61</t>
  </si>
  <si>
    <t>Mendel (Financial Software)</t>
  </si>
  <si>
    <t>Developer of an enterprise expense and corporate travel platform designed to manage business spending and travel bookings. The company's platform offers corporate credit cards, spending controls, expense tracking, travel booking, centralized dashboards, and enterprise resource planning integrations, enabling finance teams to monitor transactions, manage budgets, and control business expenses.</t>
  </si>
  <si>
    <t>Alumni Ventures, Base10 Partners, Basecamp Fund, Better Tomorrow Ventures, Broadhaven Capital Partners, Emles Venture Partners, Endeavor Catalyst, Hi Ventures, Industry Ventures, Infinity Ventures (San Francisco), Jaime Boetsch, Keri Gohman, Lee Fixel, Magma Partners, Matías Woloski, PayPal Ventures, Pedro Arnt, Proximity Angels, Rodrigo Tognini, Thejo Kote, Victory Park Capital Advisors, Y Combinator</t>
  </si>
  <si>
    <t>www.mendel.com</t>
  </si>
  <si>
    <t>489072-43</t>
  </si>
  <si>
    <t>Monto (Financial Software)</t>
  </si>
  <si>
    <t>Developer of a comprehensive employee benefits platform designed to enhance workforce well-being and satisfaction. The platform offers financial products, health services, brand discounts, and educational programs in medical coverage, with preferential prices and easy payment options, enabling businesses to improve employee satisfaction, productivity, and retention by providing a customizable suite of benefits.</t>
  </si>
  <si>
    <t>Angel Hub, Arrebol Capital, Blue Zone Ventures, Emles Venture Partners, First Serve Partners, Gaingels, Goodwater Capital, Iluminar Ventures, OnetribeVC, Quain Investments, Sprint VC, Vastly Valuable Ventures, VentureSouq, Y Combinator</t>
  </si>
  <si>
    <t>www.monto.mx</t>
  </si>
  <si>
    <t>463127-14</t>
  </si>
  <si>
    <t>NextEnterprises</t>
  </si>
  <si>
    <t>Developer of an all-in-one banking service platform intended to collect customer payments via digital invoices. The company's platform allows businesses to send invoices, collect customer payments, and pay employees, suppliers, and bills, enabling clients to send, receive, and manage their finances on one platform.</t>
  </si>
  <si>
    <t>1982 Ventures, Abhinay Peddisetty, Amand Ventures, Broadhaven Capital Partners, Chinmay Chauhan, CSVE Ventures, First Asia Venture Capital, Foxmont Capital Partners, Gentree, Golden Gate Ventures, Goodwater Capital, Kickstart Ventures, Lisa Gokongwei-Cheng, Michael Sidgmore, QBO Innovation Hub, Razorpay, Rohit Mulani, Saison Capital, Shell LiveWIRE, Tribe Capital, Y Combinator</t>
  </si>
  <si>
    <t>www.nextpay.ph</t>
  </si>
  <si>
    <t>268287-31</t>
  </si>
  <si>
    <t>Nowpay</t>
  </si>
  <si>
    <t>Developer of a financial platform designed to focus on improving the financial wellness of corporate employees. The company's platform allows corporate workers to receive part of their salaries in advance, with salary access, bill payments, shopping installments, and internal money transfers, enabling employees to access funding in times of emergency, and corporations to improve employee happiness, productivity, and corporate loyalty.</t>
  </si>
  <si>
    <t>4DX Ventures, 500 Global, Abderahman ElSewedy, BECO Capital, Beltone Financial Holding, Ebtikar, Endure Capital, eXtra (Saudi Arabia), Falak Startups, Foundation Ventures (Egypt), Gehan Fathi, Global Ventures (Private Equity), Globivest, Kepple Africa Ventures, MSA Capital, Plug and Play Tech Center, Quirky Ventures, Rolaco, Sturgeon Capital, Verod-Kepple Africa Ventures, Y Combinator</t>
  </si>
  <si>
    <t>www.nowpay.com</t>
  </si>
  <si>
    <t>459551-98</t>
  </si>
  <si>
    <t>Per Diem</t>
  </si>
  <si>
    <t>FinTech, FoodTech, Mobile, Restaurant Technology, SaaS</t>
  </si>
  <si>
    <t>Operator of a mobile application intended to empower businesses in increasing growth and customer engagement. The company's app accepts orders, tracks rewards, sends notifications, and more, and also offers a digital presence for the restaurant, enabling restaurants, bakeries, and coffee shops to generate recurring revenues through monthly and annual subscriptions.</t>
  </si>
  <si>
    <t>Decent Capital, Deviation Capital, DNX Ventures, Y Combinator</t>
  </si>
  <si>
    <t>www.tryperdiem.com</t>
  </si>
  <si>
    <t>489072-34</t>
  </si>
  <si>
    <t>Pideaky</t>
  </si>
  <si>
    <t>Developer of a point-of-sale platform designed to help manage and accelerate cash flow. The company's platform organizes and tracks sales and inventory, updates the catalog to receive orders, and offers inventory-based financing and payments, collection, and reconciliation tools, enabling businesses to increase revenue by digitizing the operation process.</t>
  </si>
  <si>
    <t>Dupe Ventures, Goodwater Capital, Jeroen Bertrams, Leonis Investissement, Olive Tree Capital, Sprint VC, Team Ignite Ventures, Wayfinder Ventures, Y Combinator, Zentani Capital</t>
  </si>
  <si>
    <t>www.pideaky.com</t>
  </si>
  <si>
    <t>489056-23</t>
  </si>
  <si>
    <t>Portão 3</t>
  </si>
  <si>
    <t>Developer of financial software designed to manage expenses, rules, approvals, reimbursements, and budgets. The company's software offers reservation management, expense management, and multiple payment methods, enabling businesses to make payments without much trouble.</t>
  </si>
  <si>
    <t>Better Tomorrow Ventures, Edward Lando, Endeavor Global, Fin Capital, Findell Capital, Flexport, Jonathan Oringer, Nadav Chanoch, Pareto Holdings, Reverb Capital, Y Combinator</t>
  </si>
  <si>
    <t>www.portao3.com.br</t>
  </si>
  <si>
    <t>433624-87</t>
  </si>
  <si>
    <t>Prospa Technologies</t>
  </si>
  <si>
    <t>Developer of a banking application designed to help small business owners in opening and operating a business account. The company's application offers an account number in the company name and facilitates sending and receiving transfers, invoice creation, and opening of sub-accounts, enabling businesses to solve various financial difficulties and increase productivity.</t>
  </si>
  <si>
    <t>Ankur Nagpal, Blackwood Ventures (Denmark), Conor Walsh, Earl Grey Capital, Frank Fumarola, Global Founders Capital, Immad Akhund, Impact Capital (Miami), Karim Atiyeh, Liquid 2 Ventures, MAVA Ventures, Microtraction, Musha Ventures, Quint Capital, Rahul Vohra, Realm Capital Ventures, Saad Rizvi, Savantus Ventures, Todd &amp; Rahul Capital, Todd Goldberg, Twenty Two Ventures, Vibe Capital, Wayfinder Ventures, Y Combinator</t>
  </si>
  <si>
    <t>www.getprospa.com</t>
  </si>
  <si>
    <t>432506-89</t>
  </si>
  <si>
    <t>QuotaBook</t>
  </si>
  <si>
    <t>Developer of an equity management platform designed to streamline corporate governance and securities administration. The company's platform includes real-time tracking, digitized securities management, customizable features for equity awards, and compliance tools, enabling businesses and investors to efficiently manage equity data, enhance transparency, and optimize operational workflows.</t>
  </si>
  <si>
    <t>1Q Agile Lab, 500 Global, Access Ventures, Access Ventures (Asia), BonAngels Venture Partners, Capstone Partners Korea, Carta Ventures, COMEUP STARS, Delight Ventures, Draper Associates, Elefund, Fast Investment, Fast Ventures, FuturePlay, Globivest, Goodwater Capital, Google Accelerator, Hana Bank Global, Hana Securities, JB Ventures, Kakao Ventures, KB Innovation HUB, Kimgisa Lab, Korea Investment Partners, Lighthouse Combined Investment, Lotte Ventures, Mashup Ventures, RedBadge Pacific, Scale Asia Ventures, Seedstars, Seoul National University Technology Holdings, Shinhan Capital, Shinhan Futures Lab, Shorooq Partners, Strong Ventures, SV Pacific Ventures, Toss, TS Investment, Ulysses Capital, Viva Republica (Payment Gateway Business), Whoa Ventures, Y Combinator</t>
  </si>
  <si>
    <t>www.quotabook.com</t>
  </si>
  <si>
    <t>518996-35</t>
  </si>
  <si>
    <t>Salad.</t>
  </si>
  <si>
    <t>AgTech, FinTech, HR Tech, SaaS</t>
  </si>
  <si>
    <t>Developer of a business management platform designed to offer financial services for African businesses. The company's platform offers automated payroll payment, employee management, and cash flow financing optimization, and allows employees to withdraw, save, and spend their salaries to meet urgent needs, enabling clients to promote financial security and enhance the productivity of their workforce.</t>
  </si>
  <si>
    <t>Norrsken Evolve, Techstars</t>
  </si>
  <si>
    <t>www.saladafrica.com</t>
  </si>
  <si>
    <t>231272-65</t>
  </si>
  <si>
    <t>Send Reality</t>
  </si>
  <si>
    <t>Mobile, Real Estate Technology</t>
  </si>
  <si>
    <t>Operator of real estate photography and virtual tour software intended for creating professional property listings. The company's platform enables the capture of photographs, generates immersive three-dimensional property tours, and builds professional listing websites using only a mobile device, eliminating the need for specialized photography equipment or separate web design services, enabling real estate professionals and property sellers to produce comprehensive digital property presentations at a reduced cost compared to traditional photography and web development services.</t>
  </si>
  <si>
    <t>Ali Partovi, Dorm Room Fund, Paul Buchheit, Paul Graham, Soma Capital, Y Combinator</t>
  </si>
  <si>
    <t>sendreality.com</t>
  </si>
  <si>
    <t>481433-68</t>
  </si>
  <si>
    <t>Sequin (Consumer Finance)</t>
  </si>
  <si>
    <t>Provider of debit cards for women intended to design banking products with women's best interests in mind. The company links the cards with existing bank accounts to form a credit-building layer and forwards the money for the purchase to the merchant on the users' behalf, enabling women to recognize their financial power and get the credit they deserve.</t>
  </si>
  <si>
    <t>California Innovation Fund, Carolyn Schwab-Pomerantz, Commerce Ventures, Deborah Liu, Dorm Room Fund, Dorothy Chang, Elizabeth Weil, Emles Venture Partners, First Check Ventures, Holly Liu, ICE.vc, Kevin Weil, Kim Polese, Matrix, Pentas Ventures, Rebel Fund, Scout Fund, Scribble Ventures, Thomvest Ventures, Y Combinator</t>
  </si>
  <si>
    <t>www.sequincard.com</t>
  </si>
  <si>
    <t>493352-29</t>
  </si>
  <si>
    <t>Stock Unlock</t>
  </si>
  <si>
    <t>Operator of a stock analysis platform designed to demystify investing and promote financial literacy. The company's platform offers financials, trends, ratios, and other financial benchmarks to optimize investing, enabling clients to research stocks, track portfolios and become promising investors.</t>
  </si>
  <si>
    <t>Goodwater Capital, Team Ignite Ventures, Y Combinator</t>
  </si>
  <si>
    <t>www.stockunlock.com</t>
  </si>
  <si>
    <t>489961-90</t>
  </si>
  <si>
    <t>Super Advisor</t>
  </si>
  <si>
    <t>Developer of business development platform designed to launch, run, and scale independent advisory businesses with ease. The company's platform specializes in customizable automation, financial graphs, and connecting to third-party services to make end-to-end workflows, enabling advisors to automate tedious processes and save the time spent on doing monotonous tasks.</t>
  </si>
  <si>
    <t>Graphite Ventures, ODF, Rhino Ventures</t>
  </si>
  <si>
    <t>www.superadvisor.ai</t>
  </si>
  <si>
    <t>481669-57</t>
  </si>
  <si>
    <t>Toku (Financial Software)</t>
  </si>
  <si>
    <t>Developer of an online financial platform designed to let companies automate collections of recurring revenue and facilitate the payment process. The company's platform utilizes machine learning techniques to optimize the collection of recurring payments and offers self-management for inactivation, deactivation, and changes of automatic methods, enabling companies to bring down late payments and maximize operational efficiency.</t>
  </si>
  <si>
    <t>4UM Investimentos, Clocktower Group, Clocktower Ventures, Daniel Kushner, F-Prime Capital, FundersClub, Gradient Ventures, Honey Island Capital, LEAP Global Partners, Matías Muchnik, Oak HC/FT, Pareto Holdings, Platanus Ventures, Santiago Lira, Sebastián Kreiss, Start-Up Chile, Wollef, Y Combinator</t>
  </si>
  <si>
    <t>www.trytoku.com</t>
  </si>
  <si>
    <t>459143-20</t>
  </si>
  <si>
    <t>Treinta</t>
  </si>
  <si>
    <t>Developer of business management and point-of-sale software intended to help small and medium-sized enterprises manage core retail and service operations. The company's platform supports sales processing, inventory and cash control, customer and supplier records, team access, and real-time financial and performance reports, enabling businesses in multiple countries to centralise daily management across devices.</t>
  </si>
  <si>
    <t>22 Ventures, Aaron Gathmann, Abad Capital, Acacia Venture Capital Partners, Ali Jamal, Andy Jagoe, BBQ Capital, Broocknell Ventures, Carlos Kronen, Commerce Ventures, Crescent Capital (Los Angeles), Erik Peterson, Ethos VC, First Check Ventures, FJ Labs, Goodwater Capital, Harrison Uffindell, Houston Angel Network, Kube VC, LionTree Partners, LoftyInc Capital Management, Luxor Capital, Mango.vc, Michael Jarmuz, Outbound Ventures, PayU, Prosus, Proximity Angels, Raffael Johnen, Realm Capital Ventures, Rhombuz Ventures, Soma Capital, TEN13, Varsha Rao, VentureSouq, Y Combinator, Youcef Es-skouri</t>
  </si>
  <si>
    <t>www.treinta.co</t>
  </si>
  <si>
    <t>442509-31</t>
  </si>
  <si>
    <t>Abacum</t>
  </si>
  <si>
    <t>Developer of a financial planning and analysis platform designed to help finance teams streamline planning, forecasting, and reporting. The company's platform offers real-time data integration, collaborative planning workflows, customizable forecasting models, and AI-powered financial insights, enabling small and medium-sized business finance teams to reduce manual work, align stakeholders, and improve strategic decision-making.</t>
  </si>
  <si>
    <t>Abraham Meir, Atomico (UK) Partners, Carmine Visconti, Cathay Innovation, Creandum, Felipe García, FJ Labs, Ingo Uytdehaage, Jenny Bloom, Juan Urdiales, Justin Kan, KFund, Maximilian Tayenthal, Michael Asher, PROfounders Capital, Quint Ventures, S16VC, Scale Venture Partners, Thomas Lehrman, Western Technology Investment, Y Combinator, Zachary Prince</t>
  </si>
  <si>
    <t>www.abacum.ai</t>
  </si>
  <si>
    <t>467851-87</t>
  </si>
  <si>
    <t>Floatpays</t>
  </si>
  <si>
    <t>Developer of an employee benefits platform designed to improve financial well-being and simplify workforce management. The company's platform offers payroll-integrated savings plans, earned wage access, pension-backed home financing, employee rewards, and built-in communication and financial planning tools, enabling employers and their workforce to reduce financial stress and build consistent financial habits.</t>
  </si>
  <si>
    <t>4DX Ventures, Alan Rutledge, Base Capital (Cape Town), BYLD (Dubai), FINCA Ventures, Founder 2 Funder, Founders Factory Africa, Global Founders Capital, Kepple Africa Ventures, MFS Investments, Naspers, Negma Group, Norrsken Evolve, Norrsken VC, Olugbenga Agboola, Resilience17, Shaun Hurwitz, Soma Capital, The Raba Partnership, Visa Accelerator, Y Combinator, Youcef Oudjidane</t>
  </si>
  <si>
    <t>www.floatpays.com</t>
  </si>
  <si>
    <t>489050-92</t>
  </si>
  <si>
    <t>MejorCDT</t>
  </si>
  <si>
    <t>Developer of a financial platform designed to let investors find and invest in banks for certificates in derivatives trading. The company's platform allows investors to compare and invest in yield savings accounts and provides information on expiration dates so that investors can notify the bank about the withdrawal or renewal, enabling clients to generate a higher yield from their savings.</t>
  </si>
  <si>
    <t>LatinLeap, Tantauco Ventures, The Ark Fund, VU Venture Partners, Y Combinator, Yango</t>
  </si>
  <si>
    <t>www.mejorcdt.com</t>
  </si>
  <si>
    <t>597747-43</t>
  </si>
  <si>
    <t>Startbutton</t>
  </si>
  <si>
    <t>Operator of a transaction gateway platform intended to handle payment processing. The company's platform provides various services, including tax compliance, local currency support, and vendor payouts, among others, enabling organizations to expand and focus on selling their products without the hassle of payment regulations.</t>
  </si>
  <si>
    <t>DCG Expeditions, Ingressive (Nigeria), Musha Ventures, Norrsken Evolve, Visa</t>
  </si>
  <si>
    <t>www.startbutton.africa</t>
  </si>
  <si>
    <t>493015-96</t>
  </si>
  <si>
    <t>Nmible</t>
  </si>
  <si>
    <t>Digital Health, SaaS</t>
  </si>
  <si>
    <t>Developer of clinical trial participant reimbursement software intended to reduce the financial burden of clinical trials. The company's platform facilitates fast and easy expense reimbursement, reduces administrative strain on trial sites, and provides comprehensive financial information capture with accurate reporting, enabling pharmaceutical and biotechnology companies to drive strategic decision-making and improve participant retention.</t>
  </si>
  <si>
    <t>Create Health Ventures, FCA Venture Partners, Visa's Fintech Fast Track Program</t>
  </si>
  <si>
    <t>www.nmible.com</t>
  </si>
  <si>
    <t>1159470-19</t>
  </si>
  <si>
    <t>Finanjo</t>
  </si>
  <si>
    <t>Operator of personal finance management platforms intended to help users track, organise, and understand their money with automated insights. The Company provides a unified digital finance app that aggregates users' bank accounts, cards, and investment data in one place to offer real-time visibility into spending, cash flow, and financial health, enabling users manage and understand their finances by tracking accounts, expenses, and budgets in one app.</t>
  </si>
  <si>
    <t>A Junior VC</t>
  </si>
  <si>
    <t>finanjo.com</t>
  </si>
  <si>
    <t>589617-82</t>
  </si>
  <si>
    <t>Evertrace (Financial Software)</t>
  </si>
  <si>
    <t>Developer of an AI-powered founder detection engine designed to assist venture capital investors in finding and investing in early-stage startups. The company's platform offers real-time insights into private markets, tracking company growth, product launches, market trends, workforce metrics, competitor analysis, expert search, and personalized news feeds, enabling venture capital and private equity firms to make informed and strategic investment decisions, and allows for the sourcing of deals ahead of the market.</t>
  </si>
  <si>
    <t>Christian Jantzen, Eske Gunge, InnoFounder, Jonatan Hjortdal, Mads Mikkelsen, Rune Christensen, Simon Christoffersen, Sonu Banga</t>
  </si>
  <si>
    <t>www.evertrace.ai</t>
  </si>
  <si>
    <t>495777-70</t>
  </si>
  <si>
    <t>WireBee</t>
  </si>
  <si>
    <t>Developer of a communication automation platform designed for freight brokerage operations. The company's platform offers features such as AI-powered automated call handling, compliance and load-availability screening, selective call-queue prioritisation, fraud-detection via carrier identity verification, and integrations with cloud phone services, enabling freight brokers to connect with trusted carriers, reduce operational friction, and improve load-coverage efficiency.</t>
  </si>
  <si>
    <t>Trailblazer Software Accelerator</t>
  </si>
  <si>
    <t>www.wirebee.com</t>
  </si>
  <si>
    <t>469688-68</t>
  </si>
  <si>
    <t>ICanPe</t>
  </si>
  <si>
    <t>Developer of a credit management platform designed for automated collections and settlements. The company uses a step-by-step process to convert default information into an executable recovery strategy and measurable outcomes, as well as computer models for borrower behavior using artificial intelligence and machine learning, providing lending institutions and marketplaces with efficient recovery operations.</t>
  </si>
  <si>
    <t>Axilor Ventures, BetaPlus (India), Manipal Technologies, Natarajan Ranganathan, The Fintech Meetup, Yatra Angel Network</t>
  </si>
  <si>
    <t>www.icanpe.com</t>
  </si>
  <si>
    <t>433030-60</t>
  </si>
  <si>
    <t>YMoney</t>
  </si>
  <si>
    <t>Operator of a digital money transfer platform designed to facilitate cross-border remittances to Guinea. The company's platform offers instant transfers using phone numbers, mobile wallet payments with or without internet access, and a network of local cash pickup points, enabling diaspora senders and recipients in Guinea to send, receive, and use funds securely and conveniently.</t>
  </si>
  <si>
    <t>Breega, Inco Ventures, Super Capital</t>
  </si>
  <si>
    <t>www.ymo.africa</t>
  </si>
  <si>
    <t>178466-77</t>
  </si>
  <si>
    <t>BuyPower</t>
  </si>
  <si>
    <t>Developer of an online electricity bill payment platform designed to increase convenience during bill payment. The company's platform offers purchase prepaid meter electricity tokens that will enable to pay for electricity from phones and computers to simplify the process of buying electricity and managing business payouts, anytime and anywhere, enabling users to save time, avoid queues, and streamline financial operations.</t>
  </si>
  <si>
    <t>Aston Motes, Bennett Hoffman, Brian Armstrong, Cedric Dahl, Emles Venture Partners, Goodwater Capital, Gustaf Alstromer, Jeffrey Chang, MAVA Ventures, Michael Daugherty, Musha Ventures, Ola Okelola, Y Combinator</t>
  </si>
  <si>
    <t>www.buypower.ng</t>
  </si>
  <si>
    <t>231214-69</t>
  </si>
  <si>
    <t>CowryWise</t>
  </si>
  <si>
    <t>Developer of a financial platform intended to offer digital wealth management and financial planning services. The company leverages technology and investment management to offer free wealth advisory and consumer education, paired with savings and investment offerings that can advance financial inclusion, enabling customers to achieve their savings and investment goals in a simple, secure, and affordable manner.</t>
  </si>
  <si>
    <t>Accion, Actions Capital, Microtraction, Quona Capital, Sahil Lavingia, SHL Capital (London), Tsadik Foundation, VentureSouq, Y Combinator</t>
  </si>
  <si>
    <t>www.cowrywise.com</t>
  </si>
  <si>
    <t>232152-58</t>
  </si>
  <si>
    <t>Hypcloud</t>
  </si>
  <si>
    <t>Developer of a property financing platform designed to redesign commercial real estate finance. The company's platform is used for commercial real estate finance by utilizing intuitive tools for creating projects, connecting with lenders, and choosing from different financing offers through a central hub, enabling real estate developers to shorten the financial process and optimize financing conditions.</t>
  </si>
  <si>
    <t>Atlantic (Berlin), Axel Springer Plug and Play Accelerator, Caesar Ventures, Gerald Schönbucher, Peak State Ventures, STS Ventures, VentureSouq, Y Combinator</t>
  </si>
  <si>
    <t>www.hypcloud.de</t>
  </si>
  <si>
    <t>162909-28</t>
  </si>
  <si>
    <t>Legalist</t>
  </si>
  <si>
    <t>Operator of an institutional alternative asset management firm intended to help companies mitigate risk, pay legal fees and win cases. The company's services use proprietary sourcing technology to source and underwrite litigation investments that are done on a non-recourse basis to generate risk-adjusted returns for its clients, enabling plaintiffs and their attorneys to tackle legal situations and complications in a convenient and hassle-free manner.</t>
  </si>
  <si>
    <t>Aken Capital, Brian Stout, Charles Songhurst, David Jang, Harlan Capital Partners, Harry Sanchez, Jack Herrick, Jared Danziger, Jeremy Gillick, John Hering, Lauren Valastro, Livia Biederman, Rebecca Kasow, Refactor Capital, Remy Cipriano, Sam Conover, Samantha McNulty, Sara Airasian, Y Combinator</t>
  </si>
  <si>
    <t>www.legalist.com</t>
  </si>
  <si>
    <t>124665-40</t>
  </si>
  <si>
    <t>RedCarpet Tech</t>
  </si>
  <si>
    <t>Provider of credit lending services intended to improve lending infrastructure. The company's application provides personal loans in the form of a credit line and offers a detailed card statement, payment tracking and alerts on debt payment, enabling users to buy any product from any site and pay back in installments.</t>
  </si>
  <si>
    <t>www.redcarpetup.com</t>
  </si>
  <si>
    <t>172718-74</t>
  </si>
  <si>
    <t>Tpaga</t>
  </si>
  <si>
    <t>Big Data, FinTech, Mobile, Mobile Commerce, TMT</t>
  </si>
  <si>
    <t>Operator of a Fintech-as-a-Service (FaaS) company intended to provide digital transactions. The company's platform offers banking Application Programming Interface (APIs), white-label mobile wallets, and payment APIs to banks, fintech firms, telecommunications companies, and retailers, enabling users to make recharges and payments for public services or household accounts, as well as purchases at establishments.</t>
  </si>
  <si>
    <t>Actions Capital, Amador Holdings, Banco Serfinanza, Biosphere Investment Group, Conny &amp; Co., Constellar Ventures, Cornelius Boersch, CP Ventures, Debanjan Mukherjee, EWA Capital, Flight Ventures, Fondation Botnar, Fundación Botnar, Green Visor Capital, Greyhound Capital, Hack VC, HubBOG, Innogen Capital Ventures, Invariantes Fund, INVX, Kairos HQ, Kronos Ventures, Linden3 Ventures, Mountain Partners, New Ventures Capital, Next Ventures, Pogos Saiadian, Tirto Adji, Toro Ventures (Mexico), Ventek Ventures, Y Combinator, Zillionize</t>
  </si>
  <si>
    <t>tpaga.co</t>
  </si>
  <si>
    <t>226822-15</t>
  </si>
  <si>
    <t>Tributi</t>
  </si>
  <si>
    <t>Operator of a tax filing platform intended to optimize the income tax return process for individuals in Colombia. The company platform facilitates an automated system, expert support, and secure data processing, enabling taxpayers to file accurately, save time, and minimize their tax burden.</t>
  </si>
  <si>
    <t>99 Startups, Actions Capital, Alex Gálvez, Brian Requarth, Duro VC, Flink Ventures, Foundation Capital, Gaingels, George Carollo, Graph Ventures, Grupo Cibest, Kimball Thomas, Nicholas Hinrichsen, SIMMA Capital, Simon Borrero, Troopa, Y Combinator</t>
  </si>
  <si>
    <t>www.tributi.com</t>
  </si>
  <si>
    <t>501791-14</t>
  </si>
  <si>
    <t>Chexy</t>
  </si>
  <si>
    <t>Developer of a rent payment platform designed to modify the process of paying rent. The company's platform helps tenants to send money online to their landlords, earn rewards, and build credit points, and also facilitates the points to be redeemed to access exclusive membership perks, enabling tenants to control one of the major monthly expenses, which includes paying rent.</t>
  </si>
  <si>
    <t>0MC, Air Canada, Antler, Claudette McGowan, Crossbeam, DMZ (Toronto), DMZ Ventures, Elevate (Canada), Ferst Capital Partners, Fintech Cadence, Gallery Ventures, GroundBreak Ventures, ICUBE UTM, Intuit Canada, Khosla Ventures, Nventure, Plug and Play Tech Center, University of Toronto Entrepreneurship, Venrex Investment Management, Venturon</t>
  </si>
  <si>
    <t>www.chexy.co</t>
  </si>
  <si>
    <t>490708-27</t>
  </si>
  <si>
    <t>Red Flash (Financial Software)</t>
  </si>
  <si>
    <t>Developer of a tech platform designed for implementing micro-taxation of the informal sector in Africa. The company develops a digital platform for local tax and revenue collection, helping governments in developing countries to mobilize domestic resources through micro-taxation, enabling agencies and businesses to have access to social security, micro-insurances, and credit scores.</t>
  </si>
  <si>
    <t>Katapult Group, Mastercard Lighthouse</t>
  </si>
  <si>
    <t>www.redflash.se</t>
  </si>
  <si>
    <t>533333-35</t>
  </si>
  <si>
    <t>Banknbox</t>
  </si>
  <si>
    <t>Developer of a Banking-as-a-Service platform designed to modernize financial infrastructure and streamline digital banking experiences. The company offers a unified orchestration platform with seamless integration, modular architecture, and end-to-end banking capabilities, enabling banks, fintechs, local schemes, and processors across the MENA region to deliver scalable and future-ready financial services.</t>
  </si>
  <si>
    <t>DisrupTech Ventures, Sanabil 500 MENA Seed Accelerator</t>
  </si>
  <si>
    <t>www.banknbox.com</t>
  </si>
  <si>
    <t>625074-94</t>
  </si>
  <si>
    <t>Multibagg Ai</t>
  </si>
  <si>
    <t>Operator of stock research and financial data services designed to facilitate informed investment decisions. The company offers AI powered stock research and analysis platform that tracks companies listed on the NSE and BSE, and provides access to various documents, including annual reports and investor presentations, utilizing AI for data extraction and analysis, enabling clients to enhance the user experience with accurate and timely insights.</t>
  </si>
  <si>
    <t>www.multibagg.ai</t>
  </si>
  <si>
    <t>554342-59</t>
  </si>
  <si>
    <t>Opigo (Financial Software)</t>
  </si>
  <si>
    <t>Developer of an investment decision platform designed to make the stock investing process easy, reliable, and rewarding. The company's platform offers to track stocks of experts to grow the portfolio, expert votes for doubts, help in discovering a reliable stock partner, and connect with SEBI-registered experts, enabling users to network with friends, experts, and other users privately or on a group chat.</t>
  </si>
  <si>
    <t>www.opigo.in</t>
  </si>
  <si>
    <t>494962-30</t>
  </si>
  <si>
    <t>Paymonths</t>
  </si>
  <si>
    <t>Developer of a fintech platform designed to solve the liquidity problems of small and medium-sized enterprises. The company uses machine learning-based credit evaluation that fundamentally solves the financial liquidity problem of retail sellers by converting cash transactions into deferred payment, enabling small and medium-sized enterprises to have completely digitized payments in the B2B market.</t>
  </si>
  <si>
    <t>Hansae Yes24 Holdings, Kakao Pay, Newborn Ventures, POSTECH Holdings, Seulgi Asset Management, SparkLabs Group, Strong Ventures, Tech Incubator Program for Startup</t>
  </si>
  <si>
    <t>www.paymonths.co.kr</t>
  </si>
  <si>
    <t>819312-22</t>
  </si>
  <si>
    <t>AlphaNova</t>
  </si>
  <si>
    <t>Developer of a collaborative Artificial Intelligence-powered trading platform designed for asset price prediction modeling. The company's platform offers data scientists and quantitative analysts a space to participate in competitions to develop AI models, collaborate with experts, and earn monetary rewards for the most accurate predictions, enabling data scientists, quants, and ML experts to advance skills and stimulate within the financial modeling sector.</t>
  </si>
  <si>
    <t>www.alphanova.tech</t>
  </si>
  <si>
    <t>537030-82</t>
  </si>
  <si>
    <t>Aperidata</t>
  </si>
  <si>
    <t>Operator of a real-time credit references platform intended to use financial data to update credit scoring. The company's platform offers cloud-based services for credit risk control, decision management, scoring, modeling, data analytics, cloud infrastructure, payments, and information technology program delivery, enabling businesses and consumers to use transactional data to access financial products and services.</t>
  </si>
  <si>
    <t>www.aperidata.com</t>
  </si>
  <si>
    <t>462127-78</t>
  </si>
  <si>
    <t>Connectif Technology</t>
  </si>
  <si>
    <t>Developer of an Islamic finance platform designed to connect Islamic finance institutions to their counterparts through one central platform. The company is focused on delivering innovative solutions to the Islamic finance market, specifically in the areas of asset and liability management, improving profitability and client service, and reducing operational risk and costs, enabling customers to achieve Sharia compliance.</t>
  </si>
  <si>
    <t>www.connectif.tech</t>
  </si>
  <si>
    <t>517708-09</t>
  </si>
  <si>
    <t>Finpeers</t>
  </si>
  <si>
    <t>Operator of a fintech company intended to leverage tokenization to democratize the private financial market. The company uses tokenization to make investments in the private equity market, enabling investors and asset managers to create an open, collaborative environment that allows more people to benefit from the potential of the private financial market.</t>
  </si>
  <si>
    <t>Andreas Bjaroy, Fulgur Ventures, Ketil Skorstad, Middelborg, Morten Klein, Tigerstaden</t>
  </si>
  <si>
    <t>www.finpeers.com</t>
  </si>
  <si>
    <t>442734-76</t>
  </si>
  <si>
    <t>Wealthon</t>
  </si>
  <si>
    <t>Operator of a fintech company intended to provide a bridge loan to entrepreneurs. The company's services include providing bridging loans, short-term commercial loans as well as development finance to local entrepreneurs for repayment of liabilities, enabling local entrepreneurs to solve current financial problems by guaranteeing maximum commitment, reliability, and security of transactions.</t>
  </si>
  <si>
    <t>3TS Capital Partners, 4Growth Venture Capital, Francois Colombie, Łukasz Olek, NCBR Investment Fund</t>
  </si>
  <si>
    <t>www.wealthon.com</t>
  </si>
  <si>
    <t>513355-24</t>
  </si>
  <si>
    <t>Axehedge</t>
  </si>
  <si>
    <t>Developer of a trading application designed to offer structured and simplified investing tools. The company's application uses structured approaches with analytics, real-time data, news and research reports from analysts in digestible formats making investing simple, structured and code-free, enabling investors to trade consistently and systematically to attain long-term outperformance.</t>
  </si>
  <si>
    <t>CK Lum, Faris Lodin, Kejuruteraan Jutakaya, Sterling Equity</t>
  </si>
  <si>
    <t>www.axehedge.com</t>
  </si>
  <si>
    <t>171123-49</t>
  </si>
  <si>
    <t>Biztory</t>
  </si>
  <si>
    <t>Developer of a cloud accounting software designed to manage finances and businesses digitally. The company's application can handle daily accounting flexibly, optimizes business costs while securing data storage, and keeps track and manages sales and invoices, accounting cashflow, purchases and inventory and accounting and taxes, enabling small-medium enterprises to manage daily accounting tasks simpler and faster.</t>
  </si>
  <si>
    <t>EY Foundry, Fikra Ace Accelerator</t>
  </si>
  <si>
    <t>www.biztory.com.my</t>
  </si>
  <si>
    <t>493737-13</t>
  </si>
  <si>
    <t>Inveert</t>
  </si>
  <si>
    <t>Developer of a wealth management platform designed for investment services entities. The company offers financial planning and advisory service alternatives for clients, empowers end-customers to set up financial goals, current situations, and risk profiles, and its algorithm builds up a goal-based investment proposal by allocating according to time horizon, enabling organizations to offer a personalized advisory service.</t>
  </si>
  <si>
    <t>Andalucia Open Future, Castiventures, Center for Industrial Technological Development, Tenity</t>
  </si>
  <si>
    <t>www.inveert.com</t>
  </si>
  <si>
    <t>113676-76</t>
  </si>
  <si>
    <t>Electrum Financial Services</t>
  </si>
  <si>
    <t>Operator of an online platform intended to offer personal travel forex card buying services. The company's platform assists in buying prepaid forex cards online at any time, with the convenience of doorstep delivery, enabling customers to avoid phone calls or physical visits to a bank or money changer and face no hassles of preparing a demand draft or paying with large sums of money.</t>
  </si>
  <si>
    <t>P Ramakrishna, Swarnim Multiventures</t>
  </si>
  <si>
    <t>www.buyforexonline.com</t>
  </si>
  <si>
    <t>322756-66</t>
  </si>
  <si>
    <t>Three Wheels United</t>
  </si>
  <si>
    <t>Provider of environment-friendly transportation financing services intended to use finance and technology to decarbonize the auto-rickshaw market. The company's services include scalable lending to clients in emerging markets and through sophisticated financial instruments, enabling clients to access affordable financing to improve their income and reduce their expenses.</t>
  </si>
  <si>
    <t>ADB Ventures, Barnaby Grist, Delta Corp Shipping, GINCO Investments, GripInvest, Keeling Curve Prize, Microsoft, Neo Capital (DIFC), South British Capital, Techstars, Third Derivative, Unreasonable Impact</t>
  </si>
  <si>
    <t>www.threewheelsunited.com</t>
  </si>
  <si>
    <t>188078-41</t>
  </si>
  <si>
    <t>Senso (Financial Software)</t>
  </si>
  <si>
    <t>Developer of an artificial intelligence-powered knowledge base platform designed to expand customer relationships in the credit union space. The company's platform transforms your unstructured policies into a cohesive format, empowering efficient loan approvals, operations, and staff training, enabling support teams to make decisions about customer requests in seconds.</t>
  </si>
  <si>
    <t>AI Venture Labs, BDC Capital, Breakaway Growth Fund, Inovia Capital, Luge Capital, Mendoza Ventures, Next (Consulting Services), NVO Capital, Rebel Fund, Rising Tide Fund, Techstars, The Venture Center, TribalScale, Y Combinator</t>
  </si>
  <si>
    <t>www.senso.ai</t>
  </si>
  <si>
    <t>470823-13</t>
  </si>
  <si>
    <t>Streak (India)</t>
  </si>
  <si>
    <t>Developer of a financial education application intended to introduce financial literacy and money management. The company's application offers banking services such as deposit accounts, money transfers, and physical and virtual prepaid cards for online and offline purchases that help parents teach their children essential financial skills, enabling teenagers to independently monitor expenses and save for their goals.</t>
  </si>
  <si>
    <t>Goodwater Capital, Inflection Point Ventures (India), Mintosh Advisory, Sprint VC, Y Combinator</t>
  </si>
  <si>
    <t>www.streakcard.com</t>
  </si>
  <si>
    <t>327474-37</t>
  </si>
  <si>
    <t>DBMenos</t>
  </si>
  <si>
    <t>Developer of a financial platform designed to offer debt consolidation and liquidation services to customers. The company's platform creates a personalized plan that adjusts to the debtor's payment capacity to settle the loan and offers unsecured consumer loans through the creation of a digital account, enabling people with default loan services to pay off quickly with advanced support.</t>
  </si>
  <si>
    <t>500 Global, 500 Startups LatAm, Angel Ventures Mexico, AVP Ventures, Seedstars International Ventures, The Ark Fund</t>
  </si>
  <si>
    <t>www.dbmenos.com</t>
  </si>
  <si>
    <t>229869-10</t>
  </si>
  <si>
    <t>Quber</t>
  </si>
  <si>
    <t>Developer of a personal finance management platform designed to help people track and manage their spending and savings. The company's application uses smart algorithms to track daily, weekly, or monthly savings, recommend budget goals, and create custom expenditure plans based on one's income and spending behavior, enabling clients to set goals for their savings and channel the saved money towards something important.</t>
  </si>
  <si>
    <t>Fintech Cadence, IFH Lab, MassChallenge, New Brunswick Innovation Foundation, Startup en résidence</t>
  </si>
  <si>
    <t>www.qubersavings.com</t>
  </si>
  <si>
    <t>266495-05</t>
  </si>
  <si>
    <t>Dowsure</t>
  </si>
  <si>
    <t>Artificial Intelligence &amp; Machine Learning, Big Data, E-Commerce, FinTech, InsurTech, Manufacturing</t>
  </si>
  <si>
    <t>Developer of a digital API infrastructure intended to streamline financial access for cross-border e-commerce merchants. The company offers bank-integrated lending technology, platform partnerships with Amazon, eBay, and Shopee, and real-time credit products, enabling online sellers across Asia and beyond, faster and more secure access to trade finance.</t>
  </si>
  <si>
    <t>Ant Group, China Merchants Capital, China Merchants Group, HSBC Ventures, VenturesLab, Visa Accelerator</t>
  </si>
  <si>
    <t>world.dowsure.com</t>
  </si>
  <si>
    <t>665893-45</t>
  </si>
  <si>
    <t>The Rainmakers</t>
  </si>
  <si>
    <t>Operator of a fractional real estate investment platform intended to democratize access to commercial property ownership. The company's platform offers vetted investment opportunities, simplifying the process and minimizing risks associated with traditional real estate investing, enabling individuals to participate in real estate ventures with minimal capital.</t>
  </si>
  <si>
    <t>1337 Ventures</t>
  </si>
  <si>
    <t>www.Therainmakers.com.my</t>
  </si>
  <si>
    <t>171569-80</t>
  </si>
  <si>
    <t>Telleroo</t>
  </si>
  <si>
    <t>Developer of a financial software platform intended for automating bulk payments without using bank services. The company's platform integrates with accounting systems, payment apps, and finance teams, enabling businesses and financial professionals to streamline payroll, supplier payments, and other financial processes.</t>
  </si>
  <si>
    <t>Carlos Espinal, Global Founders Capital, Gregory Marsh, Pioneers Ventures, Rob Weisz, Seedcamp, Speedinvest, Thomas Boltze, William Neale</t>
  </si>
  <si>
    <t>www.telleroo.com</t>
  </si>
  <si>
    <t>493020-73</t>
  </si>
  <si>
    <t>Offgrid.finance</t>
  </si>
  <si>
    <t>Developer of a financial technology platform designed to support growing businesses in emerging markets. The company's platform integrates into the sales pipeline to offer access to finance for efficient, productive use and low-emission technology at the point of sale, enabling enterprises to connect with a network of lenders and increase their sales.</t>
  </si>
  <si>
    <t>Carbon13, Change Com, Climate VC, Founders Factory Africa, Rockstart</t>
  </si>
  <si>
    <t>www.offgrid.finance</t>
  </si>
  <si>
    <t>399028-69</t>
  </si>
  <si>
    <t>Quicko</t>
  </si>
  <si>
    <t>Developer of a tax compliance platform designed to facilitate tax filings for everyone. The company's platform assists users with income tax, goods, and services tax and tax deducted at source fillings, enabling taxpayers to exercise their rights and pay their income taxes regularly.</t>
  </si>
  <si>
    <t>www.quicko.com</t>
  </si>
  <si>
    <t>431211-25</t>
  </si>
  <si>
    <t>EthicHub</t>
  </si>
  <si>
    <t>AgTech, Cryptocurrency/Blockchain, FinTech</t>
  </si>
  <si>
    <t>Developer of a regenerative finance platform designed to secure credit for small farmers in developing countries. The company's platform leverages blockchain technology to channel investments directly to the farmers and guarantees return on investments along with an above-average interest to the investors, while keeping the harvested crops as collateral in case of default on loans, enabling small-scale farmers to get access to the banking system and investors worldwide.</t>
  </si>
  <si>
    <t>Bybit, Cerulean Ventures, Chivas Brothers International, Colaborativo, Cuatrecasas Acelera, Earth (Berlin), Flori Ventures, Fos Finance, Frank Lee, IDB Lab, Irrazonables, Jordi Riulas, KMZERO (Valencia), Ship2B</t>
  </si>
  <si>
    <t>www.ethichub.com</t>
  </si>
  <si>
    <t>489485-44</t>
  </si>
  <si>
    <t>Alvin (Financial Software)</t>
  </si>
  <si>
    <t>Developer of a revenue orchestration platform designed to streamline financial and operational workflows. The company offers payment orchestration, treasury management, and operational workflow integration, enabling businesses to automate revenue operations, improve financial visibility, and increase operational efficiency.</t>
  </si>
  <si>
    <t>Forum Ventures, Future Africa, Ingressive (Nigeria), Right Side Capital Management, Shola Akinlade, Tahseen Consulting, Tony Nicalo, Voltron Capital, Zephyr Management</t>
  </si>
  <si>
    <t>www.alvin.finance</t>
  </si>
  <si>
    <t>589282-84</t>
  </si>
  <si>
    <t>Grupalia</t>
  </si>
  <si>
    <t>Operator of a financial lending service platform intended to facilitate access to credit for individuals and businesses. The company's platform manages loan applications, credit evaluations, and disbursements while maintaining compliance with regulatory requirements, enabling borrowers to obtain tailored financing options that support financial needs and business growth.</t>
  </si>
  <si>
    <t>Addem Capital, Alejandro Chavez, Antonia Rojas Eing, Augustine Feuerhake, Capem, Edward Beccle, Fernando Cabello-Astolfi, Ian Lee, Innogen Capital Ventures, Platanus Ventures, Raimundo Herrera, Sebastián Amenábar, Sebastián Kreiss, Semilla Ventures, Tantauco Ventures</t>
  </si>
  <si>
    <t>www.grupalia.com</t>
  </si>
  <si>
    <t>495983-80</t>
  </si>
  <si>
    <t>Revving</t>
  </si>
  <si>
    <t>Developer of a cash flow management software designed to reduce payment time. The company's software captures real-time CPM delivery, commissions or sales data to provide instant access to greater revenue advances at rates than legacy invoice discounting operators, with superior user experience, and without the need for security or personal guarantees, enabling online trading businesses to take control of their cash flow by connecting data, revenue and sales in one place.</t>
  </si>
  <si>
    <t>DWS, Vala Capital, WCS Nominees</t>
  </si>
  <si>
    <t>www.revving.io</t>
  </si>
  <si>
    <t>627088-33</t>
  </si>
  <si>
    <t>ManageCash</t>
  </si>
  <si>
    <t>Operator of a digital cash logistics service intended for digitized end-to-end cash collection and financial technology for businesses. The company's platform offers a variety of services, like a cloud-based platform that offers paperless, traceable, and more profitable services for managing cash, tracking branches' cash flow in real time, a secure migration process, operates on a transaction-based commission model, and entire process is managed through a single application, enabling small-medium businesses and large enterprice with a safe and efficient process suitable for every structure.</t>
  </si>
  <si>
    <t>Pars Ventures, Yapı Kredi FRWRD</t>
  </si>
  <si>
    <t>www.managecash.com</t>
  </si>
  <si>
    <t>167801-32</t>
  </si>
  <si>
    <t>ecoligo</t>
  </si>
  <si>
    <t>Operator of an enterprise platform intended to offer a solar-as-a-service method for businesses in emerging markets. The company's offerings include a complete digital platform for financing and delivering solar projects by operating crowd-investing services, projects are funded through crowd-investing, helping impact-driven individuals to fight the climate crisis with their investments, enabling businesses in emerging markets to use clean energy.</t>
  </si>
  <si>
    <t>Agile Accelerator, Bundesministerium für wirtschaftliche Zusammenarbeit und Entwicklung, EIT Climate-KIC, Energy Partnership Chile-Alemania, Fotowatio Renewable Ventures, Gaia Impact Fund, InnoEnergy, Saxovent Oekologische Investments, Social Impact (Germany), TechQuartier, The Yope Foundation, Triple Jump</t>
  </si>
  <si>
    <t>www.ecoligo.com</t>
  </si>
  <si>
    <t>233699-86</t>
  </si>
  <si>
    <t>Nullpointer.</t>
  </si>
  <si>
    <t>Developer of financial data and insights platform designed to develop machine learning algorithms and deploy artificial intelligence across sectors, including fintech, social networks, insurance, and telecom. The company's services specialize in using minimally intrusive data collection methods,s including social media profiles to gain information about no-file clients, a co-pilot for financial data and insights that help you find information that matters, make better investment decisions and efficiently manage risk, enabling companies to evaluate the potential of using AI to augment their lending business.</t>
  </si>
  <si>
    <t>Ahmedabad University, India Accelerator, NSRCEL-IIMB, Rainmatter Capital</t>
  </si>
  <si>
    <t>www.nullpointer.in</t>
  </si>
  <si>
    <t>494228-71</t>
  </si>
  <si>
    <t>SayF</t>
  </si>
  <si>
    <t>Developer of an AI mobile extension designed for deals, coupons, and discounts. The company's extension shows offers and discounts while they shop on the web browsers, helping users to save money on their desired brands.</t>
  </si>
  <si>
    <t>Atal Incubation Centre - Nalanda Institute of Technology Foundation, Sarath Sura, Sunn91 Ventures, Titan Capital</t>
  </si>
  <si>
    <t>www.sayf.money</t>
  </si>
  <si>
    <t>434768-32</t>
  </si>
  <si>
    <t>TaXchange</t>
  </si>
  <si>
    <t>Developer of an automated financial trading platform designed to facilitate trading and financial structuring for illiquid debt and credit assets. The company's platform offers algorithmic trading, financial derivatives structuring, price discovery mechanisms, and due diligence processes, enabling institutions and investors in global illiquid debt markets to access transparent trading environments and improved cost efficiency for credit transactions.</t>
  </si>
  <si>
    <t>Intesa Sanpaolo</t>
  </si>
  <si>
    <t>www.taxchange.it</t>
  </si>
  <si>
    <t>509599-81</t>
  </si>
  <si>
    <t>LIFTwomen Group</t>
  </si>
  <si>
    <t>Operator of a crowdfunding platform intended to connect, inspire, and empower women entrepreneurs. The company's platform connects entrepreneurs to not only backers and funding but also pivotal resources and relationships, while still operating on a socially impactful model, enabling female entrepreneurs to grow their business ideas.</t>
  </si>
  <si>
    <t>Braxton Capital, Gordon Watson, Hong Kong Guansheng Investment, LaunchVic, Maggie Zhou, Peter Crewe</t>
  </si>
  <si>
    <t>www.project.liftwomen.com</t>
  </si>
  <si>
    <t>606555-82</t>
  </si>
  <si>
    <t>Metis Intellisystems</t>
  </si>
  <si>
    <t>Developer of an intelligent digital decision-support platform designed for customer targeting purposes. The company's platform consolidates and organizes large volumes of unstructured financial data from multiple sources, applies artificial intelligence and machine learning techniques to generate integrated customer profiles, and supports accurate decision-making by highlighting key insights, enabling financial institutions to optimize marketing efforts and improve targeting efficiency.</t>
  </si>
  <si>
    <t>Beacon Trusteeship, i-Hub Gujarat, Inflection Point Ventures (India)</t>
  </si>
  <si>
    <t>www.metisintel.in</t>
  </si>
  <si>
    <t>537555-61</t>
  </si>
  <si>
    <t>Easy Technology</t>
  </si>
  <si>
    <t>Provider of financial services intended to make finance easily understandable. The company offers data analytics, financial infrastructure, fintech, consulting and related services, enabling customers to get a variety of financial services in one place.</t>
  </si>
  <si>
    <t>Dogan Beta, Full Commit Partners, Plug and Play Tech Center</t>
  </si>
  <si>
    <t>easy-tech.co.jp</t>
  </si>
  <si>
    <t>1153405-99</t>
  </si>
  <si>
    <t>inaam</t>
  </si>
  <si>
    <t>Developer of an impact-investing platform designed to make values-based investing accessible to retail investors. The company offers a mobile application that builds and manages diversified investment portfolios aligned with user-selected social and environmental causes, with sector-based ethical screening and investment transparency features, enabling young and first-time investors to invest according to their values while maintaining visibility into portfolio impact.</t>
  </si>
  <si>
    <t>Hatcher+, Startupbootcamp Holding, Ubuntu Ventures</t>
  </si>
  <si>
    <t>www.inaam.me</t>
  </si>
  <si>
    <t>513362-35</t>
  </si>
  <si>
    <t>Vista (Financial Software)</t>
  </si>
  <si>
    <t>Developer of a fintech application designed to focus on social planning. The company's application facilitates to replace the old spreadsheets in personal finance, by bringing practicality and professionalism to personal planning, enabling financial planners to connect with clients using technology.</t>
  </si>
  <si>
    <t>Bossa Invest, Fernando Vasconcelos, Joao Kepler Braga, Sai do Papel, Thiago Nigro</t>
  </si>
  <si>
    <t>meuvista.com</t>
  </si>
  <si>
    <t>601712-20</t>
  </si>
  <si>
    <t>Neoble</t>
  </si>
  <si>
    <t>Developer of a lending platform designed to provide instant secured loans against mutual funds. The company's platform offers leverage mutual funds, immediate liquidity, flexible loan amounts, interest rates, flexible payment options available, including interest only without any penal charges, and loans against insurance and shares, ensuring users with speedy processing of the funding requirements with ease and convenience to borrowers using a digital platform.</t>
  </si>
  <si>
    <t>Acies Ventures, PointOne Capital, Ritesh Sinha, Soumitra Narain</t>
  </si>
  <si>
    <t>www.neoble.in</t>
  </si>
  <si>
    <t>522017-92</t>
  </si>
  <si>
    <t>Text'nPayMe</t>
  </si>
  <si>
    <t>Developer of a payment application designed to turn any text or voice command to make payments. The company's application offers a convenient way to make payments across any digital platform through a payment interface, enabling users to get hassle-free transaction services.</t>
  </si>
  <si>
    <t>500 Global, BAJ Accelerator</t>
  </si>
  <si>
    <t>www.textnpayme.com</t>
  </si>
  <si>
    <t>483132-88</t>
  </si>
  <si>
    <t>Tip a ScRxipt</t>
  </si>
  <si>
    <t>Developer of a social payment application designed to send or request money when needed. The company's application allows people to contribute funds to friends and family for medical expenses only for prescribed medication, medical supplies, and equipment at pharmacies, enabling individuals to pay their medical bills.</t>
  </si>
  <si>
    <t>Gateway Capital Partners (Milwaukee), gener8tor, Project Pitch It, Right Side Capital Management, The Engine, The Milky Way Tech Hub, The Northwestern Mutual Life Insurance, Young Enterprising Society</t>
  </si>
  <si>
    <t>www.tipascrxipt.com</t>
  </si>
  <si>
    <t>169841-08</t>
  </si>
  <si>
    <t>YotePresto</t>
  </si>
  <si>
    <t>Operator of an online lending platform intended to connect borrowers with retail and institutional investors. The company's platform offers unsecured personal installment loans that analyze, assess risk, and define interest rates for each customer using a proprietary scoring model, enabling borrowers to seek affordable credit with investors looking for attractive returns, fostering a community-based lending model.</t>
  </si>
  <si>
    <t>99 Startups, Angel Ventures Mexico, Cometa (Mexico), Conny &amp; Co., FW Ventures, Investo (San Francisco), José Vielma, KF Ventures, Magma Partners, Mountain Lion Ventures, Mountain Partners, Poligono Capital, Redwood Ventures, Tonk Capital, Village Capital</t>
  </si>
  <si>
    <t>www.yotepresto.com</t>
  </si>
  <si>
    <t>489227-14</t>
  </si>
  <si>
    <t>Beso</t>
  </si>
  <si>
    <t>Developer of a financial consulting platform designed to provide services of tax accounting operations with detailed reporting. The company offers a direct expansion (DX) system for tax accounting management and accounting advisory services through cloud accounting and real-time accounts management, enabling businesses to experience improved service quality and standardized accounting operations while minimizing errors.</t>
  </si>
  <si>
    <t>Mitsubishi UFJ Capital, Quantum Leap Ventures (Japan)</t>
  </si>
  <si>
    <t>www.beso.work</t>
  </si>
  <si>
    <t>753163-66</t>
  </si>
  <si>
    <t>Dodo Payments</t>
  </si>
  <si>
    <t>Developer of a payments and billing platform designed to help digital-first businesses manage global transactions and subscription models effortlessly. The company's platform provides instant global payment acceptance, flexible billing options, automatic tax compliance, and real-time analytics, enabling Software as a Service founders and artificial intelligence native product teams to scale internationally without operational overhead.</t>
  </si>
  <si>
    <t>100Unicorns, Antler, Google Accelerator, Maninder Gulati, Nishant Verman, Nitin Gupta, Preethi Kasireddy, Raymond Russell, Spotlight Group Holdings, Venture Catalysts (Capital Markets/Institutions)</t>
  </si>
  <si>
    <t>www.dodopayments.com</t>
  </si>
  <si>
    <t>501316-30</t>
  </si>
  <si>
    <t>Entitled Solutions</t>
  </si>
  <si>
    <t>FinTech, HealthTech, HR Tech</t>
  </si>
  <si>
    <t>Operator of a financial and health inclusion platform intended for urban low-income workers. The company partners with gig and staffing platforms as well as employers that deal with large groups of workers, and embeds access to a comprehensive layer of credit, savings, insurance and other health services, enabling employers in the food services, hospitality and logistics sectors to automate health screening compliance and provide essential services to their workforce.</t>
  </si>
  <si>
    <t>Ashok Jaipuria, Bharat Inclusion Seed Fund, HDFC Capital Advisors, IIMA Ventures, India Sotheby's International Realty, Kaivan Shah, LVX, Mohit Satyanand, Narendra Murkumbi, Nipun Sahni, Prashant Kothari, Ratnaafin Capital, Sachin Goyal, Siddharth Bagadia, SIS Group Enterprises, Sprint VC</t>
  </si>
  <si>
    <t>www.entitled.co.in</t>
  </si>
  <si>
    <t>221891-23</t>
  </si>
  <si>
    <t>Etymo</t>
  </si>
  <si>
    <t>Developer of a financial data platform designed to help identify potential companies in the market. The company's platform provides a search engine that specializes in providing scientific knowledge graphs that group companies by sector, competition, and supply-demand dynamics and leverages data summarization and visualization for improved financial decision-making, enabling traders to identify new insights and unique trading opportunities.</t>
  </si>
  <si>
    <t>AccelerateME, Artesian, Zeroth.AI</t>
  </si>
  <si>
    <t>www.etymo.io</t>
  </si>
  <si>
    <t>264557-26</t>
  </si>
  <si>
    <t>BankBuddy</t>
  </si>
  <si>
    <t>Developer of a banking platform designed to help with customer management, hyper-personalization, and operations automation. The company's platform utilizes AI technology to provide contextual messages, product recommendations, dynamic risk profiling, portfolio alerts, automated service fulfillment, task automation, and a channel for conversational interface, enabling clients to automate, analyze, and assist their customer interactions.</t>
  </si>
  <si>
    <t>AI Venture Labs, DIFC Innovation Hub, Finablr, HIVE Accelerator, ISME Ace, JAIN Launchpad, Startup Réseau</t>
  </si>
  <si>
    <t>www.bankbuddy.ai</t>
  </si>
  <si>
    <t>226274-50</t>
  </si>
  <si>
    <t>Cashcow</t>
  </si>
  <si>
    <t>Developer of a financial platform intended to find products that best fit monetary circumstances and goals. The company's platform combines artificial intelligence and a search engine, enlisting different types of financial products, mainly home and property loans, balance transfers, credit and debit card authorizations, as per one's income and repayment affordability, enabling users to improve their financial well-being.</t>
  </si>
  <si>
    <t>Amrita Technology Business Incubator, Astarc Ventures, ISME Ace, Valpro Capital</t>
  </si>
  <si>
    <t>www.cashcow.ai</t>
  </si>
  <si>
    <t>497439-64</t>
  </si>
  <si>
    <t>FinanceKaart</t>
  </si>
  <si>
    <t>Developer of digital financial services and lending aggregation platform designed for accessing and comparing credit and financial products purposes. The company's platform uses artificial intelligence, behavioral analytics, and alternative data to assess creditworthiness, aggregates multiple lending and financial service options including business loans, invoice discounting, and credit facilities, offers digital account services and paperless processes, and connects users with banks and financial institutions through integrated workflows and comparison tools, enabling small businesses and individual borrowers to access, evaluate, and obtain financial products efficiently.</t>
  </si>
  <si>
    <t>Finblue, Pontaq, Software Technology Park of India, Software Technology Parks of India</t>
  </si>
  <si>
    <t>financekaart.com</t>
  </si>
  <si>
    <t>498309-31</t>
  </si>
  <si>
    <t>GenEQTY</t>
  </si>
  <si>
    <t>Developer of a data intelligence platform designed to transform intricate small and mid-sized business financial data into actionable insights. The company's platform aggregates and analyzes financial data from various sources and provides a comprehensive view of an SMB's financial health, spending behavior, and growth potential, enabling women-owned and minority-owned companies to manage overall business health.</t>
  </si>
  <si>
    <t>Entrepreneurs Roundtable Accelerator, Plug and Play Tech Center, Start Path, Tundra Ventures</t>
  </si>
  <si>
    <t>www.geneqty.com</t>
  </si>
  <si>
    <t>264923-92</t>
  </si>
  <si>
    <t>M1xchange</t>
  </si>
  <si>
    <t>Developer of a trade receivables discounting system designed to facilitate secure financing at optimal cost. The company's system specializes in the digital marketplace that facilitates the discounting of trade receivables of micro, small, and medium enterprises from corporate buyers through multiple financiers, enabling businesses to access funds against their unpaid invoices at competitive rates through an open bid process.</t>
  </si>
  <si>
    <t>www.m1xchange.com</t>
  </si>
  <si>
    <t>483377-86</t>
  </si>
  <si>
    <t>Moneta (Financial Software)</t>
  </si>
  <si>
    <t>Developer of a financial application designed to solve everyday problems and create a positive social impact. The company's application provides an interest-free credit facility for online shopping from the list of partner merchants, along with a scan and pay facility, enabling users to make financial transactions using the mobile application to solve everyday problems and experience their lives beyond limits.</t>
  </si>
  <si>
    <t>Canadian Strategy Investment Group, PickMe, Remitbee, Vel Investment Holdings</t>
  </si>
  <si>
    <t>www.moneta.lk</t>
  </si>
  <si>
    <t>522514-36</t>
  </si>
  <si>
    <t>Care.Fi</t>
  </si>
  <si>
    <t>Developer of a financial platform designed to provide smart financing services to hospitals, doctors, and allied suppliers. The company's platform offers supply chain see-through financing, invoice discounting, receivables financing, unsecured business loans, and working capital loans, enabling healthcare organizations to open their bank account and get real-time updates on their payment dues and transactions.</t>
  </si>
  <si>
    <t>Accion, Indian Silicon Valley, July Ventures, MGA Ventures, Peak XV Partners, Sadev Ventures, Stride Ventures, Trifecta Capital, Vivriti Capital</t>
  </si>
  <si>
    <t>www.carefi.in</t>
  </si>
  <si>
    <t>105755-50</t>
  </si>
  <si>
    <t>Cashkumar</t>
  </si>
  <si>
    <t>Developer of a money lending platform intended to connect loan seekers with individual lenders for short-term loans. The company's platform uses a credit underwriting algorithm and lists loan seekers on the platform after proper offline verification, enabling lenders to provide funds in a better manner.</t>
  </si>
  <si>
    <t>Cauvery Cars, GoodWorks Angel Fund, KJMC Financial Services, Kyron Global Accelerator, Mohan Kumar, Start-Up Chile, Vishal Sampat</t>
  </si>
  <si>
    <t>www.cashkumar.com</t>
  </si>
  <si>
    <t>553171-87</t>
  </si>
  <si>
    <t>Welcome Place</t>
  </si>
  <si>
    <t>Operator of a neo-bank intended to accelerate immigrants' financial inclusion. The company offers a payment account, a debit card, a multilingual application, and an AI-powered virtual agent for budget management and administrative assistance, helping international employees ease their finances.</t>
  </si>
  <si>
    <t>IESEG School of Management, Incubateur Telecom Paris, Microsoft France, MIT Solve, platform58, Tremplin Capital</t>
  </si>
  <si>
    <t>www.welcount.com</t>
  </si>
  <si>
    <t>493707-07</t>
  </si>
  <si>
    <t>Gokind</t>
  </si>
  <si>
    <t>Developer of a banking application designed to bring transparency and simplicity to the hands of consumers. The company's application combines the transactions with the companies' sustainability data to show how the brands perform in terms of sustainability and equality, enabling clients to pick industries where they want to improve and get personalized impact actions.</t>
  </si>
  <si>
    <t>Hatcher+, Plug and Play Tech Center</t>
  </si>
  <si>
    <t>www.gokind.co</t>
  </si>
  <si>
    <t>303378-58</t>
  </si>
  <si>
    <t>AlgoBulls</t>
  </si>
  <si>
    <t>Developer of a trading platform designed to provide fully automated algorithmic trading and ready-to-use stock market knowledge. The company's platform uses full automation and no manual intervention resulting in offering systematic algorithmic trading, enabling strategists and traders to do systematic and emotionless automated trading.</t>
  </si>
  <si>
    <t>Dishant Parikh, Dominor, DSP Group, Findoc (India), LVX, Madhusudan Rajagopalan, NASSCOM DeepTech Club, Rakesh Desai, Sharath Kumar, Silver Ridge Accelerator, Venture Catalysts (Capital Markets/Institutions), Venture Garage, Yenom Capital, Yuvraj Thakker</t>
  </si>
  <si>
    <t>www.algobulls.com</t>
  </si>
  <si>
    <t>644808-25</t>
  </si>
  <si>
    <t>Datox</t>
  </si>
  <si>
    <t>Developer of an AI-powered automation platform designed to transform financial regulatory reporting. The company's platform focuses on automating the preparation and submission of a wide range of financial regulatory reports, handles data from various sources, performs complex calculations, and ensures compliance with the regulations, uses machine learning to automate data extraction, processing, and reporting, reducing manual work and errors, enabling financial services companies to handle regulatory requirements ensuring accuracy, efficiency, and compliance across various jurisdictions.</t>
  </si>
  <si>
    <t>Alchemist Accelerator, Grow London, Harper James Solicitors, IT Park Ventures, StartupBase (Uzbekistan)</t>
  </si>
  <si>
    <t>www.datox.ai</t>
  </si>
  <si>
    <t>530267-05</t>
  </si>
  <si>
    <t>Invalue</t>
  </si>
  <si>
    <t>Developer of a financial platform designed to cover valuation requirements for intangible assets. The company's platform offers tools and techniques to value businesses and intangible assets based on generally accepted methods, enabling clients with valuable insights to simplify purchase price allocations.</t>
  </si>
  <si>
    <t>www.invalue.io</t>
  </si>
  <si>
    <t>264851-11</t>
  </si>
  <si>
    <t>PayBee</t>
  </si>
  <si>
    <t>Developer of a fundraising platform designed to streamline and manage fundraising from multiple payment channels for nonprofits. The company's platform encourages convenient, single-click donations across every online touchpoint and facilitates consolidating cash, check donation boxes and campaign flyer donations into a single dashboard and provides insights about tickets, donations, raffle purchases and more, enabling nonprofit organizations to accelerate the number and frequency of digital donations and fuel their growth and success.</t>
  </si>
  <si>
    <t>Alchemist Accelerator, Sterling Road, Venture Catalysts (Capital Markets/Institutions), Women Startup Lab</t>
  </si>
  <si>
    <t>www.paybee.io</t>
  </si>
  <si>
    <t>539826-22</t>
  </si>
  <si>
    <t>FLIZpay</t>
  </si>
  <si>
    <t>Developer of a payment method designed to reduce transaction costs for merchants and provide benefits to consumers during purchases. The company offers a payment mechanism that lowers merchant expenses and provides purchase incentives, enabling businesses and consumers to access more cost-effective payment experiences.</t>
  </si>
  <si>
    <t>Achim Bönsch, Andreas Veller, Antler, Johannes Schaback, Manuel Sandhofer, Philipp Kreibohm, Sebastian Seifert, Xdeck Accelerator</t>
  </si>
  <si>
    <t>www.flizpay.de</t>
  </si>
  <si>
    <t>267022-18</t>
  </si>
  <si>
    <t>Rateswitch</t>
  </si>
  <si>
    <t>Developer of a mortgage rate-switching platform designed to reduce monthly mortgage payments with minimal hassle. The company's platform helps homeowners save money every year by switching to an optimal mortgage rate with existing lenders, enabling homeowners to get the freedom to change mortgages if personal circumstances have changed.</t>
  </si>
  <si>
    <t>Andrew Yates, Development Bank of Wales, TechHub</t>
  </si>
  <si>
    <t>www.rateswitch.uk</t>
  </si>
  <si>
    <t>503322-58</t>
  </si>
  <si>
    <t>Upaz</t>
  </si>
  <si>
    <t>Operator of an agri-fintech company intended for mitigating credit risk associated with farmers through financing companies and input suppliers. The company focuses on providing affordable financing, active asset management by ensuring loans are used for their intended purpose, and improving soil health by incorporating research- and data-backed farming practices, enabling farmers to save on agri-input costs, increase crop yields, and receive a better price for their harvest.</t>
  </si>
  <si>
    <t>Bharat Inclusion Seed Fund, DST iHub - AWaDH, IIMA Ventures, July Ventures, LEAP AHEAD (India), MeitY Startup Hub, Punjab Agri Business Incubator Pabi, Social Alpha (Bengaluru), Venture Garage</t>
  </si>
  <si>
    <t>www.greymattertech.in</t>
  </si>
  <si>
    <t>454830-04</t>
  </si>
  <si>
    <t>Campus (Financial Software)</t>
  </si>
  <si>
    <t>Developer of a cloud-based cashless payment and campus management platform designed to streamline financial transactions and administrative processes within educational institutions. The company's platform integrates cashless payments, biometric authentication, and online ordering, attendance tracking, and account management tools, enabling schools and educational institutions to manage campus transactions, monitor user activity, and reduce reliance on cash-based systems.</t>
  </si>
  <si>
    <t>www.mycampuscard.com</t>
  </si>
  <si>
    <t>596801-71</t>
  </si>
  <si>
    <t>Eemel</t>
  </si>
  <si>
    <t>Developer of a financial software designed to produce and develop easy-to-use financial management services. The company's tool helps in creating sales and vat invoices, e-salaries, ledgers and also provides payment reminders to ensure that your customer promptly pays the bill, enabling businesses to handle finances so to concentrate on bringing more value to clients.</t>
  </si>
  <si>
    <t>www.eemel.com</t>
  </si>
  <si>
    <t>518860-09</t>
  </si>
  <si>
    <t>Zing (Restaurants, Hotels and Leisure)</t>
  </si>
  <si>
    <t>FinTech, FoodTech, Restaurant Technology</t>
  </si>
  <si>
    <t>Operator of a food ordering application intended to reduce queueing and wait periods. The company offers food pick-ups and a payment portal, enabling customers to pre-order from their choice of restaurants.</t>
  </si>
  <si>
    <t>100X.VC</t>
  </si>
  <si>
    <t>www.zingnow.in</t>
  </si>
  <si>
    <t>267186-07</t>
  </si>
  <si>
    <t>Rent Chief</t>
  </si>
  <si>
    <t>Developer of an online real estate management platform designed for real estate professionals to oversee and optimize rental operations. The company's platform offers features such as compliance monitoring, financial tracking, integration with third-party software, and analytics tools, enabling property managers and landlords to efficiently manage their portfolios, ensure regulatory adherence, and make informed decisions based on real-time data.</t>
  </si>
  <si>
    <t>Innovate UK, Mercia Asset Management</t>
  </si>
  <si>
    <t>www.rentchief.co.uk</t>
  </si>
  <si>
    <t>268579-90</t>
  </si>
  <si>
    <t>Vairt</t>
  </si>
  <si>
    <t>Developer of a crowdfunding platform intended to help investors invest in real estate using blockchain. The company's platform gives real estate insights into the neighborhood thus helping users to review inspection reports, take a three-dimensional tour, and see estimated returns as per their financial criteria and provides research and data analysis to help users determine which locations meet their investment objectives, enabling people to directly invest in attractive investment properties at a fraction of the total prices using a crowdfunding model.</t>
  </si>
  <si>
    <t>Beta-i, Ivan Lubogo, LC Ventures, Lisbon Challenge, Mike Bukata, Newzone Venture Capital, OCEAN Accelerator</t>
  </si>
  <si>
    <t>www.vairt.com</t>
  </si>
  <si>
    <t>170953-30</t>
  </si>
  <si>
    <t>Finly (Financial Software)</t>
  </si>
  <si>
    <t>Developer of a cloud-based expense management software designed to manage all business payments and transactions leading to financial automation. The company's software provides expense management, digital payments, fund disbursement, automated collection, and vendor payment services, enabling companies to avail of cashless transaction facilities.</t>
  </si>
  <si>
    <t>www.finly.io</t>
  </si>
  <si>
    <t>155783-53</t>
  </si>
  <si>
    <t>Tastier</t>
  </si>
  <si>
    <t>Developer of a payment application designed to pay restaurant bills, contactless. The company's platform lets people conveniently pay through their phone and facilitates tipping and bill splitting between friends and bill payment before, after, or during the meal, enabling users to pay the bill with a single tap through their mobile without the need for cash.</t>
  </si>
  <si>
    <t>Ziano Ventures</t>
  </si>
  <si>
    <t>www.tastier.ch</t>
  </si>
  <si>
    <t>433249-03</t>
  </si>
  <si>
    <t>Roster</t>
  </si>
  <si>
    <t>Developer of an automated expense management software designed to manage business costs. The company's software allows the user to scan and upload paper or digital receipts to automate the process of scanning, uploading, and managing receipts for expense reporting, enabling organizations to streamline accounting tasks, minimize manual errors, and improve financial oversight.</t>
  </si>
  <si>
    <t>28DIGITAL, Fil Rouge Capital, Startupbootcamp Holding</t>
  </si>
  <si>
    <t>www.roster.hr</t>
  </si>
  <si>
    <t>470542-06</t>
  </si>
  <si>
    <t>Taxumo</t>
  </si>
  <si>
    <t>Developer of a tax compliance tool designed to make it easy for corporations to file and pay their taxes. The company specializes in accredited and automates the computation, filing, and payment of business taxes for end-to-end mobile-responsive web applications, enabling businesses and professionals to file their taxes accurately and on time, without having to hire an accountant.</t>
  </si>
  <si>
    <t>Google Accelerator, Innovation for Social Impact Partnership, Manila Angel Investors Network, Push Start Business Incubation Program</t>
  </si>
  <si>
    <t>www.taxumo.com</t>
  </si>
  <si>
    <t>489444-13</t>
  </si>
  <si>
    <t>Paisagrowth</t>
  </si>
  <si>
    <t>Developer of a loan advisory platform designed to improve the digital lending ecosystem. The company's platform helps advisors start their loan business with no investment and quickly find suitable lenders for borrowers without any manual analysis, enabling clients to easily get multiple lender options required for their business.</t>
  </si>
  <si>
    <t>Dinesh Agarwal, Dinesh Gulati, Gaurav Kapur, GSF India, Hitesh Chawla, Pras Hanuma, Rajesh Sawhney, Roshan Abbas</t>
  </si>
  <si>
    <t>www.paisagrowth.in</t>
  </si>
  <si>
    <t>741903-67</t>
  </si>
  <si>
    <t>AdviseWell (Business/Productivity Software)</t>
  </si>
  <si>
    <t>Developer of a financial advice platform designed to generate advice and recommendations in real time. The company provides an AI agent to handle the automation of time-consuming tasks like advice generation and workflow management to streamline compliance processes, helping with dynamically generated, industry-leading modeling, portfolio management, and product catalogs that are seamlessly integrated, with no need to juggle multiple systems, enabling clients to achieve their financial goals.</t>
  </si>
  <si>
    <t>www.advisewell.co</t>
  </si>
  <si>
    <t>462882-79</t>
  </si>
  <si>
    <t>Relay (Auckland)</t>
  </si>
  <si>
    <t>Developer of an online financial platform designed to offer cashback to customers as a reward for early payment. The company's platform rewards businesses with instant cashback for prompt payments to suppliers and protects businesses from invoice fraud by ensuring that payments are sent to the correct legal entity, enabling organizations to access invoice financing and focus on running their business.</t>
  </si>
  <si>
    <t>Allied Venture Partners, Asymmetry Ventures, Ault Krug Partners, Blackbird Ventures, Icehouse Ventures</t>
  </si>
  <si>
    <t>www.relay.ai</t>
  </si>
  <si>
    <t>719732-62</t>
  </si>
  <si>
    <t>Agpreneur</t>
  </si>
  <si>
    <t>Developer of a digital platform designed for delivering smart financing and protection to agricultural producers. The company's platform offers access to certified inputs, flexible credit with instant approval and no collateral, comprehensive climate insurance against weather risks, enabling farmers to secure resources and financial stability to expand their farms and increase their yields.</t>
  </si>
  <si>
    <t>MARL Accelerator, Right Side Capital Management</t>
  </si>
  <si>
    <t>agpreneur.com</t>
  </si>
  <si>
    <t>163409-68</t>
  </si>
  <si>
    <t>Banhji</t>
  </si>
  <si>
    <t>Developer of a financial platform designed to connect the payment and financing ecosystem. The company's platform offers localized industry-specific accounting tools for small and medium enterprises that include customer deposits, balances and receipts, sales management and other critical revenue management, enabling firms to ease financial decision-making, performance and compliance.</t>
  </si>
  <si>
    <t>Mekong Strategic Capital, Startupbootcamp Holding, Taihei Yamada</t>
  </si>
  <si>
    <t>www.banhji.com</t>
  </si>
  <si>
    <t>503118-91</t>
  </si>
  <si>
    <t>Econommi</t>
  </si>
  <si>
    <t>Operator of a digital assets platform intended for tokenizing lease contracts. The company's platform uses automated leasing to offer peer-to-peer car-sharing services and flexible leasing terms that help people effectively manage their finances, and its flexible payment plans allow car owners to pay their car payments when it works best for them, enabling clients to access tools to transition from a debt-based economy to an asset-backed one.</t>
  </si>
  <si>
    <t>Aweh Ventures, DMZ (Toronto), DMZ Ventures, HATCH Venture Builder, The University of British Columbia</t>
  </si>
  <si>
    <t>www.econommi.io</t>
  </si>
  <si>
    <t>467692-84</t>
  </si>
  <si>
    <t>Emmi</t>
  </si>
  <si>
    <t>Artificial Intelligence &amp; Machine Learning, Big Data, Climate Tech, FinTech, SaaS</t>
  </si>
  <si>
    <t>Developer of a carbon auditing platform designed to calculate financed emissions and assess climate risk for investment portfolios. The company's platform offers advanced algorithms, comprehensive data coverage, and integration of carbon pricing, enabling financial institutions and investors to evaluate climate-related risks and incorporate carbon cost into investment decisions for a sustainable future.</t>
  </si>
  <si>
    <t>Active Super, Artesian, Aurora Capital (Institutional investor), Aware Super, Brighter Super, Catherine Brenner, Energy Laboratory, Global Markets Incubator, Hyperion Asset Management, Illuminate Financial, Impact Ventures, Investible, Patrick Sieb, QIC, Spheria Emerging, Spirit Super, Startmate</t>
  </si>
  <si>
    <t>www.emmi.io</t>
  </si>
  <si>
    <t>436909-06</t>
  </si>
  <si>
    <t>Lupiya</t>
  </si>
  <si>
    <t>Developer of an AI-based financial platform intended to provide online loans, peer-to-peer investment, and digital payments. The company's platform leverages technology to provide a branchless experience and offers loans that are tailored to either personal or business needs to women, and facilitates the process of borrowing, enabling people and businesses to access financial services efficiently.</t>
  </si>
  <si>
    <t>Alitheia Capital, DEG, Google Accelerator, IDF Capital (Illovo), Inoks Capital, KfW Group, MasterCard, Sarah Dusek, Visa Accelerator</t>
  </si>
  <si>
    <t>www.lupiya.com</t>
  </si>
  <si>
    <t>501570-01</t>
  </si>
  <si>
    <t>Moneco</t>
  </si>
  <si>
    <t>Developer of a cross-border digital banking and payments application intended to support international financial access for African users. The company offers mobile accounts in multiple currencies, virtual and physical cards for global payments, encrypted and tokenized transactions, and multilingual customer support, enabling individuals, entrepreneurs, freelancers, and other African customers to receive international income, pay suppliers, spend worldwide, and manage everyday finances from a single secure application.</t>
  </si>
  <si>
    <t>Ajim Capital, Alan Rutledge, Austen Allred, Bpifrance, Digital Africa (Paris), Fuze (Africa), GSB Impact Fund, Impact Assets, Kima Ventures, Reflect Ventures, Soma Ventures, Titan Holdings, Visa Accelerator, Y Combinator</t>
  </si>
  <si>
    <t>www.moneco.app</t>
  </si>
  <si>
    <t>277218-19</t>
  </si>
  <si>
    <t>Solvent</t>
  </si>
  <si>
    <t>Artificial Intelligence &amp; Machine Learning, Cannabis, Cybersecurity, FinTech</t>
  </si>
  <si>
    <t>Developer of a machine learning technology designed to empower banks to confidently ensure all payments in the cannabis department. The company brings together real-time data analysis technology to know all parties involved in a transaction that alleviates risk, enabling financial institutions to offer services such as wire and ACH, credit and debit cards, and loans without fear of criminal intent.</t>
  </si>
  <si>
    <t>B&amp;B Partners, Edge Ventures (San Francisco), Marigold Capital (Boston), SouthWest Colorado Accelerator Program for Entrepreneurs</t>
  </si>
  <si>
    <t>www.solvent.io</t>
  </si>
  <si>
    <t>339856-21</t>
  </si>
  <si>
    <t>Torre Capital</t>
  </si>
  <si>
    <t>Developer of a wealth management platform intended to democratize alternative investments for mass affluent investors. The company's platform is a proprietary closed-loop secondary market for investing and trading in alternative assets, enabling investors to make investment opportunities such as private equity and venture capital funds with low ticket sizes.</t>
  </si>
  <si>
    <t>Antler, M Venture Partners, Titan Angels</t>
  </si>
  <si>
    <t>www.torre.capital</t>
  </si>
  <si>
    <t>518947-48</t>
  </si>
  <si>
    <t>Legacynext</t>
  </si>
  <si>
    <t>Developer of a financial inheritance platform designed for making a succession certificate and transferring all the bank accounts assets and liabilities. The company's platform specializes in planning the inheritance by creating and transferring the inheritance as per the will, assisting with tax filings and ensuring the government books are closed, enabling families with legal aspects which include transferring vehicles, accounts and utility connections.</t>
  </si>
  <si>
    <t>Afthonia, JITO Incubation &amp; Innovation Foundation, Micro VC Chennai, Sprout Angels, Symphony9 ventures</t>
  </si>
  <si>
    <t>www.legacynext.in</t>
  </si>
  <si>
    <t>466973-38</t>
  </si>
  <si>
    <t>Flexi Salary</t>
  </si>
  <si>
    <t>Developer of a salary wallet designed to provide employees with the freedom to take their payment anytime they want. The company's platform credits the salary each morning into the employee's salary wallet, which then gets deducted from the employee's next salary and provides immediate access to the money they earn, enabling organizations to have happier employees and lower attrition, while not changing the employer's costs, cash flows or payroll processes.</t>
  </si>
  <si>
    <t>Bharat Inclusion Seed Fund, First Cheque, Goodwater Capital, ICE.vc, IIMA Ventures, Startup Haryana</t>
  </si>
  <si>
    <t>www.flexisalary.co.in</t>
  </si>
  <si>
    <t>519787-45</t>
  </si>
  <si>
    <t>Linda Pesa</t>
  </si>
  <si>
    <t>Developer of financial software designed to support businesses with all the necessary information in a digital format. The company offers various services related to financial management and accumulating credit information with a financial infrastructure, providing businesses and owners with a proper information system in one place, with accuracy and in a timely format.</t>
  </si>
  <si>
    <t>01Booster, Apt Women, East Ventures, FASTAR, G-STARTUP, Marui Group, PesaTech Accelerator, Skylight Consulting</t>
  </si>
  <si>
    <t>web.lindapesa.com</t>
  </si>
  <si>
    <t>707829-31</t>
  </si>
  <si>
    <t>Openteca</t>
  </si>
  <si>
    <t>Operator of a digital mortgage brokerage platform intended to simplify the mortgage process for new property owners. The company specializes in digital mortgage brokerage, bank comparison, personalized loan offers, document automation, and advisory services, enabling clients to obtain mortgage deals by receiving professional assistance throughout the financing process.</t>
  </si>
  <si>
    <t>Bcombinator</t>
  </si>
  <si>
    <t>www.openteca.es</t>
  </si>
  <si>
    <t>126158-23</t>
  </si>
  <si>
    <t>PhoneParLoan</t>
  </si>
  <si>
    <t>Provider of a digital micro-credit card designed to offer credit facilities to salaried professionals. The company's card includes physical as well as digital credit cards that turn off when not in use, cancel subscriptions, create a token for online use, track expenses in real-time, and automate minimum balance payments, enabling people to make day-to-day expenses and re-payments in time and build their credit score and also achieve their financial goals.</t>
  </si>
  <si>
    <t>Afthonia, Anand Kumar, Flat6labs, Incubate Fund Asia, Innovate Delhi, Intellecap, JadeValue Incubator, Lead Invest, Nao Murakami, NXTP Ventures, Orbit Ventures (Venture Capital), Samsung Electronics, Sandesh Kirkire, Shankar Roy, SOSV, Start-Up Chile, Venture Gurukool, Xseed Partners, Yogesh Chaudhary</t>
  </si>
  <si>
    <t>www.phoneparloan.in</t>
  </si>
  <si>
    <t>600589-09</t>
  </si>
  <si>
    <t>Deepvue Technologies</t>
  </si>
  <si>
    <t>Developer of a unified customer insights platform intended for fintechs. The company's Aadhaar verification API platform provides KYC information based on an individual's Aadhaar number and OTP, offers a user-friendly interface, streamlines customer KYC verification, ensures the accuracy of demographic information, enabling companies to execute digital transformations and provide seamless customer experiences.</t>
  </si>
  <si>
    <t>100X.VC, First Founder Investment Trust</t>
  </si>
  <si>
    <t>www.deepvue.ai</t>
  </si>
  <si>
    <t>539242-03</t>
  </si>
  <si>
    <t>Babimo</t>
  </si>
  <si>
    <t>Developer of a professional digital wallet intended to help businesses streamline their payments. The company's platform offers features like multiple currencies, fraud prevention, money transfers, cash withdrawals, and real-time reporting to facilitate quick, easy, and secure financial transactions through a user-friendly mobile application, enabling businesses to make and receive payments securely and efficiently.</t>
  </si>
  <si>
    <t>Startupbootcamp AfriTech, Startupbootcamp Holding, Venteri Capital</t>
  </si>
  <si>
    <t>www.babimo.com</t>
  </si>
  <si>
    <t>465418-00</t>
  </si>
  <si>
    <t>Betterpay</t>
  </si>
  <si>
    <t>Developer of a payment gateway technology designed to provide online payment infrastructure. The company's technology simplifies payments that can be done over text and email and also offers automation of recurring payment and instant settlement facilities, enabling financial institutions to onboard merchants to accept online payments.</t>
  </si>
  <si>
    <t>Fatfish Group</t>
  </si>
  <si>
    <t>www.betterpay.me</t>
  </si>
  <si>
    <t>172864-90</t>
  </si>
  <si>
    <t>Optio</t>
  </si>
  <si>
    <t>Developer of a customer data platform designed for banks to turn customer data into successful sales. The company's platform offers an intelligent financial chatbot that would quickly answer financial questions and help customers with day-to-day money management in an interactive and fun way, enabling clients to understand customer needs with the help of advanced machine learning algorithms.</t>
  </si>
  <si>
    <t>AI Venture Labs, European Fund for Southeast Europe, Georgia's Innovation and Technology Agency, Government of Georgia, StartupYard, Techstars, The World Bank Group</t>
  </si>
  <si>
    <t>www.optio.ai</t>
  </si>
  <si>
    <t>101437-57</t>
  </si>
  <si>
    <t>HashChing</t>
  </si>
  <si>
    <t>Developer of a digital loan platform designed to help consumers access home loans and business loan deals. The company's online financial marketplace offers a cloud-based platform to access information about premium home loan deals and related financial information, enabling customers to make smart and informed financial decisions with transparency.</t>
  </si>
  <si>
    <t>Boman Group, H2 Ventures, Heworth, Investsmart Group, Jobs for NSW, Marty Switzer, Paul Rickard, Picus Capital, SG Capitals, SJS Partners, Toby Heap</t>
  </si>
  <si>
    <t>hashfinancialgroup.com</t>
  </si>
  <si>
    <t>495382-24</t>
  </si>
  <si>
    <t>Passionfruit (New York)</t>
  </si>
  <si>
    <t>AdTech, Artificial Intelligence &amp; Machine Learning, Big Data, Marketing Tech, SaaS</t>
  </si>
  <si>
    <t>Developer of a workflow management platform designed to automate several aspects of proven search engine optimization strategies. The company's platform works on human-in-the-loop workflows by leveraging industry-leading AI algorithms for scalable growth, enabling firms to boost organic traffic to maximize profit.</t>
  </si>
  <si>
    <t>Carnegie Mellon University, Floodgate, Stanford University, StartX (US), VentureBridge Program</t>
  </si>
  <si>
    <t>www.getpassionfruit.com</t>
  </si>
  <si>
    <t>178737-85</t>
  </si>
  <si>
    <t>Rupeeseed</t>
  </si>
  <si>
    <t>Operator of a share trading platform designed to provide capital market services for retail and institutional traders. The company's platform specializes in providing a web trading platform featuring data analytics, a digital scanner, automated time monitoring, streaming quotes, charting, position management, strategic creation, retail trading platforms, back office platform, mutual fund platforms, mobile trading apps with advanced analytics, dealing terminals, risk management system, algo trading systems and mid office, enabling clients to trade, generate orders, monitor positions, manage risk and profit and invest better.</t>
  </si>
  <si>
    <t>Yes Bank Business Accelerator Program</t>
  </si>
  <si>
    <t>www.rupeeseed.com</t>
  </si>
  <si>
    <t>399580-75</t>
  </si>
  <si>
    <t>Subsbase</t>
  </si>
  <si>
    <t>Developer of a recurring revenue management platform designed for businesses to streamline payment, subscription, and invoice management. The company's platform offers features such as automated billing and invoicing, subscriber lifecycle management, integration with various payment gateways, customizable subscription plans, multi-currency support, tax handling, and detailed analytics and reporting, enabling businesses across various sectors to manage subscription operations and maintain oversight of financial performance.</t>
  </si>
  <si>
    <t>Arzan Venture Capital, AUC Venture Lab, Camel Ventures, Cedar Mundi Ventures, Falak Startups, Global Ventures (Private Equity), Hala Ventures, Hub71, Ingressive (Nigeria), P1 Ventures, Plug and Play Tech Center, Plus Venture Capital, Sukna Ventures, Venture Mena, Wamda Capital</t>
  </si>
  <si>
    <t>www.subsbase.com</t>
  </si>
  <si>
    <t>184305-97</t>
  </si>
  <si>
    <t>Valuevest Services</t>
  </si>
  <si>
    <t>Developer of an investment application designed to democratize personal finance and make wealth management simple. The company's application allows users to park cash short term or invest for goals or retirement and track existing investments, including direct funds with an overview and suggestions, enabling users to manage their portfolio and improve their return.</t>
  </si>
  <si>
    <t>10,000 Startups-NASSCOM, AAF Management, Appyhigh, Flipkart Ventures, FundersClub, Next Ventures, Openner, Remagine Ventures, Seed Group, VentureSouq, Y Combinator</t>
  </si>
  <si>
    <t>www.piggy.co.in</t>
  </si>
  <si>
    <t>593601-22</t>
  </si>
  <si>
    <t>Paytring</t>
  </si>
  <si>
    <t>Developer of a payment orchestration platform designed to streamline and manage payment operations. The company's platform offers a single integration for all payment gateways, aggregators, and methods using artificial intelligence, enabling businesses to manage cash flows across multiple payment providers and acquirers while reducing costs and increasing conversion rates.</t>
  </si>
  <si>
    <t>Startup India, Startup Réseau, Tenity, Unlimit (Financial Services)</t>
  </si>
  <si>
    <t>www.paytring.com</t>
  </si>
  <si>
    <t>638613-82</t>
  </si>
  <si>
    <t>Fuspay</t>
  </si>
  <si>
    <t>Developer of an all-in-one financial platform designed to leverage blockchain technology to provide payment infrastructures for wallet interoperability. The company provides faster transaction speeds compared to traditional banking systems, cheaper transaction fees, and access to a wide range of currencies, enabling firms to easily accept payments and process transactions securely.</t>
  </si>
  <si>
    <t>Open Startup International, Orbit Ventures (Venture Capital), Pacer Ventures</t>
  </si>
  <si>
    <t>www.fuspay.us</t>
  </si>
  <si>
    <t>226735-30</t>
  </si>
  <si>
    <t>Quikkloan</t>
  </si>
  <si>
    <t>Provider of credit-scoring analytics-based online loan marketplace intended to provide various loans. The company's platform simplifies the process of submitting documents online for quick approval and disbursal through a fully automated process, and its proprietary credit scoring model connects the customer with only those lenders who would like to extend a loan to avoid later-stage loan application rejection, enabling customers to search the product, compare quotes and select offers from various lending institutions and apply online.</t>
  </si>
  <si>
    <t>3pm Ventures, Aasif Ahsan Khan, Arun Diaz, Sanjay Budhwar, Startupbootcamp Holding</t>
  </si>
  <si>
    <t>www.quikkloan.com</t>
  </si>
  <si>
    <t>469765-09</t>
  </si>
  <si>
    <t>Beleef</t>
  </si>
  <si>
    <t>Developer of a savings and reward management platform designed to make consumers save money on parking vehicles and earn reward points. The company's platform helps its users pay cashless at local merchants and get a partial reimbursement of their parking costs or points, which they can exchange for rewards, enabling retailers and cities to boost local consumption through an all-in-one platform with automated consumer benefits.</t>
  </si>
  <si>
    <t>Imec.istart, Pitchdrive</t>
  </si>
  <si>
    <t>www.swave.be</t>
  </si>
  <si>
    <t>158506-84</t>
  </si>
  <si>
    <t>Edstart</t>
  </si>
  <si>
    <t>Developer of a financial platform designed to offer an easy way to pay school fees. The company's platform provides a simple, low-cost financing service that fits the budget and uses the latest technology and online processes that offer regular payment plans, enabling families to meet and pay the rising school fees.</t>
  </si>
  <si>
    <t>AS1 Growth Partners, Bfa Global Investors, Blackpeak Growth Partners, Clinton Capital Partners, H2 Ventures, HEAL Partners Management, KPMG mLabs, Larsen Ventures, National Australian Bank Ventures</t>
  </si>
  <si>
    <t>www.edstart.com.au</t>
  </si>
  <si>
    <t>502650-28</t>
  </si>
  <si>
    <t>Index One</t>
  </si>
  <si>
    <t>Developer of a modern custom indexing platform designed to support customizable index creation and maintenance. The company offers backtesting, index design tools, automated rebalancing, data delivery, and reporting, enabling financial professionals to build and manage tailored indices with consistent control.</t>
  </si>
  <si>
    <t>www.indexone.io</t>
  </si>
  <si>
    <t>277775-65</t>
  </si>
  <si>
    <t>WalkABit</t>
  </si>
  <si>
    <t>Developer of a walk-and-earn application designed to give rewards for walking. The company's application allows travelers to determine the places to visit and get rewards in return for visiting them, and sends, enabling customers to walk regularly and also earn benefits in return, developing a positive impact on daily life.</t>
  </si>
  <si>
    <t>Boeing, Datalex, Enterprise Ireland, Irish Aviation Authority, Propeller SNN Accelerator</t>
  </si>
  <si>
    <t>www.walkabit.app</t>
  </si>
  <si>
    <t>489690-82</t>
  </si>
  <si>
    <t>Proptee</t>
  </si>
  <si>
    <t>Developer of a fractional real estate investment platform designed to simplify property ownership and income generation. The company's platform offers blockchain-enabled property fractionalization, secure transactions, and passive rental income distribution, enabling individual investors to access global real estate markets with liquidity and transparency.</t>
  </si>
  <si>
    <t>Lebenheim Capital</t>
  </si>
  <si>
    <t>proptee.io</t>
  </si>
  <si>
    <t>178858-09</t>
  </si>
  <si>
    <t>InsuredMine</t>
  </si>
  <si>
    <t>Developer of a comprehensive customer relationship management and marketing automation platform designed for the insurance industry. The company offers robust features for sales pipeline management, automated client engagement through drip campaigns and email marketing, comprehensive data analytics for insightful decision-making, and a dedicated mobile application for both agents and customers, enabling insurance agencies, agents, and aggregators to streamline operations, boost productivity, enhance customer satisfaction, and drive significant business growth.</t>
  </si>
  <si>
    <t>Capital Factory</t>
  </si>
  <si>
    <t>www.insuredmine.com</t>
  </si>
  <si>
    <t>279939-34</t>
  </si>
  <si>
    <t>Wunderfund</t>
  </si>
  <si>
    <t>Operator of an equity crowdfunding platform intended to facilitate investment opportunities and early-stage financing. The company's platform works as a medium to raise online public offerings from the crowd in the form of equity, enabling entrepreneurs and small businesses to avail of a capital boost and grow their businesses.</t>
  </si>
  <si>
    <t>CFV Ventures, Queen City Fintech, RevTech Labs Capital, Stacked Capital</t>
  </si>
  <si>
    <t>www.wunderfund.co</t>
  </si>
  <si>
    <t>470600-47</t>
  </si>
  <si>
    <t>Rahoo</t>
  </si>
  <si>
    <t>Developer of a no-code embedded finance platform designed to empower financial services to launch and manage converting digital partnerships. The company's platform helps to place application processes on any website or app, attract new partners, offer partner support without any human resources and always deliver seamless user experience, enabling businesses to attract more customers by leveraging partnerships.</t>
  </si>
  <si>
    <t>Excedea Capital, Gorilla Capital (Helsinki), Leap (Finland)</t>
  </si>
  <si>
    <t>www.rahoo.fi</t>
  </si>
  <si>
    <t>459801-10</t>
  </si>
  <si>
    <t>Trocados</t>
  </si>
  <si>
    <t>Developer of a digital wallet platform designed to simplify everyday financial transactions. The company's platform offers mobile payments, bill management, digital change deposits, and integration with popular services like Netflix and Uber, enabling individuals to make purchases, transfers, and top-ups quickly and securely without a traditional credit card.</t>
  </si>
  <si>
    <t>DOMO.VC, WOW Aceleradora de Startups</t>
  </si>
  <si>
    <t>www.trocadosapp.com.br</t>
  </si>
  <si>
    <t>491156-02</t>
  </si>
  <si>
    <t>IndiaP2P</t>
  </si>
  <si>
    <t>Developer of an investment platform designed to invest directly into screened, verified retail loans. The company's platform facilitates direct lending to curated borrowers, supports monthly repayments with principal and interest, enables diversification across loan fractions, incorporates secure transactions and borrower verification, and provides transparent performance tracking, enabling individual investors to access non-market-linked income opportunities with predictable returns and minimal management effort.</t>
  </si>
  <si>
    <t>Antler, Force Ventures (India), Midas Capital (Noida), Vertex Ventures Southeast Asia &amp; India</t>
  </si>
  <si>
    <t>www.indiap2p.com</t>
  </si>
  <si>
    <t>471639-43</t>
  </si>
  <si>
    <t>HappyCredit</t>
  </si>
  <si>
    <t>Developer of a cashback and rewards platform intended to help users earn instant rewards while shopping. The company's platform allows payment through credit cards, debit cards, and unified payments interface handles and it also helps to track expenses, enabling customers to get cashback on transactions.</t>
  </si>
  <si>
    <t>Alex Lin, Andrew Ladouceur, Astir Ventures, Charlie Feng, Chris Ye, First Cheque, Founders First, Goodwater Capital, Jeremy Cai, Krishna Kumar, Kunal Shah, Magic Fund, MyAsiaVC, Saad Siddiqui, SN Damani</t>
  </si>
  <si>
    <t>www.happycredit.in</t>
  </si>
  <si>
    <t>592477-57</t>
  </si>
  <si>
    <t>Truthsayer AI</t>
  </si>
  <si>
    <t>Developer of an AI (artificial intelligence)-driven investment platform designed to support informed trading decisions in the US (United States) stock market. The company offers analysis of insider trades, dark pool transactions, earnings reports, and valuation data, enabling individual investors and financial professionals to identify potential trading opportunities and improve investment outcomes.</t>
  </si>
  <si>
    <t>www.truthsayer.com</t>
  </si>
  <si>
    <t>501934-42</t>
  </si>
  <si>
    <t>Validient</t>
  </si>
  <si>
    <t>Developer of secure management platform designed for streamlining client validation and engagement processes. The company's digital client onboarding and verification system automates the essential processes of a client's legal journey beginning with onboarding and matter engagement, enabling clients to improve workflows and transparency within the firm.</t>
  </si>
  <si>
    <t>Development Bank of Wales, The Alacrity Foundation, The Waterloo Foundation, Welsh Government, Wesley Clover International</t>
  </si>
  <si>
    <t>www.validient.com</t>
  </si>
  <si>
    <t>499931-74</t>
  </si>
  <si>
    <t>Fipla</t>
  </si>
  <si>
    <t>B2B Payments, FinTech, Marketing Tech, SaaS</t>
  </si>
  <si>
    <t>Developer of a domestic consumer invoicing platform designed to help businesses in the consumer business modernize their billing. The company offers a platform that sends consumer invoices, tracks their revenue rate, and scales many outgoing invoices by drilling down to the real-time status of an individual invoice, providing firms with structuring invoices, simplifying payment processes, increasing customer feedback as well as satisfaction, and reducing credit loss.</t>
  </si>
  <si>
    <t>Trado Capital</t>
  </si>
  <si>
    <t>www.fipla.com</t>
  </si>
  <si>
    <t>231455-98</t>
  </si>
  <si>
    <t>Nudge Financial</t>
  </si>
  <si>
    <t>Provider of financial services intended to offer loan facilities. The company's services incorporate open banking to increase transparency in the financial sector and improve lending practices, enabling customers to access loans hassle-free.</t>
  </si>
  <si>
    <t>Enterprise Ireland</t>
  </si>
  <si>
    <t>227971-09</t>
  </si>
  <si>
    <t>FintechX</t>
  </si>
  <si>
    <t>Developer of an open banking innovation software designed to compose the financial services provided by fintech and banks within a single mobile app. The company's platform offers white-label, co-branded, or other deals that can be integrated into the current system and has incorporated all banking and security practices, enabling clients to access their plugin system to avoid having to comply with the different requirements of different banks in each of the areas.</t>
  </si>
  <si>
    <t>BNL Start Partners, Hiventures, MBH FintechLab, Nestholma, OTP LAB</t>
  </si>
  <si>
    <t>www.fintechx.digital</t>
  </si>
  <si>
    <t>234326-98</t>
  </si>
  <si>
    <t>Allebt</t>
  </si>
  <si>
    <t>Provider of government assistance program information intended to help low-income individuals access nutritional benefits. The company's platform covers state-specific eligibility requirements, required documentation, application submission methods, and income threshold guidance, enabling individuals and families with limited financial resources to understand and navigate the federal nutritional assistance application process.</t>
  </si>
  <si>
    <t>Berkeley SkyDeck, CFV Ventures, Parallel18, Pearl Gray Equity Partners, Stacked Capital, Village Capital</t>
  </si>
  <si>
    <t>www.allebt.org</t>
  </si>
  <si>
    <t>120046-87</t>
  </si>
  <si>
    <t>ComplyStream</t>
  </si>
  <si>
    <t>Developer of an automated compliance management platform intended to streamline financial crime operations. The company's platform integrates with existing financial institution systems to enhance tools, providing customizable dashboards, eliminating manual processes, automating communication, decision-making, and workflow management, enabling financial institutions to improve operational efficiency, reduce case times, and enhance decision-making with machine learning-driven insights and continuous customer checks.</t>
  </si>
  <si>
    <t>Accel, Ascension (Private Equity), Claire and Amir's Angel Portfolio, Cornerstone VC, Google Accelerator</t>
  </si>
  <si>
    <t>www.complystream.com</t>
  </si>
  <si>
    <t>491074-57</t>
  </si>
  <si>
    <t>Fon Radar</t>
  </si>
  <si>
    <t>Operator of a receivables financing platform intended to provide business finance that helps companies grow. The company's platform connects micro, small, and medium-sized enterprises seeking to raise working capital and investments, while also allowing vendors to receive payments against their approved invoices, enabling organizations to access receivables financing and focus on running their businesses.</t>
  </si>
  <si>
    <t>Albaraka Garaj, Alesta Yatırım, Finesta Yatırım, İTÜ Çekirdek, Sertaç Özinal</t>
  </si>
  <si>
    <t>www.fonradar.com</t>
  </si>
  <si>
    <t>520096-96</t>
  </si>
  <si>
    <t>Bunce</t>
  </si>
  <si>
    <t>Developer of a revenue management automation and analytics platform designed to simplify, understand, and maximize potential by tracking revenue. The company's platform includes automation to robotize payment events and recover failed online payments without coding or dev efforts required, enabling businesses to get customer retention and growth for startups.</t>
  </si>
  <si>
    <t>Africa Tech Startup Forum, Amazon Web Services, Baobab Network, Co-Creation Hub, DFS Lab, Founders Hub, Hindsight Ventures, MTN Cloud Accelerator, Startup Wise Guys</t>
  </si>
  <si>
    <t>www.bunce.so</t>
  </si>
  <si>
    <t>465335-65</t>
  </si>
  <si>
    <t>Equideq</t>
  </si>
  <si>
    <t>Developer of a collectibles investing platform designed to make horse racing and bloodstock accessible and affordable to everyone. The company's platform allows users to purchase and trade micro shares in racing and breeding bloodstock by bringing a wide range of expertise from across the horse industry and financial and regulatory technology sectors, enabling an online community and retail investors to invest in horse racing and collectibles to be fractionalized for investments.</t>
  </si>
  <si>
    <t>www.equideq.com</t>
  </si>
  <si>
    <t>226160-38</t>
  </si>
  <si>
    <t>Exquance Software</t>
  </si>
  <si>
    <t>Developer of a real estate financial modeling platform designed to support property investment analysis and valuation processes. The company offers automated cash flow modeling, valuation tools, and fund management capabilities, enabling real estate and private equity firms to assess investments and streamline financial reporting.</t>
  </si>
  <si>
    <t>blackprint Booster, Horizon 2020, Plug and Play Tech Center</t>
  </si>
  <si>
    <t>www.exquance.com</t>
  </si>
  <si>
    <t>171945-55</t>
  </si>
  <si>
    <t>FindBob</t>
  </si>
  <si>
    <t>Operator of a transition management platform intended to align advisor and firm interests within the financial services industry. The company platform offers tools to support advisors in achieving transition goals and firms in managing internal transitions, enabling financial institutions to protect assets, retain talent, and build lasting client-focused practices.</t>
  </si>
  <si>
    <t>Cameron Jacox, DMZ (Toronto), Founder Institute, Global Insurance Accelerator, Grinnell Mutual Reinsurance, Joseph Fung, MaRS Investment Accelerator Fund</t>
  </si>
  <si>
    <t>www.findbob.io</t>
  </si>
  <si>
    <t>340760-71</t>
  </si>
  <si>
    <t>PayEm</t>
  </si>
  <si>
    <t>Developer of a spend management and procurement platform intended to automate the entire request-to-reconciliation process for finance and procurement teams. The company's platform combines credit cards and a payment platform to permit users to track all employees' spending and facilitate the process of syncing data using accounting software, enabling clients to keep track of and minimize overall expenses.</t>
  </si>
  <si>
    <t>www.payem.co</t>
  </si>
  <si>
    <t>234061-75</t>
  </si>
  <si>
    <t>Penseo</t>
  </si>
  <si>
    <t>FinTech, HR Tech, InsurTech, SaaS</t>
  </si>
  <si>
    <t>Developer of a pension scheme settlement platform designed to reduce the complexity of occupational pensions. The company's platform specializes in digitizing occupational pensions and features the ability to pay monthly fees, sign new contracts and manage existing contracts, simplifies the setup and administration of BAA for the HR department and payroll accounting, enabling small and medium-sized enterprises to complete the online processing of occupational pensions with increased efficiency.</t>
  </si>
  <si>
    <t>Andre Bajorat, Bjorn Assmann, Hannoverimpuls, Kilian Thalhammer, Oliver Oster, Start Ventures</t>
  </si>
  <si>
    <t>www.penseo.de</t>
  </si>
  <si>
    <t>221856-58</t>
  </si>
  <si>
    <t>Monetor</t>
  </si>
  <si>
    <t>Developer of a financial platform designed to facilitate foreign exchange market transactions. The company's platform provides currency services utilizing collaboration with internationally renowned banks and currency providers to offer express, spot, and futures in different currencies, international payments, risk management, hedging tools, online forex trading, personal services, and brokerage, enabling customers to get a range of cost-effective solutions for international transactions.</t>
  </si>
  <si>
    <t>www.monetor.com</t>
  </si>
  <si>
    <t>264455-38</t>
  </si>
  <si>
    <t>Beez</t>
  </si>
  <si>
    <t>Developer of an online buying application designed to help educate online shoppers and encourage them to save money from online shopping. The company's application helps millions overcome their unhealthy financial habits, form new ones, and set targets that are controlled by them and not by society, aggressive marketing, entourage, or work, enabling users to save money from online shopping.</t>
  </si>
  <si>
    <t>GapMinder Venture Partners, Techcelerator, TVP Family Office</t>
  </si>
  <si>
    <t>www.use-beez.com</t>
  </si>
  <si>
    <t>166706-74</t>
  </si>
  <si>
    <t>DocsInBox</t>
  </si>
  <si>
    <t>FinTech, Mobile, Restaurant Technology, SaaS, TMT</t>
  </si>
  <si>
    <t>Developer of a document management software designed to automate document flow between restaurants and suppliers. The company's software loads the invoices from suppliers in the accounting system of the restaurant, speeds up the operations and reduces the costs of document management
and purchases, enabling restaurant owners to communicate with suppliers and pay the required amounts.</t>
  </si>
  <si>
    <t>Internet Initiatives Development Fund</t>
  </si>
  <si>
    <t>www.docsinbox.ru</t>
  </si>
  <si>
    <t>174518-29</t>
  </si>
  <si>
    <t>PAGO46</t>
  </si>
  <si>
    <t>Developer of a cash payment platform designed to aid digital purchases. The company's platform forms a collaborative network between agents, shops, and consumers, enabling users to make digital purchases a seamless process and agents to earn commissions for each transaction made.</t>
  </si>
  <si>
    <t>Alaya Capital, Banco Bilbao Vizcaya Argentaria, Dadneo, EvoNexus, Factorias Vulcano, IDB Lab, Plug and Play Tech Center, Scale Capital (Chile)</t>
  </si>
  <si>
    <t>www.pago46.com</t>
  </si>
  <si>
    <t>234497-89</t>
  </si>
  <si>
    <t>Payzello</t>
  </si>
  <si>
    <t>Developer of a neo banking platform designed to offer banking services to its customers. The company's platform provides one-minute account creation, a single debit and credit card, an AI assistant to manage and automate savings, and easy money transfer, enabling customers to easily open an account, make proper spending, and fund allocations, and keep track of budgets.</t>
  </si>
  <si>
    <t>Anand Nagloor, Axilor Ventures, iii Consulting, JioGenNext, Vel Kanniappan</t>
  </si>
  <si>
    <t>www.payzello.com</t>
  </si>
  <si>
    <t>697341-25</t>
  </si>
  <si>
    <t>YOiD</t>
  </si>
  <si>
    <t>Developer of a payment services provider application designed to eliminate passwords with just a phone number and an app. The company's application offers services like digital identification, digital signature, age verification and account verification, enabling businesses to identify, register, sign documents and show credentials with security and data under control.</t>
  </si>
  <si>
    <t>Seed Capital Bizkaia</t>
  </si>
  <si>
    <t>www.yoid.es</t>
  </si>
  <si>
    <t>513424-00</t>
  </si>
  <si>
    <t>GoPay (Application Software)</t>
  </si>
  <si>
    <t>Developer of a technology platform designed to support digital ticketing and city service integration for urban mobility systems. The company offers modular, API-based components for mobile ticketing and city-related services, enabling public transport operators, municipalities, and fintech partners to integrate these functions into consumer-facing applications for reliable and compliant operations.</t>
  </si>
  <si>
    <t>WP2 Investments</t>
  </si>
  <si>
    <t>www.gopay24.eu</t>
  </si>
  <si>
    <t>501836-23</t>
  </si>
  <si>
    <t>Happy Pay</t>
  </si>
  <si>
    <t>Artificial Intelligence &amp; Machine Learning, E-Commerce, FinTech, Mobile</t>
  </si>
  <si>
    <t>Operator of a Buy Now Pay Later platform intended to provide consumers a responsible alternative to costly credit. The company integrates a fully autonomous artificial intelligence technology system with the merchant's platform to increase their average basket size and customer conversion metrics, enabling users with buy now, and pay later services.</t>
  </si>
  <si>
    <t>10X Capital, 4Di Capital, DotExe Ventures, Enso Capital (Singapore), Entrepreneurs for Entrepreneurs Africa, Equitable Ventures, Felix Strategic Investments, Fin (Financial Software), Futuregrowth Asset Management, Gaingels, Launch Africa Ventures, Partech, Summit Deals, University Technology Fund</t>
  </si>
  <si>
    <t>www.happypay.co.za</t>
  </si>
  <si>
    <t>289696-42</t>
  </si>
  <si>
    <t>Ekohesap</t>
  </si>
  <si>
    <t>Developer of an online financial and accounting management software designed to simplify the accounting processes. The company's software includes features such as electronic invoicing, expense tracking, bank integrations, inventory monitoring, performs pre-accounting, financial, tax declarations, payroll, e-government transactions, and depreciation, enabling micro SMEs and small businesses to instantly calculate debt, profit, and sales, and thereby help them to grow more in terms of revenue.</t>
  </si>
  <si>
    <t>Hedef Girisim Sermayesi Yatırım Ortaklıgı, TEB Girisim Evi</t>
  </si>
  <si>
    <t>www.ekohesap.com</t>
  </si>
  <si>
    <t>57014-11</t>
  </si>
  <si>
    <t>TRDATA</t>
  </si>
  <si>
    <t>Developer of a financial market data platform designed for professional trading and analytics. The company's platform delivers real-time over-the-counter price quotes, market news, historical data, charting tools, and communication features for sharing insights, enabling traders, analysts, and financial institutions to monitor markets and support informed trading decisions across asset classes.</t>
  </si>
  <si>
    <t>Anthony, Querizan Services</t>
  </si>
  <si>
    <t>www.trdata.com</t>
  </si>
  <si>
    <t>1274655-88</t>
  </si>
  <si>
    <t>Nukleas</t>
  </si>
  <si>
    <t>Developer of a unified operating platform designed to manage compliance, contracts, and operations in one place. The company's platform offers audit-ready automation, a single system of record, real-time contract intelligence, and embedded compliance workflows, enabling government contractors to manage timekeeping, expenses, contracts, and invoicing with clarity and control.</t>
  </si>
  <si>
    <t>Forum Ventures, Right Side Capital Management, Techstars</t>
  </si>
  <si>
    <t>www.nukleas.com</t>
  </si>
  <si>
    <t>537555-25</t>
  </si>
  <si>
    <t>ReInvestWealth</t>
  </si>
  <si>
    <t>Developer of business accounting software designed to create a robot accounting workforce that can learn, adapt, manage, and optimize the finances of any online business. The company's software handles daily bookkeeping with the help of AI by learning the repetitive tasks, simple invoicing, direct deposit payroll, and in-app tax filing among others, enabling clients to make accounting simple and accurate.</t>
  </si>
  <si>
    <t>DMZ (Toronto), DMZ Ventures, PME MTL Centre-Ville</t>
  </si>
  <si>
    <t>www.reinvestwealth.com</t>
  </si>
  <si>
    <t>528922-09</t>
  </si>
  <si>
    <t>IMP Software</t>
  </si>
  <si>
    <t>Developer of financial management software intended to manage budgets in a smarter way. The company's platform offers services in the fields of budgeting, forecasting, reporting, and financial planning, enabling clients to have smarter financial management.</t>
  </si>
  <si>
    <t>Partech</t>
  </si>
  <si>
    <t>www.impsoftware.co.uk</t>
  </si>
  <si>
    <t>465537-79</t>
  </si>
  <si>
    <t>Stamped</t>
  </si>
  <si>
    <t>Provider of accounting and auditing services intended to give small and medium businesses transparent audit experiences. The company takes care of year-end financials using a mix of seasoned accountants and technology and commits to delivering reports within one month after the closing of clients' books, enabling clients to avail of accounting services and letting them focus on their primary objective.</t>
  </si>
  <si>
    <t>0MC, Creative Destruction Lab, Dispatch Ventures, FounderFuel, Highline Beta, I2BF Global Ventures, Intuit Canada, Jean-Francois Cloutier, Mucker Capital, Real Ventures, Telegraph Hill Capital, VentureOut (US)</t>
  </si>
  <si>
    <t>www.stamped.ai</t>
  </si>
  <si>
    <t>454952-62</t>
  </si>
  <si>
    <t>AlphaStream (Financial Software)</t>
  </si>
  <si>
    <t>Developer of a data experience platform intended to make financial markets further accessible and insightful for clients. The company provides service with a simplified and quick-to-deploy low-code platform that accelerates integration with most major SaaS platforms, market data, and all major content providers, enabling clients to improve customer user experience across every channel by personalizing all market information in real time.</t>
  </si>
  <si>
    <t>Ascension (Private Equity), Engine (Accelerator)</t>
  </si>
  <si>
    <t>www.alphastream.io</t>
  </si>
  <si>
    <t>183186-46</t>
  </si>
  <si>
    <t>Dapp</t>
  </si>
  <si>
    <t>Developer of an online payment platform designed to connect merchants with various digital payment methods. The company's platform connects retailers with users' credit and debit card accounts and transacts money by verifying their fingerprints and collection codes, and allows access to reporting focused on providing data previously analyzed, enabling businesses to achieve objectives and pay everywhere with their cellphones without showing their card information.</t>
  </si>
  <si>
    <t>G2 Momentum Capital, Grupo Elektra (Mexico), Kalonia</t>
  </si>
  <si>
    <t>www.dapp.mx</t>
  </si>
  <si>
    <t>459012-61</t>
  </si>
  <si>
    <t>Preauth</t>
  </si>
  <si>
    <t>Artificial Intelligence &amp; Machine Learning, Cryptocurrency/Blockchain, FinTech, InsurTech, SaaS</t>
  </si>
  <si>
    <t>Operator of a fintech platform designed to expand financial inclusion by reducing risk and increasing lending capacity through collateral pre-authorization. The company offers AI-driven conversational finance via WhatsApp and SMS, combined with human support, enabling underserved individuals to improve their financial health, debt restructuring, and access to credit and insurance products.</t>
  </si>
  <si>
    <t>500 Global, 500 Startups LatAm, Alaya Capital, BNL Start Partners, Endeavor Perú, Plug and Play Tech Center, Start Up Peru, Start-Up Chile, Tetuan Valley, The Ark Fund, The Board</t>
  </si>
  <si>
    <t>www.preauth.io</t>
  </si>
  <si>
    <t>483487-84</t>
  </si>
  <si>
    <t>Allison Fintech</t>
  </si>
  <si>
    <t>Developer of a financial platform designed to connect fintech to community banks. The company's platform equips fintech with the digital building blocks and bridges the connection between their application and the services they need, enabling community banks to increase their revenue by contracting with new fintech customers securely and fintech to launch their products feasibly.</t>
  </si>
  <si>
    <t>Alabama Futures Fund, Google Accelerator, Techstars</t>
  </si>
  <si>
    <t>www.askallison.ai</t>
  </si>
  <si>
    <t>534768-40</t>
  </si>
  <si>
    <t>APX Lending</t>
  </si>
  <si>
    <t>Developer of a financial platform designed to facilitate borrowing against cryptocurrencies. The company's platform offers centralized finance (CeFi) lending with complete visibility of loan collateral on the blockchain throughout the tenure of loans, and collateral is never re-invested and loaned out, enabling customers to get personal and business credits with correct compliance, safety, security, and transparency.</t>
  </si>
  <si>
    <t>BIGG Digital Assets, Cypress Hills Capital, Day One Ventures, Funders, SOVO Ventures, Techstars</t>
  </si>
  <si>
    <t>www.apxlending.com</t>
  </si>
  <si>
    <t>481265-11</t>
  </si>
  <si>
    <t>Arbol</t>
  </si>
  <si>
    <t>Developer of a financial operating system for higher education, built to help colleges improve student retention by eliminating financial barriers. The company's platform combines the personalized financial guidance of a coach, the early intervention power of an alert system, and the scale of a SaaS platform, giving institutions a unified solution that improves retention and student success outcomes.</t>
  </si>
  <si>
    <t>Brass Ring Ventures, Joseph Bonner, Launch NY, New York Ventures, NextCorps, Techstars, UB Cultivator, University at Buffalo, Unlock Capital (New York), VC 414, Village Capital, Western New York Venture Association, WNY Impact Investment Fund</t>
  </si>
  <si>
    <t>www.growarbol.com</t>
  </si>
  <si>
    <t>510538-06</t>
  </si>
  <si>
    <t>Capsa</t>
  </si>
  <si>
    <t>Developer of a fintech platform intended to focus on streamlining and bridging the financial worries of small and medium-scale businesses in Africa. The company facilitates to provide invoice services that help businesses turn unpaid invoices into working capital and avoid bad debt that cripples their businesses, enabling companies to buy and sell invoices digitally and securely.</t>
  </si>
  <si>
    <t>Afreximbank, Blackaion Capital, Cascador, Fast Accelerator, Future Africa, Nigerian Sovereign Investment Authority, Techstars, Voltron Capital</t>
  </si>
  <si>
    <t>www.getcapsa.com</t>
  </si>
  <si>
    <t>496092-79</t>
  </si>
  <si>
    <t>Clockout (Financial Services)</t>
  </si>
  <si>
    <t>Operator of an earned wage access platform intended to allow employees to access a portion of their earned wages before their scheduled payday. The company offers features such as integration with existing banking systems, support over multiple payroll systems, customizable user experiences, and minimal deployment time, enabling financial institutions to enhance their service offerings while providing employees with a valuable tool for managing unexpected expenses and reducing financial stress.</t>
  </si>
  <si>
    <t>Brickyard, Cofounders Capital, Erez Capital, Front Porch Capital, Front Porch Venture Partners, Jack Henry, Launch Tennessee, Market Square Ventures, OneSixOne Ventures, Q2 Holding, Techstars, The Venture Center</t>
  </si>
  <si>
    <t>www.joinclockout.com</t>
  </si>
  <si>
    <t>557434-99</t>
  </si>
  <si>
    <t>Contaayuda</t>
  </si>
  <si>
    <t>Developer of AI-powered operating software designed to implement strategies and goals to control finances. The company's system automates accounting processes, invoicing, and reporting while auditing, enabling accountants to make better financial decisions for the business.</t>
  </si>
  <si>
    <t>Blue Zone Ventures, Expert DOJO, MetLife Foundation, Techstars, Village Capital</t>
  </si>
  <si>
    <t>www.contaayuda.com</t>
  </si>
  <si>
    <t>539288-74</t>
  </si>
  <si>
    <t>Container Deposit Fund</t>
  </si>
  <si>
    <t>Operator of a financing platform intended to help African logistics operators. The company's platform provides affordable short-term financing to operators of containers and shippers, enabling African logistics operators to do more business with good financing options.</t>
  </si>
  <si>
    <t>RC Ventures (New York), Techstars</t>
  </si>
  <si>
    <t>containerdepositfund.com</t>
  </si>
  <si>
    <t>462436-48</t>
  </si>
  <si>
    <t>Crecero Technologies</t>
  </si>
  <si>
    <t>CloudTech &amp; DevOps, FinTech, Mobile, Mobile Commerce, SaaS</t>
  </si>
  <si>
    <t>Developer of a cloud-based payment platform designed to help small, medium, and large companies conduct frictionless transactions with ease. The company's platform offers technologies for know-your-customer (KYC), anti-money laundering (AML), mobile wallets, cashless mobile payments, and other services for transactions on various platforms, which help take away the complexity of conducting digital transactions, enabling institutions, merchants, and startups to transact in easy and secure online payments.</t>
  </si>
  <si>
    <t>Canaccord Genuity, LoVC, Techstars, Varshney Capital</t>
  </si>
  <si>
    <t>www.crecerotechnologies.com</t>
  </si>
  <si>
    <t>589164-76</t>
  </si>
  <si>
    <t>Depay (Financial Services)</t>
  </si>
  <si>
    <t>Operator of a crypto payment platform intended for businesses to accept cryptocurrency payments across all their terminals. The company offers an easy-to-integrate and interoperable crypto payment infrastructure, enabling payment processors and gateways to accept crypto payments from customers.</t>
  </si>
  <si>
    <t>Banco de Credito del Peru, Digital Currency Group, North Island Ventures, Onigiri Capital, Seedstars, Techstars</t>
  </si>
  <si>
    <t>www.depayapp.com</t>
  </si>
  <si>
    <t>489110-23</t>
  </si>
  <si>
    <t>Farm</t>
  </si>
  <si>
    <t>Developer of a climate investment platform designed to offer a streamlined and diversified way to invest in farmland. The company's platform provides access to agricultural operations across geographic regions and types of production, with a strategic focus on co-location with solar and wind energy, enabling clients to invest in regenerative, professionally managed land.</t>
  </si>
  <si>
    <t>Allegory (New York), Expa, MCJ, Sahil Lavingia, Techstars</t>
  </si>
  <si>
    <t>www.farm.vc</t>
  </si>
  <si>
    <t>226311-31</t>
  </si>
  <si>
    <t>FeezBack</t>
  </si>
  <si>
    <t>Developer of a personal finance management platform designed to lower bank fees. The company's platform features cost mitigation, fee management, financial information, and a combination of multiple sources of information, enabling users to understand, compare, choose, and manage their banking fees and services.</t>
  </si>
  <si>
    <t>Bank Hapoalim, Innovation Authority, Techstars, Teramips Technologies</t>
  </si>
  <si>
    <t>www.feezback.com</t>
  </si>
  <si>
    <t>294325-21</t>
  </si>
  <si>
    <t>Finneo</t>
  </si>
  <si>
    <t>Developer of a data-enabled tech platform designed for commercial real estate debt management and placement. The company's platform applies advanced data analytics and machine learning to automate debt management, CIM creation, direct placement, bid solicitation, and bid management processes, enabling small and large property owners, REITs, property developers, and pension funds with workflow efficiencies and cost savings.</t>
  </si>
  <si>
    <t>www.finneotech.com</t>
  </si>
  <si>
    <t>171887-41</t>
  </si>
  <si>
    <t>Finsophy</t>
  </si>
  <si>
    <t>Developer of a financial assistance platform designed to offer a digital ecosystem for transparent and mission-oriented capital. The company's platform specializes in transparent deposit and savings products for consumers and banks and also offers a marketplace for loans, bank investments, venture capital and research and development grants, enabling banking customers and community banks to access and provide the required capital.</t>
  </si>
  <si>
    <t>RevTech Labs Capital, Stacked Capital</t>
  </si>
  <si>
    <t>www.finsophy.com</t>
  </si>
  <si>
    <t>267760-90</t>
  </si>
  <si>
    <t>Fostrum</t>
  </si>
  <si>
    <t>Developer of an all-in-one money management platform intended to provide modern cash management facilities for creators, influencers, and solopreneurs. The company's platform offers a single point for digital businesses to access everything they need to manage their numbers, connect all different social media channels, bank accounts, credit cards, and ecommerce applications to run their business better, enabling creators to manage income streams.</t>
  </si>
  <si>
    <t>Barclays, HATCH Venture Builder, Techstars</t>
  </si>
  <si>
    <t>www.fostrum.com</t>
  </si>
  <si>
    <t>707673-07</t>
  </si>
  <si>
    <t>Gale</t>
  </si>
  <si>
    <t>Developer of an HSA and FSA payment platform designed to help merchants accept tax-advantaged health spending accounts online. The company offers IRS-compliant product tagging, one-click payment integration, and shopper-targeted messaging, enabling online retailers and eCommerce brands to attract HSA and FSA users, reduce cart abandonment, and grow revenue.</t>
  </si>
  <si>
    <t>Capital Factory, Cowtown Angels, Techstars</t>
  </si>
  <si>
    <t>www.withgale.com</t>
  </si>
  <si>
    <t>520811-65</t>
  </si>
  <si>
    <t>Husk (Media and Information Services (B2B))</t>
  </si>
  <si>
    <t>Developer of a smart spending platform designed to integrate payment resolutions, transaction insights and liquidity. The company offers credit cards without requiring credit history or personal guarantees for all spending with automated spending approvals, enabling startups to become financially efficient.</t>
  </si>
  <si>
    <t>Birdhouse (Antwerp), NewSchools Venture Fund, Start It X, Techstars</t>
  </si>
  <si>
    <t>www.usehusk.com</t>
  </si>
  <si>
    <t>432560-80</t>
  </si>
  <si>
    <t>Konduit Works</t>
  </si>
  <si>
    <t>Developer of a no-code financial platform designed to connect borrowers with local lenders. The company's platform allows finding optimum rates from local lenders for student refinancing and personal loans from credit unions and mid-sized financial institutions, enabling borrowers to get out of debt and helping local lenders capture demand for loans in their geographical footprint.</t>
  </si>
  <si>
    <t>10X Capital, Benjamin Blatt, CFV Ventures, Jennifer Finn, Kellyn Smith Kenny, Mark Fahlberg, MicroVentures, RevTech Labs Capital, Sam Yount, Sandip Nayak, Sarah Gravitt-Baese, Satnam Gandhi, Techstars, Vinodh Rajagopalan</t>
  </si>
  <si>
    <t>www.konduitworks.com</t>
  </si>
  <si>
    <t>483562-81</t>
  </si>
  <si>
    <t>Ladder (Financial Software)</t>
  </si>
  <si>
    <t>Developer of an AI-powered personal finance management platform designed to help individuals manage, grow and safeguard their money. The company's platform links bank accounts and mobile money wallets to centralize cash flows, offers flexible goal-based and fixed-period dollar savings, provides curated investment products, embeds budgeting and spending tools, and delivers personalized coaching via a virtual assistant, enabling retail consumers to receive tailored guidance and improve long-term financial outcomes.</t>
  </si>
  <si>
    <t>Resilience17, Techstars, The Chrysalis Capital</t>
  </si>
  <si>
    <t>www.ladder.africa</t>
  </si>
  <si>
    <t>566209-54</t>
  </si>
  <si>
    <t>Lounn</t>
  </si>
  <si>
    <t>Developer of a financial matchmaking platform designed to connect small and medium-sized enterprises (SMEs) with multiple loan options from various financial institutions. The company's online platform requires minimal user input to streamline the loan application process for SMEs by matching them with relevant loan offers based on their financial profiles, enabling businesses to save time and effort in securing funding.</t>
  </si>
  <si>
    <t>Blue Zone Ventures, Highline Beta, Kolab ventures, Techstars</t>
  </si>
  <si>
    <t>www.lounn.mx</t>
  </si>
  <si>
    <t>527446-99</t>
  </si>
  <si>
    <t>Luca (Lagos)</t>
  </si>
  <si>
    <t>Developer of finance and bookkeeping tools intended for small businesses in Africa. The company's platform offers financial bookkeeping intended for real-time financial data, inventory management, invoice creation, and reporting, enabling small business owners and entrepreneurs to save time and money by providing a simple and easy-to-use financial management tool.</t>
  </si>
  <si>
    <t>Hustle Fund, Techstars, Vastly Valuable Ventures</t>
  </si>
  <si>
    <t>www.luca.africa</t>
  </si>
  <si>
    <t>89754-76</t>
  </si>
  <si>
    <t>Maxio</t>
  </si>
  <si>
    <t>Developer of a subscription management platform designed to eliminate dependency on spreadsheets and streamline financial operations and reporting. The company's platform assists in order management, revenue recognition, billing and invoices, payments collection, metrics, and analytics, enabling clients to integrate key systems in the environment to improve operations through every stage of their growth.</t>
  </si>
  <si>
    <t>Airbag Ventures, Alston Gardner, Battery Ventures, Gray Ventures, SVB Financial Group, Techstars, Thomas Noonan</t>
  </si>
  <si>
    <t>www.maxio.com</t>
  </si>
  <si>
    <t>521413-57</t>
  </si>
  <si>
    <t>Moneo</t>
  </si>
  <si>
    <t>AdTech, Artificial Intelligence &amp; Machine Learning, Marketing Tech, Mobile, SaaS</t>
  </si>
  <si>
    <t>Developer a digital advertising software designed for digital promotions and capturing in-store consumer data. The company's platform helps collect SKU-level data directly from shoppers, including the vast majority in Mexico who pay in cash and receive rewards with cashback and special offers for buying products, enabling companies to implement cashback promotions to retain and attract new customers.</t>
  </si>
  <si>
    <t>165 Global, Techstars, Village Capital</t>
  </si>
  <si>
    <t>www.moneo.cash</t>
  </si>
  <si>
    <t>519026-41</t>
  </si>
  <si>
    <t>Muse (Financial Software)</t>
  </si>
  <si>
    <t>Developer of a tax API tool designed to help customers optimize taxes and find opportunities to save money with tested strategies. The company's tool solves this overpaying of taxes by ensuring every applicable deduction is applied and guides taxpayers on how to take advantage of other deductions in the future, enabling consumers and small business taxpayers to have a tool that assists them to take advantage of often overlooked tax credits, deductions, while connecting taxpayers with financial products and services that puts money in their pockets.</t>
  </si>
  <si>
    <t>AI Operators Fund, ANIMO Ventures, Berkley Center for Entrepreneurship, CAFE Fintech Accelerator, Everywhere Ventures, FinTech Innovation Lab, Lytical Ventures, New York University, NYU Entrepreneurial Institute, Plug and Play Tech Center, Potential Capital, Tampa Bay Wave, Techstars, Underdog Labs, Zeal Capital Partners</t>
  </si>
  <si>
    <t>www.musetax.com</t>
  </si>
  <si>
    <t>439424-74</t>
  </si>
  <si>
    <t>OnePipe</t>
  </si>
  <si>
    <t>Operator of a fintech platform intended to integrate banking and financial services into one unified bundle. The company's platform aggregates APIs from banks and fintech into a standardized gateway that is easy to integrate and offers multiple integrations and bank transfers, enabling businesses to have seamless integrations between the bank and other fintechs.</t>
  </si>
  <si>
    <t>Atlantica Ventures, Canaan Partners, Chris Adelsbach, DFS Lab, Everywhere Ventures, Expansion Capital, Folabi Esan, Full Circle Africa, Future Perfect Ventures, Haresh Aswani, Idris Ayodeji Bello, Ingressive (Nigeria), Jim Chu, LoftyInc Capital Management, Norrsken VC, P1 Ventures, Resilience17, Saison Capital, Sherpa Ventures, Silverbacks Holdings, Suya Ventures, Techstars, The Raba Partnership, TLG Capital, Tribe Capital, Two Culture Capital, V&amp;R Associates, Vishal Agarwal, Zedcrest Group</t>
  </si>
  <si>
    <t>www.onepipe.com</t>
  </si>
  <si>
    <t>416698-21</t>
  </si>
  <si>
    <t>Oper Credits</t>
  </si>
  <si>
    <t>Developer of a credit platform designed to digitize mortgage processes for lenders. The company's platform assists credit providers in launching digital credit, simply configures the process, gives lenders the power to create digital credit experiences through their technology, and helps them to offer and process end-to-end and fully digitized mortgage loans, enabling banks to leverage mortgage offerings for conversion rates and operational efficiency.</t>
  </si>
  <si>
    <t>ABN AMRO Ventures, Barclays, Bessemer Venture Partners, BlueLion Incubator, Goldfish Global, Pitchdrive, Plug and Play Tech Center, Runa Capital, Techstars, Tenity, Triton Capital (San Francisco), Verve Ventures</t>
  </si>
  <si>
    <t>www.opercredits.com</t>
  </si>
  <si>
    <t>490164-85</t>
  </si>
  <si>
    <t>Ospree</t>
  </si>
  <si>
    <t>Developer of an anti-money laundering tool designed to simplify crypto-asset regulatory adherence. The company's tool offers independent yet interconnected modules, blockchain analytics, onboarding, reporting, and secure API access, enabling virtual asset service providers, neo-banks, payment firms, exchanges, liquidity providers, asset managers, and OTC desks to manage anti-money laundering and counter-terrorism financing requirements with clarity and adaptability.</t>
  </si>
  <si>
    <t>Filippo Chisari, Techstars, Village Capital, XRPL Accelerator</t>
  </si>
  <si>
    <t>www.ospree.io</t>
  </si>
  <si>
    <t>589137-04</t>
  </si>
  <si>
    <t>Peas Technology</t>
  </si>
  <si>
    <t>Developer of a joint financial management platform designed to simplify shared financial management for couples. The company's platform allows couples to connect their existing bank accounts, track shared spending, set savings goals, and pay bills collaboratively, enabling couples to gain a holistic view of their finances and build a strong financial foundation together.</t>
  </si>
  <si>
    <t>Antler, Gurtin Ventures, Techstars</t>
  </si>
  <si>
    <t>www.peas.money</t>
  </si>
  <si>
    <t>521577-01</t>
  </si>
  <si>
    <t>Pelican Invests</t>
  </si>
  <si>
    <t>Developer of a financial empowerment platform designed to provide families with essential tools for financial well-being. The company's platform offers features such as setting up an education savings account, sharing an education fund, tracking progress, and sharing updates, enabling parents to build a fund for their children's education.</t>
  </si>
  <si>
    <t>Circular Board, Columbia Startup Lab, gener8tor, Halcyon Incubator, Neo (Consulting Services (B2B)), Right Side Capital Management, Techstars, Tiger Global Management</t>
  </si>
  <si>
    <t>www.pelicaninvests.com</t>
  </si>
  <si>
    <t>482493-88</t>
  </si>
  <si>
    <t>Periculum</t>
  </si>
  <si>
    <t>Developer of a data intelligence platform designed for advanced analytics and decision-making. The company's platform utilizes artificial intelligence, machine learning models and predictive analytics to process large datasets, extract meaningful insights and automate data-driven workflows, offering tools for fraud detection, customer profiling and document parsing, enabling businesses to enhance efficiency, optimize operations and make informed strategic decisions.</t>
  </si>
  <si>
    <t>Cloudflare, Expert DOJO, First Fund, Founder Institute, Google Accelerator, Launch Africa Ventures, Loyal VC, Techstars, The Digital Commerce Calgary Fintech Award Contest, TVC Labs, United Nations Development Programme, Visa Accelerator, White Hibiscus Capital</t>
  </si>
  <si>
    <t>www.periculum.io</t>
  </si>
  <si>
    <t>495890-74</t>
  </si>
  <si>
    <t>Presta</t>
  </si>
  <si>
    <t>Developer of a digital platform designed for the integration of lending processes. The company's platform allows lenders to accelerate their loan application and determination processes, providing a modern and streamlined experience for borrowers, enabling CDFIs, banks, and other lending institutions to reach more businesses and increase originations with reduced costs and risk.</t>
  </si>
  <si>
    <t>Distributed Ventures, Everywhere Ventures, Jumpstart Ventures, Matchstick Ventures, Techstars, Zeal Capital Partners</t>
  </si>
  <si>
    <t>www.letspresta.com</t>
  </si>
  <si>
    <t>518993-02</t>
  </si>
  <si>
    <t>QRaba</t>
  </si>
  <si>
    <t>Developer of an online payments platform designed to make contactless payments across Africa. The company's platform offers connecting bank accounts to their app to make contactless payments and view the net worth at a glance, enabling clients to make secure and quick borderless transactions across multiple financial institutions.</t>
  </si>
  <si>
    <t>Kaleo Ventures, Nubia Capital, Techstars, Velocity Digital</t>
  </si>
  <si>
    <t>getflick.app</t>
  </si>
  <si>
    <t>187707-34</t>
  </si>
  <si>
    <t>Quartix</t>
  </si>
  <si>
    <t>FinTech, SaaS, Supply Chain Tech, TMT</t>
  </si>
  <si>
    <t>Developer of a vendor-finance platform designed to improve the financial performance of the supply chain. The company's platform offers an early-payment option, similar to discounting bills of exchange by letting banks and investors buy invoices from small suppliers, with a guarantee from customers that increases transparency and reduces risk, at a discount, enabling businesses to reduce their supply chain inefficiencies and improve working capital and margins.</t>
  </si>
  <si>
    <t>CFV Ventures, RevTech Labs Capital, Spinach Angels, Spouting Rock Financial Partners, Stacked Capital, Start Path</t>
  </si>
  <si>
    <t>www.goquartix.com</t>
  </si>
  <si>
    <t>534782-62</t>
  </si>
  <si>
    <t>Reeple.</t>
  </si>
  <si>
    <t>Developer of an artificial-intelligence-enabled payment platform designed to reduce credit risk and increase credit access. The company's platform reduces credit default rates by improving the underwriting process and eliminating errors associated with bias and manual underwriting, enabling financial institutions to analyze creditworthiness and detect fraud, while also helping borrowers determine their credit score and access credit facilities.</t>
  </si>
  <si>
    <t>HiiL Justice Accelerator, Kaleo Ventures, Rally (Florida), Techstars</t>
  </si>
  <si>
    <t>www.reeple.ai</t>
  </si>
  <si>
    <t>185047-57</t>
  </si>
  <si>
    <t>RegSmart</t>
  </si>
  <si>
    <t>Developer of a cloud-based governance and risk management software designed to match principles of governance with the business mission. The company's software provides a suite of automated BSA/AML, cybersecurity risk assessment, and audit tools to identify and manage risks associated with money laundering and cybercrime, enabling financial institutions to mitigate risks with actionable information.</t>
  </si>
  <si>
    <t>www.beregsmart.com</t>
  </si>
  <si>
    <t>521664-04</t>
  </si>
  <si>
    <t>Snappable</t>
  </si>
  <si>
    <t>Developer of an online payment system designed for government nutrition benefits. The company's platform replaces food stamp tokens and paper vouchers with an all-in-one digital wallet, making it easy to expedite payments to vendors, enabling shoppers to easily purchase at farmers' markets and expediting payment for service providers delivering healthy food.</t>
  </si>
  <si>
    <t>Blue Ridge Labs, Samvid Ventures, Techstars</t>
  </si>
  <si>
    <t>www.snappable.nyc</t>
  </si>
  <si>
    <t>439850-80</t>
  </si>
  <si>
    <t>SnapRefund</t>
  </si>
  <si>
    <t>Developer of a digital claims payment platform designed to simplify all outbound payments for insurers. The company's platform integrates with clients' information and lets them choose how to digitally receive their claim payment, enabling businesses to reduce hours and costs by getting rid of paper checks while increasing consumer satisfaction from the improved convenience of the payout process.</t>
  </si>
  <si>
    <t>101 Weston Labs, Black Founders, gener8tor, Meridian Ventures, Northwestern Mutual Future Ventures, Outside Venture Capital, Raynier Seed Fund, RevTech Labs Capital, Right Side Capital Management, Techstars</t>
  </si>
  <si>
    <t>snaprefund.io</t>
  </si>
  <si>
    <t>482506-84</t>
  </si>
  <si>
    <t>Staax</t>
  </si>
  <si>
    <t>Developer of a social investment payments platform designed to enable peer-to-peer transactions through stock-based transfers. The company's platform offers a payment gateway that allows users to send and receive money in fractional shares of stock while integrating social investing features, enabling individuals to combine payments with investment activity.</t>
  </si>
  <si>
    <t>Connetic Ventures, Harlem Capital, Hustle Fund, Kube VC, Lightspeed Venture Partners, Litquidity Capital, North 50 Venture Capital, Plug and Play Tech Center, Stella Capital (Chicago), Tanvi Lal, Techstars, Western Union</t>
  </si>
  <si>
    <t>www.staaxapp.com</t>
  </si>
  <si>
    <t>541002-70</t>
  </si>
  <si>
    <t>Surge Africa</t>
  </si>
  <si>
    <t>Developer of a financial application designed to help in cross-border money transfers to businesses and individuals in Africa. The company's application offers instant payment options by not involving any agent or store, which helps in hassle-free and efficient transactions, enabling business owners to pay their suppliers quickly and individuals to send money to their loved ones more easily.</t>
  </si>
  <si>
    <t>Ingressive (Nigeria), Techstars</t>
  </si>
  <si>
    <t>www.surgeafrica.co</t>
  </si>
  <si>
    <t>458522-38</t>
  </si>
  <si>
    <t>Swipe Credit</t>
  </si>
  <si>
    <t>Developer of an artificial intelligence-powered growth platform intended to help lenders grow their cash flow and transform their borrowers' experience. The company's platform provides revenue-accelerating risk and compliance, financial inclusion, and secure products, enabling small businesses to get equitable services for their customer base.</t>
  </si>
  <si>
    <t>Alphabet, BIP Ventures, Google Accelerator, National Minority Supplier Development Council, Techstars, Western Union Accelerator</t>
  </si>
  <si>
    <t>www.swipecredit.com</t>
  </si>
  <si>
    <t>520748-29</t>
  </si>
  <si>
    <t>Trez</t>
  </si>
  <si>
    <t>Developer of a payroll and financial management platform designed to support the operational needs of Latino-owned businesses. The company's platform offers payroll processing, benefits administration, and compliance tools tailored to cultural and business-specific needs, assists with federal, state, and local payroll tax management, provides options for pay cards, and offers continuous workers compensation administration, enabling Latino entrepreneurs and small businesses to manage their workforce efficiently, improve financial stability, and drive long-term growth.</t>
  </si>
  <si>
    <t>10vc, Techstars</t>
  </si>
  <si>
    <t>www.trez.co</t>
  </si>
  <si>
    <t>749244-34</t>
  </si>
  <si>
    <t>Tweezr</t>
  </si>
  <si>
    <t>Operator of a digital platform intended to enhance the management and performance of financial applications. The company offers features such as tools for accelerating time-to-market, increasing developer productivity, and improving legacy system maintenance, enabling organizations to streamline their operations while providing a comprehensive approach to modernizing financial services and improving overall efficiency in the FinTech sector.</t>
  </si>
  <si>
    <t>Chris Adelsbach, Techstars, The Garage (Israel)</t>
  </si>
  <si>
    <t>www.tweezr.io</t>
  </si>
  <si>
    <t>187709-50</t>
  </si>
  <si>
    <t>Veriphy Analytics</t>
  </si>
  <si>
    <t>Developer of a web-based business intelligence platform designed to simplify the process of managing retirement savings plans. The company's platform combines the historical investment holdings and fund changes in a worker's retirement plan with a risk or reward performance algorithm to measure the value added to their plans by the fund managers chosen, enabling employees to know the investment value added to their plan outcomes, thus protecting themselves against fiduciary liability and saving time.</t>
  </si>
  <si>
    <t>CFV Ventures, RevTech Labs Capital, Stacked Capital</t>
  </si>
  <si>
    <t>www.veriphyanalytics.com</t>
  </si>
  <si>
    <t>279684-73</t>
  </si>
  <si>
    <t>Wellthi</t>
  </si>
  <si>
    <t>Operator of a fintech social enterprise designed to create applications for customer origination and retention for financial institutions. The company's platform offers a white-labeled digital layer that uses AI-powered savings journeys, cross-sell prompts, and social finance features, enabling financial institutions to better serve their customers, improve operational efficiency, and drive revenue growth.</t>
  </si>
  <si>
    <t>AgeTech Collaborative from AARP, Allyson Kapin, Blu Venture Investors, CAFE Fintech Accelerator, Delwik Group, Echoing Green, Everywhere Ventures, Falls Fintech, FinTech Innovation Lab, Full In GRYM, gener8tor, Halcyon Incubator, J.P. Morgan, New Majority Ventures, PAX Momentum, Plug and Play Tech Center, Right Side Capital Management, Rogue Women, Start Path, Techstars, The Northwestern Mutual Life Insurance, The Venture Center, Village Capital, Village Square Capital, Virginia Innovation Partnership Corporation, Virginia Venture Partners, W Fund, Zeal Capital Partners</t>
  </si>
  <si>
    <t>www.wellthiapp.com</t>
  </si>
  <si>
    <t>510552-19</t>
  </si>
  <si>
    <t>Xodus</t>
  </si>
  <si>
    <t>Operator of a digital banking platform intended to provide financial services to underserved markets across Africa. The company's services feature free digital banking, no restrictive hidden fees, and access to banking services in the US and other developed countries, enabling multinationals to live and work abroad.</t>
  </si>
  <si>
    <t>www.xodusfinance.com</t>
  </si>
  <si>
    <t>469783-63</t>
  </si>
  <si>
    <t>Raseed</t>
  </si>
  <si>
    <t>Developer of an investment application designed to make investing simple and easy. The company's platform offers fast and easy onboarding, instant account funding, fractional shares, and low commission that provides a launchpad for new investment opportunities, providing users secure access to US financial markets.</t>
  </si>
  <si>
    <t>Flat6labs, Impact46, Oqal Angel Investment Network, Startupbootcamp Holding</t>
  </si>
  <si>
    <t>www.raseedinvest.com</t>
  </si>
  <si>
    <t>718814-89</t>
  </si>
  <si>
    <t>Dowgo</t>
  </si>
  <si>
    <t>Developer of a unified regulated investment platform designed to provide access to trading and settlement for sustainable assets. The company's platform provides a centralized, decentralized infrastructure that connects entrepreneurs with investors and also provides a liquid secondary market for investors, enabling project owners to connect with professional investors and raise funds.</t>
  </si>
  <si>
    <t>50 Partners, Bpifrance, Cube (Angers), Damien Guermonprez, Emmanuel Picot</t>
  </si>
  <si>
    <t>www.dowgo.com</t>
  </si>
  <si>
    <t>93785-32</t>
  </si>
  <si>
    <t>LendingStandard</t>
  </si>
  <si>
    <t>Developer of an online business process platform designed to improve the commercial lending finance landscape. The company's platform integrates financial data with a single repository that can be used for processing, underwriting, and document preparation while offering a single view of checklist status, due dates, expiration dates, and closings, enabling multi-family lenders to streamline operations and improve transaction efficiency.</t>
  </si>
  <si>
    <t>eGrowth Ventures, Flyover Capital, Naples Technology Ventures, Nelnet Ventures, SixThirty Ventures, Tech Venture Studio</t>
  </si>
  <si>
    <t>www.lendingstandard.com</t>
  </si>
  <si>
    <t>232059-25</t>
  </si>
  <si>
    <t>Luzverde</t>
  </si>
  <si>
    <t>Developer of a credit management platform intended to facilitate consumer portfolio management across the retail sector. The company's platform offers secure, easy management of consumers' loan portfolios, provides credit counseling, directs credit facilities, and also provides post-sales services, enabling businesses in the retail sector to monitor, administer, and improve customer relationship operations.</t>
  </si>
  <si>
    <t>BuenTrip Ventures, Finnovista, Startupbootcamp Holding, Supermercados Los Alpes, Techstars, TELEFUNKEN Semiconductors</t>
  </si>
  <si>
    <t>luzverde.ai</t>
  </si>
  <si>
    <t>117327-79</t>
  </si>
  <si>
    <t>Mozaic</t>
  </si>
  <si>
    <t>Developer of a global payment platform designed to provide smart contracts that automate split income among creative teams. The company's platform offers to automate split payouts or earnings and provides smart contracts and unified dashboards, enabling enterprise-level companies and independent creators to monetize creative projects with anyone from anywhere.</t>
  </si>
  <si>
    <t>Amanda Cates, Bill Brennan, Brant Bukowsky, Chris Parr, Clarence Spalding, Clifford Harris, Google Accelerator, Howard Schultz, Jeffrey Bezos, Joe Galante, Ken Levitan, Project Music Accelerator, Revolution (Washington DC), Ryan Daube, Stefani Germanotta, Vector Management (Media and Information Service), Villa Restaurant Group, Visa, Volition Capital, Yvonne Sullivan</t>
  </si>
  <si>
    <t>www.mozaic.io</t>
  </si>
  <si>
    <t>432959-41</t>
  </si>
  <si>
    <t>Port One Solutions</t>
  </si>
  <si>
    <t>Developer of a fintech platform designed to develop infrastructure technologies to create an efficient digital economy. The company's platform offers a debit card, merchant-facing payment API, and an e-wallet that leverages blockchain technology, enabling merchants and individual users to integrate with a wide range of payment options in less than an hour and to pay for items online by simply adding their bank account.</t>
  </si>
  <si>
    <t>Aarden Partners, Arrington Capital, B Capital Group, Company K Partners, Conductive Ventures, Falak Startups, Hana Ventures, Hanhwa Technology Finance, Hashed, HOF Capital, Insurtech Gateway, InterVest, Korea Investment Partners, KT Investment, NordStar Capital, Nordstar Partners, Nyca Partners, Regent Partners (Seoul), Samsung NEXT Ventures, SBVA, SK Networks, Stonebridge Ventures (Seoul), Wonik Investment Partners</t>
  </si>
  <si>
    <t>www.chai.finance</t>
  </si>
  <si>
    <t>533447-74</t>
  </si>
  <si>
    <t>Nequi</t>
  </si>
  <si>
    <t>Developer of a mobile banking platform intended to provide digital payment services. The company's platform provides financial services on its mobile application and facilitates transactions, savings, and essential financial services through smartphones, enabling users to transact using their smartphone and make use of the ease of digital banking experience.</t>
  </si>
  <si>
    <t>Grupo Cibest, Rappi, SoftBank Investment Advisers</t>
  </si>
  <si>
    <t>www.nequi.com.co</t>
  </si>
  <si>
    <t>146296-27</t>
  </si>
  <si>
    <t>Payment24</t>
  </si>
  <si>
    <t>Operator of a fuel payment platform intended to eliminate the hassle of managing, monitoring, and controlling fleet fuelling transactions. The company's platform integrates into gas stations and vehicles to track employees and their fuel consumption in real-time using mobile and cloud technologies, enabling businesses to gain a view of their fuelling payments.</t>
  </si>
  <si>
    <t>Standard Bank Group, Startupbootcamp Holding</t>
  </si>
  <si>
    <t>www.payment24.co.za</t>
  </si>
  <si>
    <t>497590-84</t>
  </si>
  <si>
    <t>StrideOne</t>
  </si>
  <si>
    <t>Developer of a financial services platform designed to innovate credit structures for startups. The company's platform focuses on providing smartly designed, customized financial services to access flexible working capital and streamline operations for sustainable growth, enabling startups to penetrate risk-efficiently into untapped borrower segments.</t>
  </si>
  <si>
    <t>Elevar Equity, JSW Ventures</t>
  </si>
  <si>
    <t>strideone.in</t>
  </si>
  <si>
    <t>471802-87</t>
  </si>
  <si>
    <t>Awabah</t>
  </si>
  <si>
    <t>Developer of an online pension planning and savings management system designed for a financially secure future. The company offers micro-pension schemes that help self-employed and unregistered people without any formal pension contribution scheme plan to secure their future through a digital pension, enabling entrepreneurs, drivers, traders, artisans, and creative freelancers to start a target savings plan to help set aside money for individual goals.</t>
  </si>
  <si>
    <t>Catapult VC, Chris Adelsbach, Correlation Ventures, CoVentures (South Africa), Expert DOJO, Goodwater Capital, Google Accelerator, HiiL Justice Accelerator, Kaleo Ventures, Launch Africa Ventures, ODBA, Onstage (London), Pringle Capital, Seedstars, Techstars, Vang Capital, Village Capital</t>
  </si>
  <si>
    <t>awabah.com</t>
  </si>
  <si>
    <t>183186-73</t>
  </si>
  <si>
    <t>Finerio Connect</t>
  </si>
  <si>
    <t>Developer of a personal finance platform designed to help financial institutions unlock the power of their data. The company's platform offers open finance, data analysis and personal finance management APIs (Application Programming Interface), specializing in creating custom budgets, monitoring and tracking expenses, viewing financial information, linking bank accounts, and analysing consumption patterns, enabling users to plan and control their expenses and increase their savings.</t>
  </si>
  <si>
    <t>0BS (Mexico), 10X Capital, Alaya Capital, Angel Ventures Mexico, AWS Startups, BetaVentures, Cacao Capital, Dark Horse Ventures (México City), Everis Awards, Federico Casas Alatriste, Finnovista, G2 Momentum Capital, Gaingels, Glider Software Solutions, Google Accelerator, Grant Taylor, Grupo Cibest, Hard Yaka, Iluminar Ventures, Instituto Nacional Del Emprendedor, Krealo, Lotux, Mana Ventures, MassChallenge, Mayan Capital Fund, Mexamerica Ventures, Plug and Play Tech Center, Start Path, Startupbootcamp Holding, Sura Asset Management, The Ark Fund, Third Prime, Village Capital, Visa Everywhere Initiative, Wesley Schwalje, Winklevoss Capital Management</t>
  </si>
  <si>
    <t>www.finerioconnect.com</t>
  </si>
  <si>
    <t>98458-93</t>
  </si>
  <si>
    <t>Zonnepanelendelen</t>
  </si>
  <si>
    <t>CleanTech, Climate Tech, FinTech, SaaS, TMT</t>
  </si>
  <si>
    <t>Operator of a crowdfunding platform designed to provide funding for solar projects. The company's platform offers document management systems, administrative systems, and an online monitoring tool as well as provides support through financing, contracting, administration, and management services, enabling clients looking for low-risk investments to invest in their local solar energy projects.</t>
  </si>
  <si>
    <t>DOEN Participaties Postcode Loterij, ING Group, ING Sustainable Investments, Obton Forvaltning, Rockstart, Springpact</t>
  </si>
  <si>
    <t>zonnepanelendelen.nl</t>
  </si>
  <si>
    <t>340801-57</t>
  </si>
  <si>
    <t>Gladefinance</t>
  </si>
  <si>
    <t>Developer of a payment platform designed to enable seamless and secure transactions between customers and businesses. The company's platform provides payment and financial technology infrastructures that promote and enhance secure transaction processing between customers and businesses across Africa, enabling businesses to avail of hassle-free and secure digital payment infrastructure.</t>
  </si>
  <si>
    <t>Baobab Network, Expert DOJO, Ground Squirrel Ventures, Integrated Finance, Seedstars Africa Ventures, Techstars</t>
  </si>
  <si>
    <t>www.gladefinance.co</t>
  </si>
  <si>
    <t>227446-12</t>
  </si>
  <si>
    <t>PayQin</t>
  </si>
  <si>
    <t>Operator of a digital payment processing application designed for cross-border financial transactions. The company's platform provides users with virtual and physical debit cards, mobile wallet integration for local currency deposits, and a centralized interface for managing international subscriptions or online purchases, enabling unbanked or underbanked consumers in emerging markets to access the global digital economy and conduct secure electronic commerce</t>
  </si>
  <si>
    <t>Alesco Ventures, Blockchain Founders Fund, Bray Capital, Chris Adelsbach, Eerik Oja, EstBAN, Expert DOJO, Fabrice Amalaman, Gerri Kodres, Jānis Krūms, Launch Africa Ventures, Mars Capital Finance, Pierre Sesque, Rando Rannus, Specialist VC, Startup Wise Guys, United Business Angels</t>
  </si>
  <si>
    <t>www.payqin.com</t>
  </si>
  <si>
    <t>265348-54</t>
  </si>
  <si>
    <t>Hubpay</t>
  </si>
  <si>
    <t>Developer of a global payments platform designed to facilitate cross-border financial transactions and compliance. The company offers multi-currency accounts, virtual IBANs, corporate foreign exchange, international payroll, and AI-driven onboarding with support for diverse payment channels, enabling businesses and expatriates to manage and process payments efficiently.</t>
  </si>
  <si>
    <t>Aditum Investment Management, BECO Capital, Emkan Capital, Falcon Network, Future100, Mad'a Investment, MetLife Foundation, Olive Tree Capital, Run Ventures, Startupbootcamp Holding, Stormbreaker Ventures, Village Capital</t>
  </si>
  <si>
    <t>hubpay.io</t>
  </si>
  <si>
    <t>264509-56</t>
  </si>
  <si>
    <t>XPay</t>
  </si>
  <si>
    <t>Developer of a digital payments platform designed to enhance financial accessibility and streamline transactions across communities and businesses. The company's platform offers payment links, a real-time dashboard, and multi-channel support, enabling families, small businesses, and community operators to manage payments efficiently, improve financial oversight, and promote a cashless experience.</t>
  </si>
  <si>
    <t>AUC Venture Lab, Falak Startups, Rose Park Advisors, Seedstars, Startupbootcamp Holding, Village Capital</t>
  </si>
  <si>
    <t>www.xpay.app</t>
  </si>
  <si>
    <t>496156-60</t>
  </si>
  <si>
    <t>Crowdyvest</t>
  </si>
  <si>
    <t>Developer of an impact-driven financial technology platform designed to help build sustainable wealth and lifestyle. The company's platform offers a wider range of interactive products for curated investment options and savings plans that fit preferred frequency or style, enabling clients to achieve financial stability and prepare for any emergencies.</t>
  </si>
  <si>
    <t>Startupbootcamp AfriTech</t>
  </si>
  <si>
    <t>www.crowdyvest.com</t>
  </si>
  <si>
    <t>108998-29</t>
  </si>
  <si>
    <t>Vive</t>
  </si>
  <si>
    <t>Developer of a financial investment platform designed to build wealth and pensions. The company's platform allows users to create their own, personalized savings plans to achieve their financial goals by investing in different asset classes, enabling customers to realize financial independence.</t>
  </si>
  <si>
    <t>Falco Valkenburg, ING Innovation Studio, Rockstart</t>
  </si>
  <si>
    <t>www.viveapp.com</t>
  </si>
  <si>
    <t>493215-22</t>
  </si>
  <si>
    <t>Inuvest Technologies</t>
  </si>
  <si>
    <t>Developer of an algo-trading platform designed to connect individual retail investors to professional traders. The company's tool offers technical analysis, market sentiments, risk management, and fundamental analysis, and provides trading bots and research reports to grow trading strategies, risk assessment, performance measurement, and social trading, enabling users to be free from traditional trading and democratize algorithmically.</t>
  </si>
  <si>
    <t>Blume Venture Advisors</t>
  </si>
  <si>
    <t>www.inuvest.tech</t>
  </si>
  <si>
    <t>164410-12</t>
  </si>
  <si>
    <t>SPARE</t>
  </si>
  <si>
    <t>Developer of a mobile banking platform intended to create convenient access to cash from virtual currency. The company's platform offers merchants, and financial institutions, the ability to dispense cash from their cash registers, directly into the hands of consumers, enabling businesses to reduce the slack in the money-moving process.</t>
  </si>
  <si>
    <t>Black Ambition, CAFE Fintech Accelerator, CanopyBoulder, CONNECT (San Diego), Deborah Johnson, Decelera Ventures, Inv FinTech, Joshua Wenner, NeWay Funds, Patrick Rea, Techstars, The Arcview Group, Troy Dayton</t>
  </si>
  <si>
    <t>www.gotspare.com</t>
  </si>
  <si>
    <t>483221-98</t>
  </si>
  <si>
    <t>Decipay</t>
  </si>
  <si>
    <t>Developer of a unified payment interface (UPI) designed to make the use of digital payments effortless, secure, and accepted across the globe. The company offers online payment software, making money transfer easy and transparent, enabling retail merchants to accept UPI payments at their Point of Sale (POS) counters.</t>
  </si>
  <si>
    <t>ICE.vc</t>
  </si>
  <si>
    <t>www.decipay.in</t>
  </si>
  <si>
    <t>264517-03</t>
  </si>
  <si>
    <t>ElGameya</t>
  </si>
  <si>
    <t>Developer of a digital savings platform designed to organize and manage micro-savings and credits. The company's platform provides credit and collaborative lending services based on the sharing economy's concept, enabling users to easily create, join, and manage their money cycles online in an accurate way.</t>
  </si>
  <si>
    <t>Acasia, Al Baraka Group, Alexandria Business Angels Network, American University-Cairo Endowment, Amr Aboelazm, AUC Angels, AUC Venture Lab, AYADY For Investment &amp; Development, Cubit Ventures, Jedar Capital, Kamelizer, MINT Incubator, Pmaestro, Startupbootcamp Holding, UI Investments, Venture Notes</t>
  </si>
  <si>
    <t>elgameya.net</t>
  </si>
  <si>
    <t>123739-84</t>
  </si>
  <si>
    <t>MadfoatCom</t>
  </si>
  <si>
    <t>Developer of an online payment software designed to pay bills using smartphones. The company's software offers a web-based bill presentation that facilitates billing and payment services to both customers and billers, enabling users to inquire about and pay bills and expenses online by simplifying the settlement process.</t>
  </si>
  <si>
    <t>2PCompany, Arab Bank, Arab Financial Inclusion Innovation Prize, Arab Palestinian Investment, Basata Pay, Cairo Amman Bank, Capital Bank of Jordan, Challenge Fund for Youth Employment, DIFC Innovation Hub, Housing Bank, Jordan Islamic Bank, Jordan Kuwait Bank, Oasis500, Qatar FinTech Hub Wave, Social Security Investment Fund</t>
  </si>
  <si>
    <t>www.madfoat.com</t>
  </si>
  <si>
    <t>510226-39</t>
  </si>
  <si>
    <t>Rang De</t>
  </si>
  <si>
    <t>Developer of a social peer-to-peer lending platform designed to provide access to credit. The company's platform allows users to select borrowers and loan products from communities of small farmers, artisans, micro entrepreneurs from low-income households, and track progress made through the dashboard, enabling investors to make social investments.</t>
  </si>
  <si>
    <t>CVCapital, Google Accelerator, Jayakumar Gopalan, Lakshmi Narayanan, Madras Kumar, MeitY Startup Hub, NSRCEL-IIMB, Rahul Walawalkar, Ravi Budhiraja, Sriram Sanskaran, Srivatsa Mahesh, Startup Karnataka, Vineet Khanna, Vivek Joshi</t>
  </si>
  <si>
    <t>www.rangde.in</t>
  </si>
  <si>
    <t>558286-30</t>
  </si>
  <si>
    <t>CPayant</t>
  </si>
  <si>
    <t>Developer of cross-border payment infrastructure designed to provide mobile payments. The company offers mobile payments converting call credit into cash, make direct payments to phone contacts, bank transfers, cash-out points, and secure, non-custodial wallets, enabling people to make payments quickly.</t>
  </si>
  <si>
    <t>Barclays Eagle Lab, Block Dojo, Creative Destruction Lab, MARL Accelerator</t>
  </si>
  <si>
    <t>www.cpayant.com</t>
  </si>
  <si>
    <t>720016-48</t>
  </si>
  <si>
    <t>Interlinc</t>
  </si>
  <si>
    <t>Developer of a platform designed to eliminate traditional invoicing in outsourcing by using approval-based workflows for instant payments upon work delivery. The company offers real-time visibility into projects, budgets, and teams, along with built-in compliance aligned with international standards, enabling businesses that work with external talent at scale to operate faster, safer, and with greater transparency.</t>
  </si>
  <si>
    <t>Block Dojo</t>
  </si>
  <si>
    <t>interlinc.co</t>
  </si>
  <si>
    <t>549926-20</t>
  </si>
  <si>
    <t>Lemonade Payments</t>
  </si>
  <si>
    <t>Developer of a payments platform designed for digital transactions. The company's platform handles everything from secure money transfers to invoicing and reporting, enabling businesses of all sizes and industries, including retail, e-commerce, marketing, hospitality, travel, and consulting, to access convenient payments without compromising user data.</t>
  </si>
  <si>
    <t>Alliance (Other Capital Markets/Institutions), Baobab Network, Hustle Fund, Plug and Play Tech Center, Visa Accelerator</t>
  </si>
  <si>
    <t>www.mylemonade.io</t>
  </si>
  <si>
    <t>187918-66</t>
  </si>
  <si>
    <t>Satya MicroCapital</t>
  </si>
  <si>
    <t>Debt Repayment</t>
  </si>
  <si>
    <t>Provider of digital lending services intended to provide specialized financing assistance to women entrepreneurs. The company operates as a financial institution and caters to women who own businesses and are looking for means of expansion, enabling businesses to improve their liquidity standpoint through stable lending facilities.</t>
  </si>
  <si>
    <t>BlueOrchard Finance, Dia Vikas Capital, Gojo &amp; Company, Proparco</t>
  </si>
  <si>
    <t>www.satyamicrocapital.com</t>
  </si>
  <si>
    <t>481679-11</t>
  </si>
  <si>
    <t>PayDonut</t>
  </si>
  <si>
    <t>Developer of a donations application designed to simplify financial donations through contactless payments. The company's platform removes anonymity between the donor and the recipient, enabling donors to create added social value in public spaces and financially support the donation activities.</t>
  </si>
  <si>
    <t>Startec Ventures</t>
  </si>
  <si>
    <t>www.paydonut.com</t>
  </si>
  <si>
    <t>223013-71</t>
  </si>
  <si>
    <t>FinBucket</t>
  </si>
  <si>
    <t>Operator of a digital loans portal intended to provide easy access to credit to small businesses across India. The company tool focuses on approvals using alternate data points from various data sources to assess creditworthiness and provide quick approvals based on minimal documentation, enabling businesses to receive flexible, short-term loans to meet the funding requirement.</t>
  </si>
  <si>
    <t>www.finbucket.com</t>
  </si>
  <si>
    <t>165926-89</t>
  </si>
  <si>
    <t>B2B Pay</t>
  </si>
  <si>
    <t>Developer of an international payment transfer platform designed to pay suppliers abroad and convert currency at lower costs than a traditional bank. The company's platform collects payments from European countries for free and saves on currency conversion and international transfer fees, enabling clients to get a multi-bank service with flexible banking infrastructure globally.</t>
  </si>
  <si>
    <t>Fit 4 Start, MassChallenge, Nestholma, Nordea Startup Accelerator, Techstars, Tekes</t>
  </si>
  <si>
    <t>www.b2bpay.co</t>
  </si>
  <si>
    <t>497784-43</t>
  </si>
  <si>
    <t>Kanak</t>
  </si>
  <si>
    <t>Developer of a fintech platform designed to connect information and provide easy payment tools. The company's platform offers convenient settlement and an intuitive screen structure to increase work efficiency, flexible fund management, and easy real-time payment approval or cancellation, enabling companies to increase profits by offering low commission rates for affiliates.</t>
  </si>
  <si>
    <t>KB Investment, Platform Partners Asset Management, SKAI Worldwide</t>
  </si>
  <si>
    <t>kanak.co.kr</t>
  </si>
  <si>
    <t>506854-45</t>
  </si>
  <si>
    <t>EFY</t>
  </si>
  <si>
    <t>Developer of a cross-border payments platform designed to enable fast and cost-efficient movement of fiat and digital assets across countries. The company offers a wallet, exchange, card integration, corporate sub-accounts, and stablecoin on and off ramps built on secure infrastructure, enabling individuals and businesses in Latin America to transfer and manage funds seamlessly across borders.</t>
  </si>
  <si>
    <t>Acelera Latam, Endeavor Colombia, Ernesto Ruiz, Franco Niebles, Inversiones Andamas, Orbit Ventures (Venture Capital), Primary x, SOSV</t>
  </si>
  <si>
    <t>www.efyfinance.com</t>
  </si>
  <si>
    <t>340804-72</t>
  </si>
  <si>
    <t>Trove (Financial Software)</t>
  </si>
  <si>
    <t>Operator of a micro-investment platform intended to help investors invest in their local or other financial markets with the tap of a button. The company's platform helps investors to trade with an easy KYC process, solves issues around the accessibility of securities investment, explores verified portfolios, provides access to brokerage services, and helps Nigerians to participate in the global economy and buy shares in international firms, enabling investors to get exposure to Nigerian stocks, FGN bonds, and mutual funds.</t>
  </si>
  <si>
    <t>ARM Labs, Asset &amp; Resource Management, Century Oak Ventures, Ecobank Fintech Challenge, Ground Squirrel Ventures, Hatcher+, Lagos Angel Network, Launch Africa Ventures, Silverbacks Holdings, SSE Angel Network, Startupbootcamp Holding, Techstars, The MBA Fund, TVC Labs, Velocity Digital, Ventures Platform, Voltron Capital</t>
  </si>
  <si>
    <t>www.trovefinance.com</t>
  </si>
  <si>
    <t>489338-74</t>
  </si>
  <si>
    <t>Tyke</t>
  </si>
  <si>
    <t>Developer of a financial platform designed to automate private equity investment deals. The company's software helps handle the requisite documents and signatures and powers the fund transfer instantly using its proprietary software, enabling founders to create rounds, set terms, and invite investors to participate in the fundraising.</t>
  </si>
  <si>
    <t>100Unicorns, Ajay Rajani, Amrish Rau, Better Capital, Better Capital (California), Fintech Nation, First Check Ventures, Jitendra Gupta, Naveen Surya, Ratio (United Kingdom), Sandeep Aggarwal, Sprint VC, Sweta Rau, Varun Mittal, Venture Catalysts (Capital Markets/Institutions)</t>
  </si>
  <si>
    <t>www.tykeinvest.com</t>
  </si>
  <si>
    <t>539175-07</t>
  </si>
  <si>
    <t>1% Club</t>
  </si>
  <si>
    <t>Developer of a members-only platform designed to help the rising middle class in their wealth journey. The company's platform provides members with the financial tools, learning resources and support they need to achieve financial independence, enabling individuals to plan their financial future.</t>
  </si>
  <si>
    <t>Abhijeet Pai, Gruhas</t>
  </si>
  <si>
    <t>www.onepercentclub.io</t>
  </si>
  <si>
    <t>303439-69</t>
  </si>
  <si>
    <t>11:FS</t>
  </si>
  <si>
    <t>Provider of financial consulting services intended to help businesses build sustainable new ventures. The company's services host multiple podcasts, including a bi-weekly show about all things fintech and financial services, enabling clients to think differently about digital disruption and the opportunities ahead.</t>
  </si>
  <si>
    <t>DNB Bank, Lisa Gansky</t>
  </si>
  <si>
    <t>www.11fs.com</t>
  </si>
  <si>
    <t>741419-74</t>
  </si>
  <si>
    <t>129Knots</t>
  </si>
  <si>
    <t>Operator of a real-world asset origination to distribution platform intended to bridge gaps in trade finance using its proprietary credit engine. The company specializes in asset origination-to-distribution technology, transforming supply chains into high-value, investment-grade assets, enabling businesses to redefine liquidity management, enhance transparency, and strengthen risk mitigation.</t>
  </si>
  <si>
    <t>Plug and Play Tech Center, Sing Fuels, Singapore Economic Development Board</t>
  </si>
  <si>
    <t>www.129knots.com</t>
  </si>
  <si>
    <t>234689-32</t>
  </si>
  <si>
    <t>1Konto</t>
  </si>
  <si>
    <t>Developer of a cryptocurrency trading platform designed to connect traditional and digital assets through single-click trading. The company's platform provides a secure and reliable system to access, trade, and settle a variety of digital and fiat currencies through a web application, application programming interface, and over-the-counter desk, enabling clients to trade any asset pair using artificial intelligence-powered service analyzing technology at an affordable price.</t>
  </si>
  <si>
    <t>Commerce Ventures, Terra Global Capital</t>
  </si>
  <si>
    <t>www.1konto.com</t>
  </si>
  <si>
    <t>589055-32</t>
  </si>
  <si>
    <t>1Long</t>
  </si>
  <si>
    <t>Developer of a financial technology platform designed to help individuals manage finances. The company's platform allocates users' money to investment products from reputable organizations, enabling customers to earn returns.</t>
  </si>
  <si>
    <t>Google Accelerator, Iterative Accelerator, Monk's Hill Ventures, Orionis Capital, R2 Venture Partners</t>
  </si>
  <si>
    <t>www.1long.vn</t>
  </si>
  <si>
    <t>734745-25</t>
  </si>
  <si>
    <t>1Money Network</t>
  </si>
  <si>
    <t>Developer of a blockchain-based payments platform designed to facilitate stablecoin transactions with security. The company platform offers transaction finality, native multi-currency support, and interoperability with popular blockchains and wallets, and helps receive, buy, sell, convert, send, and store stablecoins and fiat with a frictionless global bank, enabling businesses and consumers to make stablecoin payments without network congestion, complex governance, or smart contract vulnerabilities.</t>
  </si>
  <si>
    <t>A100x Ventures, Ambush Capital, Anagram (Financial Software), Bankless Ventures, Bing Ventures, BitGo Holdings, Borderless Capital, CMT Digital Holdings, CoinFlip (Other Financial Services), Ethereal Ventures, F-Prime Capital, Galaxy Ventures (New York), Generative Ventures, gumi Cryptos Capital, Hack VC, Hub71, Karman Ventures, Kucoin Ventures, Lvna Capital, MoonPay Ventures, Perry Creek Capital, Pharsalus Capital, Portage, Protagonist Management, R3D3 Ventures, Tribe Capital, Triton Capital (San Francisco), VARIV</t>
  </si>
  <si>
    <t>www.1moneynetwork.com</t>
  </si>
  <si>
    <t>507174-76</t>
  </si>
  <si>
    <t>1TCC</t>
  </si>
  <si>
    <t>Developer of a logistics capital management platform designed to deliver capital-efficient supply chains. The company's CaaS (capital as a service) helps optimize companies' working capital, improve funds from operations results and free cash flow, allowing clients to invest in strategic projects, minimize capital needs, and achieve operational efficiency.</t>
  </si>
  <si>
    <t>Electric Owl Ventures</t>
  </si>
  <si>
    <t>www.1TCC.com</t>
  </si>
  <si>
    <t>895915-18</t>
  </si>
  <si>
    <t>23 Broadway</t>
  </si>
  <si>
    <t>Developer of AI-powered user acquisition financing infrastructure designed to optimize performance marketing and capital deployment for customer acquisition. The company's platform combines a decision engine for customer value prediction and bid optimization with a Data Hub that unifies behavioral and transactional data, an AI Engine that forecasts lifetime value and churn, and an integration broker that activates insights across ad networks, enabling growth-stage gaming and betting operators to scale user growth efficiently with strong unit economics.</t>
  </si>
  <si>
    <t>359 Capital, Betty Gaming, CEAS Investments I, Dave Bartman, Will Ventures</t>
  </si>
  <si>
    <t>www.23broadway.com</t>
  </si>
  <si>
    <t>434248-93</t>
  </si>
  <si>
    <t>24 Exchange</t>
  </si>
  <si>
    <t>Developer of a multi-asset class trading platform designed to provide trades across a growing range of financial instruments. The company's platform facilitates customizable pricing, liquidity bridging, dynamic credit management, and access to deep liquidity for trading foreign exchange spots, enabling investors to improve profitability through competitive fees while ensuring efficient execution and a seamless trading experience.</t>
  </si>
  <si>
    <t>Aspire Financial Services, Blackwells Capital, Morgan Creek Digital Assets, Point72 Ventures, Rakuten Securities, SC Ventures, Shinhan Securities, Standard Chartered, Vincere Capital</t>
  </si>
  <si>
    <t>www.24exchange.com</t>
  </si>
  <si>
    <t>459339-85</t>
  </si>
  <si>
    <t>26 Degree Digital Technology</t>
  </si>
  <si>
    <t>Provider of fintech solutions designed for commercial banks. The company develops digital marketing platform, risk management platform, and data platform for credit card and retail credit business, enabling banks to realize revenue growth and business capability upgrades by leveraging big data technologies.</t>
  </si>
  <si>
    <t>Sinovation Ventures</t>
  </si>
  <si>
    <t>60359-86</t>
  </si>
  <si>
    <t>2Can</t>
  </si>
  <si>
    <t>Developer of a mobile point-of-sale technology designed to accept payments. The company's technology includes an attachable reader device that assists in processing bank card transactions for a flat fee, enabling businesses to accept payments with their phones anywhere and anytime and also to get complete customer insights.</t>
  </si>
  <si>
    <t>Almaz Capital, CIS Natural Resources Fund, Da Vinci Capital Management, ESN Group (Moscow)</t>
  </si>
  <si>
    <t>www.2can.ru</t>
  </si>
  <si>
    <t>460221-67</t>
  </si>
  <si>
    <t>2nd Wallet</t>
  </si>
  <si>
    <t>CloudTech &amp; DevOps, FinTech, Mobile</t>
  </si>
  <si>
    <t>Developer of data-sharing technology software intended to improve communication. The company's application programming interface technology helps to source records customers can share, which eliminates record-sharing hacks, like password sharing and spreadsheets, enabling companies to acquire friends and family on the customer journey.</t>
  </si>
  <si>
    <t>Dios Serame</t>
  </si>
  <si>
    <t>www.2ndwallet.com</t>
  </si>
  <si>
    <t>97127-65</t>
  </si>
  <si>
    <t>360factors</t>
  </si>
  <si>
    <t>Developer of risk and compliance management software intended to predict, identify, evaluate, monitor, and reduce potential business risks. The company's software utilizes mapping and cognitive technology to provide regulatory change, enterprise risk, audit, case, policy and procedures, learning system, competency system, performance system, and vendor system, enabling banks and financial services companies to predict and mitigate operational risks while streamlining regulatory compliance.</t>
  </si>
  <si>
    <t>360training.com, Sattar Ventures</t>
  </si>
  <si>
    <t>www.360factors.com</t>
  </si>
  <si>
    <t>232975-63</t>
  </si>
  <si>
    <t>391 Financial</t>
  </si>
  <si>
    <t>Operator of an investment company intended to provide an opportunity to invest in the online consumer finance industry. The company offers an annual percentage rate depending on investment size, along with underwriting services, enabling businesses to access their platform for small loans and investments, and help them earn interest payments on monthly deposits into the bank account.</t>
  </si>
  <si>
    <t>Lanza techVentures</t>
  </si>
  <si>
    <t>www.391financial.com</t>
  </si>
  <si>
    <t>518004-10</t>
  </si>
  <si>
    <t>40Seas</t>
  </si>
  <si>
    <t>Developer of customer-to-cash platforms designed to streamline cross-border business-to-business trade. The company offers automated customer onboarding and verification, credit assessment, receivables lifecycle management, multi-currency payment collections, and real-time reconciliation, with an integrated computational engine that orchestrates the end-to-end customer-to-cash process, enabling global supply-chain participants to reduce operational workload, accelerate cash conversion, enhance risk visibility, and manage receivables across regions with greater accuracy and efficiency.</t>
  </si>
  <si>
    <t>Eminence Ventures, QED Investors, Team8, Zim Integrated Shipping Services</t>
  </si>
  <si>
    <t>www.40seas.com</t>
  </si>
  <si>
    <t>493930-72</t>
  </si>
  <si>
    <t>414</t>
  </si>
  <si>
    <t>Big Data, FinTech, Legal Tech, SaaS</t>
  </si>
  <si>
    <t>Developer of a financial compliance platform designed for the EU Taxonomy regulation for private markets. The company's platform provides a web application that assesses portfolio companies for taxonomy alignment to comply with the regulation, helping Private Equity and Venture Capital fund managers position their funds as sustainable impact funds.</t>
  </si>
  <si>
    <t>www.fouronefour.io</t>
  </si>
  <si>
    <t>481372-84</t>
  </si>
  <si>
    <t>4Fin</t>
  </si>
  <si>
    <t>Operator of a fintech platform intended to cater to the credit needs of the ministry of micro, small and medium enterprises. The company's tool comes up with an in-house loan origination system, a loan management system, a module for debt services management, artificial intelligence-based algorithms for credit assessment, and an e-stack for end-to-end automated processing for loans, enabling customers to get access to affordable loans for expenses on health, education and electric two-wheelers, among other necessities.</t>
  </si>
  <si>
    <t>Curesense Therapeutics</t>
  </si>
  <si>
    <t>www.4fin.in</t>
  </si>
  <si>
    <t>502718-14</t>
  </si>
  <si>
    <t>4impactdata</t>
  </si>
  <si>
    <t>Artificial Intelligence &amp; Machine Learning, FinTech, Industrials, SaaS</t>
  </si>
  <si>
    <t>Developer of artificial intelligence (AI)-powered business guidance systems designed for enhancing decision-making. The company's platform monitors key business metrics, predicts potential issues, and recommends actionable steps based on collective wisdom and AI insights, enabling clients to improve operational efficiency and drive sustainable growth.</t>
  </si>
  <si>
    <t>AICPA and CPA.com Startup Accelerator</t>
  </si>
  <si>
    <t>www.4impactdata.com</t>
  </si>
  <si>
    <t>277166-62</t>
  </si>
  <si>
    <t>51qqt.com</t>
  </si>
  <si>
    <t>B2B Payments, E-Commerce, FinTech, SaaS, Supply Chain Tech</t>
  </si>
  <si>
    <t>Developer of a cloud-based supplier relationship management (SRM) platform. The company's main products include the SRM software platform, factoring/supply chain finance, and a one-shop enterprise purchasing platform. The company's products and solutions are applied in many industries such as industrial manufacturing, medicine, electronics, home, home appliances, enabling enterprises to improve corporate procurement management, shorten business management cycle time, reduce corporate procurement costs, and improve procurement quality and cash management efficiency.</t>
  </si>
  <si>
    <t>BigTree Finance, China V Fund, Chongqing Yiyi Angel Investment, Galaxy Capital (China), Harmony Invest, Kinzon Capital, Koala Fund, Linklogis, Meridian Capital China, Net Credit Finance Group, SIG China, VenturesLab, Welight Capital, Yonghua Capital</t>
  </si>
  <si>
    <t>www.51qqt.com</t>
  </si>
  <si>
    <t>466518-88</t>
  </si>
  <si>
    <t>7RCC Global</t>
  </si>
  <si>
    <t>Provider of asset management services intended to bridge traditional capital markets with digital assets and regulated market infrastructure. The company develops index methodologies and technology for digital assets and carbon credit futures, providing institutional allocators with regulated investment vehicles that combine cryptocurrency exposure with environmental sustainability through transparent financial benchmarks.</t>
  </si>
  <si>
    <t>www.7rccglobal.com</t>
  </si>
  <si>
    <t>499941-37</t>
  </si>
  <si>
    <t>8B Education Investments</t>
  </si>
  <si>
    <t>Provider of financing services intended to offer affordable college financing to exceptional African students attending leading global universities. The company offers scholarship information, financing gaps in education loans, and mentorship for students going to study at global universities, thereby, facilitating affordable loans through integrating lenders, students, and colleges on their platform, it bridges the gap between the university-age population, enabling colleges to meet revenue and diversity goals.</t>
  </si>
  <si>
    <t>Armory Square Ventures, Bold Ventures (Buffalo), Bryan Meehan, Debra Fine, Founders Factory Africa, Impellent Ventures, Larry Berger, New York Ventures, Rev: Ithaca Startup Works, Richard Segal, The WES Mariam Assefa Fund, True Ventures</t>
  </si>
  <si>
    <t>www.8b.africa</t>
  </si>
  <si>
    <t>221556-97</t>
  </si>
  <si>
    <t>8Percent</t>
  </si>
  <si>
    <t>Developer of a peer-to-peer financial services platform designed to directly link lenders and investors. The company's financial platform helps investors provide loans and the borrower repays to investors every month to contribute to healthy public finance, enabling clients to earn interest returns on their investments at a rate of around eight percent.</t>
  </si>
  <si>
    <t>BRV Capital Management, Capstone Partners Korea, Conar Investment, D-Camp, DSC Investment, Glint Partners, HB Investment, InterValue Partners, SBI Investment, SBI Investment Korea Company</t>
  </si>
  <si>
    <t>www.8percent.kr</t>
  </si>
  <si>
    <t>431355-43</t>
  </si>
  <si>
    <t>91TianMi</t>
  </si>
  <si>
    <t>Operator of an online loan provider for individuals and small enterprises. The company operates a secure lending platform that offers credit products based on borrower's risk profile and needs, aiming to provide reliable lending solutions for short-term cash needs.</t>
  </si>
  <si>
    <t>Digital World Enterprise, K2VC, Panda Capital Asia, Shanghai Advanced Institute of Finance</t>
  </si>
  <si>
    <t>www.91tianmi.com</t>
  </si>
  <si>
    <t>231250-42</t>
  </si>
  <si>
    <t>A.M. Money</t>
  </si>
  <si>
    <t>Provider of private education loans and refinancing services intended to cover educational expenses. The company provides student loan products with fixed interest rates, deferred payment options while enrolled, allowing undergraduate and graduate students to manage the financial requirements of their college degree through financing options.</t>
  </si>
  <si>
    <t>Academy Investor Network, Chicago Early Growth Ventures, Christopher D'Cruz, Don Thompson, Financial Health Network, Google Accelerator, Lightbank (Venture Capital), Liz Thompson, Lofty Ventures, Michael Alter, Octava (Singapore), Polsky Center for Entrepreneurship and Innovation at the University of Chicago, Principal Financial Group, Shayne Evans, The Academy (Media and Information Services (B2B)), Tim Knowles</t>
  </si>
  <si>
    <t>www.chicagostudentloans.com</t>
  </si>
  <si>
    <t>433271-44</t>
  </si>
  <si>
    <t>a55</t>
  </si>
  <si>
    <t>Developer of a financial platform designed to offer a revenue-backed credit line system to companies with recurring revenue. The company's platform underwrites small and medium-sized enterprises by connecting their bank accounts, escrow services, billing, payment means, and credit intelligence, enabling borrowers to access a credit monitoring dashboard and insights on revenue cost metrics, and lenders a monitoring platform fed by transactional data.</t>
  </si>
  <si>
    <t>www.a55.tech</t>
  </si>
  <si>
    <t>512635-87</t>
  </si>
  <si>
    <t>Aajil</t>
  </si>
  <si>
    <t>Developer of a fintech platform designed to provide short-term raw materials financing for the construction sector. The company's platform offers services for SMEs in the construction sector through a specialized credit management platform, enabling clients to get up to six months of credit.</t>
  </si>
  <si>
    <t>Abdulla Elyas, Arbah Capital, Joa Capital, Khwarizmi Ventures, Misk 500 MENA Accelerator, Raed Ventures, SIDF Investment Company, Stryde71, STV, Taqadam (Accelerator)</t>
  </si>
  <si>
    <t>www.aajil.sa</t>
  </si>
  <si>
    <t>522649-72</t>
  </si>
  <si>
    <t>Aalekh</t>
  </si>
  <si>
    <t>AdTech, Artificial Intelligence &amp; Machine Learning, FinTech, Internet of Things</t>
  </si>
  <si>
    <t>Developer of tax-filing software designed to help businesses navigate specific tax requirements and help them achieve financial success. The company analyzes financial records, identifies potential deductions, and ensures compliance with laws, enabling clients to address all aspects of their tax situation and increase revenues.</t>
  </si>
  <si>
    <t>Enrission India Capital, IIT Mandi Catalyst</t>
  </si>
  <si>
    <t>www.aalekh.ai</t>
  </si>
  <si>
    <t>463373-83</t>
  </si>
  <si>
    <t>AamarPay</t>
  </si>
  <si>
    <t>Developer of an online payment platform designed to provide a secure payment facility to businesses in Bangladesh. The company's platform offers an easy payment gateway to merchants with the lowest fee and fast checkout, as well as allows customers to do daily transactions from its application, like bill payment, utility payment, and ticketing, enabling businesses and customers to avail improved and quick payment services.</t>
  </si>
  <si>
    <t>Asif Rahman, Simpaisa, Smart Bangladesh Accelerator</t>
  </si>
  <si>
    <t>www.aamarpay.com</t>
  </si>
  <si>
    <t>862774-57</t>
  </si>
  <si>
    <t>Aarden.ai</t>
  </si>
  <si>
    <t>Developer of an AI-powered land optimization tool designed to improve asset outcomes and close high-value sales. The company's platform calculates the Net Present Value (NPV) of land across various uses, evaluates traditional and alternative project returns, and helps landowners and capital allocators navigate investment decisions by combining geospatial data, market trends, and AI to determine the optimal returns for each parcel, across timber, carbon, solar, and conservation, enabling users to balance portfolio risk.</t>
  </si>
  <si>
    <t>Founders' Co-op, KDX Ventures, Planeteer Capital, Stepchange Ventures, Superorganism</t>
  </si>
  <si>
    <t>www.aarden.ai</t>
  </si>
  <si>
    <t>664088-32</t>
  </si>
  <si>
    <t>Abacor (Financial Software)</t>
  </si>
  <si>
    <t>Developer of an AI agent platform designed to reduce administrative burden and burnout for accounting professionals. The company's platform integrates AI-powered assistants trained by accountants to automate repetitive tasks such as data entry, reconciliation, and compliance research, enabling accounting firms to refocus on strategic client advisory and improve work-life balance.</t>
  </si>
  <si>
    <t>Talok Capital</t>
  </si>
  <si>
    <t>www.abacor.com</t>
  </si>
  <si>
    <t>481364-20</t>
  </si>
  <si>
    <t>ABACUS digital</t>
  </si>
  <si>
    <t>Operator of a digital lending platform intended to provide access to finance services to customers. The company's platform uses artificial intelligence and big data for assessing the credit risk of customers, providing customer-centric ways in the form of consumer loans and small business loans, enabling small business entrepreneurs to get small loans.</t>
  </si>
  <si>
    <t>CAI Capital Partners, Capital Asia Investments, Openspace Capital, SCB 10X, Siam Commercial Bank, Vertex Ventures Southeast Asia &amp; India</t>
  </si>
  <si>
    <t>www.abacusdigital.com</t>
  </si>
  <si>
    <t>503576-74</t>
  </si>
  <si>
    <t>AbbeyCross</t>
  </si>
  <si>
    <t>Developer of a B2B compliance marketplace intended to focus on improving the underlying market infrastructure. The company works with global banks, their currency suppliers and other financial services providers and removes inefficiencies in the market, enabling clients to get currency liquidity, price transparency, and market data to a fragmented EM currency payment industry.</t>
  </si>
  <si>
    <t>Bank of New York Mellon, Communitas Capital Partners, Gaingels, Thin Man Investment Holdings, Third Prime, Valar Ventures</t>
  </si>
  <si>
    <t>www.abbeycross.com</t>
  </si>
  <si>
    <t>762510-43</t>
  </si>
  <si>
    <t>Abivo</t>
  </si>
  <si>
    <t>Provider of an artificial intelligence-powered accounts receivable automation platform designed to streamline financial recovery operations. The company's platform automates follow-ups, performs outreach through calls, texts, and emails, integrates with accounting, and maintains strong security controls, enabling finance teams and accounting departments to improve payment recovery efficiency and reduce manual workload.</t>
  </si>
  <si>
    <t>www.abivo.ai</t>
  </si>
  <si>
    <t>600085-54</t>
  </si>
  <si>
    <t>AbleCredit</t>
  </si>
  <si>
    <t>Developer of an AI credit underwriting platform designed for banking, financial services, and insurance enterprises. The company's platform offers generative AI models with voice, vision, and language capabilities to function as AI assistants to credit teams, generating comprehensive credit reports on a case-by-case basis while adhering to credit policy and guidelines, enabling organizations to get access to improve underwriting efficiency and decrease underwriting costs.</t>
  </si>
  <si>
    <t>GIFT International Fintech Innovation Hub, Helios Holdings, Merak Ventures, NSRCEL-IIMB, Venture Catalysts</t>
  </si>
  <si>
    <t>www.ablecredit.com</t>
  </si>
  <si>
    <t>1167909-85</t>
  </si>
  <si>
    <t>Aboda</t>
  </si>
  <si>
    <t>Developer of an artificial intelligence system for a capital market designed for confident decision-making. The company's platform structures and standardizes financial and market data to make it auditable and noise-free, delivers granular analyses and contextual intelligence on events, new issuances, investor and debtor profiles, and secondary market activity in near real time, and operates on an infrastructure with segregated data environments, enabling institutional investors, issuers, and other market participants to reduce time spent on manual information gathering.</t>
  </si>
  <si>
    <t>LASP Capital</t>
  </si>
  <si>
    <t>www.aboda.com.br</t>
  </si>
  <si>
    <t>691809-31</t>
  </si>
  <si>
    <t>Abode Financial Holdings</t>
  </si>
  <si>
    <t>Developer of a property finance management platform designed to monitor and negotiate property taxes, home insurance, exemptions and energy costs. The company's platform offers services including property tax appeal, energy provider switching, policy monitoring, home value tracking, energy rate monitoring and many proper insurance facilities, enabling users to easily analyze property and file a property tax appeal.</t>
  </si>
  <si>
    <t>Core Innovation Capital, Drive Capital, Gaingels, Goodwater Capital, Meridian Ventures, Outside Venture Capital, Prufrock.Ventures, Service Provider Capital, Stepchange Ventures</t>
  </si>
  <si>
    <t>www.abodemoney.com</t>
  </si>
  <si>
    <t>438531-22</t>
  </si>
  <si>
    <t>Abound (Consumer Finance)</t>
  </si>
  <si>
    <t>Developer of a lending platform designed to provide loans by considering a full financial picture. The company's platform utilizes open banking data to build a granular view of customers' financial circumstances, understand their affordability, and place less reliance on credit reference agency scores, enabling individuals with diverse financial backgrounds to access affordable loans while maintaining control over their repayments.</t>
  </si>
  <si>
    <t>Ascory Bank, Grow London, GSR Ventures, K3 Ventures, Salica Investments, Tech Nation Group, Tom Hunter, West Coast Capital</t>
  </si>
  <si>
    <t>www.getabound.com</t>
  </si>
  <si>
    <t>712987-84</t>
  </si>
  <si>
    <t>Abwab.ai</t>
  </si>
  <si>
    <t>Developer of an underwriting automation platform designed to transform loan decision-making for financial institutions. The company's platform offers a range of features, including lead network, loan origination, credit underwriting, seamless automation, and AI-driven recommendations, enabling lenders to streamline processes, qualify leads effectively, and make informed decisions.</t>
  </si>
  <si>
    <t>Google Accelerator, Speedinvest, Stryde71, Wafra II</t>
  </si>
  <si>
    <t>www.abwab.ai</t>
  </si>
  <si>
    <t>521668-00</t>
  </si>
  <si>
    <t>Abyan Capital</t>
  </si>
  <si>
    <t>Developer of a robo-advisor platform designed to automate investment and saving. The company's platform provides a diversified portfolio that includes real estate, bonds, and local and international stocks for investments, enabling investors to increase their investment return.</t>
  </si>
  <si>
    <t>RZM Investment, STV, Vest Investment, Wa'ed Ventures</t>
  </si>
  <si>
    <t>www.abyancapital.sa</t>
  </si>
  <si>
    <t>458493-58</t>
  </si>
  <si>
    <t>Accel Club</t>
  </si>
  <si>
    <t>Operator of a consumer brand acquisition and optimization platform intended to acquire and operate e-commerce businesses. The company acquires private-label brands primarily sold through online marketplaces and manages supply chain operations, data analytics, marketing, and financial planning, enabling brand owners to exit their businesses while maintaining operational continuity.</t>
  </si>
  <si>
    <t>Flashpoint Venture Capital Group, Flyer One Venture, I2BF Global Ventures, KLIWLA Family Office, NorthWall Capital, PLF (NewYork), Redseed, RedSeed Ventures, Somersault Ventures</t>
  </si>
  <si>
    <t>www.accelclub.com</t>
  </si>
  <si>
    <t>458359-84</t>
  </si>
  <si>
    <t>AcceleCom</t>
  </si>
  <si>
    <t>Provider of a trading platform and developer of quantitative trading strategies. The company utilizes FPGA technology to achieve ultra low latency in their financial trading and quantitative trading platform for financial firms ranging from securities to private equity to hedge funds and more.</t>
  </si>
  <si>
    <t>Capital X (China), Junsan Capital, Wind Information, Xingfu Investment Management</t>
  </si>
  <si>
    <t>www.accelecom.com</t>
  </si>
  <si>
    <t>503433-55</t>
  </si>
  <si>
    <t>Accountable (Financial Software)</t>
  </si>
  <si>
    <t>Developer of an expense management platform designed for vacation rental managers. The company offers commercial credit cards, automated bookkeeping tools and AI-powered bill pay, enabling property managers to match expenses to specific properties, sync financial data with management systems and process same-day payments for owners and vendors.</t>
  </si>
  <si>
    <t>Gold House Ventures Accelerator, Goodwater Capital, Onward HQ, Pareto Holdings, Y Combinator</t>
  </si>
  <si>
    <t>www.accountablevr.com</t>
  </si>
  <si>
    <t>279378-19</t>
  </si>
  <si>
    <t>Accountfy</t>
  </si>
  <si>
    <t>Developer of a smart finance platform designed to focus on financial analysis and planning. The company's platform is a management tool for professionals in controllership used to standardize the reporting of investee companies to gain agility in data analysis, which is easy to operationalize and understand, enabling clients to increase the provision of services by financial advisors and accounting firms.</t>
  </si>
  <si>
    <t>Endeavor Miami, Google Accelerator, HDI Global, HDI Seguros México, Headline, Plug and Play Tech Center, Redpoint eventures</t>
  </si>
  <si>
    <t>www.accountfy.com</t>
  </si>
  <si>
    <t>59157-28</t>
  </si>
  <si>
    <t>AccountsIQ</t>
  </si>
  <si>
    <t>Developer of an accounting software designed to provide accounting, consolidation, and business intelligence in one service platform. The company's software helps users manage their entire accounting processes over the cloud, delivered via the internet, while helping to cut costs, increase revenues, and boost productivity, enabling accountants and their clients to manage and benchmark multiple companies and business units.</t>
  </si>
  <si>
    <t>Axiom Equity, Data Electronics Investments, David Mee, Edmond Murphy, Finch Capital, Gerry McKeown, Noble Rock, NovaUCD, PFR Ventures</t>
  </si>
  <si>
    <t>www.accountsiq.com</t>
  </si>
  <si>
    <t>510283-45</t>
  </si>
  <si>
    <t>Accrue (Financial Services)</t>
  </si>
  <si>
    <t>Develioper of a payment platform intended to send and receive money across Africa instantly and affordably. The company's platform allows to receive dollars or cryptocurrencies easily with a deposit link for global transactions and also to invest in good-performing stocks with minimal risk, enabling users with convenient, fast, and efficient cross-border payment, flexible currency options, and opportunities for savings and investment, catering to their financial needs and goals.</t>
  </si>
  <si>
    <t>Alliance (Other Capital Markets/Institutions), Distributed Capital Partners, HoaQ, Kraynos Capital Management, Lattice Capital, LAVA (Africa), LAVA International, Maven 11</t>
  </si>
  <si>
    <t>www.useaccrue.com</t>
  </si>
  <si>
    <t>268345-45</t>
  </si>
  <si>
    <t>AccrueMe</t>
  </si>
  <si>
    <t>Developer of a financial platform designed to provide growth capital for Amazon third-party sellers. The company's platform provides Amazon lending without credit checks, interest, personal guarantees, long-term commitment, and monthly payments, also offers a suite of tools and resources to support business growth and profitability, enabling Amazon sellers to grow and increase profits.</t>
  </si>
  <si>
    <t>SenaHill Partners</t>
  </si>
  <si>
    <t>www.accrueme.com</t>
  </si>
  <si>
    <t>538835-41</t>
  </si>
  <si>
    <t>Actuals</t>
  </si>
  <si>
    <t>Developer of a high-volume transaction reconciliation and accounting platform designed to detect discrepancies across orders, payments, settlements, and accounting records. The company's platform provides automated matching of payment and order data, integrations with finance tools, and a complete audit trail from transaction initiation to ledger, enabling high-volume digital businesses to safeguard financial accuracy, prevent revenue leakage, and streamline closing processes.</t>
  </si>
  <si>
    <t>Holland Capital (Private Equity)</t>
  </si>
  <si>
    <t>www.actuals.io</t>
  </si>
  <si>
    <t>995167-27</t>
  </si>
  <si>
    <t>Acua</t>
  </si>
  <si>
    <t>Developer of artificial intelligence-based workflow automation tools designed for financial decision-making purposes. The company's platform offers features such as data analysis, workflow optimization, and intelligent recommendations, enabling financial professionals and organizations to improve operational efficiency, accelerate decision cycles, and enhance clarity in everyday financial operations.</t>
  </si>
  <si>
    <t>On&amp;board</t>
  </si>
  <si>
    <t>www.acua.ai</t>
  </si>
  <si>
    <t>495635-41</t>
  </si>
  <si>
    <t>AdalFi</t>
  </si>
  <si>
    <t>Provider of a cloud based regulatory compliance and filings management system designed for operational use. The company's platform centralizes regulatory filing workflows, tracks jurisdiction specific requirements, supports document preparation, validation, submission, and status monitoring, integrates reference rules and historical filings, manages review cycles and collaboration, and maintains audit ready records, enabling insurance carriers and related regulated entities to meet regulatory obligations consistently and reduce manual administrative effort across jurisdictions.</t>
  </si>
  <si>
    <t>Chimera Capital, COTU Ventures, Deem (Business/Productivity Software), Fatima Gobi Ventures, Gobi Partners, Google Accelerator, Zayn Venture Capital</t>
  </si>
  <si>
    <t>www.adalfi.com</t>
  </si>
  <si>
    <t>468036-64</t>
  </si>
  <si>
    <t>Adaptive Investment Solutions</t>
  </si>
  <si>
    <t>Developer of a financial software designed to streamline tools for options strategies. The company offers services like one-click downside protection, income generation, and tax-smart risk rebalancing, enabling investors to enjoy portfolios as per their needs and demand.</t>
  </si>
  <si>
    <t>Endless Frontier Labs</t>
  </si>
  <si>
    <t>www.adaptive-investments.com</t>
  </si>
  <si>
    <t>483691-42</t>
  </si>
  <si>
    <t>Addition Wealth</t>
  </si>
  <si>
    <t>Developer of a financial wellness platform designed to empower monetary decision-making. The company's platform provides financial education and partners with companies to provide employees access to customized tools, community events, guides, dashboards, and professional sessions, enabling businesses to be provided with a healthier and financially secure workforce.</t>
  </si>
  <si>
    <t>1871, AgeTech Collaborative from AARP, Anthemis, Anthemis Female Innovators Lab, BMO Financial Group, Core Innovation Capital, Correlation Ventures, Curinos FinTech Incubator, FinTech Innovation Lab, Greenpoint Capital, InsurTech NY, Nomad Ventures, Nyca Partners, Restive Ventures</t>
  </si>
  <si>
    <t>www.additionwealth.com</t>
  </si>
  <si>
    <t>522228-25</t>
  </si>
  <si>
    <t>Aden Financial Group</t>
  </si>
  <si>
    <t>Operator of a cross-border over-the-counter assets e-trading platform intended for trading assets denominated in Chinese renminbi. The company offers one-stop service offerings such as alternative data display, price discovery, automatic trade-matching, and click-to-trade, thereby providing international investors, including ultra-high-net-worth, family offices and funds, to invest in Greater Chinese markets and assets.</t>
  </si>
  <si>
    <t>Eight Roads, Lingfeng Capital, The Innovation and Technology Commission</t>
  </si>
  <si>
    <t>www.adenfin.com.hk</t>
  </si>
  <si>
    <t>58412-53</t>
  </si>
  <si>
    <t>Advance Financial</t>
  </si>
  <si>
    <t>Operator of a fintech platform intended to offer credit and online installment loans. The company's services include cash advances, payday loans, installment loans, check cashing, online loans, title loans and wire transfers, enabling customers to get the cash instantly at a low rate of interest.</t>
  </si>
  <si>
    <t>careers.advancefinancial.com</t>
  </si>
  <si>
    <t>466482-07</t>
  </si>
  <si>
    <t>Advice Analytics</t>
  </si>
  <si>
    <t>Developer of a client engagement platform designed to optimize business operations. The company's platform employs proprietary machine-learning algorithms to analyze data and generate insights into customer behavior, preferences, and score purchase interest, enabling financial advisors and industries to efficiently manage their portfolios toward net operating income growth, cash flow clarity, and custom alert triggers for sweet spot deal prospecting and terms.</t>
  </si>
  <si>
    <t>Octane (California), Puget Sound Venture Club, Relumin, San Diego Angel Conference, Seattle Angel Conference</t>
  </si>
  <si>
    <t>adviceanalytics.com</t>
  </si>
  <si>
    <t>544681-27</t>
  </si>
  <si>
    <t>AdvisorFinder</t>
  </si>
  <si>
    <t>Developer of a financial platform designed for facilitating connections between individuals seeking guidance and financial advisors. The company's platform provides an easy-to-use search engine and questionnaire to find and browse advisors with different backgrounds, areas of expertise, services, locations, and from different firms in one place, and creates an advisor-finder profile, enabling clients to empower informed financial decisions for all parties involved.</t>
  </si>
  <si>
    <t>www.advisorfinder.com</t>
  </si>
  <si>
    <t>234363-25</t>
  </si>
  <si>
    <t>Advyzon</t>
  </si>
  <si>
    <t>Developer of a cloud-based advisory platform designed to offer investment strategies and advisory services. The company's platform provides on-demand data through reporting center applications and offers portfolio management, a model marketplace, client reporting, billing, rebalancing, customer relationship management, document storage, and a client portal, in addition to investment management services, enabling investment advisers and financial professionals to customize report packages and distribute them to each client through a client portal or print.</t>
  </si>
  <si>
    <t>JMI Equity</t>
  </si>
  <si>
    <t>www.advyzon.com</t>
  </si>
  <si>
    <t>820625-32</t>
  </si>
  <si>
    <t>Aegis (Healthcare Technology Systems)</t>
  </si>
  <si>
    <t>Developer of healthcare revenue recovery software designed for automating insurance denial appeals. The company's software utilizes artificial intelligence (AI) to identify denied claims, generate policy-specific appeal letters using clinical and claims data, and track the appeal process end-to-end with integrated analytics and real-time collaboration tools, enabling healthcare providers to recover lost revenue more efficiently and with less administrative burden.</t>
  </si>
  <si>
    <t>Mana Ventures, Rebel Fund, The Impact Venture, Y Combinator</t>
  </si>
  <si>
    <t>aegishealth.us</t>
  </si>
  <si>
    <t>1158652-90</t>
  </si>
  <si>
    <t>Aeon (Financial Software)</t>
  </si>
  <si>
    <t>Developer of a settlement infrastructure platform designed to facilitate autonomous financial transactions between AI agents. The company offers agent-to-agent transaction capabilities, native settlement infrastructure, interoperability with agent communication protocols, and continuous value transfer mechanisms, enabling AI-driven applications and autonomous agents to exchange value securely and execute verifiable transactions efficiently.</t>
  </si>
  <si>
    <t>Alchemy Ventures (California), Blockchain Builders Fund, Contribution Capital, Draper Dragon, Hashkey Capital, IDG Capital, Most Valuable Builder Accelerator Program, Oak Grove Ventures, SevenX Ventures, Stanford Blockchain Club, UpHonest Capital, YZi Labs</t>
  </si>
  <si>
    <t>www.aeon.xyz</t>
  </si>
  <si>
    <t>719087-68</t>
  </si>
  <si>
    <t>Aera</t>
  </si>
  <si>
    <t>Operator of a home finance platform intended to assist in securing a house with reduced deposit requirements. The company offers membership benefits, interest on deposits, and credit services, enabling customers to fasten the home-buying process and reducing financial barriers.</t>
  </si>
  <si>
    <t>Aspire NZ Seed Fund, Everywhere Ventures, Exhort Ventures, Jelix Ventures, K1W1, NZVC</t>
  </si>
  <si>
    <t>www.aera.nz</t>
  </si>
  <si>
    <t>769772-62</t>
  </si>
  <si>
    <t>Aeroblox</t>
  </si>
  <si>
    <t>Developer of an asset management platform designed for businesses and content creators. The company's platform uses blockchain technology to create a token for one's assets and protects, verifies, and monetizes one's intellectual property, enabling businesses to manage digital assets with absolute transparency and security.</t>
  </si>
  <si>
    <t>aeroblox.io</t>
  </si>
  <si>
    <t>502944-58</t>
  </si>
  <si>
    <t>Aerotruth</t>
  </si>
  <si>
    <t>Developer of a business management platform designed to onboard and manage fintech, banking and correspondent partner relationships. The company's platform delivers an efficient way for institutions to exchange, store and approve documents required to meet regulatory compliance needs in the onboarding and review processes, enabling financial institutions to simplify and expedite the document exchange and approval process.</t>
  </si>
  <si>
    <t>1in100 Ventures, AfterWork Ventures, Archangel Ventures, Black Sheep Capital, Change Com, Cut Through Angels, SpringCapital, Unlock Capital, Utiliti Group</t>
  </si>
  <si>
    <t>www.aerotruth.com</t>
  </si>
  <si>
    <t>462567-97</t>
  </si>
  <si>
    <t>Aevo</t>
  </si>
  <si>
    <t>Developer of a trading platform designed for decentralized finance assets. The company's platform supports options, perpetual futures, and many other products within a single margin account by combining off-chain matching with on-chain settlement, enabling investors to improve their portfolio risk-return profile and simplify investing in web3 securities.</t>
  </si>
  <si>
    <t>Alliance (Other Capital Markets/Institutions), BlockSpaceForce, Blockwave Capital, Coinbase Ventures, Divergence Ventures, Dragonfly Capital (San Francisco), DWF Labs, Ethereal Ventures, Hart Lambur, Joseph Lubin, Kain Warwick, Nascent, New Layer Capital, Pantera Capital, Paradigm, Primitive Ventures, Robot Ventures, Scalar Capital, Spartan Group, Tiantian Kullander, Tony Sheng, Undefined Labs(Seoul), YZi Labs</t>
  </si>
  <si>
    <t>www.aevo.xyz</t>
  </si>
  <si>
    <t>357401-71</t>
  </si>
  <si>
    <t>AFEX</t>
  </si>
  <si>
    <t>AgTech, Big Data, FinTech, Mobile</t>
  </si>
  <si>
    <t>Developer of a commodity exchange platform designed to connect small farmers with the financial commodity market. The company's platform offers big data-based analytics to focus on investors in agricultural commodities and structured programs that lead to elevated productivity and returns for farmers, enabling producers and investors to unlock capital, manage risk, and discover value within Africa's commodities market.</t>
  </si>
  <si>
    <t>British International Investment, Consonance (Lagos)</t>
  </si>
  <si>
    <t>africaexchange.com</t>
  </si>
  <si>
    <t>509587-57</t>
  </si>
  <si>
    <t>Affinity (Specialized Finance)</t>
  </si>
  <si>
    <t>Operator of a digitally-driven financial institution intended to provide affordable banking products to the underserved and unbanked. The company uses online and offline digital channels as a valuable part of its distribution strategy, enabling users to make banking affordable for individuals and micro, small, and medium enterprises.</t>
  </si>
  <si>
    <t>Attijariwafa Ventures, Backed, Eldon Capital Management, Enza Capital, FINCA Ventures, Grazia Equity, Impact Assets, Launch Africa Ventures, Leo Lion, Nour Nouf Ventures, Renew Capital, Resilience17, Visa Accelerator</t>
  </si>
  <si>
    <t>www.affinityafrica.com</t>
  </si>
  <si>
    <t>343140-04</t>
  </si>
  <si>
    <t>Affogato (Business/Productivity Software)</t>
  </si>
  <si>
    <t>Developer of artificial intelligence-based image generator tools designed to bring interactive characters to life. The company's tools offer features such as customizable characters, voice integration, and real-time interaction capabilities to create visuals and videos for stories, projects, or ideas, enabling content creators and developers to integrate responsive characters into digital environments and enhance user engagement and storytelling experiences.</t>
  </si>
  <si>
    <t>2 a.m. Ventures, Abhishek Gupta, Amit Goel, Astir Ventures, Better Capital (California), Brijesh Thakkar, Climber capital, Gemba Capital, GMO Venture Partners, Goat Capital, Goodwater Capital, Google Accelerator, JAM Fund, Kevin Moore, Kishore Ganji, Kube VC, Leonis Investissement, Night Ventures, Olive Tree Capital, Raghunandan Gangappa, Raveen Sastry, Soma Capital, Y Combinator</t>
  </si>
  <si>
    <t>www.affogato.ai</t>
  </si>
  <si>
    <t>503734-51</t>
  </si>
  <si>
    <t>Afterefx</t>
  </si>
  <si>
    <t>Developer of an investment analysis platform designed to offer financial knowledge and market intelligence to the investment community. The company's platform provides investors, analysts, and traders with alternative data sources to visualize and receive alpha signal alerts on stocks they are interested in investing in, enabling investors with knowledge of investment to make informed investment decisions.</t>
  </si>
  <si>
    <t>www.afterefx.com</t>
  </si>
  <si>
    <t>627507-46</t>
  </si>
  <si>
    <t>Agatyca</t>
  </si>
  <si>
    <t>Developer of a cashless payment application designed to promote the digital transformation of restaurants, as well as hospitals and clinics. The company's platform lets users make cashless and digital payments by scanning QR codes to buy medicines at a discount, enabling users to create a sustainable monetary system, supporting life around the world, and contributing to the progress of civilization and humanity.</t>
  </si>
  <si>
    <t>Ichiro Umeda, Quantum Leap Ventures (Japan)</t>
  </si>
  <si>
    <t>www.agatyca.co.jp</t>
  </si>
  <si>
    <t>500906-98</t>
  </si>
  <si>
    <t>Agel</t>
  </si>
  <si>
    <t>Developer of a business-to-business payment platform intended to provide alternative financing options for micro-small and medium enterprises. The company's platform facilitates and organizes transactions between all wholesale and retail merchants, without complication, enabling clients to avail industry-agnostic merchandise credit limits.</t>
  </si>
  <si>
    <t>Banque Misr, F6 Ventures, MENA Group, Plus Venture Capital, Seedra Ventures, Seedstars International Ventures</t>
  </si>
  <si>
    <t>egypt.agel.io</t>
  </si>
  <si>
    <t>267719-05</t>
  </si>
  <si>
    <t>AgentApp</t>
  </si>
  <si>
    <t>Developer of insurance broker software designed to provide insurance brokers and agents with policy management services. The company's software provides an easy-to-use interface to search and manage clients, policies, objects and payments, sales workflow, accounting and billing management including invoice creation, automatic emailing, and payment mapping as well as providing easy customization, online cloud storage and customer support, enabling insurance agents and brokers to manage sales from start to finish and administrate all insurance policies.</t>
  </si>
  <si>
    <t>Internet Initiatives Development Fund, Sprint (Moscow)</t>
  </si>
  <si>
    <t>www.agentapp.ru</t>
  </si>
  <si>
    <t>1318536-73</t>
  </si>
  <si>
    <t>Agentbank</t>
  </si>
  <si>
    <t>Developer of financial infrastructure software designed for managing digital asset transactions and automated financial operations. The company's platform provides tools for account management, payment processing, treasury tracking, programmable workflows, integrations with external financial systems, and support for automated agents to execute financial tasks under defined rules and permissions, enabling businesses, developers, and decentralized organizations to coordinate and control financial activities across digital environments with structured oversight and operational consistency.</t>
  </si>
  <si>
    <t>Global Ventures</t>
  </si>
  <si>
    <t>www.agentbank.com</t>
  </si>
  <si>
    <t>179974-45</t>
  </si>
  <si>
    <t>Agility Forex</t>
  </si>
  <si>
    <t>Developer of an international payment platform designed to exchange and transfer money. The company helps to move money around the world or between different currency accounts at the same bank of funds through safe and secure transfers via phone or by calling at no commission charges, enabling users to make international payments with no hidden fees or commissions.</t>
  </si>
  <si>
    <t>C1 Ventures, eFund (Canada), Mindset Venture Group, WUTIF Capital, Xavaav Capital</t>
  </si>
  <si>
    <t>www.agilityforex.com</t>
  </si>
  <si>
    <t>537924-79</t>
  </si>
  <si>
    <t>Agio Ratings</t>
  </si>
  <si>
    <t>Operator of a rating platform designed to assess and monitor risk across the digital asset market. The company offers data-driven analytics, proprietary risk models, and continuous counterparty monitoring, enabling trading firms, insurers, and banks to make informed exposure decisions and strengthen risk management practices.</t>
  </si>
  <si>
    <t>AlbionVC, Gaingels, MS&amp;AD Ventures, Portage, Sagard, Superscrypt</t>
  </si>
  <si>
    <t>www.agioratings.io</t>
  </si>
  <si>
    <t>706914-37</t>
  </si>
  <si>
    <t>AgriCapital</t>
  </si>
  <si>
    <t>Operator of a fintech company intended to provide financial and support services for the agricultural sector. The company helps Colombian agricultural producers unlock their full potential through tailored credit services and comprehensive support for each type of crop efficiently and simply, enabling small and medium-sized farmers to obtain credit to grow and make their businesses profitable.</t>
  </si>
  <si>
    <t>Alive Ventures, Comfama, Grupo Cibest, The Yield Lab Latam</t>
  </si>
  <si>
    <t>www.agricapital.com.co</t>
  </si>
  <si>
    <t>601606-45</t>
  </si>
  <si>
    <t>AgriCash</t>
  </si>
  <si>
    <t>Developer a financial platform designed to support farming financing and installments. The company's platform facilitates financing for all agricultural supply needs before planting and allows to pay it back after the harvest without interest, along with other agricultural services such as Crop marketing, guidance, and supplies, enabling farmers to get financial and crop guidance in a hassle-free manner.</t>
  </si>
  <si>
    <t>African Food Changemakers, Alexandria Business Angels Network, AUC Venture Lab, Flat6labs, Startup Factory (Cairo), Technology Innovation and Entrepreneurship Center, Value Makers Studio</t>
  </si>
  <si>
    <t>www.agricash.app</t>
  </si>
  <si>
    <t>462007-27</t>
  </si>
  <si>
    <t>Agrolend</t>
  </si>
  <si>
    <t>Provider of sustainable credit services intended to change the agribusiness market for small and medium rural producers in Brazil. The company uses credit analysis technology to provide loans without any physical guarantees, such as farms or grains, to incentivise investment in equipment and technology, which in turn increases productivity and profitability, enabling small and medium-sized farmers to get access to sustainable credit that is needed to finance the development of their production.</t>
  </si>
  <si>
    <t>AG Tech (Brazil), AG Ventures, B3 (Brazil), Barn Investimentos, BFC Capital (Brazil), Capria Ventures, Continental Grain Company, Creation Investments Capital Management, Japan International Cooperation Agency, L4 Venture Builder, Lightrock, Mago Capital, Maromar Investimentos, Muralha Capital, Opus Investimentos, Provence Partners, SP Ventures, Spectra Investments, Syngenta Group Ventures, The Norinchukin Bank, Valor Capital Group, Vivo Ventures, Yara Growth Ventures</t>
  </si>
  <si>
    <t>www.agrolend.agr.br</t>
  </si>
  <si>
    <t>231803-74</t>
  </si>
  <si>
    <t>Ahi Fintech</t>
  </si>
  <si>
    <t>Developer of an artificial intelligence-powered financial risk management technology. The company's artificial intelligence prediction model and decision engine provide intelligent decision-making platform services in terms of user portraits, precision marketing, risk control and internal control compliance, enabling clients to enjoy anti-fraud services.</t>
  </si>
  <si>
    <t>BitRock Capital (SG), Changfeng Hengchuang, China-Singapore Connectivity Investment Fund Management, DHVC, GL Ventures, K2VC, Sinovation Ventures</t>
  </si>
  <si>
    <t>www.ahi-fintech.com</t>
  </si>
  <si>
    <t>507028-42</t>
  </si>
  <si>
    <t>AiLend</t>
  </si>
  <si>
    <t>Developer of an online credit platform designed to check loan eligibility and apply directly from home. The company's platform offers direct application for bank-powered loans, a safer process, and better interest rates with a buy now pay later option, enabling people to understand their chances of getting a loan and applying directly from home.</t>
  </si>
  <si>
    <t>Fil Rouge Capital</t>
  </si>
  <si>
    <t>www.ailend.io</t>
  </si>
  <si>
    <t>234697-87</t>
  </si>
  <si>
    <t>Aino Indonesia</t>
  </si>
  <si>
    <t>B2B Payments, FinTech, Mobile Commerce, SaaS, TMT</t>
  </si>
  <si>
    <t>Developer of an electronic payment platform designed to support digital transactions across public services and commercial environments. The company's platform offers e-ticketing, non-cash payments for transport and parking, QR and chip-based methods, and integration tools, enabling municipalities and businesses to implement unified, cashless systems for service access and operational efficiency.</t>
  </si>
  <si>
    <t>Asia Summit Capital, Integrated Design &amp; Engineering Holdings, TISI ( IT Consulting and Outsourcing)</t>
  </si>
  <si>
    <t>www.ainosi.co.id</t>
  </si>
  <si>
    <t>266516-92</t>
  </si>
  <si>
    <t>Aion Digital</t>
  </si>
  <si>
    <t>Artificial Intelligence &amp; Machine Learning, CloudTech &amp; DevOps, FinTech, Mobile</t>
  </si>
  <si>
    <t>Developer of a financial technology and digital banking platform designed to offer banking services on the go. The company's platform helps in digital onboarding and provides data and artificial intelligence-based services, enabling revenue growth and protecting margins for enterprise clients in the Global Capability Center (GCC).</t>
  </si>
  <si>
    <t>Dividend Gate Capital, Fintactics</t>
  </si>
  <si>
    <t>www.aiondigital.com</t>
  </si>
  <si>
    <t>437538-70</t>
  </si>
  <si>
    <t>Airudder</t>
  </si>
  <si>
    <t>Developer of voice artificial intelligence (AI) customer service solutions. The company utilizes AI technologies to provide loan collection, quality assurance, and other financial-related customer services, enabling users to improve customer service efficiency.</t>
  </si>
  <si>
    <t>C Entrepreneurs, Cathay Capital, Cathay Innovation, Coatue Management, HSG (Hong Kong), Huashan Capital, IMO Ventures, Peak XV Partners, Tiger Global Management, VenturesLab, ZhenFund, Zizhu Xiaomiao PE</t>
  </si>
  <si>
    <t>www.airudder.com</t>
  </si>
  <si>
    <t>436513-15</t>
  </si>
  <si>
    <t>Aisouqi (Beijing) Technology</t>
  </si>
  <si>
    <t>Developer of an online financing platform designed to connect small businesses in the agricultural sector with investors. The company's platform utilizes a proprietary dual escrow model with independent third-party custody of assets and capital, enabling small and medium enterprises and individual investors to access transparent financial solutions including online property and car mortgage loans.</t>
  </si>
  <si>
    <t>Rongma Group</t>
  </si>
  <si>
    <t>www.zhaoyinzi.com</t>
  </si>
  <si>
    <t>107025-13</t>
  </si>
  <si>
    <t>Aiyoumi</t>
  </si>
  <si>
    <t>Developer of a financial technology platform intended to deliver consumer finance and wealth management services. The company offers digital lending, installment financing, automobile financing, and investment management tools, enabling young professionals in China to access tailored financial products and achieve greater financial independence.</t>
  </si>
  <si>
    <t>Ameba Capital, Bank of China Group Investment, Huoban VC, ZSY Capital</t>
  </si>
  <si>
    <t>www.aiyoumi.com</t>
  </si>
  <si>
    <t>226895-86</t>
  </si>
  <si>
    <t>Aizen (South Korea)</t>
  </si>
  <si>
    <t>Developer of an AI-based financial platform designed to offer decision-making systems for financial institutions. The company's platform leverages machine learning and deep learning technology and has several features, including marketing, risk management, and modeling, enabling financial institutions to improve process automation and cost structures by adopting artificial intelligence technologies.</t>
  </si>
  <si>
    <t>Forest Partners (Korea), Indika Energy, InnoVen Capital, Institute for Information &amp; Communications Technology Promotion, InterVest, JB Financial Group, JB Woori Capital, KB Innovation HUB, Kite Entrepreneur Foundation, Korea AI Startup 100, Korea Growth Investment Corporation, NatWest Commercial Services, Plug and Play Tech Center, R&amp;H Trust &amp; Corporate, Seedstars, SuperCharger FinTech Accelerator, Tech Incubator Program for Startup, The Startup Wheel, Translink Investment, Wibee Fintech Laboratory, Woori Bank</t>
  </si>
  <si>
    <t>www.aizenglobal.com</t>
  </si>
  <si>
    <t>176922-73</t>
  </si>
  <si>
    <t>Ajar</t>
  </si>
  <si>
    <t>Artificial Intelligence &amp; Machine Learning, Mobile, Real Estate Technology, SaaS</t>
  </si>
  <si>
    <t>Developer of a cloud-based property management platform designed to offer a prompt and secure online rent collection process. The company's platform offers property management tools, including simplified online rent payment and collection processes for landlords, enabling landlords to collect payments securely, manage properties efficiently, and track performance seamlessly, while empowering tenants with rewarding online payments.</t>
  </si>
  <si>
    <t>500 Global, BECO Capital, Mohammed Bin Rashid Innovation Fund, SBX Capital, Seeds Partners, Sharq Ventures</t>
  </si>
  <si>
    <t>joinajar.com</t>
  </si>
  <si>
    <t>436875-94</t>
  </si>
  <si>
    <t>Akoya</t>
  </si>
  <si>
    <t>Developer of a financial data management platform designed to improve the records between financial institutions and data recipients. The company's platform eliminates the need to share credentials, facilitates the initial consumer consent at the individual account level, and provides a tool to configure the availability of account types, enabling clients to provide consumers with protection, transparency, and control over their information.</t>
  </si>
  <si>
    <t>Bank of America, Capital One Financial, Citi Ventures, Fidelity, Huntington Bancshares, JP Morgan Chase, KeyBanc Capital Markets, Plug and Play Tech Center, TD Bank, TD Bank (USA), The PNC Financial Services Group, Truist Financial, Truist Ventures, U.S. Bancorp, Wells Fargo</t>
  </si>
  <si>
    <t>www.akoya.com</t>
  </si>
  <si>
    <t>494261-11</t>
  </si>
  <si>
    <t>Akros Technologies</t>
  </si>
  <si>
    <t>Operator of an AI-native index engineering platform intended to support custom index creation for ETF issuers. The company offers AI-driven index engineering capabilities and index licensing services, enabling global ETF issuers to develop and manage customized investment indices more efficiently.</t>
  </si>
  <si>
    <t>Altos Ventures, Mirae Asset Capital, PFC Technologies, Xquared, Z Venture Capital</t>
  </si>
  <si>
    <t>akrostec.com</t>
  </si>
  <si>
    <t>231880-24</t>
  </si>
  <si>
    <t>Akseleran</t>
  </si>
  <si>
    <t>Operator of a peer-to-peer lending platform intended to connect early-stage businesses and small and midsize enterprises with loan providers. The company's platform facilitates low interest rates for new businesses with different installment payment models as well as the management of all administrative tasks, enabling entrepreneurs to easily and effectively access the capital needed for their businesses.</t>
  </si>
  <si>
    <t>Access Ventures (Asia), ACV Capital, Agaeti Ventures, Ahabe Group, BEENEXT Capital Management, Central Capital Ventura</t>
  </si>
  <si>
    <t>www.akseleran.co.id</t>
  </si>
  <si>
    <t>615623-59</t>
  </si>
  <si>
    <t>Akua (Financial Software)</t>
  </si>
  <si>
    <t>Operator of an acquiring-as-a-service platform intended to offer scalable, secure, and efficient payment processing tools. The company's tool allows payments with a single application programming interface, offering advanced transaction processing, fraud prevention, regional integration, data, and analytics, enabling businesses to transform their payment experience.</t>
  </si>
  <si>
    <t>Atlantico Partners, C Entrepreneurs, Cathay Capital, Cathay Innovation, Flourish Ventures, Honey Island Capital, HTwenty Capital, IC Ventures, Krealo, LAN Accelerator, LASP Capital, Plug and Play Tech Center, Propel Venture Partners, Proximity Angels, Rally Cap VC, SIMMA Capital</t>
  </si>
  <si>
    <t>www.akua.la</t>
  </si>
  <si>
    <t>493011-37</t>
  </si>
  <si>
    <t>Akun.biz</t>
  </si>
  <si>
    <t>Developer of a web-based financial application intended to make bookkeeping simple and easy for everyone. The company's software groups every transaction into categories as needed and can present a report containing the total income, expenses, and the difference, enabling businesses to quickly and easily record incomes, expenses, debts, and receivables.</t>
  </si>
  <si>
    <t>Mandiri Capital Indonesia</t>
  </si>
  <si>
    <t>www.akun.biz</t>
  </si>
  <si>
    <t>491413-15</t>
  </si>
  <si>
    <t>Alaan</t>
  </si>
  <si>
    <t>Developer of an AI-powered expense management platform intended to streamline business payments for companies in the Middle East. The company's platform enables instant issuance of corporate cards, automated receipt management, and real-time spending control, providing businesses with enhanced financial oversight and efficiency while catering primarily to small and medium enterprises seeking to optimize their expense processes.</t>
  </si>
  <si>
    <t>468 Capital, 885 Capital, Abdallah Abu-Sheikh, Erik Podzuweit, Florian Prucker, Future100, Global Founders Capital, Hosam Arab, Jad Halaoui, Jai Mahtani, Jeppe Rindom, Khalid Al Ameri, Mato Peric, MPGI Holdings, Mudassir Sheikha, Parth Garg, Peak XV Partners, Philippe da Mota, Pioneer Fund, Presight Capital, Sudeep Ramnani, Y Combinator, Yi Wei Ang, Ying Weiping</t>
  </si>
  <si>
    <t>www.alaan.com</t>
  </si>
  <si>
    <t>236049-31</t>
  </si>
  <si>
    <t>Alacriti</t>
  </si>
  <si>
    <t>Developer of a payment platform designed to offer payment processing services. The company's platform offers features like cash flow, offshore delivery, trend analysis, root cause analysis, and other related features, enabling clients to access their platform for electronic billing and payment.</t>
  </si>
  <si>
    <t>BMO Capital Partners, Curql, Next Level Ventures, Sageview Capital</t>
  </si>
  <si>
    <t>www.alacriti.com</t>
  </si>
  <si>
    <t>172659-16</t>
  </si>
  <si>
    <t>Albo</t>
  </si>
  <si>
    <t>Developer of a digital finance platform intended to offer an alternative to traditional banking. The company's platform offers digital debit accounts with no monthly fees, instant cash, and cryptocurrency transaction notifications, tracking, setting up automatic savings tools, managing goals within sub-accounts, and access to personal loans and credit, enabling users to handle finances efficiently with increased flexibility.</t>
  </si>
  <si>
    <t>Alejandro Morante, Arkangeles, Conny &amp; Co., Cornelius Boersch, Cristian Raygoza, Endeavor Catalyst, Endeavor Global, Eric Perez-Govas, Exitfund, Flourish Ventures, Gaingels, Greyhound Capital, Iluminar Ventures, Israel Cerda, Jorge Gasque, Life is too short Capital, Ligo Partners, Magma Partners, Minimal VC, Morpheus Ventures, Mountain Lion Ventures, Mountain Partners, Nazca, Nazca Capital, Omidyar Network, Ordinary Ventures, Plug and Play Tech Center, Rhombuz Ventures, Spectra Investments, The Ark Fund, Valar Ventures, VentureSouq</t>
  </si>
  <si>
    <t>www.albo.com</t>
  </si>
  <si>
    <t>866000-71</t>
  </si>
  <si>
    <t>ALFI Wealth</t>
  </si>
  <si>
    <t>Developer of AI-based compliance automation tools designed for regulatory oversight and operational efficiency. The company offers features such as automated surveillance of advisor communications, real-time policy monitoring, customizable workflows and integration with CRM and messaging systems, enabling financial institutions to ensure compliance, reduce administrative burden and improve oversight with minimal manual intervention.</t>
  </si>
  <si>
    <t>www.alfiwealth.com</t>
  </si>
  <si>
    <t>497367-82</t>
  </si>
  <si>
    <t>Alfred (Miami)</t>
  </si>
  <si>
    <t>Developer of a payments infrastructure platform designed to simplify local and cross-border transactions. The company's platform offers a stablecoin-powered application programming interface, settlement, embedded compliance tools, and support for multiple currencies and networks, enabling fintechs and financial institutions to streamline international payments, reduce costs, and expand access to modern financial services.</t>
  </si>
  <si>
    <t>Arrington Capital, Celo Foundation, Circle Internet Group, Digital Currency Group, F-Prime Capital, Globelink China Logistics, Morgan Creek Capital Management, PayCargo, Rayo Capital Group, Stellar Community Fund, The Venture Dept, White Star Capital</t>
  </si>
  <si>
    <t>www.alfredpay.io</t>
  </si>
  <si>
    <t>707307-94</t>
  </si>
  <si>
    <t>Algebrik</t>
  </si>
  <si>
    <t>Developer of a cloud-native lending platform designed to streamline loan origination and digital banking processes. The company offers digital account opening, lender workflow tools, omni-channel point of sale, artificial intelligence-based decision engines, and portfolio analytics, enabling credit unions to enhance member engagement and improve lending efficiency.</t>
  </si>
  <si>
    <t>InCred Finance</t>
  </si>
  <si>
    <t>www.algebrik.ai</t>
  </si>
  <si>
    <t>507142-36</t>
  </si>
  <si>
    <t>AlgoTest</t>
  </si>
  <si>
    <t>Operator of an investment technology company intended to allow retail traders to do backtesting for their trading strategies. The company's platform offers a full-stack algorithmic testing and execution platform in order to carry out back tests, paper trades, and deploy trading strategies to the live market, enabling users to access historical data to gauge profitability and risk before investing any actual capital.</t>
  </si>
  <si>
    <t>Belvedere Strategic Capital, Goodwater Capital, Soma Capital, Y Combinator</t>
  </si>
  <si>
    <t>www.algotest.in</t>
  </si>
  <si>
    <t>534487-15</t>
  </si>
  <si>
    <t>Alguna</t>
  </si>
  <si>
    <t>Developer of an enterprise pricing and billing platform designed to automate custom billing processes. The company's platform simplifies revenue management by covering the whole customer lifecycle through centralized pricing, customizable deal options, and tracking upsell and renewal opportunities, enabling companies to grow revenue by automating and consolidating time-intensive custom pricing processes.</t>
  </si>
  <si>
    <t>Atlantic (Berlin), Mango Capital, Y Combinator</t>
  </si>
  <si>
    <t>www.alguna.com</t>
  </si>
  <si>
    <t>154085-86</t>
  </si>
  <si>
    <t>Aliya</t>
  </si>
  <si>
    <t>Developer of foundational software designed to empower financial institution partners to fulfill their social mandate with operational excellence. The company's cloud-based platform is designed to deliver artificial intelligence-based risk analytics for consumer and SMB lending, and intelligent automation covering the entire borrower lifecycle to FI, fintechs, and other non-lending or deposit-taking institutions, enabling clients to grow assets, acquire and retain customers, and optimize capital allocation.</t>
  </si>
  <si>
    <t>www.aliya.com</t>
  </si>
  <si>
    <t>530283-25</t>
  </si>
  <si>
    <t>All Structured Notes</t>
  </si>
  <si>
    <t>Developer of a financial platform designed to provide comprehensive management of structured notes. The company's platform combines the performance of a fixed-income bond with the performance of equity or credit assets offers flexibility in portfolio management and transforms the market by using technology to create a new digital value chain, enabling customers to directly buy, settle, and manage products through a digital tool.</t>
  </si>
  <si>
    <t>Actyus, Inveready Asset Management</t>
  </si>
  <si>
    <t>www.allstructurednotes.com</t>
  </si>
  <si>
    <t>186593-50</t>
  </si>
  <si>
    <t>Alliance (Consumer Finance)</t>
  </si>
  <si>
    <t>Provider of client-oriented financial services intended to strengthen businesses and family welfare in Myanmar. The company's client-oriented financial services are directed toward the financial education of unbanked entrepreneurs, particularly businesswomen, enabling entrepreneurs to strengthen their financial and social performance.</t>
  </si>
  <si>
    <t>BOPA, British International Investment, Financial Systems Development Services, Impact Fund Denmark, Insitor Impact Asia Fund, Swiss Microfinance Holding</t>
  </si>
  <si>
    <t>alliance-mm.com</t>
  </si>
  <si>
    <t>491516-20</t>
  </si>
  <si>
    <t>Allpass.ai</t>
  </si>
  <si>
    <t>Developer of a real-time identity verification platform designed to eliminate cases of fraud for businesses. The company's system helps to identify and verify customers online in a comprehensive manner with identity, video, document, and face verification as well as two-factor authentication, enabling clients to meet compliance standards and cut manual operations.</t>
  </si>
  <si>
    <t>1991 Ventures, Cyberaccelerator, Czysta3.vc, eō Business Incubators, Google Accelerator, Mission (Spain), Seeds of Bravery, Start Path, StartSmart CEE, Startup Wise Guys, Ukrainian Startup Fund, Vacuum Deep Tech Acceleration</t>
  </si>
  <si>
    <t>www.allpass.ai</t>
  </si>
  <si>
    <t>497789-83</t>
  </si>
  <si>
    <t>Allra</t>
  </si>
  <si>
    <t>Developer of a fintech platform intended to securitize the settlement through data analysis. The company offers a simple integrated selection and settlement platform, enabling financial institutions and small and medium-sized enterprises to solve the financial problems of small and mid-sized enterprises.</t>
  </si>
  <si>
    <t>Altara Ventures, Bank Youth Entrepreneurship Foundation, BNK fintech lab, D-Camp, Do Ventures, IBK Changgong, KB Kookmin Card, Kiwoom Investment, Must Ventures, Nextrans, Seoul National University Technology Holdings</t>
  </si>
  <si>
    <t>www.allra.co.kr</t>
  </si>
  <si>
    <t>501296-59</t>
  </si>
  <si>
    <t>Almug</t>
  </si>
  <si>
    <t>Operator of a data analysis platform intended to deliver comprehensive and strategic insights to augment business decision frameworks. The company's platform offers contextual information extraction, structured taxonomy with data and metadata, and real-time data delivery, enabling clients to get improved financial research, analysis, and decision support systems.</t>
  </si>
  <si>
    <t>Startup-O</t>
  </si>
  <si>
    <t>www.almug.ai</t>
  </si>
  <si>
    <t>530907-67</t>
  </si>
  <si>
    <t>Alpha Bridge</t>
  </si>
  <si>
    <t>Developer of an artificial intelligence investment platform designed to provide an easy and convenient investment environment. The company's platform automatically trades and manages portfolios based on AI-optimized algorithms, provides information on stocks, and allows users to create their own exchange-traded fund, enabling investors to make easy and convenient investments.</t>
  </si>
  <si>
    <t>P&amp;I Investment, Shinhan Futures Lab</t>
  </si>
  <si>
    <t>www.alphabridge.co.kr</t>
  </si>
  <si>
    <t>529296-04</t>
  </si>
  <si>
    <t>Alpha Intelligence</t>
  </si>
  <si>
    <t>Operator of a fintech comparison platform intended to improve the information imbalance between consumers and financial institutions. The company's platform uses data science and artificial intelligence to provide users with accurate and up-to-date information about financial products and services, enabling users to make informed financial decisions.</t>
  </si>
  <si>
    <t>Headwater Capital, WI Harper Group</t>
  </si>
  <si>
    <t>www.alphaintelligence.co</t>
  </si>
  <si>
    <t>482450-77</t>
  </si>
  <si>
    <t>Alpha Vista</t>
  </si>
  <si>
    <t>Developer of an asset management platform designed to provide market analytics technology tools for big data and AI. The company's platform commercializes a deeply researched big data, artificial intelligence market analytics technology for mitigating the impact of tail risk events, and can minimize the negative impact of sequencing risks on portfolios, enabling clients to generate consistent and smooth portfolio returns.</t>
  </si>
  <si>
    <t>Sapien Ventures, SJS Partners</t>
  </si>
  <si>
    <t>www.alphavistafs.com</t>
  </si>
  <si>
    <t>503120-35</t>
  </si>
  <si>
    <t>Alphanso</t>
  </si>
  <si>
    <t>Developer of an artificial intelligence-powered investment platform designed to provide personalized financial guidance. The company platform offers tailored stock recommendations, real-time market insights, portfolio tracking, and goal-based investment planning, enabling investors to make informed decisions and optimise wealth growth.</t>
  </si>
  <si>
    <t>Adstory Inc, IdeaClan, Plug and Play Tech Center, Yar Ventures(CA)</t>
  </si>
  <si>
    <t>www.classic.alphanso.ai</t>
  </si>
  <si>
    <t>438789-88</t>
  </si>
  <si>
    <t>Alphastream</t>
  </si>
  <si>
    <t>Developer of an artificial intelligence (AI) platform designed to transform raw deal data into real-time intelligence. The company offers deal lifecycle analysis, portfolio and trend analytics, and financial analytics for portfolio management, enabling clients to help extract and structure legal and financial data instantly.</t>
  </si>
  <si>
    <t>14Peaks Capital, Fitch Ventures, Intapp, Motive Partners</t>
  </si>
  <si>
    <t>www.alphastream.ai</t>
  </si>
  <si>
    <t>497849-50</t>
  </si>
  <si>
    <t>Alprestamo</t>
  </si>
  <si>
    <t>Operator of a fintech platform intended to connect users seeking loans, credit, prepaid cards, and assistance with entities that offer them. The company's platform aggregates and presents offers from multiple banks and financial institutions, collects applicant data for preliminary credit analysis, supports fully online personal loan requests within specified amount and term ranges, and provides structured disclosures on interest rates, total financing costs, and lending conditions, enabling individual borrowers and businesses to evaluate alternatives, submit data to selected lenders, and obtain unsecured financing through a single digital entry point.</t>
  </si>
  <si>
    <t>CFC Capital (Chile), Cristian Adamo, Endeavor Argentina</t>
  </si>
  <si>
    <t>www.alprestamo.com</t>
  </si>
  <si>
    <t>518846-32</t>
  </si>
  <si>
    <t>Alpyne</t>
  </si>
  <si>
    <t>Developer of a cryptocurrency trading platform designed for facilitating the onboarding of businesses and users into the Web3 ecosystem. The company's platform offers an in-house risk engine with lower fraud rates, regulatory compliance through FIU registration, support for multiple blockchains and over three thousand tokens, local payment solution integrations, and simple code-based integration with minimal downtime and around-the-clock customer support, enabling businesses and fintech platforms to offer secure and compliant cryptocurrency trading services to their end users.</t>
  </si>
  <si>
    <t>100X.VC, Randev Ventures, Tenity</t>
  </si>
  <si>
    <t>www.alpyne.tech</t>
  </si>
  <si>
    <t>758699-65</t>
  </si>
  <si>
    <t>Alt Lending</t>
  </si>
  <si>
    <t>Provider of private student loan refinancing intended for borrowers to transition to lower, fixed-rate payment plans. The company's loan refinancing services feature low-interest, fixed-rate loan options and supportive payment plans, enabling borrowers facing financial challenges to secure relief and transition to a more stable financial situation.</t>
  </si>
  <si>
    <t>MavenHill Capital, SOJA Ventures</t>
  </si>
  <si>
    <t>www.altlendingllc.com</t>
  </si>
  <si>
    <t>433645-66</t>
  </si>
  <si>
    <t>Alt.Bank</t>
  </si>
  <si>
    <t>Operator of an online digital bank intended to provide individuals with financial stability and payments virtually. The company engages in improving the attributes of existing payment models by helping unbanked people to start and expand businesses, invest in education, manage risks, and absorb financial shocks, providing customers with digital and financial independence through various modes of payments and finance.</t>
  </si>
  <si>
    <t>Anthemis, Dhow Ventures, Repeat Ventures, SquareOne Capital, Union Square Ventures</t>
  </si>
  <si>
    <t>www.altbank.ai</t>
  </si>
  <si>
    <t>143108-65</t>
  </si>
  <si>
    <t>Alterna</t>
  </si>
  <si>
    <t>Developer of a bilingual cross-border mobile wallet designed to serve the immigrant and unbanked communities. The company offers a convenient and easy way to handle finances and remit funds to families back home, and receive remittances and handle their finances, enabling immigrants and non-citizens to have financial inclusion and safety for funds and themselves on both sides of the border.</t>
  </si>
  <si>
    <t>Keiretsu Capital, Keiretsu Forum</t>
  </si>
  <si>
    <t>www.alternacard.com</t>
  </si>
  <si>
    <t>530505-28</t>
  </si>
  <si>
    <t>Altir Industries</t>
  </si>
  <si>
    <t>Developer of a finance platform designed to provide earning opportunities to businesses. The company offers business checking accounts, treasury management tools, cash concentration capabilities, and centralized financial oversight features, enabling franchise owners and multi-location operators to monitor funds, manage liquidity, and improve financial control across their businesses.</t>
  </si>
  <si>
    <t>Caffeinated Capital, Clocktower Ventures, Founders Fund, Haystack Management Company, Lux Capital, Palm Tree Crew Investments</t>
  </si>
  <si>
    <t>www.altir.app</t>
  </si>
  <si>
    <t>641790-01</t>
  </si>
  <si>
    <t>Altis (Financial Software)</t>
  </si>
  <si>
    <t>Developer of an online platform designed to connect credit borrowers with investors. The company's platform offers credit services, and fraud prevention at fast loan approval rates, provides the integration of lending services directly into a business's operations, allowing them to offer personalized credit options to their customers, enabling companies to expand revenue streams, improve customer retention, and manage credit risk effectively.</t>
  </si>
  <si>
    <t>99 Startups, Latitud, Magma Partners</t>
  </si>
  <si>
    <t>www.altis.online</t>
  </si>
  <si>
    <t>231848-74</t>
  </si>
  <si>
    <t>Alto</t>
  </si>
  <si>
    <t>Operator of an ATM network intended to provide financial and transactional assistance to banks and other financial institutions. The company's network provides real-time electronic payment with banking solutions to address regulatory requirements and captures growth in alternative payments by responding to future developments of the national payment gateway, enabling banking businesses to accelerate their digital payment services.</t>
  </si>
  <si>
    <t>Central Capital Ventura, Reciprocus Moduit Holding</t>
  </si>
  <si>
    <t>www.alto.id</t>
  </si>
  <si>
    <t>468948-79</t>
  </si>
  <si>
    <t>Altscore</t>
  </si>
  <si>
    <t>Developer of a lending-as-a-service toolbox designed to build financial identities based on alternative data points. The company leverages artificial intelligence technology to offer application programming interface (API) products that analyze clients' credit scores based on mobile phone data, publicly available data, and demographic data, enabling businesses to understand their clients' credit standing and assess their creditworthiness.</t>
  </si>
  <si>
    <t>AM4 VC, BuenTrip Ventures, Caffeinated Capital, CompuSoluciones, FOVC, Haymaker Ventures, Ivan Montoya, Kamay Ventures, Lorimer Ventures, Miguel Fernández-Lapique, NuMundo Ventures, Overboost, Techstars, Thomas Nicholas, Unpopular Ventures, Uri Tintore, Wayra</t>
  </si>
  <si>
    <t>www.altscore.ai</t>
  </si>
  <si>
    <t>845215-75</t>
  </si>
  <si>
    <t>Alunafi</t>
  </si>
  <si>
    <t>Operator of a financial services platform intended to serve businesses in regulated sectors such as aviation, shipping, iGaming, and financial institutions. The company's platform offers comprehensive banking solutions, including SEPA, SEPA Instant, SWIFT, and debit card services, with a dedicated Client Relationship Manager for personalized support, enabling clients with tailored financial services and managing expenses easily.</t>
  </si>
  <si>
    <t>Growth Box Ventures</t>
  </si>
  <si>
    <t>www.alunafi.com</t>
  </si>
  <si>
    <t>472039-48</t>
  </si>
  <si>
    <t>Alvva</t>
  </si>
  <si>
    <t>Operator of an immigrant-focused fintech platform intended to increase the upward mobility of immigrants. The company's platform offers online case management tools, document collection features, application preparation services, bilingual support, attorney review coordination, and progress tracking capabilities, enabling immigrants and families to organize paperwork, complete immigration filings, and manage application requirements with greater clarity and administrative support.</t>
  </si>
  <si>
    <t>AWS Startups, Berkeley SkyDeck, Berkeley SkyDeck Fund, Coughdrop Capital</t>
  </si>
  <si>
    <t>www.alvva.co</t>
  </si>
  <si>
    <t>491074-93</t>
  </si>
  <si>
    <t>Alwy</t>
  </si>
  <si>
    <t>Developer of a web application designed to help individuals manage their finances. The company's platform provides a compilation of finances, from everyday finances to savings, investments, and subscriptions, and educates individuals on saving and making their money grow, enabling users to save and manage their personal finances as well and get full control over their spending, savings, loans and investments, all in one place.</t>
  </si>
  <si>
    <t>CVX Ventures, Eminova Partners, Magnus Dimert, Matti Shubeli, Olof Carlstoft, Stockholm Innovation &amp; Growth</t>
  </si>
  <si>
    <t>www.alwy.se</t>
  </si>
  <si>
    <t>502873-30</t>
  </si>
  <si>
    <t>AM Management</t>
  </si>
  <si>
    <t>Provider of a quantitative digital asset management platform designed to manage cryptocurrency investments through AI-driven trading strategies. The company offers non-custodial AI quant strategies, real-time risk monitoring, and global exchange integration, enabling institutional investors to access automated and customizable cryptocurrency portfolio management.</t>
  </si>
  <si>
    <t>Center for Creative Economy and Innovation, D-Camp, DeSpread, DinnoLab, IBK Changgong, J-Cam, Ji-woong Choi, LUXVENTURES, Mashup Ventures, Mosaic (South Korea), Ruth Ventures, Shinhan Futures Lab, Shinhye Lee, Tech Incubator Program for Startup, Ulsan Startup Hub, Woori Financial Group</t>
  </si>
  <si>
    <t>www.amcryptoteam.com</t>
  </si>
  <si>
    <t>494568-37</t>
  </si>
  <si>
    <t>Amal Invest</t>
  </si>
  <si>
    <t>Developer of a financial investment platform designed for ethical investing. The company's platform offers access to ETFs and mutual funds, filters non-compliant stocks, and provides smart rebalancing, enabling investors to grow their wealth while adhering to Shariah-compliant principles.</t>
  </si>
  <si>
    <t>Olive Tree Capital, Y Combinator</t>
  </si>
  <si>
    <t>www.amalinvest.com</t>
  </si>
  <si>
    <t>264736-36</t>
  </si>
  <si>
    <t>Amalan International</t>
  </si>
  <si>
    <t>Operator of debt management programs intended to leverage affordable loan restructuring systems in cooperation with lenders. The company focuses on debt negotiations, providing financial literacy, and designing debt repayment plans, enabling clients to pay out debts promptly and avoid penalties and high interest rates.</t>
  </si>
  <si>
    <t>500 Global, 500 Southeast Asia, Achieve, Ant Group, Blauwpark Partners, BLOCK71, Jonathan Chang, SYNRGY Accelerator, The Malaysian Global Innovation and Creativity Centre, Triple P Capital, Wouter Kneepkens</t>
  </si>
  <si>
    <t>amalan.com</t>
  </si>
  <si>
    <t>546691-24</t>
  </si>
  <si>
    <t>Aman Holding</t>
  </si>
  <si>
    <t>Provider of digital financial services intended for simplifying and broadening access to non-bank financial tools. The company's platform integrates bill payments, utility and school fees processing via POS terminals, flexible installment purchasing, tailored project financing for individuals and small and medium enterprises, an embedded e-wallet with rapid wallet opening, digital savings certificates with daily returns, enabling Egyptian consumers and businesses to access inclusive, seamless, and secure fintech tools that address daily financial needs and empower economic participation.</t>
  </si>
  <si>
    <t>Challenge Fund for Youth Employment</t>
  </si>
  <si>
    <t>www.aman.eg</t>
  </si>
  <si>
    <t>1167530-32</t>
  </si>
  <si>
    <t>AMARA Rewards</t>
  </si>
  <si>
    <t>Developer of a membership-backed financial platform designed to rethink the economics of premium rewards and access. The company offers a charge card, an AI-powered concierge, a curated partner ecosystem across travel, events, and lifestyle services, and a social validation layer that surfaces trusted recommendations and real member behavior, enabling affluent consumers seeking enhanced financial access and curated experiences a more aligned alternative to traditional premium credit card programs.</t>
  </si>
  <si>
    <t>Grays Peak Capital</t>
  </si>
  <si>
    <t>www.amararewards.com</t>
  </si>
  <si>
    <t>155920-78</t>
  </si>
  <si>
    <t>Amaryllis</t>
  </si>
  <si>
    <t>Developer of an online platform designed to solve complex payment challenges. The company's platform offers complete visibility of the transaction lifecycle and reconciles all pay-in and payout providers, enabling payment processors, gateways, ISOs, marketplaces, and payment facilitators to complete the transaction life cycle of any financial supply chain.</t>
  </si>
  <si>
    <t>FINTOP (US), Global Incubator Network, JAM FINTOP, Wekix</t>
  </si>
  <si>
    <t>www.amaryllispay.com</t>
  </si>
  <si>
    <t>607867-84</t>
  </si>
  <si>
    <t>American Operator</t>
  </si>
  <si>
    <t>Developer of a capital platform designed for small business entrepreneurs. The company's platform assists in structuring the deal, providing standardized investment documents, and facilitating compliance, enabling small business entrepreneurs to meet investors, raise capital, and build enduring businesses.</t>
  </si>
  <si>
    <t>8VC, Gallery Ventures, Nomad Ventures</t>
  </si>
  <si>
    <t>www.americanoperator.com</t>
  </si>
  <si>
    <t>517911-67</t>
  </si>
  <si>
    <t>Amlyze</t>
  </si>
  <si>
    <t>Developer of a risk assessment and transaction monitoring platform designed to help avoid reputational and financial damages. The company's platform offers sustainable services to minimize financial and white-collar crime, thus actualizing companies' internal standards and avoiding reputational and financial damage, enabling clients to fulfill their compliance obligations imposed by the regulators to increase security levels.</t>
  </si>
  <si>
    <t>Advanzia Bank, Bulgarian Expansion Bridge, CoInvest Capital, Donatas Dailide, FIRSTPICK, Gintas Balciunas, Mastercard Lighthouse, NGL Ventures, Practica Capital</t>
  </si>
  <si>
    <t>www.amlyze.com</t>
  </si>
  <si>
    <t>490782-52</t>
  </si>
  <si>
    <t>Amwal</t>
  </si>
  <si>
    <t>Developer of a debt-based crowdfunding platform designed to let retail investors lend short-term loans to SMEs. The company's platform facilitates investors to invest in small and medium businesses through loans, enabling firms to raise funds for growth while allowing investors to earn returns on their investments.</t>
  </si>
  <si>
    <t>www.amwal.com.eg</t>
  </si>
  <si>
    <t>496695-70</t>
  </si>
  <si>
    <t>Amwal Tech</t>
  </si>
  <si>
    <t>Artificial Intelligence &amp; Machine Learning, Cybersecurity, FinTech, Mobile</t>
  </si>
  <si>
    <t>Developer of an authentication-based payment platform designed to improve payment acceptance for businesses. The company's platform offers category-defining products in payment and cybersecurity that combine identity verification, fraud prevention and payment processing all through a single application, enabling financial institutions, merchants and payment providers to gain a secure digital payment experience to authenticate, identify and secure their customers on every device and channel.</t>
  </si>
  <si>
    <t>Hub71, Oryx Fund, Outliers Venture Capital, Salica Investments, Shorooq Partners, TA Ventures, Wa'ed Ventures</t>
  </si>
  <si>
    <t>www.amwal.tech</t>
  </si>
  <si>
    <t>538232-05</t>
  </si>
  <si>
    <t>Anansii</t>
  </si>
  <si>
    <t>Developer of automated modern payment technology designed to simplify managing payment terms. The company's technology offers unified services for collecting payments, sending payment reminders, and reconciling online or offline payments by solving cost structure problems by acquiring and underwriting using their recurring payments to their suppliers, enabling clients to enjoy password-less online invoice payments.</t>
  </si>
  <si>
    <t>Plug and Play Tech Center, Very Serious Ventures, Visa</t>
  </si>
  <si>
    <t>www.anansii.com</t>
  </si>
  <si>
    <t>495053-38</t>
  </si>
  <si>
    <t>AnaStrat</t>
  </si>
  <si>
    <t>Developer of an artificial intelligence-enabled trading analysis platform designed to help in investment decision-making. The company's platform utilizes the unique capabilities of the data cloud technique, which allows users from across the globe to access the platform that will provide them with a cohesive automated suite and ensure traders harness the full potential of DL/ML technology, enabling financial traders to develop effective trading strategies in the financial markets.</t>
  </si>
  <si>
    <t>Amit Goel, Arnab Bhattacharya, Chandan Joshi, Love Mehta, Sanjay Gandhi</t>
  </si>
  <si>
    <t>www.anastrat.com</t>
  </si>
  <si>
    <t>533313-01</t>
  </si>
  <si>
    <t>AnchorZero</t>
  </si>
  <si>
    <t>Operator of a financial platform intended to change advanced tax strategies, making them accessible to everyone. The company simplifies the process of placing startup equity into Roth individual retirement accounts (IRAs), offering significant tax savings and financial growth opportunities, and allows users to leverage the tax benefits while managing startup equity within their retirement savings plans, enabling founders and employees to avail themselves of tax-focused products to achieve their financial goals.</t>
  </si>
  <si>
    <t>Bain Capital, Bluebirds Capital, Ethereal Ventures, Metalayer Ventures, Mischief, Pascal Capital, Robot Ventures, Sarah Meyohas, Spark Capital, StartX (US)</t>
  </si>
  <si>
    <t>www.anchorzero.com</t>
  </si>
  <si>
    <t>469896-04</t>
  </si>
  <si>
    <t>Andeno</t>
  </si>
  <si>
    <t>Provider of financial services intended to offer low-cost personal loans. The company provides an online registration facility and gives loans for vacations, debt consolidations, career growth and unforeseen expenses, enabling customers to get finance at a lower interest rate.</t>
  </si>
  <si>
    <t>www.andeno.com</t>
  </si>
  <si>
    <t>711470-26</t>
  </si>
  <si>
    <t>Andera</t>
  </si>
  <si>
    <t>Developer of an artificial intelligence-powered audit platform designed to automate SOX testing. The company offers features like control testing, exception management, and evidence-gathering with enterprise-grade scalability and security, helping public accounting firms and internal audit teams to reduce time and cost in conducting audits.</t>
  </si>
  <si>
    <t>A*, Bain Capital Ventures, LightSpeed, Pear (California)</t>
  </si>
  <si>
    <t>www.andera.ai</t>
  </si>
  <si>
    <t>518062-24</t>
  </si>
  <si>
    <t>Angel Lounge</t>
  </si>
  <si>
    <t>Developer of an angel investor community platform designed to discover companies, diversify investment, and provide follow-up management for recovery. The company's platform provides a place where accelerators and angel investors in Korea can meet, creating an angel investment community and making investment activities through individual investment associations, enabling innovators to grow, find quality investment destinations, and enjoy tax savings.</t>
  </si>
  <si>
    <t>Bigbang Angels, TheVentures Company</t>
  </si>
  <si>
    <t>www.angelounge.com</t>
  </si>
  <si>
    <t>546654-79</t>
  </si>
  <si>
    <t>Ankor</t>
  </si>
  <si>
    <t>Developer of an actionable financial data platform intended to eliminate manual financial reconciliation. The company's platform offers specialised accelerators that operate within precisely defined parameters with auditable business logic, autonomously identifying opportunities and executing solutions with less human input, enabling teams to focus on driving growth and achieving a competitive advantage.</t>
  </si>
  <si>
    <t>Bust (Sweden), Enjoy The Work, Jonathan Sanders, Layla Qassim, Neil Murray, Nicolai Hojer, Oscar Hallen, Upfin Management</t>
  </si>
  <si>
    <t>www.ankor.app</t>
  </si>
  <si>
    <t>732114-91</t>
  </si>
  <si>
    <t>Antaria Holding</t>
  </si>
  <si>
    <t>Developer of a tech-enabled business management platform designed for streamlining operations. The company's platform offers financing, business management tools, and proprietary technology, enabling clients to efficiently manage their operations and grow their businesses.</t>
  </si>
  <si>
    <t>Hamilton Global Opportunities</t>
  </si>
  <si>
    <t>533453-77</t>
  </si>
  <si>
    <t>Anthropogenic</t>
  </si>
  <si>
    <t>Artificial Intelligence &amp; Machine Learning, Big Data, Climate Tech, FinTech</t>
  </si>
  <si>
    <t>Developer of a real-time impact monitoring platform designed to power a new class of socially and environmentally responsible investment. The company helps to connect earth science data to the global financial system to expedite the transition to a no-carbon economy, enabling clients to choose investments that align with their values and to make a positive impact on the world.</t>
  </si>
  <si>
    <t>Brainstorm Ventures, KittyHawk, Overview Capital</t>
  </si>
  <si>
    <t>outcome.com</t>
  </si>
  <si>
    <t>897452-74</t>
  </si>
  <si>
    <t>AnyTax</t>
  </si>
  <si>
    <t>Developer of a digital tax platform designed to simplify tax reporting and regulatory filing. The company offers automated data aggregation, validation, and reporting capabilities, enabling financial institutions and tax professionals to streamline compliance workflows, reduce manual errors, and manage reporting obligations across global tax regimes with improved accuracy and operational efficiency.</t>
  </si>
  <si>
    <t>BLACKVRST Equity GmbH, Founder's Lab, Heartfelt (Private Equity), IBB Ventures, Super Capital, The House of Finance and Tech Berlin</t>
  </si>
  <si>
    <t>www.anytax.io</t>
  </si>
  <si>
    <t>1326816-19</t>
  </si>
  <si>
    <t>Anyway</t>
  </si>
  <si>
    <t>Developer of payment and monetization infrastructure for software agents designed to align pricing with outcomes and usage. The company offers APIs for outcome-based pricing, usage tracking, billing management, dynamic pricing adjustment, and integration with agent workflows, enabling developers, startups, and businesses building AI agents to generate revenue and manage how their services are charged.</t>
  </si>
  <si>
    <t>Sky9 Capital</t>
  </si>
  <si>
    <t>www.anyway.sh</t>
  </si>
  <si>
    <t>741584-26</t>
  </si>
  <si>
    <t>Aparta</t>
  </si>
  <si>
    <t>Developer of a shared homeownership platform created for individuals seeking financial flexibility. The company's platform enables users to transfer ownership of a portion of their property while maintaining full access, offering options for reclaiming the share later, unlocking funds without borrowing, and preserving engagement with the housing market, helping homeowners navigate varying financial circumstances and personal transitions effectively.</t>
  </si>
  <si>
    <t>CVX Ventures</t>
  </si>
  <si>
    <t>www.aparta.com</t>
  </si>
  <si>
    <t>491519-53</t>
  </si>
  <si>
    <t>Apaya</t>
  </si>
  <si>
    <t>Developer of a unified application programming interface and local payment platform designed for control over personal data and choice over the payment option. The company's platform offers e-wallets, cash payment schemes, bank transfers and carrier billing, enabling merchants to grow their business into new geographies, satisfy their customer's payment preferences and rapidly expand their customer reach.</t>
  </si>
  <si>
    <t>DIFC Innovation Hub, GreenHouse Capital, IKTOMI, LoftyInc Capital Management, Microsoft for Startups</t>
  </si>
  <si>
    <t>www.apaya.io</t>
  </si>
  <si>
    <t>462671-47</t>
  </si>
  <si>
    <t>Aper</t>
  </si>
  <si>
    <t>Developer of digital marketplaces and customer engagement programs designed to empower financial institutions to drive growth. The company's platform uses machine learning and artificial intelligence to orchestrate a whole ecosystem of connected technologies, enabling banks and financial institutions to create a fair and flexible marketplace.</t>
  </si>
  <si>
    <t>FJ Labs, Lotux, Radian Capital, Start Path</t>
  </si>
  <si>
    <t>www.aper.com</t>
  </si>
  <si>
    <t>490338-10</t>
  </si>
  <si>
    <t>ApexEdge</t>
  </si>
  <si>
    <t>Developer of a subscription management platform designed for receiving payments from customers. The company's offer utilizes active intelligence to provide embeddable widget solutions, application programming interface integrations, and development and engineering support, enabling businesses and customers to capitalize on their savings and manage their expenses efficiently.</t>
  </si>
  <si>
    <t>305 Ventures, Five Points Family Ventures, Florida Funders, Institute for Commercialization of Florida Technology, Miami Angels</t>
  </si>
  <si>
    <t>www.apexedge.com</t>
  </si>
  <si>
    <t>453378-79</t>
  </si>
  <si>
    <t>APIBank</t>
  </si>
  <si>
    <t>Developer of a banking platform designed to allow businesses to create their own banking service. The company integrates with banks across the globe to provide an easy-to-use application programming interface to create banking products like wallets and payments, self-employed payments, issuing branded cards, and other related plugins, enabling businesses to provide banking services to their customers.</t>
  </si>
  <si>
    <t>Launchbay Capital, RBF Ventures</t>
  </si>
  <si>
    <t>www.apibank.club</t>
  </si>
  <si>
    <t>461803-87</t>
  </si>
  <si>
    <t>Aplazo</t>
  </si>
  <si>
    <t>Developer of a fintech platform intended to unlock financial access, freedom, and opportunity for every Mexican. The company's platform allows users to pay for their purchases online on an installment basis at the affiliated stores, users need to apply online through the website and select delay as a payment method that allows them to pay for their products in a fixed installment payment plan, enabling businesses to increase the customer base by accessing delay marketing channels.</t>
  </si>
  <si>
    <t>99 Startups, Architect Capital, Azuro Capital, GoalVest Advisory, Kaszek, Kinderhook Partners, Oak HC/FT, Picus Capital, QED Investors, Spectra Investments, Village Capital, Visor Ventures, Volpe Capital, Woodson Capital Management</t>
  </si>
  <si>
    <t>www.aplazo.mx</t>
  </si>
  <si>
    <t>442346-68</t>
  </si>
  <si>
    <t>Apoidea (Financial Software)</t>
  </si>
  <si>
    <t>Developer of financial automation software designed to automate data extraction and processing. The company's technology utilizes deep learning and natural language processing to extract insights from financial texts, enabling financial institutions to automate financial spreading and market monitoring.</t>
  </si>
  <si>
    <t>Cheah Hye, Cyberport Hong Kong, Duncan Chiu, Gobi Partners, Hong Kong Science &amp; Technology Parks, Li Zekai, T12M Ventures, Xie Qinghai</t>
  </si>
  <si>
    <t>www.apoidea.ai</t>
  </si>
  <si>
    <t>481175-92</t>
  </si>
  <si>
    <t>ApprovalMax</t>
  </si>
  <si>
    <t>Developer of an online accounting platform designed for approval-driven financial controls for accounts payable and accounts receivable. The company's platform integrates with accounting software and enables multi-step approvals for purchase orders, bills, sales invoices, and other accounting documents while ensuring spend control and regulatory compliance, enabling companies to replace paper and email-based approvals with automated approval workflows.</t>
  </si>
  <si>
    <t>Yttrium</t>
  </si>
  <si>
    <t>www.approvalmax.com</t>
  </si>
  <si>
    <t>467099-74</t>
  </si>
  <si>
    <t>AppsNmobile Solutions</t>
  </si>
  <si>
    <t>AgTech, B2B Payments, FinTech, Mobile Commerce</t>
  </si>
  <si>
    <t>Developer of a payment processing platform intended to facilitate e-ticketing. The company's platform sends tickets via quick response codes or short message services and comes with easy ticket verification at entry points, which aids in paying a long list of recipients, enabling businesses to receive or send payments electronically while ensuring a smooth transition and hassle-free operation.</t>
  </si>
  <si>
    <t>Oasis Capital Ghana</t>
  </si>
  <si>
    <t>www.appsnmobilesolutions.com</t>
  </si>
  <si>
    <t>553900-60</t>
  </si>
  <si>
    <t>Apriority</t>
  </si>
  <si>
    <t>Developer of a debt management platform designed to minimize personal debt payments regardless of market fluctuations. The company offers financial guidance in optimization and live market tracking by fetching existing liability data through a soft credit pull and analyzing data relevant to those retrieved liabilities, enabling customers to minimize investment costs and act on their potential savings.</t>
  </si>
  <si>
    <t>Bridge, Charlottesville Angel Network, Illini Angels, Illinois Ventures, Keiretsu Forum, Samvid Ventures, Techstars, Valhalla Private Capital</t>
  </si>
  <si>
    <t>www.apriority.ai</t>
  </si>
  <si>
    <t>353908-99</t>
  </si>
  <si>
    <t>Aptys Solutions</t>
  </si>
  <si>
    <t>Developer of a digital payments platform designed to help financial institutions process and manage multi-channel payment transactions. The company's platform offers real-time payment processing, multi-rail transaction management, cloud-based infrastructure, and integrated mobile payment capabilities, enabling banks and credit unions to execute and monitor electronic payments efficiently.</t>
  </si>
  <si>
    <t>Alloya Corporate, Vizo Financial</t>
  </si>
  <si>
    <t>www.aptyssolutions.com</t>
  </si>
  <si>
    <t>462786-58</t>
  </si>
  <si>
    <t>AQUATY</t>
  </si>
  <si>
    <t>Developer of a digital infrastructure for early-stage venture capital designed for investors, angel networks, syndicate leaders, and founders. The company's platform provides access to deal flow and digitizes the entire investment process including due diligence, signing, custody and portfolio management, it makes the process efficient and cost-effective and opens the venture capital asset class to a large group of investors, enabling investors to manage their portfolios more effectively.</t>
  </si>
  <si>
    <t>Aschendorff NEXT, Berthold von Freyberg, Blackdor, Business Angels Club Berlin-Brandenburg, JVH Ventures, Mirko Novakovic, New Forge, Superangels, Tenity</t>
  </si>
  <si>
    <t>www.aquaty.capital</t>
  </si>
  <si>
    <t>769429-63</t>
  </si>
  <si>
    <t>ArabianPay</t>
  </si>
  <si>
    <t>Developer of a flexible payment platform designed to support businesses in offering buy now and pay later options. The company's platform connects merchants with trusted suppliers, allows businesses to finance inventory purchases, and offers flexible repayment plans with clear schedules by combining financing and procurement in one system, enabling clients to simplify business purchasing while giving companies control and affordability in managing their operations.</t>
  </si>
  <si>
    <t>Al Bassami Holding</t>
  </si>
  <si>
    <t>arabianpay.net</t>
  </si>
  <si>
    <t>434065-24</t>
  </si>
  <si>
    <t>Aracar group</t>
  </si>
  <si>
    <t>Provider of financial services intended for auto dealerships, consumers, and asset managers. The company's platform offers auto-dealership services, consumer-secured credit scores, secured lending, loan administration and vehicle services, automobile loans and leasing, refinancing loans and vehicle ownership products for the under-banked, enabling consumers and auto dealers to optimize access to financing and increase sales.</t>
  </si>
  <si>
    <t>www.aracargroup.com</t>
  </si>
  <si>
    <t>572177-62</t>
  </si>
  <si>
    <t>Arbela</t>
  </si>
  <si>
    <t>Developer of a research platform designed to offer data-driven insights to guide stock market investments. The company's platform utilizes artificial intelligence to assist users in discovering and analyzing public companies and provides access to live data feeds, quarterly updates, news stories, and various metrics, enabling investors to make more informed investment decisions, reduce risks, and identify opportunities faster than traditional research methods.</t>
  </si>
  <si>
    <t>BetterLabs Ventures, Capricorn Society, East Coast Capital (), Hawaiian, Plus Eight Accelerator, Woodside Energy Group</t>
  </si>
  <si>
    <t>arbela.io</t>
  </si>
  <si>
    <t>556685-20</t>
  </si>
  <si>
    <t>ARC (Financial Software)</t>
  </si>
  <si>
    <t>Developer of a Layer-1 blockchain network designed to support stablecoin-native finance and other on-chain economic activity. The company offers an open, EVM-compatible blockchain with predictable fiat-denominated fees, transaction finality, opt-in privacy tooling and infrastructure integration, enabling clients to deploy and operate financial applications, transact stablecoins, and build other programmable economic services on-chain.</t>
  </si>
  <si>
    <t>Newman Capital, Thunderbolt Capital, Zaiken Ventures</t>
  </si>
  <si>
    <t>www.arc.xyz</t>
  </si>
  <si>
    <t>470917-72</t>
  </si>
  <si>
    <t>Arc (San Francisco)</t>
  </si>
  <si>
    <t>Developer of a financial technology company designed to help startups grow through its integrated cash management and debt marketplace platform. The company's platform offers a suite of financial tools, including cash management accounts, treasury management for yield optimization, and debt financing options, while also incorporating artificial intelligence to automate financial workflows and provide real-time insights into burn rates and runway, enabling venture-backed startups and mid-market technology firms to manage liquidity, access non-dilutive capital, and scale operations with greater financial efficiency and control.</t>
  </si>
  <si>
    <t>10X Capital, Accel, Alumni Ventures, Andreessen Horowitz, Atalaya Capital Management, Bain Capital Ventures, Bessemer Venture Partners, Carya Venture Partners, ChargeBee, Clocktower Ventures, Colorado Springs Pioneer Fund, Dreamers VC, eConversions, Forterro Sweden, Gaingels, General Catalyst, Left Lane Capital, MajorKey Technologies, Menlo Ventures, New Enterprise Associates, Next Legacy Partners, NFX, Pioneer Fund, Plaid, Position Ventures, Sequoia Capital, Soma Capital, Torch Capital, VSC Ventures, Xtripe Angels, Y Combinator</t>
  </si>
  <si>
    <t>www.joinarc.com</t>
  </si>
  <si>
    <t>481728-79</t>
  </si>
  <si>
    <t>Archa</t>
  </si>
  <si>
    <t>Developer of a corporate card and spend management platform designed to streamline business spending and expense tracking. The company's platform offers digital card issuance, real-time spend controls, automated expense reconciliation, global payments without foreign exchange fees, rewards programs, and accounting integrations, enabling businesses and finance teams to manage expenses efficiently and maintain financial visibility.</t>
  </si>
  <si>
    <t>Adam Jacobs, Alex Vynokur, Anthony Nantes, BW Equities, Emily Skye, John Prendiville, Lazarus Capital Partners(Hong Kong), Michael Carapiet, Quade Cooper, Richard Preen, Stuart Marburg, The Fintech Fund</t>
  </si>
  <si>
    <t>www.archa.com.au</t>
  </si>
  <si>
    <t>434177-38</t>
  </si>
  <si>
    <t>Archer</t>
  </si>
  <si>
    <t>Operator of a commercial real estate investment analysis platform designed to automate and streamline deal evaluation for property investors. The company's platform offers integrated tools for automated underwriting, investment modeling, data aggregation, replacing multiple subscriptions, deal pipeline management, and rapid property-to-analysis workflows that eliminate redundant data entry and manual processes, enabling commercial real estate investment firms, lenders, and brokers to analyze more deals with greater speed and certainty while reducing time spent on repetitive tasks in a competitive market.</t>
  </si>
  <si>
    <t>Astir Ventures, Bullock Capital, David Fox, DealBench, Kishore Ganji, Mana Ventures, Marcus &amp; Millichap, North 50 Venture Capital, Portland Seed Fund, Rogue Venture Partners, Sprint VC, The MBA Fund, Venture Initiation Program</t>
  </si>
  <si>
    <t>www.archer.re</t>
  </si>
  <si>
    <t>433614-97</t>
  </si>
  <si>
    <t>ArchForce Technology</t>
  </si>
  <si>
    <t>Developer of distributed management systems for the financial and securities industry. The company specializes in developing advanced distributed financial management systems including real-time risk management platform, trading platform, and market data platform, providing comprehensive support for China's financial infrastructure capabilities.</t>
  </si>
  <si>
    <t>Belay Capital, Changjiang Securities Innovation Investment, China Capital Management, China Merchants Securities, China Merchants Venture Capital, China Universal Asset Management, CMB International Capital, Gortune Investment, Grandway Capital, HSG (Hong Kong), Huatai Securities, Orient Securities Capital Investment Company, SDIC Securities, Shanghai Guoxin Investment, Shenzhen Capital Group, Shenzhen High-Tech Investment, Utrust Fund, Xingzheng Innovation Capital</t>
  </si>
  <si>
    <t>www.archforce.cn</t>
  </si>
  <si>
    <t>431726-05</t>
  </si>
  <si>
    <t>Arf</t>
  </si>
  <si>
    <t>Operator of a cross-border settlement banking platform intended for international money transfers. The company's platform eliminates the capital-intensive business model of the cross-border payments industry by offering digital asset-based working capital and settlement services with native on-ramp and off-ramp capabilities to licensed money service businesses and financial institutions, enabling users to transfer money without any hidden fees and at real, fair exchange rates.</t>
  </si>
  <si>
    <t>500 Global, Blockchain Founders Fund, Circle Ventures, Cloudberry Ventures (London), Creative Destruction Lab, e2vc, Fenbushi Capital, FTX Ventures, Hard Yaka, idacapital, NGC Ventures(Singapore), Signum Capital, Solana Ventures, Stellar (Financial Software), TIBAS Ventures, UOB Venture Management, Visa Innovation Program</t>
  </si>
  <si>
    <t>www.arf.one</t>
  </si>
  <si>
    <t>568909-09</t>
  </si>
  <si>
    <t>Argentum</t>
  </si>
  <si>
    <t>Developer of a treasury management platform for small and medium-sized businesses (SMBs) intended to optimize their cash holdings and generate additional interest income. The company's platform connects to existing bank accounts, analyzes real-time data, and automatically allocates funds across multiple interest-bearing accounts based on pre-defined thresholds and operating cash while maximizing returns on idle funds, enabling SMBs to manage their finances strategically, improve liquidity, and increase profitability without the need for additional bank accounts or manual transfers.</t>
  </si>
  <si>
    <t>BankTech Ventures</t>
  </si>
  <si>
    <t>www.getargentum.com</t>
  </si>
  <si>
    <t>462987-10</t>
  </si>
  <si>
    <t>Ark (Financial Software)</t>
  </si>
  <si>
    <t>Developer of a cloud-based private fund operating platform designed to offer a secure, scalable, and seamless investor reporting portal. The company's platform offers automated capital call and distribution origination, a secure reporting portal, dynamic capital account reporting, and a document repository, enabling private equity, venture capital, real estate, and administration firms to boost and simplify workflow for their clients.</t>
  </si>
  <si>
    <t>www.arkpes.com</t>
  </si>
  <si>
    <t>706772-62</t>
  </si>
  <si>
    <t>Ark (Real Estate Investment Trust)</t>
  </si>
  <si>
    <t>Operator of a digital investment firm designed for property investment and savings. The company's platform allows users to invest small amounts in income-generating properties, offering features like interest contract trading, accessible investment entry points, and consistent returns, enabling investors to diversify portfolios and gain steady financial growth from real estate investments.</t>
  </si>
  <si>
    <t>Core Vision Investments</t>
  </si>
  <si>
    <t>www.arktec.sa</t>
  </si>
  <si>
    <t>638886-61</t>
  </si>
  <si>
    <t>Ark Labs</t>
  </si>
  <si>
    <t>Developer of a cryptocurrency payment service platform designed to speed up digital transactions and lower costs. The company's platform allows bitcoin unspent transaction outputs to be lifted off-chain without relying on additional layers and consensus models, eliminating counterparty risks and guaranteeing unilateral control over the funds, enabling users to benefit from a native, secure bitcoin environment that's free from the constraints of the blockchain</t>
  </si>
  <si>
    <t>Anchorage Digital, Axiom Venture Partners (UK), Contribution Capital, Draper Associates, ego death capital, Epoch Ventures, Fulgur Ventures, Lion26, Ralph Ho, Sats Ventures, Stephen Cole, Tether (Financial Software), Timothy Draper, Vulpem Ventures</t>
  </si>
  <si>
    <t>www.arklabs.xyz</t>
  </si>
  <si>
    <t>462801-70</t>
  </si>
  <si>
    <t>Ark7</t>
  </si>
  <si>
    <t>Developer of a real estate securitization platform designed to provide direct access to quality real estate investment opportunities. The company's platform handles the end-to-end workflow from collecting comprehensive data, providing statistical guidance toward good choices, handling the legal and financial procedures, and renting and managing the properties, enabling clients to build their real estate investment portfolio at a low cost and in different locations without the hassle of property management.</t>
  </si>
  <si>
    <t>8 Decimal Capital, Andrew C., Cassie Han, Emma Chen, Fortified Ventures, Pat H., UpHonest Capital</t>
  </si>
  <si>
    <t>www.ark7.com</t>
  </si>
  <si>
    <t>528395-05</t>
  </si>
  <si>
    <t>ArkoPay</t>
  </si>
  <si>
    <t>Developer of a financial management platform designed to support businesses in handling payments and cash flow. The company's platform facilitates transactions, offers flexible payment terms, and connects suppliers with contractors, enabling construction firms to manage expenses efficiently, ensure timely worker compensation, optimize financial operations, and minimize cash flow uncertainties.</t>
  </si>
  <si>
    <t>Antler, BonBillo, COMEUP STARS, Hatcher+, Kumpul, Tenity</t>
  </si>
  <si>
    <t>www.arkopay.com</t>
  </si>
  <si>
    <t>1165509-64</t>
  </si>
  <si>
    <t>Aro Serviços Financeiros</t>
  </si>
  <si>
    <t>Operator of financial technology services designed for expanding access to credit and financial inclusion. The company employs technology and data-driven methods to streamline credit processes and foster transparency, enabling emerging market clients to access fairer financial products.</t>
  </si>
  <si>
    <t>17Sigma, Gilgamesh Ventures, Grão (São Paulo), Norte Ventures, ONEVC</t>
  </si>
  <si>
    <t>aro.ia.br</t>
  </si>
  <si>
    <t>495776-98</t>
  </si>
  <si>
    <t>Arpari</t>
  </si>
  <si>
    <t>Developer of a financial platform designed for commercial real estate. The company's platform offers interest on deposits, collects rent, and saves time managing properties and portfolio management, seamless account opening, and property management integrations, enabling property owners to easily manage their day-to-day banking needs, collect rent, and manage their properties.</t>
  </si>
  <si>
    <t>Pioneer Fund, Y Combinator</t>
  </si>
  <si>
    <t>www.arpari.com</t>
  </si>
  <si>
    <t>571527-10</t>
  </si>
  <si>
    <t>ARQA</t>
  </si>
  <si>
    <t>Developer of an artificial intelligence-enabled platform designed for wealth management. The company platform offers features such as transforming documents into data, gaining insights from anywhere, facilitating decisions, and more, enabling clients to utilize generative artificial intelligence capture to turn financial documents into actionable data in real time.</t>
  </si>
  <si>
    <t>www.arqa.ai</t>
  </si>
  <si>
    <t>1308531-25</t>
  </si>
  <si>
    <t>Arqitech</t>
  </si>
  <si>
    <t>Developer of a financial infrastructure platform designed to support blockchain-based financial operations. The company's platform provides non-custodial infrastructure, cross-chain settlement, smart contract tooling, and secure self-custody components, enabling financial institutions and fintech operators to integrate blockchain functionality into regulated financial services with operational control and interoperability.</t>
  </si>
  <si>
    <t>Siebert Financial</t>
  </si>
  <si>
    <t>www.arqitech.com</t>
  </si>
  <si>
    <t>509725-09</t>
  </si>
  <si>
    <t>ARR Squared</t>
  </si>
  <si>
    <t>Developer of a growth capital platform intended to help SaaS-based and recurring revenue companies grow. The company's platform specializes in converting contracted subscriptions (ACV) into cash without the heavy discounts typically associated with upfront annual payments from customers, enabling companies to turn their monthly recurring revenues into equivalent annual cash advances.</t>
  </si>
  <si>
    <t>www.arrsquared.com</t>
  </si>
  <si>
    <t>865616-41</t>
  </si>
  <si>
    <t>Arra Energy</t>
  </si>
  <si>
    <t>Artificial Intelligence &amp; Machine Learning, CleanTech, FinTech</t>
  </si>
  <si>
    <t>Developer of an AI-accelerated due diligence platform intended for renewable energy assets. The company's platform pre-validated assets and qualified investors while ensuring user anonymity, enabling customers to acquire and divest renewable energy assets faster by accelerating valuations.</t>
  </si>
  <si>
    <t>One Planet Capital</t>
  </si>
  <si>
    <t>www.arra.energy</t>
  </si>
  <si>
    <t>528233-77</t>
  </si>
  <si>
    <t>Arrago</t>
  </si>
  <si>
    <t>Provider of an equity release mortgage platform intended to provide a flexible credit option secured by property. The company offers loans with no mandatory monthly repayments, customizable amounts and protection against exceeding property value, enabling older customers to manage financial difficulties with greater ease.</t>
  </si>
  <si>
    <t>COMEUP STARS, Obotritia Capital, The Moon Venture</t>
  </si>
  <si>
    <t>www.arrago.fr</t>
  </si>
  <si>
    <t>529052-41</t>
  </si>
  <si>
    <t>Arrears</t>
  </si>
  <si>
    <t>Developer of a debt collection platform intended to leverage advanced AI technology to streamline and enhance the debt collection process. The company focuses on personalized communications, omnichannel payments and AI capabilities by automating invoicing, reminder and dunning sequences, customizing messaging and optimizing AR workflows to deliver the right message at the right time, enabling businesses to reduce costs, improve customer satisfaction and increase the likelihood of payment.</t>
  </si>
  <si>
    <t>Aspire (United States)</t>
  </si>
  <si>
    <t>www.arre.co</t>
  </si>
  <si>
    <t>1158132-70</t>
  </si>
  <si>
    <t>Arrive (Financial Software)</t>
  </si>
  <si>
    <t>Developer of an AI-powered accounting and firm operations platform designed to simplify accounting and administrative tasks. The company's platform consolidates communications, billing, and documents, includes an AI assistant for basic bookkeeping, and provides dashboards and client portals, enabling accounting firms to make informed decisions and improve financial clarity through guidance and digital experience.</t>
  </si>
  <si>
    <t>Capital Q Ventures</t>
  </si>
  <si>
    <t>www.arrive.accountants</t>
  </si>
  <si>
    <t>459754-30</t>
  </si>
  <si>
    <t>Arrow</t>
  </si>
  <si>
    <t>Porvider of point-of-sale embedded lending services intended to assist people in healthcare financing. The company covers medical bills and users can pay back over a period of time on a customized payment plan that works for them, enabling people to avail of healthcare services in an affordable way with no fees and no interest.</t>
  </si>
  <si>
    <t>2048 Ventures, Afore Capital, Alex Chung, Awesome People Ventures, Banana Capital, Company Ventures, Earl Grey Capital, Founders First Capital Partners, Four Acres Capital, Freya Ventures, Goodwater Capital, Gradient Ventures, H/L Ventures, ICLUB, Jerod Mayo, Julian Capital, Karim Atiyeh, Makai VC, Muse Capital, NKM Capital, nvp capital, ODF, Omega Funds, Ossian Capital, Pareto Holdings, Polymath Capital Partners, Riverside Ventures, Soma Capital, Supernode Ventures, TA Ventures, TACK Ventures, T-Bird Capital, The Fintech Fund, TJ. Parker, Weekend Fund</t>
  </si>
  <si>
    <t>www.arrowhq.com</t>
  </si>
  <si>
    <t>483207-31</t>
  </si>
  <si>
    <t>Arta Finance</t>
  </si>
  <si>
    <t>Developer of fintech software designed to offer consumer financing strategies. The company's software utilizes artificial intelligence and machine learning, which helps to democratize wealth management by making the process easier, enabling customers to tap into the financial markets with ease.</t>
  </si>
  <si>
    <t>Betsy Cohen, Coatue Management, Cohen Circle, EDBI, Eric Schmidt, Kavitark Shriram, Mantis VC, Micky Malka, Monk's Hill Ventures, Peak XV Partners, Rayn Group, Ribbit Capital, Sherpalo Ventures, Vanessa Larco</t>
  </si>
  <si>
    <t>www.artafinance.com</t>
  </si>
  <si>
    <t>656423-65</t>
  </si>
  <si>
    <t>Artex Global Markets</t>
  </si>
  <si>
    <t>Developer of a regulated marketplace designed to bring museum-grade fine art into public markets as an alternative asset class. The company offers access to fractional interests in artworks supported by a legal and regulatory framework and proprietary technology, enabling investors to participate in art-backed assets with institutional-grade integrity.</t>
  </si>
  <si>
    <t>www.artexgm.com</t>
  </si>
  <si>
    <t>497983-87</t>
  </si>
  <si>
    <t>Arth (Specialized Finance)</t>
  </si>
  <si>
    <t>Provider of financial services designed to support small business financing and inclusion. The company offers loans, micro insurance, housing finance, investment products, and business accounts through an integrated technology-driven platform with compliance frameworks, risk assessment systems, and customer management capabilities, enabling underserved small and medium enterprises to access formal financial services, manage working capital requirements, and improve financial stability and operational continuity.</t>
  </si>
  <si>
    <t>DEG, MIT Alumni Angels of Northern California</t>
  </si>
  <si>
    <t>www.arthimpact.in</t>
  </si>
  <si>
    <t>711796-42</t>
  </si>
  <si>
    <t>Artifact AI</t>
  </si>
  <si>
    <t>Developer of an artificial intelligence-powered (AI) accounting automation platform designed to streamline financial operations. The company offers intelligent AI agents that automate tasks like bookkeeping, VAT compliance, and financial reporting, enabling businesses to improve efficiency, reduce errors, and gain valuable insights into their financial performance.</t>
  </si>
  <si>
    <t>Andreessen Horowitz, Atlantis Ventures, EWOR, Felix Jahn Beteiligungen, Mosel Ventures, Motive Partners, Operators &amp; Friends, Plug and Play Tech Center, The User Syndicate</t>
  </si>
  <si>
    <t>getartifact.com</t>
  </si>
  <si>
    <t>512561-53</t>
  </si>
  <si>
    <t>Artoh</t>
  </si>
  <si>
    <t>Developer of a financial platform intended for visualizing cash inflows and outflows for e-commerce companies. The company's platform centralizes all account balances, sales, payouts, and expenses in one location, notifies upcoming payments, and discovers profit in seconds, enabling firms to make more informed decisions about where to allocate their resources and how to grow their business.</t>
  </si>
  <si>
    <t>Fast Ventures, Fintech cube</t>
  </si>
  <si>
    <t>www.artoh.com</t>
  </si>
  <si>
    <t>82912-15</t>
  </si>
  <si>
    <t>Asaas</t>
  </si>
  <si>
    <t>Developer of a financial platform designed to manage billing and payments, automate financial processes, and improve customer relationships. The company's platform generates bills and invoices, automatically sending invoice charges via email and SMS without a membership fee, and to receive payments through bank payment slips, credit, and debit, send transfers, pay bills, anticipate receivables, and issue tax invoices, enabling individual entrepreneurs and micro companies to accept payments and have financial control of their business.</t>
  </si>
  <si>
    <t>23S Capital, Airborne Ventures, BOND Capital (San Francisco), CVentures, Endeavor Catalyst, Escala.vc, Informant, Inovabra Ventures, Invisto Gestão de Investimentos, Parallax Ventures, Quartzo Capital, SaaS Ventures, SoftBank Investment Advisers, Spectra Investments, The Hive, Vivo Ventures</t>
  </si>
  <si>
    <t>www.asaas.com</t>
  </si>
  <si>
    <t>465522-49</t>
  </si>
  <si>
    <t>Ascend (Financial Software)</t>
  </si>
  <si>
    <t>Developer of an insurance accounting automation platform designed to unify financial operations across the insurance ecosystem. The company offers invoicing, payment processing, reconciliation, commission management, and reporting tools in a single integrated solution, enabling agencies, wholesalers, MGAs, and carriers to improve revenue recognition, reduce administrative costs, and enhance customer payment experiences.</t>
  </si>
  <si>
    <t>Ben Rubin, BoxGroup, Brandon Leonardo, Chad Nitschke, Charley Ma, Courtney Leimkulher, Distributed Ventures, First Round Capital, FirstMark Capital, Garrett Koehn, Gordon Wintrob, HSCM Ventures, Hudson Structured Capital Management, Index Ventures, Joshua Motta, Mahdi Raza, Marc Bhargava, Max Bruner, Max Mullen, MGV, Mischief, Misha Esipov, Nathaniel Manning, NFP, Nilam Ganenthiran, Nyca Partners, Paul VanderMarck, Phillip Hodges, Reform Ventures, Restive Ventures, Samuel Hodges, South Park Commons, Spike Lipkin, Susa Ventures, Tanner Hackett, Tokyo Black, XYZ Venture Capital</t>
  </si>
  <si>
    <t>www.useascend.com</t>
  </si>
  <si>
    <t>264609-82</t>
  </si>
  <si>
    <t>Ascendant</t>
  </si>
  <si>
    <t>Developer of a payment platform designed to support foreign exchange and international payments. The company's tools include multiple integration options to promote automation, risk mitigation, market management, and other related services, enabling financial institutions to access their service for corporate foreign exchange, international payments, and foreign exchange exposure risk management markets.</t>
  </si>
  <si>
    <t>Battery Ventures</t>
  </si>
  <si>
    <t>www.ascendant.world</t>
  </si>
  <si>
    <t>706205-89</t>
  </si>
  <si>
    <t>Ascension (Financial Software)</t>
  </si>
  <si>
    <t>Developer of a tech-driven platform designed to provide investment outcomes in organizations. The company's platform automatically matches complex data sets in a transparent and well-governed system and develops various solutions that seek to empower asset owners to intentionally and proactively manage, enabling asset owners to manage their investment decisions and outcomes.</t>
  </si>
  <si>
    <t>KDX Ventures</t>
  </si>
  <si>
    <t>www.ascensiondata.co</t>
  </si>
  <si>
    <t>458201-35</t>
  </si>
  <si>
    <t>Ascent (Consumer Finance)</t>
  </si>
  <si>
    <t>Operator of a private loan program company intended to prioritize students by enhancing their access to funding for higher education. The company offers private student loans for both undergraduate and graduate programs, catering to those attending eligible institutions, and can be obtained with or without a cosigner, providing more opportunities for students to finance their education, enabling students and their families to thrive academically and beyond.</t>
  </si>
  <si>
    <t>Goal Investment Group, Learn Capital, Stand Together Ventures Lab</t>
  </si>
  <si>
    <t>www.ascentfunding.com</t>
  </si>
  <si>
    <t>1168886-98</t>
  </si>
  <si>
    <t>Asgard</t>
  </si>
  <si>
    <t>Developer of a decentralized trading platform intended to support institutional and professional investors in on-chain markets. The company's platform connects to spot markets and money markets on Solana to compose credit-backed positions, executes advanced order types, and provides smart vaults and isolated sub-accounts with non-custodial control, enabling funds, trading firms, decentralized autonomous organizations, and other active crypto market participants to manage large, complex portfolios with granular risk controls.</t>
  </si>
  <si>
    <t>Colosseum (San Francisco), Dead King Society, Presto (UAE), Primal Capital, Robot Ventures, Solana Ventures</t>
  </si>
  <si>
    <t>www.asgard.finance</t>
  </si>
  <si>
    <t>893665-72</t>
  </si>
  <si>
    <t>Asset (Financial Software)</t>
  </si>
  <si>
    <t>Developer of an embedded accounting platform designed to help software platforms provide bookkeeping and financial management capabilities. The company offers embedded and white-label accounting software with automation, financial reporting, AI-powered transaction classification, and financial intelligence features, enabling software platforms serving small businesses to deliver integrated accounting functions and improve financial visibility for their customers.</t>
  </si>
  <si>
    <t>Ben Taft's Genius Ventures, Dash Fund, Motley Fool Ventures, Ripple Ventures, The Explorer Fund, Torch Capital</t>
  </si>
  <si>
    <t>www.getasset.com</t>
  </si>
  <si>
    <t>268691-32</t>
  </si>
  <si>
    <t>Asset Pro</t>
  </si>
  <si>
    <t>Operator of an asset allocation platform that facilitates overseas asset and service transactions. The company's platform provides a one-stop access to comprehensive overseas asset and financial products such overseas stocks, funds, insurance, and real estate products and provides consulting services on these different products, enabling users to access overseas assets and diversify their portfolio.</t>
  </si>
  <si>
    <t>BAI Capital, Chang'an Capital, Chengdu Dingxing Quantum Investment Management, Haomai Wealth, Headline, Huiquan Capital, InnoVen Capital, LB Investment, LeTV, Ping An Ventures, PurpleSky Capital, Visas Consulting Group, WallStreetCn.com, Yonghua Capital</t>
  </si>
  <si>
    <t>www.lxjcf.com</t>
  </si>
  <si>
    <t>186558-04</t>
  </si>
  <si>
    <t>Assette</t>
  </si>
  <si>
    <t>Developer of cloud-based sales and digital communications software designed to improve the way institutional investment management firms communicate. The company's software integrates data from multiple sources and generates information such as fact sheets, pitch books, database input, presentations, reports, and client portals, enabling institutional asset managers to build trust with consultants.</t>
  </si>
  <si>
    <t>David Wimberly, Grace Fey, James Colgan, Michael Barry, Michael Cavarretta, Nalin Kulatilaka, Peter Benett</t>
  </si>
  <si>
    <t>www.assette.com</t>
  </si>
  <si>
    <t>1261293-76</t>
  </si>
  <si>
    <t>Athelas</t>
  </si>
  <si>
    <t>Developer of a business analytics and company performance insight platform designed to compile and model real-world commercial data for predictive and contextual metric estimation. The company's platform assembles and processes extensive scraped data using proprietary artificial intelligence models to generate predictive estimates of key financial and operational metrics, models unpublished performance indicators by aggregating transaction activity and contextual signals across sectors, and supports detailed data coverage including hard-to-track industries, enabling investors, analysts and corporate strategists to access additional market data, incorporate it into their analyses and monitor underlying business dynamics.</t>
  </si>
  <si>
    <t>Ascension (Private Equity)</t>
  </si>
  <si>
    <t>www.athelas.co.uk</t>
  </si>
  <si>
    <t>1240741-72</t>
  </si>
  <si>
    <t>Atlas (Sao Paulo)</t>
  </si>
  <si>
    <t>Developer of a structured credit platform designed to simplify access to capital and strengthen private credit distribution through institutional partners. The company's platform creates an environment where companies raise capital with agility and advisors offer institutional-grade structured products to their clients, concentrating private credit and alternatives in a single environment, facilitating distribution, enabling businesses to get global opportunities, and strengthening their operation.</t>
  </si>
  <si>
    <t>Credit Saison, Paulo Cunha, Rafael Coelho, Seeders</t>
  </si>
  <si>
    <t>atlasinc.global</t>
  </si>
  <si>
    <t>541184-68</t>
  </si>
  <si>
    <t>Atlas Invest</t>
  </si>
  <si>
    <t>Operator of an online investment platform intended for all asset-backed debt transactions. The platform is built on artificial intelligence technologies, which streamlines every step of the borrowing process, from application and underwriting to funding and repayment, enabling the real estate-backed debt market to significantly reduce the time and cost involved in closing loans by using the platform.</t>
  </si>
  <si>
    <t>Anfield Capital Management, BlackRock, Boaz Schwartz, Eyal Kishon, Guy Gamzu, K&amp;B Canis Capital Partners, Mark Weissman, State Of Mind Ventures, The Garage (Israel)</t>
  </si>
  <si>
    <t>www.atlas-invest.co</t>
  </si>
  <si>
    <t>518225-95</t>
  </si>
  <si>
    <t>Atlas Point</t>
  </si>
  <si>
    <t>Developer of a science and analytics platform designed to initiate conversations between financial professionals and their clients. The company uses technology, industry experience, and behavioral science theory to help financial advisors start meaningful conversations with clients, enabling financial institutions to personalize and deepen human connections at scale.</t>
  </si>
  <si>
    <t>www.theatlaspoint.com</t>
  </si>
  <si>
    <t>460212-40</t>
  </si>
  <si>
    <t>Atome</t>
  </si>
  <si>
    <t>Operator of a digital consumer financing platform intended for flexible buy now pay later payment options. The company's platform allows users to split their purchases into interest-free instalments with instant approval, automatic payments, and a wide range of partner retailers, enabling consumers to manage their spending more effectively and access various products and services.</t>
  </si>
  <si>
    <t>HAX, JDAC Capital, SOSV, Standard Chartered</t>
  </si>
  <si>
    <t>www.atome.sg</t>
  </si>
  <si>
    <t>623792-62</t>
  </si>
  <si>
    <t>Atomic Insights</t>
  </si>
  <si>
    <t>Developer of financial software intended to modernize treasury operations and money movement for wealth advisors. The company centralizes client payment initiation and approvals in a single platform, connects directly to custodians and banks via real-time APIs, unifies and reports transaction data from multiple systems, and integrates with CRM and portfolio management tools, enabling investment advisors to streamline treasury operations, eliminate double data entry, and gain payment and cashflow insights.</t>
  </si>
  <si>
    <t>Aquiline Capital Partners, Context Ventures, Friends &amp; Family Capital, Northwestern Mutual Future Ventures, Owl Creek Asset Management, Spark Capital, Teamworthy Group</t>
  </si>
  <si>
    <t>www.atomicinsights.io</t>
  </si>
  <si>
    <t>596866-33</t>
  </si>
  <si>
    <t>Atomic Vaults</t>
  </si>
  <si>
    <t>Developer of an AI-powered legal research platform designed for optimising legal workflows and research efficiency. The company's platform features extensive access to legal documents, including court opinions and statutes, automated document analysis, integration of public and private legal data, and AI-generated reports, enabling legal professionals and law firms to improve research accuracy and productivity while managing complex legal information.</t>
  </si>
  <si>
    <t>ARK Investment Management, ARK Ventures (US), Blank Ventures, Founders Fund, Realm Capital Ventures, Solari Capital</t>
  </si>
  <si>
    <t>www.atomicvaults.com</t>
  </si>
  <si>
    <t>515526-22</t>
  </si>
  <si>
    <t>Atria</t>
  </si>
  <si>
    <t>Provider of car loan services aimed at simplifying the process of purchasing pre-owned cars. The company offers services through a team of experts who have deep knowledge of the sector and expertise in loan origination, risk management, analysis, and technology, enabling businesses specializing in selling pre-owned cars to offer automotive loans to their customers and helping them to grow their businesses.</t>
  </si>
  <si>
    <t>Accel, Addem Capital, Michele Attisani</t>
  </si>
  <si>
    <t>www.atria.la</t>
  </si>
  <si>
    <t>675370-90</t>
  </si>
  <si>
    <t>Atrium (Financial Services)</t>
  </si>
  <si>
    <t>Developer of an AI-powered intelligence platform designed to connect investors, analysts, and bankers. The company's platform unifies bank filings and real estate lending data to deliver real-time insights at the loan level, enabling users to assess credit risk, trace CRE and multifamily exposure, benchmark peers, and uncover market-moving developments in minutes.</t>
  </si>
  <si>
    <t>Castle Island Ventures, EJF Ventures</t>
  </si>
  <si>
    <t>www.atriumdata.ai</t>
  </si>
  <si>
    <t>593887-42</t>
  </si>
  <si>
    <t>Atrya (Asset Management)</t>
  </si>
  <si>
    <t>Developer of a financing platform designed for the purchase of receivables from small and medium-sized enterprises. The company's platform allows institutional investors to participate in short-term receivables transactions through a fully digital and automated process, offering direct access to diversified receivables portfolios, integrated credit assessment tools, real-time monitoring, and streamlined settlement workflows, enabling the financial market to efficiently deploy capital, enhance transparency, and gain exposure to alternative fixed-income opportunities</t>
  </si>
  <si>
    <t>Andrew Bosomworth, Gnosis, Heartfelt (Private Equity), Heartfelt Ventures, IFB Bank Hamburg, Innovationsstarter, Markus Franke, Volker Jacobs</t>
  </si>
  <si>
    <t>atrya.io</t>
  </si>
  <si>
    <t>489809-08</t>
  </si>
  <si>
    <t>Attain (Real Estate Services (B2C))</t>
  </si>
  <si>
    <t>Developer of an AI-based home ownership platform designed for preparing, signing, sharing, and executing ownership agreements. The company's platform utilizes artificial intelligence to provide automatic payments and secured guarantors, enabling users to get homeownership early with no percentage commissions.</t>
  </si>
  <si>
    <t>Anges Québec, Bastien Family Office, Diaspora Ventures, FounderFuel, Home Technology Ventures</t>
  </si>
  <si>
    <t>www.attain.app</t>
  </si>
  <si>
    <t>865915-75</t>
  </si>
  <si>
    <t>Attimet</t>
  </si>
  <si>
    <t>Developer of adaptive research infrastructure designed for experimentation in high-dimensional financial markets. The company's platform integrates machine learning systems with real-time data pipelines, rapid iteration loops, and direct feedback mechanisms, enabling quantitative researchers and algorithmic traders to test hypotheses, refine models, and bridge the gap between theoretical insights and practical trading strategies in dynamic environments such as equities and options.</t>
  </si>
  <si>
    <t>Hi2 Global, Neer Venture Partners, Orange Collective, Y Combinator</t>
  </si>
  <si>
    <t>www.attimet.com</t>
  </si>
  <si>
    <t>664280-38</t>
  </si>
  <si>
    <t>Attribute</t>
  </si>
  <si>
    <t>Developer of a cloud-based cost analysis platform designed for finance, engineering, and product teams to drive business value together. The company's platform automatically groups costs by business metrics, provides detailed information about cloud usage and facilitates multi-layer cost analysis for every dollar spent in the cloud, enabling businesses to make better decisions about allocating their resources and improving their profitability.</t>
  </si>
  <si>
    <t>www.attrb.io</t>
  </si>
  <si>
    <t>439455-16</t>
  </si>
  <si>
    <t>ATTRUS</t>
  </si>
  <si>
    <t>Operator of a financial infrastructure platform designed to connect global businesses to local payment rails and banking systems. The company's platform unifies local payment methods, foreign exchange, settlement workflows, local banking connectivity, stablecoin accounts, and on/off-ramps, real-time visibility into balances and transactions, built-in compliance and 24/7 risk monitoring, and scalable infrastructure into a single API, enabling international enterprises to expand efficiently across markets.</t>
  </si>
  <si>
    <t>Endeavor Miami</t>
  </si>
  <si>
    <t>attrus.com</t>
  </si>
  <si>
    <t>535567-42</t>
  </si>
  <si>
    <t>audax</t>
  </si>
  <si>
    <t>.Developer of a cloud-native digital banking platform designed to level up digital banking capabilities. The company's software provides features such as accelerated customer acquisition, lower risk and cost of new customers, access to larger volumes of data, creating a value proposition, digital ecosystems with financial services, and also offers consulting and advisory services, enabling banks and financial institutions to pursue scaled digital businesses, including digital banking and embedded finance</t>
  </si>
  <si>
    <t>Cedar-IBSi FinTech lab, SC Ventures, Start Path</t>
  </si>
  <si>
    <t>www.audax.io</t>
  </si>
  <si>
    <t>459306-01</t>
  </si>
  <si>
    <t>Aufinity Group</t>
  </si>
  <si>
    <t>Provider of a digital payment management software designed to handle receivables and payment management. The company ensures the automatic and simplified processing of communications with customers for the receipt of payments in real-time, to trade-in automated accounting, payment traceability, contactless payment, and invoice digitization, as well as embedded finance services, enabling marketers and car dealers to make internal payment management more efficient and save resources.</t>
  </si>
  <si>
    <t>BlackFin Capital Partners, Carcharodon Capital, Carlo Kolzer, Carl-Peter Forster, Gerhard Cromme, Ingo Weber, Kai Siersleben, Konstantin Koenig, Marco Schnabl, Motive Partners, PayPal Ventures, Rolf Dienst, Scale Up.NRW, Seaya Capital Gestion SGEIC, Walter Ventures, Wessel Management</t>
  </si>
  <si>
    <t>www.aufinity.com</t>
  </si>
  <si>
    <t>469635-76</t>
  </si>
  <si>
    <t>Aufort</t>
  </si>
  <si>
    <t>Cryptocurrency/Blockchain, E-Commerce, FinTech, InsurTech, Mortgage Tech, SaaS</t>
  </si>
  <si>
    <t>Operator of a digital gold investment platform intended to buy, sell, redeem, deposit, lend and spend digital gold. The company's platform offers digital gold transactions, physical gold transactions, and gold-backed loans, helping customers to make transfers and payments in gold.</t>
  </si>
  <si>
    <t>Asse Sauga, Nordic Startup Ventures, Tehnopol Startup Incubator</t>
  </si>
  <si>
    <t>www.aufort.gold</t>
  </si>
  <si>
    <t>513391-96</t>
  </si>
  <si>
    <t>August (Financial Software)</t>
  </si>
  <si>
    <t>Developer of an omnichannel fixed yield platform designed to expand the digital economy by making decentralized finance, institutional-grade, and capital-efficient. The company's platform provides secure and capital-efficient access to defi and saves hours of fund administrator and auditor headaches with standardized reporting, proof of reserve, and on-chain auditability, enabling clients to get diversified yield exposure with cross-collateralizing margin accounts, built-in clearing, and reporting.</t>
  </si>
  <si>
    <t>6th Man Ventures, Akshai Rajendran, Anand Gomes, Archetype Fund, Blizzard Avalanche Fund, Circle Ventures, CMT Digital Holdings, CoinShares Ventures, Dragonfly Ventures, FinTech Collective, Foresight Ventures (Singapore), GoldenTree Asset Management, Hack VC, Josh Frank, Maven 11, Plug and Play Tech Center, QCP Trading, Robot Ventures, SCB, Shiliang Tang, Sidney Powell, Spartan Group</t>
  </si>
  <si>
    <t>www.augustdigital.io</t>
  </si>
  <si>
    <t>555595-75</t>
  </si>
  <si>
    <t>aumico</t>
  </si>
  <si>
    <t>Developer of a financial reporting platform intended for accountants, small to medium-sized businesses, and non-profit organizations. The company's platform provides customizable layouts and automated processes and is compatible with various accounting and enterprise resource planning systems, enabling organizations to enhance financial interactions between themselves and their stakeholders.</t>
  </si>
  <si>
    <t>SICTIC</t>
  </si>
  <si>
    <t>aumico.io</t>
  </si>
  <si>
    <t>515242-90</t>
  </si>
  <si>
    <t>Auptimate</t>
  </si>
  <si>
    <t>Developer of an investment vehicle platform designed to automate and optimize the boring parts of investing. The company's platform specializes in incorporation, directors and officers, fund administration, tax and accounting, regulatory and compliance, and advisory, enabling investment vehicles to design, launch, and operate market-leading special purpose vehicles, syndicates, and funds at the click of a button.</t>
  </si>
  <si>
    <t>Accelerating Asia, Loyal VC, SMU Institute of Innovation &amp; Entrepreneurship</t>
  </si>
  <si>
    <t>www.auptimate.com</t>
  </si>
  <si>
    <t>542252-53</t>
  </si>
  <si>
    <t>Aura Finance (Dubai)</t>
  </si>
  <si>
    <t>Developer of a trade SME credit software intended to help businesses get paid on the invoice date. The company's platform offers to view, create, and manage transactions, allows the import of transactions from other tools, automates the lending process to lower the cost-to-serve for SME lenders, and provides financing options such as partial financing and flexible repayments, invoice discounting, enabling businesses to manage cash flow by enhancing the speed of payments and the application process.</t>
  </si>
  <si>
    <t>Fia Ventures, iACCEL GBI, In5, Loyal VC, Mohammed Bin Rashid Innovation Fund, Oraseya Capital</t>
  </si>
  <si>
    <t>www.aurafinance.me</t>
  </si>
  <si>
    <t>510169-06</t>
  </si>
  <si>
    <t>Aurem</t>
  </si>
  <si>
    <t>Developer of an operating system designed to unify products, processes, and data for retirement and wealth providers. The company's platform offers configurable architecture and centralized control, enabling retirement, wealth, advice, and insurance providers to deliver services faster across regulatory environments with greater ownership of their roadmap.</t>
  </si>
  <si>
    <t>Hub71</t>
  </si>
  <si>
    <t>www.aurem.tech</t>
  </si>
  <si>
    <t>1153688-50</t>
  </si>
  <si>
    <t>Aureo</t>
  </si>
  <si>
    <t>Developer of a Bitcoin exchange platform designed for trading and peer-to-peer financial transactions. The company's platform facilitates instant account funding via local bank transfers, supports withdrawals through a fast settlement protocol, and eliminates complex interfaces and alternative tokens, enabling bitcoin traders to acquire and manage decentralized currency with minimal friction, enhanced security, and simplified access.</t>
  </si>
  <si>
    <t>Early Riders</t>
  </si>
  <si>
    <t>www.aureobitcoin.com</t>
  </si>
  <si>
    <t>590210-47</t>
  </si>
  <si>
    <t>AuthPay</t>
  </si>
  <si>
    <t>Developer of a cross-border payment and artificial intelligence (AI) automation platform designed to simplify global financial transactions and customer interactions. The company's platform offers multilingual customer support, NFC-based identity verification and payment processing, automated remittance management, AI-driven analytics, and personalized engagement tools, enabling hospitality providers, retailers, entertainment venues, public institutions, and international businesses to streamline transactions, improve operational efficiency, and support global customer experiences.</t>
  </si>
  <si>
    <t>Scope (Private Equity), Tech Incubator Program for Startup</t>
  </si>
  <si>
    <t>www.authpay.ai</t>
  </si>
  <si>
    <t>58085-83</t>
  </si>
  <si>
    <t>AutoPay.</t>
  </si>
  <si>
    <t>Operator of a lending platform intended to simplify the auto refinance process. The company provides a link between consumer-facing applications and lender guidelines and identifies offers, lender decisions, communications and electronic contracts so that they can be presented in a specified user interface,
enabling customers to finance or refinance their cars at affordable rates and terms.</t>
  </si>
  <si>
    <t>FM Capital (Transportation Tech), Holman Growth Ventures, Jump Capital</t>
  </si>
  <si>
    <t>83255-32</t>
  </si>
  <si>
    <t>Autotech Ventures</t>
  </si>
  <si>
    <t>Operator of a venture capital firm intended to offer venture capital investments for digital ground transport. The company is focused on software and service investments in early and growth-stage startups, enabling the automotive electronics industry to capitalize on external innovations and promote business growth.</t>
  </si>
  <si>
    <t>Allison Ventures, Autoliv, Dauch (Detroit), Proeza Ventures, Volvo Group Venture Capital</t>
  </si>
  <si>
    <t>www.autotechvc.com</t>
  </si>
  <si>
    <t>711514-09</t>
  </si>
  <si>
    <t>Autumn (Media and Information Services (B2B))</t>
  </si>
  <si>
    <t>Developer of a risk and compliance automation platform designed to streamline onboarding processes for fintech companies. The company's platform offers AI-powered document and website reviews, customizable case management, and easy integration with data providers, enabling teams to automate manual checks, reduce approval times, and improve user conversion without engineering dependencies.</t>
  </si>
  <si>
    <t>Orange Collective, Palm Drive Capital, Pioneer Fund, Spot VC, Transpose Platform Management, Y Combinator</t>
  </si>
  <si>
    <t>www.useautumn.com</t>
  </si>
  <si>
    <t>224427-25</t>
  </si>
  <si>
    <t>Auvo</t>
  </si>
  <si>
    <t>FinTech, Industrials, SaaS</t>
  </si>
  <si>
    <t>Developer of a team management platform designed to integrate the management of internal and external services within an organization. The company's platform utilizes the real-time location of the team to allocate activity to each person and reduces operating costs with route optimization, enabling team leaders to perform automatic check-in and check-out, avoid distractions, and increase agility in customer service.</t>
  </si>
  <si>
    <t>ACE Ventures (Private Equity), Bossa Invest, Cloud9 Capital, Crescera Capital, Gr8 Ventures, Triaxis Capital</t>
  </si>
  <si>
    <t>www.auvo.com</t>
  </si>
  <si>
    <t>398901-52</t>
  </si>
  <si>
    <t>Avanti Finance (Consumer Finance)</t>
  </si>
  <si>
    <t>Developer of a digital financial inclusion platform designed to enable sustainable livelihoods. The company provides loan products and capital for third parties to serve the needs of those without access to loans, it is building a digital-first financial inclusion platform that fosters hyper-local livelihood innovation and mass customization at scale, enabling customers to get microfinance loan access through an open-access digital model and cashless interface.</t>
  </si>
  <si>
    <t>Coöperatieve Rabobank, Dia Vikas Capital, Dr KR Shroff Foundation, Gates Foundation, Group of Marquee Investors, IDH, Nomura, NRJN Family Trust, Oikocredit, Pratul Shroff</t>
  </si>
  <si>
    <t>www.avantifinance.in</t>
  </si>
  <si>
    <t>470106-46</t>
  </si>
  <si>
    <t>Avendi</t>
  </si>
  <si>
    <t>Operator of an online marketplace intended to connect buyers with local products. The company's platform provides a curated selection of Nepali souvenirs and handmade treasures, meticulously showcasing various products with detailed descriptions, prices, and information on their respective sellers, enabling customers interested in cultural goods to easily discover and acquire authentic products from Nepal's dedicated artisans.</t>
  </si>
  <si>
    <t>Arco Partners, Intelak Hub</t>
  </si>
  <si>
    <t>www.avendi.me</t>
  </si>
  <si>
    <t>538148-89</t>
  </si>
  <si>
    <t>Avenia</t>
  </si>
  <si>
    <t>Developer of a financial infrastructure platform designed to simplify cross-border payments and streamline financial transactions in Brazil. The company's platform offers API integrations, allowing businesses to accept, send, and hold money in their preferred currency, enabling international businesses to manage payments with ease and compliance.</t>
  </si>
  <si>
    <t>99 Capital, Accel Scout Fund, Big Bets, big_bets, Coins.ph, Fluent Ventures, Grão (São Paulo), Greyhill Capital Partners, Headline, Palm Drive Capital, Patria Investments, Quona Capital, Rodrigo Benez, Scale Up by Endeavor, Sequoia Capital, Tomorrow Capital</t>
  </si>
  <si>
    <t>www.avenia.io</t>
  </si>
  <si>
    <t>437283-91</t>
  </si>
  <si>
    <t>Avenue Bank (Commercial Banks)</t>
  </si>
  <si>
    <t>Operator of a business bank intended to help small and mid-size enterprises find cashflow alternatives. The company offers ways to free up cash flow and plans to offer online applications to streamline the whole process, enabling businesses to have the credit to keep their business moving.</t>
  </si>
  <si>
    <t>Liberty Financial Companies, Nightingale Partners (Australia)</t>
  </si>
  <si>
    <t>www.avenuebank.com.au</t>
  </si>
  <si>
    <t>519227-56</t>
  </si>
  <si>
    <t>Avian Labs</t>
  </si>
  <si>
    <t>Developer of a financial platform designed to build simplified and global payments for everyone. The company's platform allows money transfer from person to person and company to company without having to worry about sort codes, IBANs, wallet addresses, national borders, or even different currencies, enabling users to make secure transactions that are resistant to fraud and money laundering.</t>
  </si>
  <si>
    <t>Ribbit Capital, Slow Ventures, Union Square Ventures</t>
  </si>
  <si>
    <t>www.avianlabs.net</t>
  </si>
  <si>
    <t>439545-88</t>
  </si>
  <si>
    <t>AviaryAI</t>
  </si>
  <si>
    <t>Developer of an artificial intelligence-driven communication platform designed for financial institutions. The company offers features, outbound voice agents that automate customer outreach with human-like interactions, offering instant answers to teams, and real-time translation capabilities supporting various languages, enabling banks, credit unions, and insurance companies to enhance customer engagement, reduce operational costs, and improve multilingual support.</t>
  </si>
  <si>
    <t>Builders VC, Davidovs Venture Collective, EGR Partners, Envisant, Goodwater Capital, Greyhill Capital Partners, Leonis Investissement, Mark Lefanowicz, One Washington Financial, Sand Hill Capital, Y Combinator</t>
  </si>
  <si>
    <t>www.helloaviary.ai</t>
  </si>
  <si>
    <t>495798-67</t>
  </si>
  <si>
    <t>Aviato</t>
  </si>
  <si>
    <t>Developer of a financial platform intended to provide data insight for private markets. The company's tools turn data into deals by delivering high-quality people and company intelligence to the users' fingertips, enabling clients to source, qualify, and engage the most promising startups at their earliest stage.</t>
  </si>
  <si>
    <t>8VC, Bachmanity Capital, BBQ Capital, CerraCap, Chris Zarou, D1 Ventures, Dorm Room Fund, Dream Ventures, Elliot Padfield, GitHub, GoAhead Ventures, Ground Game Ventures, Hustle Fund, Pioneer Fund, Republic Capital Adviser, Shrug Capital, Snow Leopard Ventures, Soma Capital, Thomas Preston-Werner</t>
  </si>
  <si>
    <t>www.aviato.co</t>
  </si>
  <si>
    <t>1153683-19</t>
  </si>
  <si>
    <t>Avici</t>
  </si>
  <si>
    <t>Developer of a crypto-based financial platform designed to simplify spending and enhance user control over digital assets. The company offers a secured credit card service that enables seamless spending of cryptocurrency while maintaining full custody of funds, enabling customers to enjoy the convenience of traditional payments with the autonomy and security of decentralized finance.</t>
  </si>
  <si>
    <t>www.avici.money</t>
  </si>
  <si>
    <t>277753-24</t>
  </si>
  <si>
    <t>Axel Technologies</t>
  </si>
  <si>
    <t>Developer of software tools intended to identify and capitalize on pricing inefficiencies in financial markets. The company specializes in developing software and invests in technology infrastructure by combining fundamental knowledge, sophisticated algorithms, and quantitative research, enabling clients to track and pursue financial markets with the highest level of business integrity.</t>
  </si>
  <si>
    <t>www.axeltechnologiesgroup.com</t>
  </si>
  <si>
    <t>228915-37</t>
  </si>
  <si>
    <t>Axela Technologies</t>
  </si>
  <si>
    <t>Developer of an automated system designed to help community associations manage and address their delinquent accounts receivable. The company's existing suite of products includes collections, surplus recovery, and accounts receivable servicing, and the technology platform integrates with all major accounting software and seamlessly moves collection files through helpful and friendly engagement with property owners, enabling companies to eliminate substantial labor costs and professional fees associations incur when collecting on a delinquent account.</t>
  </si>
  <si>
    <t>A.GAIN, Blueprint Equity, Bobby Aitkenhead, Conductor Capital, David Eisenberg, Fuel Venture Capital, Stratos Technologies</t>
  </si>
  <si>
    <t>www.axela-tech.com</t>
  </si>
  <si>
    <t>170382-07</t>
  </si>
  <si>
    <t>Axend</t>
  </si>
  <si>
    <t>Developer of a digital financial lending platform designed to raise crowdsourced loans for businesses. The company's platform lets anyone invest in businesses using alternative investment products such as person-to-person loans, besides carrying out investments in real estate, factoring, cryptocurrencies, and concerts, among others, enabling organizations to raise debt financing via crowdfunding to fund their businesses in a secure manner.</t>
  </si>
  <si>
    <t>500 Global, 500 Startups LatAm, Alaya Capital, Corporación de Fomento de la Producción de Chile, Cuatrecasas Acelera, Dadneo, MassChallenge, NUMA (Education and Training Services), NXTP Ventures, Plug and Play Tech Center, Seedstars International Ventures, Start-Up Chile, Village Capital</t>
  </si>
  <si>
    <t>axend.io</t>
  </si>
  <si>
    <t>267046-57</t>
  </si>
  <si>
    <t>Aya</t>
  </si>
  <si>
    <t>B2B Payments, FinTech, HealthTech</t>
  </si>
  <si>
    <t>Developer of a healthcare payment platform designed to simplify medical payments. The company specializes in providing personalized benefits through health and wellness spending accounts while offering a platform that accesses, manages, and monitors healthcare costs and provides payment, deposit, lending, and investment products, enabling businesses to offer their employees a better way to pay for health and wellness.</t>
  </si>
  <si>
    <t>Anthemis, BDC Capital, Google Accelerator, HaloHealth, Inovia Capital, Luge Capital, MaRS Investment Accelerator Fund, Next (Consulting Services), NRC-IRAP, Spring Activator, StandUp Ventures</t>
  </si>
  <si>
    <t>www.ayacare.com</t>
  </si>
  <si>
    <t>54182-98</t>
  </si>
  <si>
    <t>Ayannah</t>
  </si>
  <si>
    <t>FinTech, Gaming, Mobile Commerce, SaaS</t>
  </si>
  <si>
    <t>Developer of a fintech platform designed to provide affordable and accessible digital commerce and payment services. The company's platform offers bank-grade software-as-a-service that allows interoperable international and domestic remittance transactions across different networks, and partners with brick-and-mortar retailers to offer mobile top-ups, online game credits, and domestic remittance, enabling companies to sell and facilitate digital financial products and services such as e-load top-ups, bills payment, wallet top-ups, and more.</t>
  </si>
  <si>
    <t>Privé Technologies, Unifier Ventures</t>
  </si>
  <si>
    <t>www.ayannah.com</t>
  </si>
  <si>
    <t>56846-98</t>
  </si>
  <si>
    <t>Backstop</t>
  </si>
  <si>
    <t>Developer of institutional investment management software designed to provide a single source of truth for investment research, portfolio management, capital raising, and investor relations activities. The company's platform combines multi-asset research management, portfolio monitoring, data integration services, capital raising tools, investor relations capabilities, and secure client portals within a configurable system that centralizes qualitative and quantitative investment data, enabling institutional investors, private fund managers, consultants, advisors, and to make informed investment decisions, streamline operational workflows, and improve collaboration across the investment lifecycle.</t>
  </si>
  <si>
    <t>www.backstopsolutions.com</t>
  </si>
  <si>
    <t>502711-30</t>
  </si>
  <si>
    <t>Bags (Specialized Finance)</t>
  </si>
  <si>
    <t>Developer of a loan discovery platform designed to bridge the gap between communities and debt funding providers. The company's platform offers simple onboarding, lender matching, financial education, and equitable financing for short- and long-term needs, enabling clients to grow their businesses and secure funding.</t>
  </si>
  <si>
    <t>Altrinsic, BluePrint (Asset Management), Connecticut Innovations, Edith Cooper, Ford Foundation, Google Accelerator, Heirloom VC, Limited Ventures, Owen Van Natta, Partnership Fund for New York City, Richard Odior, Schultz Family Foundation, Slauson &amp; Co., Swanston Organization, Tim Armstrong, Zeal Capital Partners</t>
  </si>
  <si>
    <t>www.securebags.com</t>
  </si>
  <si>
    <t>594088-84</t>
  </si>
  <si>
    <t>Baiyuan Network</t>
  </si>
  <si>
    <t>Operator of payment and financial technology service platform designed to ensure secure payment. Th company focuses on the research and development in fund compliance and revenue sharing solution, providing payment collection, wallet account management, and revenue sharing services through connection with banks to merchants and platform businesses users.</t>
  </si>
  <si>
    <t>www.52zhifu.com</t>
  </si>
  <si>
    <t>528773-77</t>
  </si>
  <si>
    <t>Bakksy</t>
  </si>
  <si>
    <t>Developer of a stock trading platform designed for people to make financial transactions and investments. The company operates on a zero-trade commission basis and provides real-time market data and advanced analytics and searching tools, enabling users access to tips and hints regarding different investment avenues and also allowing payments for simple tasks.</t>
  </si>
  <si>
    <t>KAMA FLOW, Mastercard Lighthouse, Polish - Ukrainian Startup Bridge</t>
  </si>
  <si>
    <t>www.bakksy.com</t>
  </si>
  <si>
    <t>538190-02</t>
  </si>
  <si>
    <t>Balam (Other Financial Services)</t>
  </si>
  <si>
    <t>Developer of a remittance platform designed for monthly overseas fund transfers. The company's platform combines blockchain and AI technology to send funds quickly by using WhatsApp, and eliminating the hassle of paying fixed fees per transaction, enabling users to transfer funds.</t>
  </si>
  <si>
    <t>Alamo Angels, Bit Digital, Rockstart</t>
  </si>
  <si>
    <t>www.getbalam.com.mx</t>
  </si>
  <si>
    <t>1325183-68</t>
  </si>
  <si>
    <t>BalancedTrust</t>
  </si>
  <si>
    <t>Developer of third-party risk management software designed for compliance oversight purposes. The company's platform supports partner risk monitoring, compliance workflows, and relationship oversight, risk automation, and regulatory analysis, enabling financial institutions to manage regulatory and operational risk.</t>
  </si>
  <si>
    <t>www.balanced-trust.com</t>
  </si>
  <si>
    <t>523413-91</t>
  </si>
  <si>
    <t>Balize</t>
  </si>
  <si>
    <t>Developer of a tokenization platform designed for real estate investing. The company provides blockchain technology that enables the decentralization of real estate transactions, allowing the quick, safe, and efficient transfer of properties through a security token, enabling investors to diversify portfolios and achieve high profitability with low risk.</t>
  </si>
  <si>
    <t>3D Incubator, Consorci de la Zona Franca, Nekko Capital</t>
  </si>
  <si>
    <t>www.balize.com</t>
  </si>
  <si>
    <t>460141-93</t>
  </si>
  <si>
    <t>Balko</t>
  </si>
  <si>
    <t>Operator of an illiquid assets trading application intended to provide a platform to transact in legal claims, litigation finance, and nonperforming loans. The company's application offers an online auction run through proprietary technology and advisory service, enabling customers to connect the universe of investors with potential sellers through a credible and transparent competitive process, fostering liquidity, at the same time as converging pricing to fair value.</t>
  </si>
  <si>
    <t>www.balko.com.br</t>
  </si>
  <si>
    <t>436623-58</t>
  </si>
  <si>
    <t>Banca AideXa</t>
  </si>
  <si>
    <t>Developer of an open banking platform designed for small businesses and professionals. The company's platform offers fast credit assessment through open banking data, automated loan application processes, integrated banking tools, account management, transaction tracking, and customer support via AI and human agents, enabling small and medium-sized enterprises to access financing and manage financial operations efficiently.</t>
  </si>
  <si>
    <t>360 Capital, Alberto Albertini, Alessandro Decio, Alvise Holding Srl, Andrea Vallini, Assicurazioni Generali, Astrea Digital, Atesino Institute of Development SpA, Banca Agricola Popolare di Ragusa, Banca Ifis, Banca Sella, Bi.Effe Investimenti e Servizi Srl, Close to Media Srl, FB5 Investments, Filippo Villani, Generali Insurance, Giovanni Viani, Gregorio Consoli, Gruppo Bertoldi Holding, Impresa Sviluppo Srl, Istituto Atesino di Sviluppo, La Scoglie SpA, Luigi Carnacini, Luigi Pugliese, Lunelli SpA, Maria Cappello, Maurizio Donato, Mediocredito Centrale, Nantucket Srl, Padana Sviluppo SpA, Qreative Srl, Relogy Holding, RNK Srl, Roberto Lancellotti, Roberto Marsella, Sagittario SpA, Sella Direct Ventures, Simon Fiduciaria, Thomas Marsoner, Umberto Bottesini, Wings of Hermes Srl</t>
  </si>
  <si>
    <t>www.aidexa.it</t>
  </si>
  <si>
    <t>540873-55</t>
  </si>
  <si>
    <t>Bani</t>
  </si>
  <si>
    <t>Operator of a payment platform intended to streamline payment for companies. The company's platform offers a variety of features, including virtual accounts, mobile money, distributed ledger technology payments, and e-wallets, enabling merchants to collect payments from customers anywhere in the world and reconcile payments.</t>
  </si>
  <si>
    <t>BYLD (Dubai), Google Accelerator, Microtraction, Negma Group</t>
  </si>
  <si>
    <t>www.bani.africa</t>
  </si>
  <si>
    <t>455029-57</t>
  </si>
  <si>
    <t>Bank Invoice</t>
  </si>
  <si>
    <t>Developer of an online platform designed to offer web-based invoice management services. The company's digital invoice platform helps accelerate approvals, reduce processing costs, and virtually eliminate paper by integrating transaction information and digitizing invoices, enabling companies to automate finance operations focus on core strengths, and work for a paperless world.</t>
  </si>
  <si>
    <t>www.bankinvoice.com</t>
  </si>
  <si>
    <t>463094-74</t>
  </si>
  <si>
    <t>Bank Perekonomian Rakyat Syariah Hijra Alami</t>
  </si>
  <si>
    <t>Operator of a rural bank intended to provide convenient, fair, and transparent access to Sharia financing for the Muslim community. The company offers a range of services, including a peer-to-peer lending platform, mobile banking application, business accelerator, and research institute, all of which are based on Sharia principles, enabling customers with Sharia-compliant transactions to be equipped with Islamic features.</t>
  </si>
  <si>
    <t>East Ventures, EV Progress, Golden Gate Ventures, Intudo Ventures, Quona Capital, RHL Ventures</t>
  </si>
  <si>
    <t>www.hijra.id</t>
  </si>
  <si>
    <t>471927-16</t>
  </si>
  <si>
    <t>Bankata</t>
  </si>
  <si>
    <t>Developer of a fintech platform designed to provide digital interaction with financial products to users. The company's platform aggregates accounts, categorize expenses, and provides an overview of daily, weekly, and monthly finances, it calculates net worth and retirement fund, and provides lending or investment accounts solutions from top-tier providers, enabling customers to take control of their money and better manage spending habits and find ways to save and generate extra income</t>
  </si>
  <si>
    <t>Sparking Capital</t>
  </si>
  <si>
    <t>www.bankata.ro</t>
  </si>
  <si>
    <t>490852-00</t>
  </si>
  <si>
    <t>bankcow</t>
  </si>
  <si>
    <t>Operator of a livestock investment platform intended to connect consumers and producers. The company's platform allows consumers to jointly purchase a stake in a calf owned by a farmer, then sell the beef at an auction and achieve economies of scale and achieve economies of profit, enabling consumers to enter new investment markets.</t>
  </si>
  <si>
    <t>CKD Venture Capital, CNT Tech, CNT Tech1, DATA-STARS, Enlight Ventures, Fintech cube, Hyundai Technology Investment, IBK Capital (Korea), IBK Changgong, Ivy Capital (Shanghai), J Curve Investment, KDB NextRound, Korea Development Bank, KT Investment, KU Startup, Lotte Ventures, Modern Technology Investment, NICE Investment Partners, Shinhan Venture Investment</t>
  </si>
  <si>
    <t>www.bankcow.co.kr</t>
  </si>
  <si>
    <t>469950-94</t>
  </si>
  <si>
    <t>Bankers</t>
  </si>
  <si>
    <t>Developer of a loan-type crowdfunding platform designed to provide a funding source to companies. The company acts as a social lending platform for companies to raise debt funding, enabling start-ups to meet their capital requirements.</t>
  </si>
  <si>
    <t>AIZAWA Investments, Brain financial advisory, CyberAgent Capital, Edge Labs, Estore, Global Brain, GMO Venture Partners, GREE Ventures, Ichigo (Japan), Incubate Fund, I-nest Capital, Integrate.io, Kiyo Capital Management, Matsui Securities, Matsuoka, Matsuoka (Clothing), Mirai Nihon Ventures, Mitsui Sumitomo Kaijo Capital, Mizuho Capital, Ocean Capital (Japan), Safestore Holdings</t>
  </si>
  <si>
    <t>www.bankers.co.jp</t>
  </si>
  <si>
    <t>264568-33</t>
  </si>
  <si>
    <t>Bankingly</t>
  </si>
  <si>
    <t>Artificial Intelligence &amp; Machine Learning, FinTech, Impact Investing, Mobile, SaaS</t>
  </si>
  <si>
    <t>Developer of a digital banking software designed to provide financial inclusion for underbanked or lower-income customers. The company's platform equips institutions with the tools to manage their financial products, handle digital banking transactions, and communicate with their clients or customers, enabling financial organizations to get secure and grow, improve their customer acquisition, and stay updated to compete in an ever-changing environment.</t>
  </si>
  <si>
    <t>2080 Ventures, A.GAIN, Andres Cerisola, Dalus Capital, Elevar Equity, EMTV, Finaccess Capital, FINCA Ventures, First Check Ventures, IDB Lab, iThink VC, Mancora Ventures, Oikocredit, Puerto Asis, RollKall Technologies, SixThirty Ventures, Sonen Capital, Start Path</t>
  </si>
  <si>
    <t>www.bankingly.com</t>
  </si>
  <si>
    <t>469953-37</t>
  </si>
  <si>
    <t>Bankish</t>
  </si>
  <si>
    <t>Developer of tailored core banking software intended for professional credit providers through the SaaS model. The company provides a flexible and extensive toolbox of core IT to help financial services providers in an intuitive, secure, and user-friendly environment, and also provides credit institutions with an end-to-end and highly modular loan and deposit administration platform, enabling clients to facilitate the operations in credit markets.</t>
  </si>
  <si>
    <t>Admirals</t>
  </si>
  <si>
    <t>www.bankish.eu</t>
  </si>
  <si>
    <t>143796-34</t>
  </si>
  <si>
    <t>BankLabs</t>
  </si>
  <si>
    <t>Developer of banking technologies designed to automate loan participation and support community-oriented financial institutions. The company offers a patented cloud-based platform that connects buyers and sellers of loans through digital clubs, enabling banks and financial institutions to generate fee income and create new loan volume.</t>
  </si>
  <si>
    <t>FINTOP (US), FIS Fintech Accelerator, JAM FINTOP, The Venture Center, Venture Center Arkansas Fund</t>
  </si>
  <si>
    <t>www.banklabs.com</t>
  </si>
  <si>
    <t>434233-63</t>
  </si>
  <si>
    <t>BankLink China</t>
  </si>
  <si>
    <t>Provider of internet financial transformation services in China. The company offers a range of services including industry chain finance, asset trading and financial consulting, providing traditional financial institutions with comprehensive solutions for the transformation and upgrading.</t>
  </si>
  <si>
    <t>www.beikelin.com</t>
  </si>
  <si>
    <t>437292-91</t>
  </si>
  <si>
    <t>BankSathi</t>
  </si>
  <si>
    <t>Developer of a financial technology platform designed to enable the right financial product access to last-mile users. The company's platform analyzes the customer's data and gives recommendations about personalized financial product eligibility in the customer profile thereby understanding suitable products and taking assistance to buy that service, enabling customers to take advice from financial advisors in the right and impeccable decision-making while buying retail loans, credit card and insurance products.</t>
  </si>
  <si>
    <t>Abhishek Deo, Aditya Talwar, Anuj Ahuja, Bhaswat Agarwal, Dinesh Godara, HEM Angels, Hem Securities, Inflection Point Ventures (India), IVY Growth Associates, JITO Incubation &amp; Innovation Foundation, Kailash Biyani, Kotak Neo, Kunal Shah, LiquiLoans, LVX, Manish Dabkara, Marwari Catalysts Ventures, Mukul Rastogi, Mukund Modi, Peaceful Progress, Rajendra Lora, Recur Club, Ritesh Malik, Sameera Rastogi, Sprint VC, Sunil Singhania, Varun Alagh, WarmUp Ventures, We Founder Circle</t>
  </si>
  <si>
    <t>www.banksathi.com</t>
  </si>
  <si>
    <t>503005-24</t>
  </si>
  <si>
    <t>Banktrack</t>
  </si>
  <si>
    <t>Developer of an account management platform intended to modernize how users interact with their financial information. The company's platform helps customers receive all banking information directly by email or messaging applications and provides automation to minimize time spent categorizing transactions to obtain a full view of company financials, enabling individuals and industries to check account movements through their preferred social media applications.</t>
  </si>
  <si>
    <t>4Founders Capital, Albert Armengol, Albert Ribera, Bernat Ripoll, Carlos Trenchs, Daniel Giménez, David Tomás, Diego Mariño, Enisa National Innovation Company, Fernando Cabello-Astolfi, Fernando Egido, Gregory Martinez, Indexa Capital, Iván Peña, Javier Fondevila, Javier Garrido, Juanjo Mostazo, KFund, Life Extension Ventures, Martí Manent, Raul Bridge, Seedrocket, Shahnawaz Hasan, The Mountain Venture Capital, The Valley Venture Capital, Tim Towley, Toubkal Partners</t>
  </si>
  <si>
    <t>www.banktrack.com</t>
  </si>
  <si>
    <t>720126-91</t>
  </si>
  <si>
    <t>barq (IT Consulting and Outsourcing)</t>
  </si>
  <si>
    <t>Operator of a digital financial services platform intended for personal money management and international transactions. The company's platform includes features such as international remittances, virtual and physical visa and mada cards, real-time wallet-to-wallet transfers, subscription and spending controls, access to airport lounges, travel insurance, and interactive gamified experiences like cashback rewards and seasonal games, enabling users to manage their finances, make global payments, and engage in digital financial activities efficiently.</t>
  </si>
  <si>
    <t>Scene Holding Company, Waad Investment</t>
  </si>
  <si>
    <t>www.barq.com</t>
  </si>
  <si>
    <t>538019-11</t>
  </si>
  <si>
    <t>Basic Capital</t>
  </si>
  <si>
    <t>Developer of a retirement savings platform designed to help employers provide 401(k) benefits. The company's platform offers embedded financing, personalized onboarding, and customizable portfolios of investment options, including mutual funds and ETFs, enabling clients to secure long-term financing to create an initial investment base.</t>
  </si>
  <si>
    <t>BoxGroup, Company Ventures, Forerunner Ventures, Gaingels, Henry Kravis, HOF Capital, Inspired Capital (New York), Lux Capital, PeopleTech Partners, SV Angel, William Ackman</t>
  </si>
  <si>
    <t>www.basiccapital.com</t>
  </si>
  <si>
    <t>512825-86</t>
  </si>
  <si>
    <t>Basis</t>
  </si>
  <si>
    <t>Developer of a business financial data and connectivity platform designed for providing access to SMB and commercial banking data. The company's platform offers an API that integrates with business and commercial accounts to provide stable data feeds, transactional context, audit-ready profile attachments, and automatic re-authentication for continuous connection health, enabling financial institutions to automate CFO workflows, conduct comprehensive credit underwriting, monitor financial risk, and enhance accounting and payment systems.</t>
  </si>
  <si>
    <t>8VC, Cambrian Fintech, Evolution (Venture Capital), Factorial Capital, Menlo Ventures, Quint Capital</t>
  </si>
  <si>
    <t>www.usebasis.co</t>
  </si>
  <si>
    <t>266073-31</t>
  </si>
  <si>
    <t>Basis (Educational and Training Services (B2C))</t>
  </si>
  <si>
    <t>Operator of a financial platform intended to provide financial education for women. The organization offers workshops, online learning platforms, and community events covering topics such as budgeting, saving, investing, insurance, and credit, enabling users to build financial knowledge and manage their personal finances.</t>
  </si>
  <si>
    <t>Anikarth Venture, Arise Ventures., Better Capital (California), Dahm Choi, Daniel Jacobson, DCG Expeditions, Emphasis Ventures (EMVC), First Principles Ventures, Hustle Fund, Nitin Saigal, Vignesh Ramanujam</t>
  </si>
  <si>
    <t>www.basisfoundation.in</t>
  </si>
  <si>
    <t>507092-41</t>
  </si>
  <si>
    <t>Battle Bank</t>
  </si>
  <si>
    <t>Developer of a national community bank designed to serve clients based on shared values and ideas rather than geographic location. The company offers high-yield checking and savings accounts, access to precious metals trading, foreign currency diversification, and self-directed individual retirement accounts, enabling individuals and business owners to manage finances with greater flexibility and expand their investment options.</t>
  </si>
  <si>
    <t>Cultivation Capital</t>
  </si>
  <si>
    <t>www.battlebank.com</t>
  </si>
  <si>
    <t>327494-62</t>
  </si>
  <si>
    <t>Baubap</t>
  </si>
  <si>
    <t>Developer of a microlending financial platform designed to offer personal loans. The company's platform offers instant loans to customers through its application without needing documents or convoluted processes, enabling users to apply for a loan anytime and anywhere without hassle.</t>
  </si>
  <si>
    <t>500 Global, 500 Startups LatAm, AG Collective Capital, Bloomberg, Cathexis Ventures, Fuel Venture Capital, G2 Momentum Capital, Goodwater Capital, Grant Park Ventures, Leonis Investissement, MassChallenge, Neer Venture Partners, NP Consulting, Raphaël Carteni, Seedstars International Ventures, The Ark Fund, TipHub Capital, Vincent Delacourt, Y Combinator</t>
  </si>
  <si>
    <t>www.baubap.com</t>
  </si>
  <si>
    <t>537349-42</t>
  </si>
  <si>
    <t>Bavest</t>
  </si>
  <si>
    <t>Developer of a financial platform designed to democratize market data and provide quantitative research. The company's platform provides access to real-time prices, financial and alternative data such as ESG and climate data, integrates quality data into the research process or into applications such as internal analytics tools or fintech, access quantitative models, and saves time when developing its own models and building research infrastructure, enabling fintech, asset managers, and private investors to analyze funds using quantitative portfolio analysis using carbon footprint models.</t>
  </si>
  <si>
    <t>Alexander Burlis, Axxion (Luxembourg), Bitpanda, Christian Trummer, Dieter Staib, Felix Leonhardt, Jens Rehwinkel, Moritz Luck, Nautical Ventures North, Rezoom Capital</t>
  </si>
  <si>
    <t>www.bavest.co</t>
  </si>
  <si>
    <t>518469-04</t>
  </si>
  <si>
    <t>Baya (Financial Software)</t>
  </si>
  <si>
    <t>Developer of a trade invoice management platform designed for credit decisions and secure payments. The company's platform offers business payment systems, automated reconciliation, international and batch tools, pay-later options, and receivables management, enabling firms to manage their cash flow.</t>
  </si>
  <si>
    <t>Global Founders Capital, Golden Gate Ventures, MyAsiaVC, Soma Capital</t>
  </si>
  <si>
    <t>www.baya.biz</t>
  </si>
  <si>
    <t>600366-79</t>
  </si>
  <si>
    <t>Bayesline</t>
  </si>
  <si>
    <t>Developer of an equity risk modeling platform designed to empower investment managers with faster, more flexible and research-aligned analytics. The company offers hyper-customizable, API-first equity risk models that integrate vendor and proprietary data at blazing speed, enabling customers to run backtests, automate factor selection and align risk analytics with portfolios in seconds, reducing costs, improving accuracy and unlocking alpha opportunities.</t>
  </si>
  <si>
    <t>468 Capital, Batch Ventures (California), Blockchain Founders Capital, Lockstep (Palo Alto), Multimodal Ventures, Nivesha Ventures, Y Combinator</t>
  </si>
  <si>
    <t>www.bayesline.com</t>
  </si>
  <si>
    <t>528661-90</t>
  </si>
  <si>
    <t>Bayo Pay</t>
  </si>
  <si>
    <t>Developer of a modular payment platform designed to help businesses create and manage branded payment cards and mobile wallets. The company offers proprietary infrastructure and configurable payment modules, enabling fintech firms and corporate clients to launch tailored digital payment programs with operational efficiency and functional adaptability.</t>
  </si>
  <si>
    <t>SBI Ventures Malaysia, VentureTECH, VentureTECH SBI</t>
  </si>
  <si>
    <t>bayo.my</t>
  </si>
  <si>
    <t>104234-86</t>
  </si>
  <si>
    <t>Bayzat</t>
  </si>
  <si>
    <t>Artificial Intelligence &amp; Machine Learning, HR Tech, InsurTech, SaaS</t>
  </si>
  <si>
    <t>Operator of a human resource and insurance platform designed for insurance and automation alternatives. The company's platform streamlines the policy placement process for clients and helps them understand their policy by identifying their requirements with a transparent comparison and features payroll automation and schedule management, among others, enabling businesses to save time and money with insurance and employee payroll decisions.</t>
  </si>
  <si>
    <t>ADQ, BECO Capital, Bolur Holdings, Dale Ventures, Elm (IT Services and IT Consulting), Endeavor Catalyst, Gothams, Greyhound Capital, Hub71, Kube VC, Ligo Partners, Mohammed Bin Rashid Innovation Fund, Mubadala Capital, Raed Ventures, Silicon Badia, Tech Invest Com, The Kanoo Group, Vision Ventures (Saudi Arabia), W3 Partners (Dubai), Womena</t>
  </si>
  <si>
    <t>www.bayzat.com</t>
  </si>
  <si>
    <t>812048-50</t>
  </si>
  <si>
    <t>BBR Tek</t>
  </si>
  <si>
    <t>Operator of an enterprise financial technology platform intended to support digital transformation and operational efficiency. The company offers AI-driven automation, blockchain integration, secure infrastructure, robust APIs, and white-label platforms, enabling financial institutions and educational organizations to streamline operations, enhance system interoperability, and support scalable digital systems.</t>
  </si>
  <si>
    <t>Redline Lab</t>
  </si>
  <si>
    <t>www.bbrtek.com</t>
  </si>
  <si>
    <t>518178-97</t>
  </si>
  <si>
    <t>Bcas</t>
  </si>
  <si>
    <t>Operator of an ed-tech project financing company intended to promote equitable, sustainable, and quality education. The company offers help and support to get money through search, application, processing, and collection of scholarships for study, embedded with installment payment and pay-later facilities, enabling students to focus on their studies.</t>
  </si>
  <si>
    <t>Actyus, Archipelago Next, European Investment Fund, Extension Fund, Juanjo Mostazo, Lanai Ventures, Lanzadera Accelerator, MyInvestor Banco, Orilla Asset Management, Pablo Fernandez, Proximity Angels, Scaleup Spain Network, Wayra, Zubi Labs</t>
  </si>
  <si>
    <t>www.bcasapp.com</t>
  </si>
  <si>
    <t>121270-15</t>
  </si>
  <si>
    <t>Bcause</t>
  </si>
  <si>
    <t>Operator of an online platform intended for major giving and impact investing, allowing to set up of virtual foundations. The company's online platform allows users to invest in regulated futures and options for bitcoin and other cryptocurrencies, enabling clients to trade limit and market orders of options denominated in bitcoin and other currencies.</t>
  </si>
  <si>
    <t>Andreas Haug, Aurum Impact, BonVenture, Gesche Joost, IBB Ventures, Martin Weber, Mast-Jägermeister, Tobias Thelen</t>
  </si>
  <si>
    <t>start.bcause.com</t>
  </si>
  <si>
    <t>657492-31</t>
  </si>
  <si>
    <t>bckers</t>
  </si>
  <si>
    <t>Developer of an AI-native intelligence platform designed to algorithmically score performance, risk, and behavior across private capital markets. The company's platform offers a scoring system and analytics tool that evaluate performance, risk, and behavioral patterns in private market participants, enabling investors and fund managers to access data-validated insights that improve decision-making, reduce risk, and enhance evaluation of private market opportunities.</t>
  </si>
  <si>
    <t>New Jersey Commission on Science, Innovation and Technology, NJ Fast</t>
  </si>
  <si>
    <t>www.bckrs.ai</t>
  </si>
  <si>
    <t>469897-84</t>
  </si>
  <si>
    <t>BCMstrategy</t>
  </si>
  <si>
    <t>Developer of automated predictive analytic tools designed to quantify, measure and analyze public policy risks. The company's platform leverages patented technology and automated analytical processes to convert the language of documents into structured data, along with delivering daily global momentum measurements as well as time-series data that captures reaction functions, enabling managers, advocates, investors, and businesses to make enhanced decisions regarding their exposure to shifts in public policy based on facts and publicly available information.</t>
  </si>
  <si>
    <t>Amy Goldman, BlackLab Venture Studio, Boyden Gray, G20 TechSprint, Virginia Innovation Partnership Corporation, Virginia Venture Partners</t>
  </si>
  <si>
    <t>www.bcmstrategy2.com</t>
  </si>
  <si>
    <t>493895-89</t>
  </si>
  <si>
    <t>Beam Checkout</t>
  </si>
  <si>
    <t>Developer of a checkout platform designed for online stores to achieve the highest sales conversion rates. The company's platform connects to a range of payment methods and has the availability of e-commerce website plug-ins, enabling merchants and clients to help grow their e-commerce businesses.</t>
  </si>
  <si>
    <t>Partech, Peak XV Partners, SeaX Ventures, Surge (Accelerator), Tekton Ventures, Thiraphong Chansiri</t>
  </si>
  <si>
    <t>www.beamcheckout.com</t>
  </si>
  <si>
    <t>489958-21</t>
  </si>
  <si>
    <t>beatvest</t>
  </si>
  <si>
    <t>Developer of financial software intended to teach finance and make investing easy for beginners. The company's platform provides educational and financial tools together, making it easy to learn investing and finance, enabling users to become professionals at making financial investments and have the opportunity to build long-term wealth.</t>
  </si>
  <si>
    <t>BLACKVRST Equity GmbH, Heartfelt (Private Equity), Marco Adelt, Maximilian Tayenthal, Neosfer, Sino, Stephanie Caspar, The House of Finance and Tech Berlin, Tijen Onaran</t>
  </si>
  <si>
    <t>www.beatvest.com</t>
  </si>
  <si>
    <t>469332-37</t>
  </si>
  <si>
    <t>Bee Vale</t>
  </si>
  <si>
    <t>Developer of a financial services application designed to offer real flexible benefits for employees. The company's application has full acceptance and flexibility to use the benefits according to the needs of each employee, such as making payments at markets, restaurants, delivery applications, and gas stations, earning cash back, transport and mobility, enabling users to have access to benefits, wherever they are and however they need to use them.</t>
  </si>
  <si>
    <t>Darwin Capital, Somapay Sociedade De Credito Direto</t>
  </si>
  <si>
    <t>site.beevale.com.br</t>
  </si>
  <si>
    <t>545249-98</t>
  </si>
  <si>
    <t>Bees &amp; Bears</t>
  </si>
  <si>
    <t>Developer of a financing platform intended to support the adoption of renewable energy systems through embedded payment infrastructure. The company offers point-of-sale installment financing for solar, energy storage, and heating systems, enabling renewable energy installers, financial institutions, and residential customers, to reduce upfront cost barriers and expand access to clean energy technologies.</t>
  </si>
  <si>
    <t>Angel Invest, Contrarian Ventures, Extantia Capital, Unruly Capital</t>
  </si>
  <si>
    <t>www.beesandbears.com</t>
  </si>
  <si>
    <t>509618-62</t>
  </si>
  <si>
    <t>Befiler</t>
  </si>
  <si>
    <t>Developer of an online tax preparation and filing application designed for taxpayers and salaried individuals. The company's platform provides for business registration, sales tax registration, tax saving, tax return calculation, and tax claiming, and also manages tax and legal compliance services, enabling users to register NTN and file income tax returns within minutes.</t>
  </si>
  <si>
    <t>Cistech Capital, Lakson Investments, State Bank of Pakistan</t>
  </si>
  <si>
    <t>www.befiler.com</t>
  </si>
  <si>
    <t>493237-45</t>
  </si>
  <si>
    <t>Belay (Financial Services)</t>
  </si>
  <si>
    <t>Provider of insurance coverage for publicly traded equities intended for risk mitigation purposes. The company's services are based on advanced risk management algorithms that deliver flexible insurance policies, select coverage parameters for listed securities, generate policy offers, complete purchases digitally, monitor active policies, and submit claims through a web-based interface, enabling retail investors and individual market participants to manage downside exposure, recover documented losses after asset liquidation, and maintain continuity in portfolio management activities.</t>
  </si>
  <si>
    <t>Alpaca VC, Indicator Ventures, Leazar Capital, Red Beard Ventures</t>
  </si>
  <si>
    <t>www.withbelay.com</t>
  </si>
  <si>
    <t>492878-89</t>
  </si>
  <si>
    <t>Belo (Financial Software)</t>
  </si>
  <si>
    <t>Developer of a hybrid digital wallet designed to send and receive payments internationally. The company's technology allows exchange between currencies, sending money to third parties along with tools for companies to pay salaries, access stable currencies, and make payments in crypto and international transfers at a low cost, enabling users to simplify cross-border transactions.</t>
  </si>
  <si>
    <t>99 Startups, Acelerar España, CRV, Fortified Ventures, G2 Momentum Capital, Gaingels, Iluminar Ventures, Infinity Ventures Crypto, Kalei Ventures, Latitud, Liquid 2 Ventures, Magma Partners, Mana Ventures, Mindset Ventures, Neutron (Argentina), Newtopia VC, Primary x, Prosto Venture Club, Smart Growth Investments, Start Path, Sur Ventures (VC), Tether, TheVentureCity, Titan Fund, Vanaxis Investment Group, VC3 (New York)</t>
  </si>
  <si>
    <t>www.belo.app</t>
  </si>
  <si>
    <t>707457-88</t>
  </si>
  <si>
    <t>Belong(Financial Software)</t>
  </si>
  <si>
    <t>Developer of a fintech application intended to help non-resident Indians save and invest in India. The company's application offers a wide range of financial products for spending, saving, and investing, enabling non-resident Indians to grow their savings.</t>
  </si>
  <si>
    <t>Abhiraj Bahl, Aditya Sharma, Akshant Goyal, Elevation Capital (India), Relentless VC (India), Varun Alagh, Varun Khaitan, Vineet Sethi</t>
  </si>
  <si>
    <t>www.getbelong.com</t>
  </si>
  <si>
    <t>956925-37</t>
  </si>
  <si>
    <t>Beltic</t>
  </si>
  <si>
    <t>Developer of an AI-powered compliance platform designed to streamline anti-money laundering (AML) processes for financial institutions. The company's platform integrates Know Your Customer (KYC) and Know Your Business (KYB), sanction screening, enhanced due diligence, and automated manual reviews, helping fintechs and enterprises reduce false positives, accelerate onboarding, and ensure real-time global compliance.</t>
  </si>
  <si>
    <t>Activation Ventures, Canvas GFX, Collide Capital, Courtyard Ventures, Latitud, Meltwater, Morgan Stanley, Nomad Capital (United States), Positive Ventures, Ramp, Restive Ventures, Salesforce, Stripe</t>
  </si>
  <si>
    <t>www.beltic.com</t>
  </si>
  <si>
    <t>554913-82</t>
  </si>
  <si>
    <t>Benji Card</t>
  </si>
  <si>
    <t>Developer of a healthcare cash-pay ecosystem designed to simplify healthcare payments, providing flexibility, transparency, and cost control. The company offers health plans to pre-fund, set spending controls on, and send virtual Visa spend cards to their members to pay for their healthcare at the point of care while providing complete control, visibility, and insight into healthcare spending for the health plan, enabling users and clients to effortlessly manage payments to providers and members, with customizable spending controls.</t>
  </si>
  <si>
    <t>Campus Founders Fund, Kickstart (US), Lassonde Entrepreneur Institute</t>
  </si>
  <si>
    <t>www.benjicard.com</t>
  </si>
  <si>
    <t>530003-62</t>
  </si>
  <si>
    <t>Benji Pays</t>
  </si>
  <si>
    <t>Developer of a payment processing software designed to connect the accounting system with a merchant account. The company's software features integrated online credit card invoice payment links, multi-currency, and multi-gateway support, automated integrated payment processing, transaction surcharging, integrated refunds and voids, while leveraging formidable security infrastructure for users' data, enabling businesses to eliminate the manual grind of payments and invoicing and get payments, deposits, and refunds synchronized automatically in the accounting system.</t>
  </si>
  <si>
    <t>Ten Eighty Ventures, Top Down Ventures</t>
  </si>
  <si>
    <t>www.benjipays.com</t>
  </si>
  <si>
    <t>503385-67</t>
  </si>
  <si>
    <t>Beppo (Financial Software)</t>
  </si>
  <si>
    <t>Developer of a cloud-based bookkeeping and accounting platform designed to make bookkeeping and accounting easy and affordable. The company's tool offers a comprehensive suite of bookkeeping and accounting features, including invoicing, payment processing, expense tracking, bank reconciliation, financial reporting, and tax preparation, enabling businesses and freelancers to streamline their financial operations and make better business decisions.</t>
  </si>
  <si>
    <t>SheDisrupts, Wavemaker Partners</t>
  </si>
  <si>
    <t>www.beppo.com</t>
  </si>
  <si>
    <t>108793-90</t>
  </si>
  <si>
    <t>Bergfürst</t>
  </si>
  <si>
    <t>OOperator of a crowd-investing platform intended to facilitate real estate projects and property crowdfunding processes. The company's platform helps in investor administration for the issuer and offers customary banking processes for the settlement of payment flows, enabling private investors to participate in individual real estate deals and portfolios.</t>
  </si>
  <si>
    <t>Berliner Volksbank Ventures, Carl-Thomas Epping, Commerz Real, Michael Brehm, Oliver Pabst, WeltN24</t>
  </si>
  <si>
    <t>bergfuerst.com</t>
  </si>
  <si>
    <t>338643-37</t>
  </si>
  <si>
    <t>Bespoke Financial</t>
  </si>
  <si>
    <t>Provider of short-term lending services intended to fuel business growth in the legal cannabis industry and CBD market. The company's services accelerate access to capital to reduce cash flow cycles and inventory purchases, enabling firms with the financial flexibility to realize their true growth potential.</t>
  </si>
  <si>
    <t>Anti Fund, Casa Verde Capital, Ceres Group Holdings, Cosmic Venture Partners, DoubleLine, GHC Partners, Outbound Ventures, Robert Stavis, Sweat Equity Ventures, The General Partnership</t>
  </si>
  <si>
    <t>www.bespokefinancial.com</t>
  </si>
  <si>
    <t>532803-79</t>
  </si>
  <si>
    <t>Bestow (New York)</t>
  </si>
  <si>
    <t>Developer of a financial platform designed for peer-to-peer mobile payment for customers. The company's platform helps in giving tips and donations to individuals and charitable organizations, enabling users to pay anyone in person without ever having to exchange any personal details like their name, email, or phone number.</t>
  </si>
  <si>
    <t>Fourward Ventures, Nex Cubed</t>
  </si>
  <si>
    <t>www.bestowpayments.com</t>
  </si>
  <si>
    <t>442180-81</t>
  </si>
  <si>
    <t>Betago</t>
  </si>
  <si>
    <t>Developer of an investment platform designed to provide banks with customized portfolios. The company uses intelligent algorithms to construct investment portfolios based on bank users risk and return preferences, enabling users to make smarter investment decisions.</t>
  </si>
  <si>
    <t>Gaowei Capital, Innoangel Fund, PowerCloud Venture Capital</t>
  </si>
  <si>
    <t>www.betago2016.com</t>
  </si>
  <si>
    <t>1153109-98</t>
  </si>
  <si>
    <t>Better Payment Network</t>
  </si>
  <si>
    <t>Developer of a blockchain payments platform designed for facilitating global payments using stablecoins. The company's platform supports multi-stablecoin liquidity, FX settlement, fiat stablecoin swaps, compliance controls, wallet integration, and programmable APIs, enabling businesses and individuals in international markets to access efficient, transparent, and regulated payment services.</t>
  </si>
  <si>
    <t>YZi Labs</t>
  </si>
  <si>
    <t>www.bpn.finance</t>
  </si>
  <si>
    <t>517405-15</t>
  </si>
  <si>
    <t>Bettercode</t>
  </si>
  <si>
    <t>Developer of a cloud-based platform designed to improve the sales revenue of the business. The company's platform offers basic functions like product management, a payment system, and design services with tools to upgrade the information as per the needs, providing businesses and retailers with a link between the marketplace and consumers and an improved system for consumers.</t>
  </si>
  <si>
    <t>Ophir Equity Partners</t>
  </si>
  <si>
    <t>www.bettercode.kr</t>
  </si>
  <si>
    <t>509386-96</t>
  </si>
  <si>
    <t>Betterplan</t>
  </si>
  <si>
    <t>Developer of an advisory platform designed to democratize access to wealth management. The company specializes in expert financial advice and investment products previously offered only to high-net-worth individuals, enabling clients to grow their wealth and make investing simple and fast to achieve their goals.</t>
  </si>
  <si>
    <t>Dadneo, HCS Capital</t>
  </si>
  <si>
    <t>www.betterplan.cl</t>
  </si>
  <si>
    <t>466902-01</t>
  </si>
  <si>
    <t>BettrCredit</t>
  </si>
  <si>
    <t>Developer of a digital hyperlocal platform designed to provide access to financial products to underserved populations. The company's platform uses machine learning, assisted technology, as well as data analytics to tap multiple distribution channels and onboard partners such as financial influencers and advisors to cross-sell a wide range of financial products within their ecosystem, enabling customers to keep their financial journey on track.</t>
  </si>
  <si>
    <t>www.bettr.co.in</t>
  </si>
  <si>
    <t>470749-87</t>
  </si>
  <si>
    <t>Beyond Equity</t>
  </si>
  <si>
    <t>Operator of a financial instrument platform intended to raise capital for high-growth startups. The company's platform assesses business eligibility, issues revenue incentive notes for non-dilutive capital, operates a revenue exchange, and offers a new asset class that combines elements of venture debt and equity, enabling startups to secure funding and avoid equity dilution.</t>
  </si>
  <si>
    <t>www.beyondequity.co</t>
  </si>
  <si>
    <t>458339-95</t>
  </si>
  <si>
    <t>Bibit</t>
  </si>
  <si>
    <t>Developer of a financial platform designed to assist with personal investments. The company's platform puts users' money into a diversified mutual fund portfolio intelligently and without hassle, while considering factors such as age, income, and overall risk profile, enabling investors and users to get a tool that provides professional financial planning services.</t>
  </si>
  <si>
    <t>500 Global, ACV Capital, Antler, East Ventures, Fintech Nation, GIC Private, Harvard Management Company, Ideosource, Peak XV Partners, Prosus Ventures, Tencent Holdings</t>
  </si>
  <si>
    <t>bibit.id</t>
  </si>
  <si>
    <t>432705-16</t>
  </si>
  <si>
    <t>Bicai365</t>
  </si>
  <si>
    <t>Developer of online wealth management platform intended to help users screen and choose different financial products provided by banks. The company's cloud platform can directly connect to banking systems, enabling clients to open accounts, check balance, create investment portfolio, access financial products and perform other functions efficiently.</t>
  </si>
  <si>
    <t>Bojiang Capital, China Science &amp; Merchants Investment Management Group, First Eastern Investments Limited, Richland Equities</t>
  </si>
  <si>
    <t>www.bicai365.com</t>
  </si>
  <si>
    <t>534828-07</t>
  </si>
  <si>
    <t>BidFinance</t>
  </si>
  <si>
    <t>Developer of a digital auction platform designed for the buying and selling of debt portfolios in a transparent and structured manner. The company's platform facilitates real-time auctions, portfolio valuation, secure documentation access, and direct communication between buyers and sellers, enabling financial institutions, investment firms, and private investors to trade performing and non-performing loan portfolios efficiently.</t>
  </si>
  <si>
    <t>4Growth Venture Capital, Digital Ocean Ventures, FundingBox Deep Tech Fund</t>
  </si>
  <si>
    <t>www.bidfinance.eu</t>
  </si>
  <si>
    <t>463901-50</t>
  </si>
  <si>
    <t>big xyt</t>
  </si>
  <si>
    <t>Developer of a comprehensive tick data analytics platform designed to deliver real-time trading and liquidity insights. The company's platform offers a private cloud-based technology that normalizes trade conditions, aggregates volumes, provides execution and market structure analysis, and supports advanced quantitative research through data integration, enabling financial institutions, asset managers, exchanges, and regulators to make informed decisions with market data.</t>
  </si>
  <si>
    <t>Engine (Accelerator), Finch Capital</t>
  </si>
  <si>
    <t>www.xyt.one</t>
  </si>
  <si>
    <t>431585-83</t>
  </si>
  <si>
    <t>BigQuant</t>
  </si>
  <si>
    <t>Provider of a online quantitative trading platform. The company's product provides an visualized way to build quantitative trading algorithms, enabling customers with no computer programming experiences to leverage artificial intelligence to help them trade in stock markets.</t>
  </si>
  <si>
    <t>Microwind Venture Capital</t>
  </si>
  <si>
    <t>www.bigquant.com</t>
  </si>
  <si>
    <t>541274-68</t>
  </si>
  <si>
    <t>Bilanc</t>
  </si>
  <si>
    <t>Developer of a finance operating system designed to track all financial metrics. The company's system offers automated finance workflows to connect the finance stack and track unit economics and profit and loss with a software setup, enabling clients to get automated financing services.</t>
  </si>
  <si>
    <t>Ada Ventures, Backfuture, Basile Senesi, Outbound Capital, Oxford Saïd Business School, Y Combinator</t>
  </si>
  <si>
    <t>www.bilanc.co</t>
  </si>
  <si>
    <t>529980-40</t>
  </si>
  <si>
    <t>Billboxx</t>
  </si>
  <si>
    <t>Developer of a cashflow management platform designed to seamlessly manage business operations. The company platform helps clients by automating bookkeeping tasks and facilitating bill payments and revenue collection by increasing value reducing errors and boosting their team's productivity by eliminating manual work and repetitive tasks, enabling businesses to automate and simplify billing to payment workflow for businesses.</t>
  </si>
  <si>
    <t>Afrinovation Ventures, Founders Factory Africa, Kaleo Ventures, Norrsken Evolve, P2Vest</t>
  </si>
  <si>
    <t>www.billboxx.com</t>
  </si>
  <si>
    <t>658274-23</t>
  </si>
  <si>
    <t>Billor</t>
  </si>
  <si>
    <t>Developer of a freight and technology platform intended to empower truck drivers to become independent operators. The company's platform simplifies logistics and financial processes, offering features such as a lease-to-own model with no down payment, maintenance financing, and artificial intelligence-driven support for optimizing routes and loads, enabling truck drivers to enhance earnings while ensuring operational efficiency and safety compliance.</t>
  </si>
  <si>
    <t>Grupo Guga Kuerten, Leste Group</t>
  </si>
  <si>
    <t>www.billor.us</t>
  </si>
  <si>
    <t>897242-41</t>
  </si>
  <si>
    <t>Billow AI</t>
  </si>
  <si>
    <t>Artificial Intelligence &amp; Machine Learning, Digital Health, FinTech</t>
  </si>
  <si>
    <t>Developer of an AI-powered financial modeling and scenario analysis platform designed for biotech and life sciences financial workflows. The company's platform integrates directly with spreadsheet editors to automate valuation modeling, clinical trial budgeting, forecasting, benchmarking, assumption updates, scenario testing, M&amp;A and proxy statement analysis, formula auditing, and generation of structured financial outputs, enabling biotech and life sciences finance teams to streamline model upkeep, reduce manual work, and make decisions with greater consistency and clarity.</t>
  </si>
  <si>
    <t>Talok Capital, Y Combinator</t>
  </si>
  <si>
    <t>www.thebillow.ai</t>
  </si>
  <si>
    <t>156172-24</t>
  </si>
  <si>
    <t>Billplz</t>
  </si>
  <si>
    <t>Developer of a payment gateway platform designed for businesses to manage and accept transactions. The company's platform offers seamless integration through APIs and plugins, real-time payment processing, automated split payments, bank-level security, and multi-account management, enabling businesses to streamline operations, monitor revenue, and make data-driven decisions while handling high-volume transactions efficiently.</t>
  </si>
  <si>
    <t>Cradle Fund, Cyberview Living Lab Accelerator</t>
  </si>
  <si>
    <t>main.billplz.com</t>
  </si>
  <si>
    <t>592114-15</t>
  </si>
  <si>
    <t>BimaPay Finsure</t>
  </si>
  <si>
    <t>Provider of lending services intended to improve insurance accessibility. The company offers personal loans for insurance premium payments through its partner lenders to help access insurance premium financing instantly without physical paperwork or income proof through digital onboarding, enabling individuals seeking premium finance to secure cover quickly and conveniently.</t>
  </si>
  <si>
    <t>LC Nueva AIF</t>
  </si>
  <si>
    <t>bimapay.in</t>
  </si>
  <si>
    <t>554741-11</t>
  </si>
  <si>
    <t>Bingtellar</t>
  </si>
  <si>
    <t>Developer of a borderless global payments platform intended to offer a payment infrastructure for global citizens. The company's platform offers a suite of products that provide multiple ways to exchange between local currencies and digital currencies, get paid, and move money across borders whenever needed, enabling freelancers, remote workers, or business owners to make and receive payments securely.</t>
  </si>
  <si>
    <t>AWS Startups, Celo Camp, NODO (Africa)</t>
  </si>
  <si>
    <t>www.bingtellar.com</t>
  </si>
  <si>
    <t>599786-83</t>
  </si>
  <si>
    <t>Binomo</t>
  </si>
  <si>
    <t>Operator of an online trading platform designed to enable users to trade financial assets with real-time execution and educational guidance. The company's platform offers VIP accounts, dynamic range trading, multi-device access, secure deposits and withdrawals, and AI-powered identity verification, enabling traders worldwide to engage in financial markets, improve trading skills, and manage investments safely.</t>
  </si>
  <si>
    <t>StoryHouse Ventures</t>
  </si>
  <si>
    <t>www.binomo.com</t>
  </si>
  <si>
    <t>552827-44</t>
  </si>
  <si>
    <t>Binta Financial</t>
  </si>
  <si>
    <t>Developed a financial technology platform designed to simplify the financial transition for immigrants, helping them build and manage their credit history from anywhere in the world. The company's platform focuses on overcoming financial challenges faced by newcomers, providing customers seamless access to banking, credit, and financial services to facilitate a smooth transition for immigrants, and offers features like international credit history migration.</t>
  </si>
  <si>
    <t>Creative Destruction Lab, HATCH Venture Builder, New Ventures BC, Tekedia Capital, University of Toronto</t>
  </si>
  <si>
    <t>www.bintafinancial.com</t>
  </si>
  <si>
    <t>292476-34</t>
  </si>
  <si>
    <t>bips</t>
  </si>
  <si>
    <t>Developer of a commercial lenders platform designed to offer lenders instant access to loans originated. The company's platform helps borrowers to submit a financing request through which the bank performs diligence, structures the financing opportunity, and then a participation offer is posted and targeted participants are invited to participate, enabling banks to generate revenues, increase profit, and participants to diversify risk and execute transactions seamlessly.</t>
  </si>
  <si>
    <t>www.bipsai.com</t>
  </si>
  <si>
    <t>1153168-39</t>
  </si>
  <si>
    <t>Birch Hill Holdings</t>
  </si>
  <si>
    <t>Operator of an institutional digital asset infrastructure firm intended to provide onchain lending and tokenized asset marketing services. The company's firm focuses on capital preservation, structuring institutional lending strategies with risk discipline at the forefront, provides fiduciaries with a compliant structure for accessing income opportunities in blockchain-based credit markets, supported by institutional-grade risk modeling and governance, enabling clients to get financial services as per their requirements.</t>
  </si>
  <si>
    <t>Castle Island Ventures, Coin Operated Group, FalconX Delta, Flowdesk, JST Digital, Nascent, ParaFi Capital, Ramin Kamfar, The Operating Group</t>
  </si>
  <si>
    <t>www.birchhill.io</t>
  </si>
  <si>
    <t>343202-05</t>
  </si>
  <si>
    <t>Bite Investments</t>
  </si>
  <si>
    <t>Developer of scalable software designed for expanding the alternative asset and wealth management industry. The company's platform offers end-to-end solutions designed to simplify and streamline the entire investment process, from fundraising and investor relations to reporting and data management, enabling alternative asset and wealth managers, fund administrators, and investment professionals to enhance connectivity to investors.</t>
  </si>
  <si>
    <t>10X Capital, Apex Group, Appia Ventures, Click Ventures, Delta Capital, Gaingels, Innospace (Shanghai), InnoVen Capital, JMP Group, Lingfeng Capital, NewSpring Capital, The Innovation and Technology Commission, VCP Apex, Western Technology Investment</t>
  </si>
  <si>
    <t>www.biteinvestments.com</t>
  </si>
  <si>
    <t>467851-69</t>
  </si>
  <si>
    <t>Bitnob</t>
  </si>
  <si>
    <t>Operator of an online trading platform intended to help users buy and sell cryptocurrency. The company offers instant KYC, multiple deposits, and withdrawal methods, including mobile money, enabling users to create and grow their wealth and even build and provide support for their businesses.</t>
  </si>
  <si>
    <t>Brad Mills, Flourish Ventures, Gaingels, Hivemind Ventures, Ingressive (Nigeria), Kepple Africa Ventures, Kickoff Africa, Lightning Ventures (Bitcoin), LoftyInc Capital Management, Recursive Capital (Bitcoin), Silverbacks Holdings, Ten31, The Raba Partnership, Ventures Platform</t>
  </si>
  <si>
    <t>www.bitnob.com</t>
  </si>
  <si>
    <t>437187-34</t>
  </si>
  <si>
    <t>Bizzi</t>
  </si>
  <si>
    <t>Operator of an accounting automation platform intended to simplify and digitise the financial operations of companies. The company's platform uses machine learning and works on top of existing accounting software to automate financial processes like bill payments, receipt scanning, compliance, and bookkeeping, enabling businesses to reduce time and spending on daily financial processes.</t>
  </si>
  <si>
    <t>500 Global, AVV (Ascend Vietnam Ventures), Do Ventures, Endeavor Global, EY Foundry, Ion Pacific, Money Forward, Qualgro, SK Startup Fellowship</t>
  </si>
  <si>
    <t>www.bizzi.vn</t>
  </si>
  <si>
    <t>570796-21</t>
  </si>
  <si>
    <t>Black Opal Group</t>
  </si>
  <si>
    <t>Provider of financial services and technology-driven tools designed to simplify the home buying process for potential homeowners. The company offers a variety of home loans, including equity loans, improvement loans, and early brokerage options, along with property search assistance and expert financial advice, enabling customers to make informed decisions and navigate the complexities of the real estate market with ease.</t>
  </si>
  <si>
    <t>HDFC Bank, State Bank of India</t>
  </si>
  <si>
    <t>blackopalgroup.in</t>
  </si>
  <si>
    <t>277809-85</t>
  </si>
  <si>
    <t>BlackFish</t>
  </si>
  <si>
    <t>Artificial Intelligence &amp; Machine Learning, Big Data, E-Commerce, FinTech, Mobile Commerce</t>
  </si>
  <si>
    <t>Operator of a mobile lifestyle platform intended to integrate online and offline consumption scenarios. The company's platform utilizes big data and artificial intelligence to provide mobile payment and lifestyle services, enabling consumers to access a digital ecosystem for internet-based consumption and convenient transaction processing.</t>
  </si>
  <si>
    <t>5Y Capital, AlphaX Partners, China Growth Capital, Fullshare Holdings, Gobi Partners, JIF Capital, Lightspeed Venture Partners, Luminous Ventures, Rakuten Capital, Soul Capital (China), Tao Zhang</t>
  </si>
  <si>
    <t>www.xhy.com</t>
  </si>
  <si>
    <t>233067-88</t>
  </si>
  <si>
    <t>Blanco</t>
  </si>
  <si>
    <t>Developer of a wealth management platform designed to automate the entire asset management process for wealth and asset managers. The company's platform offers a fully automated KYC tool and an investment platform for wealth management companies to focus on their clients through their robot-wealth technology, enabling companies to grow their business, by letting them focus on clients and investments.</t>
  </si>
  <si>
    <t>Capiva Plus Fund, DFF Ventures, KBC Focus Fund, Volta Ventures</t>
  </si>
  <si>
    <t>www.useblanco.com</t>
  </si>
  <si>
    <t>597117-79</t>
  </si>
  <si>
    <t>Blaze (Financial Software)</t>
  </si>
  <si>
    <t>Developer of payment application software designed to send and receive money to anyone, instantly with nearly free transfers. The company's software allows you to send and request payments from anyone, whether for splitting the bill, traveling, or supporting family abroad, enabling users to make free transfers between any global currency.</t>
  </si>
  <si>
    <t>CoreNest Capital, Rayo Capital Group, Y Combinator</t>
  </si>
  <si>
    <t>www.blaze.money</t>
  </si>
  <si>
    <t>539989-57</t>
  </si>
  <si>
    <t>Blerify</t>
  </si>
  <si>
    <t>Cybersecurity, FinTech, Infrastructure, Mobile, SaaS</t>
  </si>
  <si>
    <t>Provider of a digital identity infrastructure intended to issue and verify government-issued credentials. The company offers support for mobile driver's licenses and national electronic IDs with cryptographic proof-based verification via digital identity wallets, enabling enterprises to authenticate users using trusted digital credentials.</t>
  </si>
  <si>
    <t>A100x Ventures, AIR Capital, MBA Ventures, New Mexico Vintage Fund, ParaFi Capital, Plug and Play Tech Center, Redline Lab, StartX (US)</t>
  </si>
  <si>
    <t>www.blerify.com</t>
  </si>
  <si>
    <t>522921-79</t>
  </si>
  <si>
    <t>Blimboo</t>
  </si>
  <si>
    <t>B2B Payments, FinTech, Marketing Tech, SaaS, TMT</t>
  </si>
  <si>
    <t>Developer of multi-currency payment management software designed to automate online sales and payment processing for tourism businesses. The company's software offers multi-currency invoicing, automated payment reminders, recurring billing, personalized payment links, and foreign exchange management tools, enabling travel agencies, tour operators, hotels, and online merchants to streamline payment collection and reduce operational complexity.</t>
  </si>
  <si>
    <t>Bossa Invest, Catarinense Technology Association</t>
  </si>
  <si>
    <t>www.blimboo.com</t>
  </si>
  <si>
    <t>722269-27</t>
  </si>
  <si>
    <t>BlindPay</t>
  </si>
  <si>
    <t>Developer of a stablecoin API platform intended to provide global transaction services to companies. The company's platform offers instant settlement and compliance management, serving businesses engaged in international transfers, global payroll and merchant settlement services, enabling companies to send and receive money worldwide using fiat money, stablecoins and multiple blockchains.</t>
  </si>
  <si>
    <t>468 Capital, Acacia Venture Capital Partners, Bitso, Circle Ventures (Boston), Jawed Karim, Jose Lacerda, Raphael Dyxklay, Transpose Platform Management, Y Combinator</t>
  </si>
  <si>
    <t>blindpay.com</t>
  </si>
  <si>
    <t>491727-16</t>
  </si>
  <si>
    <t>Bling (Financial Software)</t>
  </si>
  <si>
    <t>Developer of pocket money cards and applications designed for children and young people across Europe. The company develops educational payment cards to help children to deal with finances, and to learn about the use of digital money and allows them to understand their income and expenses, enabling the young generation to understand, manage and grow money responsibly.</t>
  </si>
  <si>
    <t>22 Capital (Berlin), Andre Schurrle, Angel Invest, Ben Tellings, blueworld.Group, Carmen Kroll, CG Partners, eightyseven Ventures, Felix Haas, General Catalyst, IBB Ventures, Invested., Jakob Schreyer, La Famiglia, Lara Tippelskirch, Lea-Sophie Cramer, Neosfer, Owl Ventures, Peak (Amsterdam), PostFinance Ventures, Prediction Capital, Verena Pausder</t>
  </si>
  <si>
    <t>www.bling.de</t>
  </si>
  <si>
    <t>265200-94</t>
  </si>
  <si>
    <t>Blink (Publishing)</t>
  </si>
  <si>
    <t>Provider of subscription services intended to offer different publications and sources for digital news purchases. The company helps to eliminate the need for a new account through a single login and seamless payment services for articles and special content across many publications, enabling readers to receive current news articles without hitting a paywall every time.</t>
  </si>
  <si>
    <t>Polychain Capital</t>
  </si>
  <si>
    <t>www.blink.net</t>
  </si>
  <si>
    <t>513208-27</t>
  </si>
  <si>
    <t>Blipay</t>
  </si>
  <si>
    <t>Developer of a digital-native fintech platform designed to focus on microcredit and payments. The company's platform specializes in making purchases at any establishment or website that accepts PIX and offers digital salary advances and other financial products, enabling customers with access to withdraw as per custom limit and rate and get the flexibility to pay on the next invoice.</t>
  </si>
  <si>
    <t>www.blipay.com.br</t>
  </si>
  <si>
    <t>432814-60</t>
  </si>
  <si>
    <t>Bllink</t>
  </si>
  <si>
    <t>Developer of an automatic payment collection platform designed to streamline the management of the house committee. The company's platform helps to collect money in a secure and fast way with a variety of payment options and even tracks and monitors the financial activity of each building without being physically on-site, enabling clients to save the cost and time of collecting money from residents.</t>
  </si>
  <si>
    <t>AltaIR Capital, Avishai Abrahami, Eyal Veitzman, Flashpoint Venture Capital Group, Giora Kaplan, Lior Shemesh, Nir Zohar, Ran Tushia</t>
  </si>
  <si>
    <t>www.bllink.co</t>
  </si>
  <si>
    <t>510431-14</t>
  </si>
  <si>
    <t>Blnk</t>
  </si>
  <si>
    <t>Developer of a fintech platform designed to provide point-of-sale financing and digital credit access for purchases. The company offers instant credit approvals, paperless onboarding, and merchant-integrated financing, enabling consumers to purchase products and services through flexible payment options.</t>
  </si>
  <si>
    <t>Algebra Ventures, Emirates International Investment, Endeavor Catalyst, SANAD Fund, Sawari Ventures</t>
  </si>
  <si>
    <t>www.blnk.ai</t>
  </si>
  <si>
    <t>556966-81</t>
  </si>
  <si>
    <t>BLOCKBR</t>
  </si>
  <si>
    <t>Operator of a fintech company intended to focus on tokenization and infrastructure for digital asset investments. The company offers a platform for tokenization of various assets, including both financial and real assets, allowing for increased efficiency, lower costs, and greater accessibility compared to traditional investment methods, enabling customers to invest in these assets through digital tokens.</t>
  </si>
  <si>
    <t>Darwin Startups, Nestal (Brazil)</t>
  </si>
  <si>
    <t>www.blockbr.com.br</t>
  </si>
  <si>
    <t>594023-86</t>
  </si>
  <si>
    <t>Blockhouse</t>
  </si>
  <si>
    <t>Developer of an institutional investment platform designed to provide access to systematic, market-neutral trading strategies. The company's platform offers proprietary signal generation, execution management, and analytics infrastructure, enabling investors to deploy algorithmic strategies across crypto and digital asset markets with optimized performance and risk-adjusted returns.</t>
  </si>
  <si>
    <t>Antler, Bling Capital, Soma Capital, Watertower Ventures</t>
  </si>
  <si>
    <t>www.blockhouse.app</t>
  </si>
  <si>
    <t>263419-30</t>
  </si>
  <si>
    <t>Blockpit</t>
  </si>
  <si>
    <t>Developer of a tax reporting and portfolio monitoring platform intended to facilitate tax filing for crypto traders. The company's platform provides real-time tax calculation and generates legally approved, zero-knowledge compliant reports that are automated via API interface, enabling traders to track crypto investments and capitalize on insights.</t>
  </si>
  <si>
    <t>6 Degrees Capital, AUBMES Invest, Blockchain Founders Group, Coinix, Elevator Ventures, European Super Angels Club, Fabric Ventures, Force Over Mass Capital, Groundshift, MiddleGame Ventures, Old Fashion Research, Pioneers Ventures, Tioga Capital, Venionaire Capital</t>
  </si>
  <si>
    <t>www.blockpit.io</t>
  </si>
  <si>
    <t>491361-31</t>
  </si>
  <si>
    <t>Bloom (Middletown)</t>
  </si>
  <si>
    <t>Developer of a stock trading platform designed to help people invest in the stock market. The company's platform facilitates discovering, investing, and trading in equities, stocks, options, and other asset classes, enabling investors to gain exposure to the financial markets through a liquid and transparent platform.</t>
  </si>
  <si>
    <t>Contrary (San Francisco), Offline Ventures, Position Ventures, Rocketship.vc, Samsung NEXT Ventures, Soma Capital, Y Combinator</t>
  </si>
  <si>
    <t>www.bloomapp.com</t>
  </si>
  <si>
    <t>465441-40</t>
  </si>
  <si>
    <t>Bloom (Specialized Finance)</t>
  </si>
  <si>
    <t>Provider of financial technology intended to focus on fueling the capital needs of booming e-commerce businesses. The company offers lending services to online brands benefiting from the acceleration of e-commerce sales, along with providing revenue-based financing for e-commerce and in-store businesses, enabling organizations to accelerate their service strategy and enhance customer retention.</t>
  </si>
  <si>
    <t>Fortress Investment Group, Novus Capital Group</t>
  </si>
  <si>
    <t>www.letsbloom.com</t>
  </si>
  <si>
    <t>503320-24</t>
  </si>
  <si>
    <t>Bloom Finance Company</t>
  </si>
  <si>
    <t>Provider of financial services intended to help Canadian homeowners access their home equity for financial freedom. The company offers reverse mortgage products that allow homeowners to have their home's value tax-free, enabling senior homeowners to supplement their retirement income while maintaining full ownership of their property.</t>
  </si>
  <si>
    <t>AgeTech Capital, Ashbridge Partners, Greyhill Capital Partners, SixThirty Ventures</t>
  </si>
  <si>
    <t>www.bloomfin.ca</t>
  </si>
  <si>
    <t>616127-95</t>
  </si>
  <si>
    <t>Blooms (Financial Software)</t>
  </si>
  <si>
    <t>Developer of a financial management platform designed to simplify capital management. The company's platform offers features such as making automatic payments, viewing collection balances in real-time, paying suppliers or accounts in different currencies and foreign exchange transactions, enabling exporters to obtain liquidity in days without complex procedures.</t>
  </si>
  <si>
    <t>Angel Ventures Mexico, Eqwow Ventures, GLOCAL (Argentina), Mercy Corps, SP Ventures, The Yield Lab Latam</t>
  </si>
  <si>
    <t>www.bloomscapital.com</t>
  </si>
  <si>
    <t>432461-26</t>
  </si>
  <si>
    <t>Bloxs</t>
  </si>
  <si>
    <t>Operator of a financial ecosystem intended to facilitate access to the capital market by connecting companies and investors. The company's platform provides access to alternative investment options and provides a way of diversifying from traditional investment options by providing structured operations and market insights, enabling investors by digitizing the stock and debt issuance process through its platform.</t>
  </si>
  <si>
    <t>Banco BS2, Bossa Invest, DOMO.VC, Rio Venture Capital, Voltxs Energy</t>
  </si>
  <si>
    <t>www.bloxs.com.br</t>
  </si>
  <si>
    <t>470486-62</t>
  </si>
  <si>
    <t>Blu</t>
  </si>
  <si>
    <t>Developer of a digital financial platform designed to help businesses use receivables as collateral and pay off their suppliers. The company's platform specializes in retail financing through card receivables for a concession on credit that reduces delinquency to near zero and allows longer terms or lower rates, enabling businesses to get an option to avail credit facilities based on future sales.</t>
  </si>
  <si>
    <t>Hindiana, Warburg Pincus</t>
  </si>
  <si>
    <t>www.blu.com.br</t>
  </si>
  <si>
    <t>166933-36</t>
  </si>
  <si>
    <t>BLU365</t>
  </si>
  <si>
    <t>Developer of a digital trading platform designed to negotiate debts. The company's platform seeks to understand each profile before proposing a negotiation and ensures operational efficiency and effectiveness in results, enabling clients to get a high return on their investment.</t>
  </si>
  <si>
    <t>Artemisia, BrazilLAB, Eduardo Guimarães, Google Accelerator, KPTL Arbitrage Management, MG Tech., Monashees, Plug and Play Tech Center, REAG Capital Holding</t>
  </si>
  <si>
    <t>www.blu365.com.br</t>
  </si>
  <si>
    <t>498198-61</t>
  </si>
  <si>
    <t>Blue (Financial Software)</t>
  </si>
  <si>
    <t>Developer of a fintech security platform designed to offer identity verification services for decentralized finance traders to assist with KYC. The company's platform offers KYC/AML services and wrap and trading services with secured KYC and anti-money laundering regulations, enabling users to execute peer-to-peer transactions using blockchain technology, which permits financial services without intermediaries such as banks or brokerages.</t>
  </si>
  <si>
    <t>Blockchange Ventures, DoraHacks, Ethdenver, Fenbushi Capital, Gate Technology, Knollwood Investment Advisory, Outlier Ventures, Wave Digital Assets, Wave Financial</t>
  </si>
  <si>
    <t>www.blue.fi</t>
  </si>
  <si>
    <t>659496-79</t>
  </si>
  <si>
    <t>Blue Inspect</t>
  </si>
  <si>
    <t>Developer of a digital inspection platform designed to streamline and automate equipment inspections. The company offers a user-friendly app that utilizes artificial intelligence and machine learning for advanced object detection, anomaly detection, and damage recognition capabilities, enabling companies in the equipment finance, leasing, and dealership industries to reduce costs, increase efficiency, and gain deeper insights into their assets.</t>
  </si>
  <si>
    <t>ECFG</t>
  </si>
  <si>
    <t>blue-inspect.com</t>
  </si>
  <si>
    <t>533106-19</t>
  </si>
  <si>
    <t>Blue Kite Capital</t>
  </si>
  <si>
    <t>Operator of an investment firm intended to back technology-driven ventures with the potential to create meaningful impact and address emerging global challenges. The company offers a strategic investment approach focused on innovative, early-stage businesses across diverse industries, enabling entrepreneurs and forward-thinking enterprises to scale transformative ideas and drive long-term growth.</t>
  </si>
  <si>
    <t>731581-75</t>
  </si>
  <si>
    <t>Blue Lions</t>
  </si>
  <si>
    <t>Provider of tax settlement and prediction services intended to enable people to follow tax regulations with ease. The company offers year-end tax settlement analysis and forecasting, refund inquiry and claim services, as well as income and salary management, enabling clients to claim their tax benefits.</t>
  </si>
  <si>
    <t>Dream Ventures (Korea), Kookmin University Technology Holdings, Tech Incubator Program for Startup</t>
  </si>
  <si>
    <t>www.bluelions.kr</t>
  </si>
  <si>
    <t>308330-20</t>
  </si>
  <si>
    <t>BLUEmart</t>
  </si>
  <si>
    <t>Operator of an online payment network intended for the digitalisation of retail payment systems. The company provides a payment application that enables vending machine transactions, online purchases, phone bill recharges, utility payments, cash withdrawals and merchant account management, thereby helping users streamline payment management and improve transaction efficiency.</t>
  </si>
  <si>
    <t>Ant Group, Joy Capital (Beijing), KongZhong, Source Code Capital, Vision Knight Capital</t>
  </si>
  <si>
    <t>cn.mart.blue</t>
  </si>
  <si>
    <t>960430-33</t>
  </si>
  <si>
    <t>Bluerails</t>
  </si>
  <si>
    <t>Developer of an on-chain crypto treasury intended to bridge banks and stables across borders. The company's platform helps with swift treasury execution, embedded compliance and control, programmable and customizable setup, enabling clients to get a flexible integration dashboard or API and a real-time settlement tracker.</t>
  </si>
  <si>
    <t>Angel Invest, BYLD (Dubai), Lucid Capital, SDAC Ventures, Sequoia Capital, w3.fund</t>
  </si>
  <si>
    <t>www.bluerails.com</t>
  </si>
  <si>
    <t>168032-26</t>
  </si>
  <si>
    <t>Blueswipe</t>
  </si>
  <si>
    <t>Provider of payment processing services intended to facilitate online transactions. The company's platform offers online integration, gateways, loyalty cards, online data analysis reporting, and in-person payment and merchant services, enabling local businesses to receive payments securely.</t>
  </si>
  <si>
    <t>Lighthouse Labs (Richmond), Startup Virginia</t>
  </si>
  <si>
    <t>www.goblueswipe.com</t>
  </si>
  <si>
    <t>597732-13</t>
  </si>
  <si>
    <t>Bluprynt</t>
  </si>
  <si>
    <t>Developer of a regulatory compliance operating system designed to automate and enforce digital asset compliance across blockchain networks. The company's platform offers issuer identity verification, machine-readable disclosure compilation, verifiable credential issuance, and deterministic runtime enforcement infrastructure, enabling regulators, financial institutions, and digital asset issuers to manage cross-jurisdictional requirements through credential-based verification rather than embedded smart contract logic.</t>
  </si>
  <si>
    <t>Christopher Giancarlo, Coinbase Ventures, Cultivation Capital, Daniel Schulman, Edward Wible, Flourish Ventures, Jelena McWilliams, Jeremy Kroll, Jules Kroll, Mark Cuban, Plural VC, Public, Quona Capital, Radical Investments, Ricardo Marino, Robinhood, Selah Ventures, Valor Capital Group</t>
  </si>
  <si>
    <t>www.bluprynt.com</t>
  </si>
  <si>
    <t>277109-11</t>
  </si>
  <si>
    <t>BlytzPay</t>
  </si>
  <si>
    <t>Developer of a payment technology designed to simplify payment processing for organizations. The company's technology includes a mobile payment application that improves the ease and speed with which businesses invoice and collect payments from their customers, enabling customers to communicate and pay via text interaction.</t>
  </si>
  <si>
    <t>www.blytzpay.com</t>
  </si>
  <si>
    <t>1157791-42</t>
  </si>
  <si>
    <t>BMONI</t>
  </si>
  <si>
    <t>Developer of a digital wallet and multi-currency payment platform designed for secure, borderless financial transactions and money management. The company's platform provides users with virtual accounts, stablecoin-backed wallets, biometric authentication, instant cross-border transfers, seamless payments, business expense cards, and advanced security features such as patented facial recognition and cryptographic proofs, enabling individuals and small businesses to save, send, receive, and spend money efficiently while protecting funds against inflation and ensuring regulatory compliance.</t>
  </si>
  <si>
    <t>Altos Ventures, LAVA (Africa), Tekton Ventures, The Fintech Fund</t>
  </si>
  <si>
    <t>www.bmoni.com</t>
  </si>
  <si>
    <t>100981-99</t>
  </si>
  <si>
    <t>Boast</t>
  </si>
  <si>
    <t>Developer of a tax credit automation platform designed to help clients file government tax returns. The company's platform uses algorithms to automate the complicated process of claiming research and development incentives from the government, it also works with tax credits, scientific research, experimental development, and interactive digital media tax credits, enabling clients to maximize their research and development tax returns and de-risk their audits while drastically reducing the impact to their internal resources.</t>
  </si>
  <si>
    <t>Radian Capital</t>
  </si>
  <si>
    <t>www.boast.ai</t>
  </si>
  <si>
    <t>168237-01</t>
  </si>
  <si>
    <t>Boerse Stuttgart</t>
  </si>
  <si>
    <t>Operator of the trading platform designed for business models for exchange trading OTC trading in fungible products. The company's platform operates a capital market business as well as a digital and crypto business and provides trading and custody solutions for institutional clients and its retail platform, enabling clients to get safe and secure financial services.</t>
  </si>
  <si>
    <t>SBI Digital Asset Holdings</t>
  </si>
  <si>
    <t>www.boerse-stuttgart.de</t>
  </si>
  <si>
    <t>438050-26</t>
  </si>
  <si>
    <t>Bold (Bogota)</t>
  </si>
  <si>
    <t>Operator of a digital payment platform intended to facilitate global transactions. The company offers a card payment system that allows small merchants to accept digital payments through credit and debit cards, national and international for both contactless and chip transactions, and shows the details, and processing costs along with sales reports through its application, enabling businesses to use an alternative payment method that helps to increase revenue.</t>
  </si>
  <si>
    <t>Amador Holdings, Ash Park Capital, Endeavor Catalyst, General Atlantic, Global Founders Capital, Great Stuff Ventures, Grupo Auteco, InQlab, International Finance Corporation, INVERLINK, INVX, Monserrate Ventures, Piton Capital, SIMMA Capital, Solid Ventures, Tiger Global Management</t>
  </si>
  <si>
    <t>www.bold.co</t>
  </si>
  <si>
    <t>533102-05</t>
  </si>
  <si>
    <t>Bolta</t>
  </si>
  <si>
    <t>Developer of a headless finance API platform designed to give AI applications and fintech developers instant access to Korean financial data. The company's software features login-based invoice issuance, reservation issuance, cancellation, Slack integration, issuance status, and a dashboard, enabling businesses to streamline their tax invoice management process and focus on the things that matter.</t>
  </si>
  <si>
    <t>Companoid Labs, Han Ki-yong, Spring Camp, Strong Ventures</t>
  </si>
  <si>
    <t>www.bolta.io</t>
  </si>
  <si>
    <t>268187-95</t>
  </si>
  <si>
    <t>BomConsórcio</t>
  </si>
  <si>
    <t>Developer of an online consortium platform intended to buy and sell consortium quotas safely. The company's platform facilitates a list of all partners who are authorized to a market consortium and connects people and opportunities in the consortium market, enabling users to try their hands in a safe and uncomplicated way to negotiate consortium quotas.</t>
  </si>
  <si>
    <t>Crescera Capital, Triaxis Capital</t>
  </si>
  <si>
    <t>www.bomconsorcio.com.br</t>
  </si>
  <si>
    <t>471340-81</t>
  </si>
  <si>
    <t>BON Credit</t>
  </si>
  <si>
    <t>Developer of a crypto investment platform designed to assist crypto investors in achieving financial independence. The company is a crypto index fund and asset management platform for long-term crypto investments, enabling web3 users to achieve financial freedom by investing in assets of the future so that they can live a better life.</t>
  </si>
  <si>
    <t>Accel, Alter Global, Canaan Partners, Foundation Capital, Gil Rosen, Head &amp; Heart Capital, Hustle Fund, Inception Studio Capital, Kim Diocampo, Lingke Wang, Matthew Dellavedova, MBA Ventures, NBA Media Ventures, Outside Venture Capital, Patrick Keating, Sequoia Capital, Unpopular Ventures, VenturesLab, Yash Kanoi</t>
  </si>
  <si>
    <t>www.boncredit.ai</t>
  </si>
  <si>
    <t>969684-49</t>
  </si>
  <si>
    <t>Bonanza Factory</t>
  </si>
  <si>
    <t>Developer of compliance products intended to secure digital asset transactions. The company specializes in verifying deposits and withdrawals between users and financial institutions and analyzes high-risk virtual asset wallet addresses and transactions to determine wallet criminal connections and risk, helping prevent virtual asset-related crimes.</t>
  </si>
  <si>
    <t>JB Investment (Seoul), Samil PricewaterhouseCoopers</t>
  </si>
  <si>
    <t>www.bonanza-factory.co.kr</t>
  </si>
  <si>
    <t>493161-76</t>
  </si>
  <si>
    <t>Bond Goggles</t>
  </si>
  <si>
    <t>Developer of bond software designed for the analytics of securities. The company's software provides an algorithmic strategy for investing in bond portfolios, and it provides insights from bond accrued interest, all the way to the currency re-denomination factor model, enabling users to invest and get yields from bond markets.</t>
  </si>
  <si>
    <t>www.bondgoggles.com</t>
  </si>
  <si>
    <t>84282-85</t>
  </si>
  <si>
    <t>Bond I.T.</t>
  </si>
  <si>
    <t>Developer of an artificial intelligence (AI)-powered fixed-income investment platform designed to support investment decision-making for financial institutions. The company offers explainable AI, machine learning-driven credit research, portfolio construction tools, and risk management capabilities, enabling asset managers, insurance providers, banks, and wealth management firms to improve investment analysis and portfolio efficiency.</t>
  </si>
  <si>
    <t>Accenture, Bank of New York Mellon, Boon Koh, Club 100 plus, Cyberport Hong Kong, FinTech Innovation Lab, Fosun International, Glory Ventures, Keiretsu Forum, Rainmaking (London), SixThirty Ventures, Startupbootcamp Holding, Talanx, VentureClash, Wind Information</t>
  </si>
  <si>
    <t>www.bonditglobal.com</t>
  </si>
  <si>
    <t>184037-41</t>
  </si>
  <si>
    <t>BOND.AI</t>
  </si>
  <si>
    <t>Operator of a financial intelligence platform intended to help banks understand user behavior. The company's platform leverages artificial intelligence to create persona clusters based on users' behavioral stability needs in order to track daily spending and refinance loans for financial wellness, enabling banks to increase user engagement and lifetime customer value while monetizing data.</t>
  </si>
  <si>
    <t>FinTech Sandbox, Fusion Partners (Switzerland), Village Capital</t>
  </si>
  <si>
    <t>www.bond.ai</t>
  </si>
  <si>
    <t>264557-71</t>
  </si>
  <si>
    <t>Bondsmart</t>
  </si>
  <si>
    <t>Developer of a co-investing platform designed to facilitate investment in corporate bonds. The company's platform offers direct co-ownership of large corporate bonds using crowd technology, providing an alternative way of getting steady returns from the big corporates, enabling financial institutions to present fixed income more simply and their clients to invest bite-sized amounts in institutional bonds.</t>
  </si>
  <si>
    <t>Barclays Eagle Lab, Creative UK, Edale, Qatar FinTech Hub Wave</t>
  </si>
  <si>
    <t>www.bondsmart.app</t>
  </si>
  <si>
    <t>638630-65</t>
  </si>
  <si>
    <t>Bondway.ai</t>
  </si>
  <si>
    <t>Developer of a portfolio management platform designed to spot emerging trends and find viable trade ideas and patterns. The company's platform allows users to generate new issue and liability management ideas, monitor their bond portfolio, differentiate client coverage, and track sector trading activity, enabling bond market professionals to improve market visibility and boost their performance and time efficiency gains.</t>
  </si>
  <si>
    <t>Altari Ventures, Manresa Ventures</t>
  </si>
  <si>
    <t>bondway.ai</t>
  </si>
  <si>
    <t>136238-14</t>
  </si>
  <si>
    <t>Bookkeeper360</t>
  </si>
  <si>
    <t>FinTech, HR Tech, SaaS, TMT</t>
  </si>
  <si>
    <t>Provider of online bookkeeping services designed to help small and medium-sized businesses with their bookkeeping and accounting. The company offers virtual bookkeeping, payroll, taxes, back-office, chief financial officer advisory, and human resources, enabling clients to have resources for accounting and advisory needs.</t>
  </si>
  <si>
    <t>360 Family Office, Joseph Camberato, Judson Ain, Rob Basso, Spencer Ain</t>
  </si>
  <si>
    <t>www.bookkeeper360.com</t>
  </si>
  <si>
    <t>471755-53</t>
  </si>
  <si>
    <t>Boomerang (Wilmington)</t>
  </si>
  <si>
    <t>Developer of loyalty management card application intended for online wallets. The company's application allows businesses to promote their content and give rewards, including cash back and points, to the customers to increase their loyalty, enabling businesses to improve their customer retention.</t>
  </si>
  <si>
    <t>Aleksey Dovzhikov, Oleg Schegolev, Prosto Venture Club, Sergey Poluektov, Sk Capital, Startup Lab, Vladislav Krainov, Yevgeny Zelensky</t>
  </si>
  <si>
    <t>www.boomerangme.biz</t>
  </si>
  <si>
    <t>343350-01</t>
  </si>
  <si>
    <t>Boosted.ai</t>
  </si>
  <si>
    <t>Developer of machine learning software designed to enhance the investment decision-making process through deep analysis of market data. The company offers commoditized hardware and improves machine learning techniques to incorporate data into models additionally automates and simplifies tasks, and makes the product accessible for any investment professional to use, enabling portfolio managers and financial firms to achieve higher returns.</t>
  </si>
  <si>
    <t>Canadian Imperial Bank of Commerce, Draper Fisher Jurvetson Portage, Dunamu &amp; Partners, Fidelity Investments Canada, HarbourVest Partners, Portage, Royal Bank of Canada, Sagard, Spark Capital, Ten Coves Capital, WTIA Startup Program</t>
  </si>
  <si>
    <t>www.boosted.ai</t>
  </si>
  <si>
    <t>120982-69</t>
  </si>
  <si>
    <t>Borderless</t>
  </si>
  <si>
    <t>Developer of a global investing platform designed to help in cross-border savings and investments. The company's platform offers to make and manage investments in mature capital markets, global investing, multi-currency banking, and international payments, enabling investors, banks, fintechs, and edtech firms to manage their portfolio, keep track of their health, make better investing decisions, and discover interesting stocks and investing themes.</t>
  </si>
  <si>
    <t>7Square Ventures, Amit Sinha, ARC Capital., Arc Ventures (India), Aroa Venture Partners, Auxano, AZ Ventures, Cadenza Capital, Chakra Growth Capital, Czar Capital, Dholakia Ventures, Equirus Family Office, Fintech Nation, Hashed, HDFC Bank, HDFC Securities, July Ventures, Kristal.AI, Merisis Venture Partners Fund, Mohan Alexander, Nagesh Duvvuri, Nilesh Nanavati, PEAK6 Strategic Capital, Qi Ventures, R Natarajan, Raju Panjwani, RiSo Capital, Sprint VC, SucSEED Indovation, SV8, Tracxn Labs, trica, VeeVault Capital, Vikrant Varshney</t>
  </si>
  <si>
    <t>www.borderless.world</t>
  </si>
  <si>
    <t>1325108-89</t>
  </si>
  <si>
    <t>Boreal</t>
  </si>
  <si>
    <t>Developer of a financial technology platform designed to simplify financial management and billing for small and medium-sized enterprises. The company offers automated billing services, digital accounts and integrated payment processing with zero issuance or maintenance fees, enabling customers to maintain healthy cash flow, gain financial predictability and manage receivables without needing to migrate from their existing ERP systems.</t>
  </si>
  <si>
    <t>SRM Ventures</t>
  </si>
  <si>
    <t>www.bancoboreal.com.br</t>
  </si>
  <si>
    <t>100147-78</t>
  </si>
  <si>
    <t>Borrowell</t>
  </si>
  <si>
    <t>Developer of an online lending platform intended to provide financial prosperity. The company's platform offers free scores, education, weekly monitoring, and tools like personalized credit coaching and artificial intelligence-powered financial product recommendations, enabling customers to access low-interest loans, improve their financial well-being, and manage debt better.</t>
  </si>
  <si>
    <t>BDC Capital, Capital One Ventures, Clocktower Ventures, Equitable Bank (Toronto), Fastbreak Ventures, Gaingels, Impact Engine, Industrial Alliance Insurance and Financial Services, Kensington Capital Partners, Lionfish Capital, NAventures, Portage, Power Financial, Roger Martin, Rogue Insight Capital, Sagard, Sean Wise, SVB Financial Group, White Star Capital</t>
  </si>
  <si>
    <t>www.borrowell.com</t>
  </si>
  <si>
    <t>496064-98</t>
  </si>
  <si>
    <t>BossTax</t>
  </si>
  <si>
    <t>Developer of tax and expense tracking software designed to help self-employed individuals manage income, organize finances and file taxes seamlessly. The company offers an all-in-one mobile platform with automated bookkeeping, receipt tracking, hands-free expense logging and professional tax filing services, enabling customers to stay organized, maximize deductions, separate business and personal finances and file taxes confidently without the hassle of spreadsheets or paperwork.</t>
  </si>
  <si>
    <t>Bloomberg Beta, Boyd Street Ventures</t>
  </si>
  <si>
    <t>www.bosstaxapp.com</t>
  </si>
  <si>
    <t>617190-40</t>
  </si>
  <si>
    <t>BoulderTech</t>
  </si>
  <si>
    <t>Developer of a fintech platform designed to tokenize assets from global financial markets. The company's platform reduces costs and increases accessibility through the removal of middlemen, offering instant minting and redemption of tokens, and prioritizing asset security services that include the buying and selling of tokenized securities, such as exchange-traded funds, underlying assets and ensuring security, enabling users to get web3 protocol for the tokenization of real world assets.</t>
  </si>
  <si>
    <t>Ariel Barmat, Christian Vilate, David Garcia, Esteban Ordano, Facundo Ameal, IRSA Propiedades Comerciales, Lyuben Belov, Martin Tellechea, Matías Woloski, Mike Santos, Natan VC, Ripio Ventures, Shefa Ventures, Wenceslao Casares, XFounders</t>
  </si>
  <si>
    <t>www.bouldertech.fi</t>
  </si>
  <si>
    <t>527361-49</t>
  </si>
  <si>
    <t>Bounce AI</t>
  </si>
  <si>
    <t>Operator of a debt recovery platform designed to know the financial situation of borrowers and find a plan to settle their unpaid debt. The company's products include flexible repayment plans or customized offerings that work for borrowers to repay the debt on their own terms, enabling users to control liquidity and support customers' financial growth.</t>
  </si>
  <si>
    <t>Arc Ventures (United States), Clocktower Ventures, Mercer Ventures (New York), Nyca Partners</t>
  </si>
  <si>
    <t>www.bounceai.com</t>
  </si>
  <si>
    <t>513477-10</t>
  </si>
  <si>
    <t>Boundless (Financial Services)</t>
  </si>
  <si>
    <t>Operator of a business funding platform intended to connect businesses with lenders. The company's platform offers a wide range of funding options, provides fast funding, and a simple and streamlined application process for businesses, enabling clients to find the right loan for their needs by working with a network of lenders.</t>
  </si>
  <si>
    <t>www.getboundless.ai</t>
  </si>
  <si>
    <t>530242-39</t>
  </si>
  <si>
    <t>BoxPay</t>
  </si>
  <si>
    <t>Developer of payment orchestration software designed to centralize and automate the management of global financial transactions. The company's platform offers an integrated dashboard for connecting with multiple payment gateways and banks, and includes built-in fraud prevention modules with monitoring capabilities, enabling digital merchants and enterprise businesses to increase transaction approval rates while reducing the operational complexity of managing diverse payment methods.</t>
  </si>
  <si>
    <t>Axilor Ventures, DeVC, NSRCEL-IIMB, Supermorpheous</t>
  </si>
  <si>
    <t>www.boxpay.tech</t>
  </si>
  <si>
    <t>458726-14</t>
  </si>
  <si>
    <t>Boya (Financial Software)</t>
  </si>
  <si>
    <t>Developer of an all-in-one spend platform designed for quick, simple and secure payments. The company's platform develops a mobile application that allows consumers to link credit or debit cards for making payments and offers services such as money transfers, online payments, QR-based payments and bill payments, enabling users to pay for their expenses and organize details of their spending all in one place for improved and smarter spending decisions.</t>
  </si>
  <si>
    <t>Future Africa, Kepple Africa Ventures, Launch Africa Ventures, Y Combinator</t>
  </si>
  <si>
    <t>www.boyahq.com</t>
  </si>
  <si>
    <t>539613-10</t>
  </si>
  <si>
    <t>BranchX</t>
  </si>
  <si>
    <t>Developer of a neobanking platform designed for users to manage their finances. The company's application offers a variety of savings tools, including round-up savings and automatic transfers and paying of bills directly, enabling individuals residing in semi urban areas and towns to maximize their financial wellness and build a good future for themselves and their families.</t>
  </si>
  <si>
    <t>Afzal Modak, Mohammed Khaliq, Rais Motlekar</t>
  </si>
  <si>
    <t>www.branchx.in</t>
  </si>
  <si>
    <t>533003-59</t>
  </si>
  <si>
    <t>BrandDrive</t>
  </si>
  <si>
    <t>Developer of a management platform designed to streamline operations and support diversity in revenue streams. The company's platform offers daily accounting, retail, sales, inventory, employees, and customers by harnessing sales data to provide intuitive business insights using artificial intelligence, enabling businesses to streamline their operations and improve their financial management.</t>
  </si>
  <si>
    <t>Baobab Network</t>
  </si>
  <si>
    <t>www.branddrive.co</t>
  </si>
  <si>
    <t>711780-31</t>
  </si>
  <si>
    <t>Braven (Business/Productivity Software)</t>
  </si>
  <si>
    <t>Developer of an AI-powered document processing platform designed to automate and accelerate financial document processing. The company's platform offers a proprietary AI agent capable of understanding and extracting information from complex financial documents, enabling financial institutions to streamline operations, reduce costs, and launch new products quickly.</t>
  </si>
  <si>
    <t>AAC Capital, Aito Capital, Angeles Investors, Broom Ventures, Carao Ventures, Collide Capital, Fiat Ventures, Kinled Holding, Kuiper (Mexico), Matthias Weber, MGV</t>
  </si>
  <si>
    <t>www.gobraven.com</t>
  </si>
  <si>
    <t>756334-90</t>
  </si>
  <si>
    <t>Bravo (Business/Productivity Software)</t>
  </si>
  <si>
    <t>Developer of a digital wallet application designed for users to earn rewards. The company's application has a user-friendly interface, easy payment options and offers regular updates, exclusive deals and helps to explore diverse cuisines, enabling users to earn cashback and points on every meal at a wide range of partnered restaurants.</t>
  </si>
  <si>
    <t>Celtic House Asia Partners</t>
  </si>
  <si>
    <t>www.bravoup.ca</t>
  </si>
  <si>
    <t>465737-95</t>
  </si>
  <si>
    <t>Bricklet</t>
  </si>
  <si>
    <t>Developer of a fractional property investing platform designed to offer affordable investment portions of bricks and mortar properties. The company develops a fragmented property investment platform that gives Australians more opportunities to invest in property and diversify their property investments, enabling investors to buy tradeable fragments of real estate.</t>
  </si>
  <si>
    <t>Ironfish, Mihubb, Mirvac Group, News Corp Australia, REA Group, Scaleup Mediafund, Stockland</t>
  </si>
  <si>
    <t>www.bricklet.com.au</t>
  </si>
  <si>
    <t>470723-86</t>
  </si>
  <si>
    <t>BridgerPay</t>
  </si>
  <si>
    <t>Developer of a financial portal designed to make payments easy for online merchants. The company's portal leverages artificial intelligence that allows users to use a preferred payment method by uniting transactions and data across hundreds of payment providers from any country or risk group into one cashier application, enabling clients to save the technology resources required to manage multiple payment service providers, reduce failed transactions, and cart abandonment.</t>
  </si>
  <si>
    <t>Endeavor Greece, Gabby Leibovich, Hezi Leibovich, Hub71, Nati Harpaz, Oded Edelman, Southern Israel Bridging Fund, Visa Innovation Program</t>
  </si>
  <si>
    <t>www.bridgerpay.com</t>
  </si>
  <si>
    <t>494446-51</t>
  </si>
  <si>
    <t>BridgeUp</t>
  </si>
  <si>
    <t>Operator of a revenue trading platform intended to assist businesses in raising capital. The company's tool assists companies in trading their monthly recurring revenue contracts in exchange for the annual value of those contracts, enabling businesses to get more opportunities for capital growth.</t>
  </si>
  <si>
    <t>Aaryaman Vir, Ankit Aggarwal, Darshan Patel, Harman Sachdeva, Hemant Kabra, Kunal Haria, Rajesh Doshi, Rohan Suri, Steer Advisory Services, Sumeet Kabra</t>
  </si>
  <si>
    <t>www.bridgeup.com</t>
  </si>
  <si>
    <t>731432-80</t>
  </si>
  <si>
    <t>Bridgeworks</t>
  </si>
  <si>
    <t>Developer of a cashback application designed to provide personalized benefits to customers. The company's application analyzes offline store visit history, movement patterns, and consumption data using artificial intelligence to offer cashback at stores for customers who have not visited, and to encourage new visits, enabling consumers to discover new stores while reducing the burden of price.</t>
  </si>
  <si>
    <t>Laguna Investment, Mashup Ventures, Orange Planet Foundation, Tech Incubator Program for Startup, TheVentures Company</t>
  </si>
  <si>
    <t>www.cashmore.kr</t>
  </si>
  <si>
    <t>469852-30</t>
  </si>
  <si>
    <t>Bridgit</t>
  </si>
  <si>
    <t>Developer of a property finance platform designed to deliver real-time credit services. The company's platform offers bridging loans, commercial loans, new purchase loans, and renovation loans, with less time, flexible loan terms, and without monthly repayments, enabling people with credit issues to access hassle-free property loans.</t>
  </si>
  <si>
    <t>Airtree Ventures, Matthew Leibowitz, Milford Asset Management, National Australian Bank Ventures, OIF Ventures, Perennial Partners (Funds and Trusts)</t>
  </si>
  <si>
    <t>www.bridgit.com.au</t>
  </si>
  <si>
    <t>515326-87</t>
  </si>
  <si>
    <t>Brieff</t>
  </si>
  <si>
    <t>Developer of a cloud-based advisory platform intended to structure advisory and empower individuals and businesses. The company's platform offers seamless check-ins, powerful meeting workflows, and trackable journeys, and allows users to easily create and send check-ins to their clients to gain valuable insights ahead of their meetings, enabling users to prep, complete, and close their advisory meetings more efficiently and consistently.</t>
  </si>
  <si>
    <t>www.brieff.io</t>
  </si>
  <si>
    <t>510446-71</t>
  </si>
  <si>
    <t>BrightCart</t>
  </si>
  <si>
    <t>Developer of a financial management platform designed for the purpose of streamlining online payment processing and business analytics for merchants. The company's platform integrates global payment gateway functionality, CRM tools, customizable branded checkout experiences, and real-time dashboard analytics, enabling businesses that sell products or services online to manage transactions, customer data, and sales insights in a unified interface while reducing operational overhead and eliminating recurring monthly fees to enhance reliability and customer experience.</t>
  </si>
  <si>
    <t>www.brightcart.io</t>
  </si>
  <si>
    <t>164086-66</t>
  </si>
  <si>
    <t>BrightDime</t>
  </si>
  <si>
    <t>Developer of a financial wellness platform intended to help employees improve money management habits and build long-term financial confidence. The company's platform offers personalized financial coaching, financial account aggregation, goal tracking, educational content, budgeting tools, and financial progress monitoring, enabling employees and employers to reduce financial stress, improve financial decision-making, and maintain visibility into personal financial health.</t>
  </si>
  <si>
    <t>Bonhill Capital, InsurTech NY</t>
  </si>
  <si>
    <t>www.brightdime.com</t>
  </si>
  <si>
    <t>467158-87</t>
  </si>
  <si>
    <t>BrightUp</t>
  </si>
  <si>
    <t>Developer of a financial wellness platform intended to democratize financial wealth building and personal well-being. The company's platform partners with employers to deliver a comprehensive financial wellness benefit to employees to grow their net worth and improve self-worth as well as offer low-cost emergency loans that are repaid through paycheck deductions, enabling employees to be financially healthy.</t>
  </si>
  <si>
    <t>Black Tech Nation Ventures, Collab Capital, Gratitude Railroad, Kapor Capital, MassChallenge</t>
  </si>
  <si>
    <t>brightup.life</t>
  </si>
  <si>
    <t>169502-50</t>
  </si>
  <si>
    <t>Brim Financial</t>
  </si>
  <si>
    <t>Operator of an online digital platform intended to enhance users' payment experience and offer credit cards. The company's platform provides first-in-card embedded plans, custom security, rewards, digital installment plans, and monetary advisory services through a real-time in-app digital portal, enabling customers to get a hassle-free financial experience and redeem points against purchases.</t>
  </si>
  <si>
    <t>Deloitte Canada, Desjardins Group, EDC Investments, EPIC Ventures, Global FinTech Venture Partners, Goeasy, Impression Ventures, Plug and Play Tech Center, Vistara Growth, White Owl Capital Partners, White Owl Family Office, Zions Bank</t>
  </si>
  <si>
    <t>www.brimfinancial.com</t>
  </si>
  <si>
    <t>528794-65</t>
  </si>
  <si>
    <t>Brinta</t>
  </si>
  <si>
    <t>Developer of an AI-based compliance infrastructure designed for automated tax management. The company's platform supports real-time tax calculation, automated filing, customizable reporting, and issuance of locally compliant electronic invoices, enabling businesses to reduce manual effort, maintain regulatory compliance, and adapt to frequent tax code changes through a unified API-driven system.</t>
  </si>
  <si>
    <t>www.brinta.com</t>
  </si>
  <si>
    <t>818774-83</t>
  </si>
  <si>
    <t>Brio (Other Financial Services)</t>
  </si>
  <si>
    <t>Developer of a comprehensive limited partnership management platform designed to streamline LP management and elevate investor experiences. The company's platform spans the entire LP management lifecycle from deal marketing and onboarding to compliance, subscriptions, and capital calls, simplifying and automating the operations that keep the user's fund running continuously, enabling users to get an alternative asset management platform for their use.</t>
  </si>
  <si>
    <t>Brightspark Ventures, Canso Innovations, Station FinTech Montreal, Walter Global Asset Management</t>
  </si>
  <si>
    <t>www.brioplatform.com</t>
  </si>
  <si>
    <t>546773-05</t>
  </si>
  <si>
    <t>BrokerBotics</t>
  </si>
  <si>
    <t>Developer of an artificial intelligence-driven platform designed to support investment research through personalized portfolio analysis. The company offers a customizable dashboard, automated data insights, and brokerage account integration, enabling individual investors and financial professionals to monitor portfolios and identify relevant trends.</t>
  </si>
  <si>
    <t>434, Virginia Innovation Partnership Corporation</t>
  </si>
  <si>
    <t>www.brokerbotics.com</t>
  </si>
  <si>
    <t>510410-35</t>
  </si>
  <si>
    <t>Brolly</t>
  </si>
  <si>
    <t>Operator of a fintech platform intended to provide access to financial education. The company offers an application that delivers needed financial knowledge and tools to improve employees' economic stability, enabling workers with easy consumer credit at a low cost.</t>
  </si>
  <si>
    <t>Corporación de Fomento de la Producción de Chile, E62 Ventures, Platanus Ventures, Start-Up Chile</t>
  </si>
  <si>
    <t>www.brolly.cl</t>
  </si>
  <si>
    <t>432661-87</t>
  </si>
  <si>
    <t>Brubank</t>
  </si>
  <si>
    <t>Developer of an online banking platform designed to provide digital banking services tailored to customers' needs. The company's platform features the ability to access the bank account using a fingerprint or using face unlock, an invisible token for all banking operations, notifications alerts when the card is used and it also provides a debit card for both online and international use, enabling users to have a banking experience without the cost associated with traditional banking operations.</t>
  </si>
  <si>
    <t>David Thomson, Taicua</t>
  </si>
  <si>
    <t>www.brubank.com</t>
  </si>
  <si>
    <t>528751-99</t>
  </si>
  <si>
    <t>bsktpay</t>
  </si>
  <si>
    <t>Operator of a car finance platform intended to change car dealerships. The company's platform provides instant car finance and partners with dealerships, automotive services, and lenders to help create successfully embedded finance journeys and acquire and convert more customers, enabling businesses to save time and effort while transacting a sale.</t>
  </si>
  <si>
    <t>Colorintech, Fuel Ventures, South East Angels</t>
  </si>
  <si>
    <t>www.bsktpay.co</t>
  </si>
  <si>
    <t>556227-01</t>
  </si>
  <si>
    <t>Btrust</t>
  </si>
  <si>
    <t>Developer of a digital finance platform designed to optimise working capital and cash flow management for businesses through invoice-based funding. The company's platform enables early invoice payments, integrates investment funds, uses AI for fraud prevention, supports ESG measurement, and operates as a SaaS model, enabling corporates and their suppliers to access improved liquidity, streamlined financial operations, and enhanced financial health</t>
  </si>
  <si>
    <t>Invexor Venture Partners</t>
  </si>
  <si>
    <t>www.btrust.io</t>
  </si>
  <si>
    <t>470693-17</t>
  </si>
  <si>
    <t>BuBuLian</t>
  </si>
  <si>
    <t>Big Data, FinTech, Supply Chain Tech</t>
  </si>
  <si>
    <t>Developer of supply chain finance software intended to address the needs of supply chain digitalization and finance in any given industry. Through the company's platform, all existing order data will be recorded in a database and will be connected to the banking system. Auditors on the bank side can obtain relevant data in real-time, and use this to judge the authenticity of the order, loan approval, repayment record query, online repayment and other functions, improving the quality and quality of the audit. efficiency, enabling customers to increase business operation efficiency and financial health.</t>
  </si>
  <si>
    <t>www.bblian.cn</t>
  </si>
  <si>
    <t>521376-04</t>
  </si>
  <si>
    <t>BUCKOne</t>
  </si>
  <si>
    <t>Operator of an educational banking platform intended to enhance financial literacy among children. The company offers a comprehensive app that includes chore management, savings goal accounts, and a child-friendly debit card system, enabling families to foster responsible money management habits while providing tools that promote learning and engagement in financial concepts.</t>
  </si>
  <si>
    <t>Startups Ignite</t>
  </si>
  <si>
    <t>www.buckone.org</t>
  </si>
  <si>
    <t>266643-19</t>
  </si>
  <si>
    <t>Buckzy</t>
  </si>
  <si>
    <t>Operator of a payment cross-border platform intended for a real-time payment ecosystem. The company's platform partners with banks, networks, and financial institutions across the globe to ensure secure, compliant, real-time international money movement through online or mobile banking, from a bank account or virtual wallet, enabling customers to get a secure and convenient payment ecosystem.</t>
  </si>
  <si>
    <t>Blue 9 Capital, Cliffbrake, Dash40 Ventures, Luge Capital, Mistral Venture Partners, Revel Partners, Uncorrelated Ventures</t>
  </si>
  <si>
    <t>www.buckzy.net</t>
  </si>
  <si>
    <t>118409-23</t>
  </si>
  <si>
    <t>BudgetBakers</t>
  </si>
  <si>
    <t>Developer of personal finance management software designed to help individuals and small businesses manage money. The company's platform offers expense tracking, budgeting, goal setting, and integration with multiple accounts, enabling consumers and small business owners with clear financial overviews and better control of their finances.</t>
  </si>
  <si>
    <t>CEED Tech, Ivan Svitek, Jasper Anderluh, Michal Illich, Niels Klok, Petr Zamecnik, Rockaway Ventures, StartupYard</t>
  </si>
  <si>
    <t>www.budgetbakers.com</t>
  </si>
  <si>
    <t>150439-69</t>
  </si>
  <si>
    <t>BuildPay</t>
  </si>
  <si>
    <t>Developer of a cloud-based payment platform designed to ease payments in the construction sector. The company's platform helps users manage payments, transactions, and expenses with an electronic system by connecting various suppliers in the construction chain, enabling businesses to reduce efforts, manage receivables, and improve payment processing.</t>
  </si>
  <si>
    <t>Guy Carpenter, Marsh McLennan Agency</t>
  </si>
  <si>
    <t>www.buildpay.com</t>
  </si>
  <si>
    <t>439014-25</t>
  </si>
  <si>
    <t>Built Financial Technologies</t>
  </si>
  <si>
    <t>Developer of an online accounting software designed for business transactions. The company's software includes making personalized invoices, generating customer financial statements, making decisions regarding financial management, monitoring bills that are due, making online payments, online salary payments, tracking expenses, tracking taxes, real-time financial reports, enabling businesses to analyze expenses and manage financial transactions with ease.</t>
  </si>
  <si>
    <t>Consonance (Lagos), Fledge (Seattle), Google Accelerator, SC Ventures, Startup Wise Guys</t>
  </si>
  <si>
    <t>www.built.africa</t>
  </si>
  <si>
    <t>501176-89</t>
  </si>
  <si>
    <t>Bujeti</t>
  </si>
  <si>
    <t>Developer of a corporate cards and expenses management platform designed to help businesses take control of their spending through a centralized process. The company's platform offers a comprehensive suite of features, including real-time expense tracking, budget management, policy enforcement, and approval workflows, enabling businesses to gain visibility into their spending, reduce costs, and improve compliance.</t>
  </si>
  <si>
    <t>Abdulhamid Hassan, Alan Rutledge, Arash Ferdowsi, Entrée Capital, Heirloom VC, Kima Ventures, Tristan Walker, Unpopular Ventures, Voltron Capital, Y Combinator</t>
  </si>
  <si>
    <t>www.bujeti.com</t>
  </si>
  <si>
    <t>1152669-61</t>
  </si>
  <si>
    <t>Bull (Financial Software)</t>
  </si>
  <si>
    <t>Developer of a credit risk assessment and financial data processing system designed for institutional lending operations. The company's platform integrates risk management, fraud prevention, electronic signatures, post-sale support, and funding facilitation, enabling financial institutions to improve risk visibility, loan processing, and enhanced compliance with internal and regulatory credit evaluation standards.</t>
  </si>
  <si>
    <t>Canary (Brazil), Endeavor Promessas, Scale Up Ventures</t>
  </si>
  <si>
    <t>www.bullcredtech.com</t>
  </si>
  <si>
    <t>530911-99</t>
  </si>
  <si>
    <t>Bunker (Media and Information Services (B2B))</t>
  </si>
  <si>
    <t>Developer of an automated financial platform designed to analyze rows in the General Ledger. The company's platform provides complete financial visibility, helps discover hidden leakages, anomalies, and trends, and optimizes accounting hygiene, enabling clients to spend less time on manual processes and more time executing precise insights for financial planning and analysis cycles.</t>
  </si>
  <si>
    <t>Alpha JWC Ventures, Asymmetry Management, Global Founders Capital, January Capital, Money Forward, Northstar (Singapore), Patamar Capital</t>
  </si>
  <si>
    <t>www.bunkertech.io</t>
  </si>
  <si>
    <t>497451-79</t>
  </si>
  <si>
    <t>Buoy Pay</t>
  </si>
  <si>
    <t>Provider of financial services intended for remittance companies and payment aggregators to have access to their money. The company offers on-demand float for remittance and payment companies that help to stay on top of their liquidity needs, enabling treasury managers to have control over liquidity shortages.</t>
  </si>
  <si>
    <t>Musha Ventures, Timon Capital, Wuri Ventures</t>
  </si>
  <si>
    <t>www.buoy.money</t>
  </si>
  <si>
    <t>711467-47</t>
  </si>
  <si>
    <t>Burst</t>
  </si>
  <si>
    <t>Developer of a financial technology platform designed to improve credit scores and financial health. The company's platform automates claims submission, offers guidance on these tax-advantaged funds, handles partner merchant integration, and streamlines expense tracking and approval processes, enabling healthcare consumers to recover eligible costs more easily while making better use of their benefit dollars.</t>
  </si>
  <si>
    <t>Alumni Ventures, Kli Capital, Meridian Ventures, Palette Ventures, Pear (California), Rock Health Capital</t>
  </si>
  <si>
    <t>www.getburst.com</t>
  </si>
  <si>
    <t>507098-89</t>
  </si>
  <si>
    <t>BwaTech</t>
  </si>
  <si>
    <t>Developer of banking services designed to manage financial operations with multiple banks on a single platform. The company offers digital bank guarantees, account management, and open banking services via a web portal and mobile app, with API integrations for direct access, and provides the tools and guidance you need to achieve your financial security, enabling businesses and clients to cater to the specific needs and challenges faced by diverse sectors, driving digital transformation and delivering exceptional benefits.</t>
  </si>
  <si>
    <t>Sharaka Capital</t>
  </si>
  <si>
    <t>www.bwatech.sa</t>
  </si>
  <si>
    <t>527513-23</t>
  </si>
  <si>
    <t>ByNow</t>
  </si>
  <si>
    <t>Developer of a B2B payment services platform designed to offer buy now, pay later for SMEs. The company's platform provides services to businesses to buy, sell, save, and do more with innovative payment, which helps service providers and technology vendors with payment services, enabling enterprise marketplaces to defer or split payments while getting paid on the spot with an out-of-the-box underwriting and assessment model.</t>
  </si>
  <si>
    <t>F6 Ventures, Merak Capital</t>
  </si>
  <si>
    <t>www.bynow.ai</t>
  </si>
  <si>
    <t>507344-77</t>
  </si>
  <si>
    <t>Byte (Lagos)</t>
  </si>
  <si>
    <t>Developer of a digital payment platform designed for digitizing payments and improving relationships between consumers and local businesses in Africa. The company's platform helps to build, connect, and interact with businesses and allows them to receive payments, keep track of their business transaction, and give access to loans at a low interest rate to grow their businesses, enabling clients to make payments and gain access to deals and rewards, all in one place.</t>
  </si>
  <si>
    <t>www.usebyte.com</t>
  </si>
  <si>
    <t>467220-88</t>
  </si>
  <si>
    <t>Caantin</t>
  </si>
  <si>
    <t>Developer of an AI voice platform designed to transform customer engagement and operations for financial institutions. The company's platform offers multilingual support, built-in compliance features, integration with existing enterprise systems, and real-time analytics, enabling banks, insurers, and fintechs to streamline customer interactions, improve efficiency, and reduce operational costs.</t>
  </si>
  <si>
    <t>Catalyst Fund, Cem Garih, DFS Lab, ESAS Ventures, FirstCheck Africa, Future Africa, Google Accelerator, Gregory Rockson, HoaQ, JAM Fund, Jedar Capital, Next Billion Ventures, Olugbenga Agboola, Proximity Ventures, Ventures Platform, Voltron Capital</t>
  </si>
  <si>
    <t>www.caantin.ai</t>
  </si>
  <si>
    <t>469281-07</t>
  </si>
  <si>
    <t>Caary</t>
  </si>
  <si>
    <t>Developer of a digital lending and payments platform designed to allow startups to execute transactions, charges, and payments. The company's platform facilitates businesses to better manage their expenditure, and the dissemination of virtual and physical credit or payment cards to employees while creating a digital dashboard for receipt management, card management, and integration into accounting systems, enabling organizations to accept, process, and disburse payments conveniently and stay focused on their business.</t>
  </si>
  <si>
    <t>www.caary.ai</t>
  </si>
  <si>
    <t>632761-12</t>
  </si>
  <si>
    <t>Cache (New York)</t>
  </si>
  <si>
    <t>Developer of a fully automated, AI-powered money management platform designed to manage household finances in a centralized and structured manner. The company offers automated budgeting, cash flow tracking, investment oversight, and financial insights, enabling families and household decision-makers to maintain visibility and control over their financial activities with reduced manual effort.</t>
  </si>
  <si>
    <t>Alumni Ventures, Bullet Ventures, Corner (New York), FinTech Sandbox, Honey Stone VC, Joule Ventures, Nashville Entrepreneur Center</t>
  </si>
  <si>
    <t>www.mycache.ai</t>
  </si>
  <si>
    <t>170444-53</t>
  </si>
  <si>
    <t>CacheFlo</t>
  </si>
  <si>
    <t>Developer of a financial wellness platform designed to support informed decision-making around money management. The company's platform integrates with digital banking systems to deliver real-time cash flow tracking, contextual financial guidance, adaptive budgeting features, and timely alerts based on user activity, enabling financial institutions to assist customers in developing financial confidence and achieving greater stability over time.</t>
  </si>
  <si>
    <t>Atlantic Canada Opportunities Agency, Build Ventures, Invest Nova Scotia, Volta (Nova Scotia)</t>
  </si>
  <si>
    <t>www.cacheflo.co</t>
  </si>
  <si>
    <t>294486-04</t>
  </si>
  <si>
    <t>Caju</t>
  </si>
  <si>
    <t>Developer of an employee benefits tracking platform intended to help employees adjust their benefits according to their needs and company rules. The company's platform provides benefit cards and tracks all the benefits and vouchers provided to employees and teams through its application, enabling companies and employees to track all their rewards.</t>
  </si>
  <si>
    <t>Ariel Lambrecht, Canary (Brazil), Caravela Capital, Clocktower Ventures, FJ Labs, Google Accelerator, K1 Investment Management, LASP Capital, Lupa Capital, Muralha Capital, Picus Capital, Valor Capital Group, Volpe Capital</t>
  </si>
  <si>
    <t>www.caju.com.br</t>
  </si>
  <si>
    <t>494656-39</t>
  </si>
  <si>
    <t>Caliber Exchange</t>
  </si>
  <si>
    <t>Developer of an alternative investment platform designed to help build wealth. The company's platform offers a curated selection of private equity, venture capital, and hedge funds with no minimum investment, enabling users to diversify portfolios and access alternative investment opportunities.</t>
  </si>
  <si>
    <t>Brown Angel Group, Declaration Capital, Dorm Room Fund, Evolution (Venture Capital), Gaingels, Gilgamesh Ventures, Harlem Capital, Miami Angels, MSA Capital (Family Office), Pareto Holdings, Phoenix Investment Club (San Francisco), Picus Capital, Thomas Laffont, Y Combinator</t>
  </si>
  <si>
    <t>www.caliber.exchange</t>
  </si>
  <si>
    <t>509697-37</t>
  </si>
  <si>
    <t>Callypso</t>
  </si>
  <si>
    <t>Developer of a sales task management tool designed for revenue expansion and retention for account managers. The company's automation tool helps with revenue management and provides analytics, task management, and insights for salespeople and account managers, enabling clients to increase the contract value of accounts through repeatable cross-sell and upsell.</t>
  </si>
  <si>
    <t>Humba Ventures, Scopus Ventures, Stage Venture Partners, Susa Ventures</t>
  </si>
  <si>
    <t>www.callypso.co</t>
  </si>
  <si>
    <t>453407-05</t>
  </si>
  <si>
    <t>Calqulate</t>
  </si>
  <si>
    <t>Provider of venture-focused recruitment and talent sourcing services intended for supporting startup hiring across different stages of company growth. The company's platform provides stage-calibrated candidate sourcing, executive and functional hiring support, strategic recruitment planning, candidate screening, culture and growth trajectory assessment, venture-informed hiring strategies, curated candidate pipelines, onboarding support, and recruitment services aligned with funding stages from pre-seed to scale, enabling venture-backed startups and founders to build teams suited to operational growth and organizational scaling.</t>
  </si>
  <si>
    <t>70 Ventures, Kiuas Accelerator, Maki.vc, Oskari Pétas</t>
  </si>
  <si>
    <t>www.calqulate.io</t>
  </si>
  <si>
    <t>462297-61</t>
  </si>
  <si>
    <t>CalTier</t>
  </si>
  <si>
    <t>Operator of an online real estate investment platform intended to provide access to professionally managed multi-family real estate investments. The company's platform enables users to open and manage investor accounts, review available real estate investment opportunities and related materials, allocate capital through an online process, and track holdings and investment updates through a centralized interface, enabling retail investors to access multi-family real estate exposure with professional management and reduced administrative effort.</t>
  </si>
  <si>
    <t>www.caltier.fund</t>
  </si>
  <si>
    <t>128377-63</t>
  </si>
  <si>
    <t>Camino Financial</t>
  </si>
  <si>
    <t>Operator of an artificial intelligence-powered community lending platform intended to offer affordable credit and wealth-building opportunities to overlooked entrepreneurs. The company builds proprietary credit assessment and data aggregation artificial intelligence to identify, price, and provide affordable loans tailored to credit-invisible, cash-heavy businesses and advises small businesses on getting access to capital and building business credit and financial services including credit insights and technical assistance, enabling businesses to acquire capital for overall enterprise growth.</t>
  </si>
  <si>
    <t>10X Capital Management, Christian Seale, Collaborative Fund, Comcast Ventures, Crédito Real, DILA Capital, Ebetuel Pallares, Flybridge (New York), Harvard Innovation Launch Lab, Hunt Companies, Impact America Fund, Kanyi Maqubela, LL Funds, Mexamerica Ventures, Niko Hrdy, The Graduate Syndicate, Valley Oak Investments, Xochi Ventures</t>
  </si>
  <si>
    <t>www.caminofinancial.com</t>
  </si>
  <si>
    <t>718306-75</t>
  </si>
  <si>
    <t>Camu</t>
  </si>
  <si>
    <t>Developer of a taxation software designed to simplify the complexity of indirect taxation in Brazil. The company offers tools that automate tax-related processes, enabling tax firms to reduce repetitive tasks and ensure compliance.</t>
  </si>
  <si>
    <t>Alumni Ventures, Andreessen Horowitz, Canary (Brazil), Endeavor Catalyst, Everywhere Ventures, Gonzalo Lissarrague, Mike Krieger, NFX, Paulo Veras, Sebastian Mejia, Stelleo Awning</t>
  </si>
  <si>
    <t>camu.com.br</t>
  </si>
  <si>
    <t>515242-27</t>
  </si>
  <si>
    <t>Canari.dev</t>
  </si>
  <si>
    <t>Developer of a financial platform designed to provide metrics and forecast indicators to options traders. The company's platform offers various features such as market data, the latest insights, trading ideas, market visualization tools, and forecast indicators, enabling clients to calibrate their volatility surface and accept it as the present market value.</t>
  </si>
  <si>
    <t>Bpifrance</t>
  </si>
  <si>
    <t>www.canari.dev</t>
  </si>
  <si>
    <t>56292-04</t>
  </si>
  <si>
    <t>Candex</t>
  </si>
  <si>
    <t>Developer of enterprise procurement workflow software designed for managing tail spend and vendor payments. The company's platform facilitates decentralized purchasing by engaging with any supplier without onboarding delays, supports automated invoice reconciliation and payment processing, integrates with existing ERP systems, and provides real-time visibility into spend data, enabling clients to streamline procurement operations, reduce administrative overhead, and maintain compliance across global purchasing activities.</t>
  </si>
  <si>
    <t>9Yards Capital Management, Advisors.Fund, Altos Ventures, AMEX Ventures, Big Sur Ventures, Camp One Ventures, Commerce Ventures, Commerce.Innovated, Craft Ventures, Edenred Ventures, Founder Collective, Hanan Haviv, Hedosophia, HSBC Holdings, John Bowmer, Jonathan Hollander, JP Morgan Chase, Mark Goines, NFX, Piers Marmion, PROOF, Shiv Agrawal, Tekton Ventures, The Goldman Sachs Group, Tito Bohrt, Vijay Nagappan, WiL (World Innovation Lab), XG Ventures</t>
  </si>
  <si>
    <t>www.candex.com</t>
  </si>
  <si>
    <t>525385-81</t>
  </si>
  <si>
    <t>CandorIQ</t>
  </si>
  <si>
    <t>Developer of a compensation management platform designed for a unified toolset to design, budget and execute a compensation strategy. The company's platform offers compensation policy, streamlines budgeting, ensures compliance, creates simple workflows for merit cycles and architects job levels and pay bands, enabling organizations to simplify workforce planning through collaborative, data-driven tools.</t>
  </si>
  <si>
    <t>Array Ventures, CRV, Diagram Collective, PeopleTech Partners, Polymath Capital Partners, Switch Ventures, The Untitled Ventures, TRAC VC, Y Combinator</t>
  </si>
  <si>
    <t>www.candoriq.com</t>
  </si>
  <si>
    <t>968036-32</t>
  </si>
  <si>
    <t>Candy Pay</t>
  </si>
  <si>
    <t>Developer of a digital payment platform designed to simplify and personalize card-based transactions for individuals and small businesses. The company offers a flexible card payment solution with real-time settlement and customizable card issuance, enabling customers to manage expenses, split bills and complete secure transactions without the hassle of traditional banking systems.</t>
  </si>
  <si>
    <t>Changgu Program, Seoul National University Technology Holdings</t>
  </si>
  <si>
    <t>www.candypay.co.kr</t>
  </si>
  <si>
    <t>878777-38</t>
  </si>
  <si>
    <t>Canopy</t>
  </si>
  <si>
    <t>Developer of a real-time wage settlement platform designed to receive salary in advance. The company's platform allows immediate withdrawal of salary for the amount of work already done, checks work information, withdrawal as per need, enabling workers to receive wages in real time based on hours worked, shifting the traditional payroll-centered financial paradigm.</t>
  </si>
  <si>
    <t>CNT Tech, Hanwha Hotels &amp; Resorts, IBK Changgong, KB Innovation HUB, Magellan Technology Investment, MetLife Inclusion Plus, Seoul National University Technology Holdings, Shibuya Startups, Smilegate Investment</t>
  </si>
  <si>
    <t>www.canopy.im</t>
  </si>
  <si>
    <t>483551-92</t>
  </si>
  <si>
    <t>Canta</t>
  </si>
  <si>
    <t>Developer of an online money transfer platform designed to help users to send and receive money globally from any device in real-time. The company's platform offers instant remittance to send and receive money anywhere and also helps businesses generate invoices globally, enabling businesses to get a secure, and speedy payment process.</t>
  </si>
  <si>
    <t>Expert DOJO, Startupbootcamp Holding</t>
  </si>
  <si>
    <t>www.canta.io</t>
  </si>
  <si>
    <t>315218-35</t>
  </si>
  <si>
    <t>Canter Wealth</t>
  </si>
  <si>
    <t>Operator of a wealth management platform intended to provide investment management services. The company provides financial planning, investment management services, retirement planning, tax strategy, and many more, enabling customers to achieve their financial goals.</t>
  </si>
  <si>
    <t>www.canterwealth.com</t>
  </si>
  <si>
    <t>588680-29</t>
  </si>
  <si>
    <t>Cap</t>
  </si>
  <si>
    <t>Developer of a comprehensive venture operating system designed to facilitate streamlined fund management for managers and founders. The company's technology facilitates a unified interface integrating essential tools and data to simplify deal flow, enabling clients to make informed decisions and achieve operational efficiency in the venture capital sector.</t>
  </si>
  <si>
    <t>Morph Capital, The Aventures</t>
  </si>
  <si>
    <t>www.cap.vc</t>
  </si>
  <si>
    <t>557150-05</t>
  </si>
  <si>
    <t>CapeZero</t>
  </si>
  <si>
    <t>Developer of a finance structure software designed for clean energy finance projects. The company's platform offers a suite of tools to simplify the complex process of tax equity and tax credit financing for clean energy developers, enabling clients to make informed financial decisions and accelerate the development of renewable energy projects.</t>
  </si>
  <si>
    <t>Avesta Fund, Climactic, Powerhouse Ventures (Oakland), Stepchange Ventures, Virta Ventures</t>
  </si>
  <si>
    <t>www.capezero.com</t>
  </si>
  <si>
    <t>489140-83</t>
  </si>
  <si>
    <t>CapGains</t>
  </si>
  <si>
    <t>Developer of a tax incentive monitoring platform designed for compliance and eligibility tracking. The company's platform analyzes investment portfolios for federal and state tax benefits, identifies potential disqualifying events, monitors eligibility for incentives, and provides diagnostic tools and reporting features, enabling investors, founders, and fund managers to proactively manage tax exposure, avoid regulatory pitfalls, and optimize financial outcomes across complex ownership structures</t>
  </si>
  <si>
    <t>Draft Ventures, Pitbull Ventures, Redbud VC, The Legal Tech Fund</t>
  </si>
  <si>
    <t>www.capgains.com</t>
  </si>
  <si>
    <t>497916-91</t>
  </si>
  <si>
    <t>Capifly</t>
  </si>
  <si>
    <t>Provider of non-dilutive capital services intended to transform alternative financing within emerging markets, advocating for equal opportunities for regional entrepreneurs. The company's services specialize in achieving a balanced and less costly capital structure, enabling business owners to capture market growth opportunities and sign improved terms with upcoming investors.</t>
  </si>
  <si>
    <t>Ahli Fintech, BLDR Ventures, Joa Capital, Oasis500, Plus Venture Capital</t>
  </si>
  <si>
    <t>www.growthcapifly.com</t>
  </si>
  <si>
    <t>455180-23</t>
  </si>
  <si>
    <t>CapIntel</t>
  </si>
  <si>
    <t>Developer of a financial technology platform intended to support wealth professionals by developing intuitive, web-based applications. The company's platform helps financial advisors build confidence with their clients so they can better understand their investments and feel at ease knowing their future is secured, enabling asset managers to work with advisors and provide better services by combining investment analytics with online collaboration and communication tools.</t>
  </si>
  <si>
    <t>Aquiline Capital Partners, Creative Destruction Lab, East Valley Ventures, Fengate Asset Management, FinTech Collective, Liuna Pension Fund of Central and Eastern Canada, Next (Consulting Services), Volta (Nova Scotia)</t>
  </si>
  <si>
    <t>www.capintel.com</t>
  </si>
  <si>
    <t>434098-27</t>
  </si>
  <si>
    <t>Capirobo</t>
  </si>
  <si>
    <t>Provider of quantitative financial solutions focused on improving investment efficiency. The company develops intelligent investment systems and quantitative investment models, enabling investors accurately and efficiently recognize market condition and identify investment opportunities.</t>
  </si>
  <si>
    <t>Insigma Technology</t>
  </si>
  <si>
    <t>www.capirobo.com</t>
  </si>
  <si>
    <t>221439-88</t>
  </si>
  <si>
    <t>Capital Engine</t>
  </si>
  <si>
    <t>Developer of a financial technology platform designed to modernize capital markets through the integration of investment banking, private markets, and technology. The company offers a network of retail investment platforms, an enterprise advisory division, and tech-enabled banking services, enabling businesses and issuers seeking capital access to streamlined deal execution and investor connectivity.</t>
  </si>
  <si>
    <t>CRE Income Fund, Evrensel Capital Partners, Northlea Partners, Right Side Capital Management, Treville Capital Group</t>
  </si>
  <si>
    <t>www.capitalengine.io</t>
  </si>
  <si>
    <t>183359-26</t>
  </si>
  <si>
    <t>Capital.com</t>
  </si>
  <si>
    <t>Developer of an online trading platform intended to facilitate secure investment management for clients. The company's artificial intelligence-enabled technology analyses users' trading behavior to help them make more profitable trading decisions with market-leading spreads, zero commission, and access to technical indicators, charts, client sentiment, price alerts, and leverage, enabling traders to have an accessible, engaging and useful approach to finance.</t>
  </si>
  <si>
    <t>VP Capital</t>
  </si>
  <si>
    <t>www.capital.com</t>
  </si>
  <si>
    <t>593691-67</t>
  </si>
  <si>
    <t>Capitalize</t>
  </si>
  <si>
    <t>Operator of a real estate lending marketplace intended to speed up the process of finding the lender. The company offers real-time coverage of all securitized commercial mortgages through market trends such as search behavior and loan comps by giving access to the network of professionals, enabling companies to host loan programs and rate sheets.</t>
  </si>
  <si>
    <t>FJ Labs, Lerer Hippeau, Sway Capital, Treasury (New York)</t>
  </si>
  <si>
    <t>www.capitalize.io</t>
  </si>
  <si>
    <t>527686-84</t>
  </si>
  <si>
    <t>CapitalSetu</t>
  </si>
  <si>
    <t>Operator of a supply chain finance platform designed to support business cash flow and working capital management. The company offers invoice discounting, dynamic discounting, business health reporting, and financing tools, enabling enterprises and vendors to improve liquidity and manage supply chain transactions efficiently.</t>
  </si>
  <si>
    <t>Ashish Kacholia, Rajat Mehta, Realtime (India), Sunaina Bhattacharya, Vikas Khemani</t>
  </si>
  <si>
    <t>www.capitalsetu.com</t>
  </si>
  <si>
    <t>623541-88</t>
  </si>
  <si>
    <t>CapRelease</t>
  </si>
  <si>
    <t>Operator of a logistics-embedded finance platform intended to provide inventory and revenue-based financing for e-commerce companies. The company offers a combination of inventory-backed and revenue-linked financial products, enabling online retailers to improve cash flow management and access to working capital.</t>
  </si>
  <si>
    <t>www.caprelease.com</t>
  </si>
  <si>
    <t>231913-45</t>
  </si>
  <si>
    <t>CapShift</t>
  </si>
  <si>
    <t>Developer of an impact investing platform designed to increase the flow of capital into ventures solving global and local challenges. The company's platform discovers and makes impact investments, using their donor-advised fund, family office, or private foundation assets, and transforms the way to find opportunities to invest money for good, enabling philanthropic and financial institutions and their clients to discover, execute, and monitor impact investments.</t>
  </si>
  <si>
    <t>Addepar, Aperio Group, Bain Capital Europe, Brazen Impact, Gratitude Railroad, Impact Investors, Kachuwa Impact Fund, Kat Taylor, Omidyar Network, Spring Point Partners, The Betsy and Jesse Fink Family Foundation, The F.B. Heron Foundation, The Grantham Foundation</t>
  </si>
  <si>
    <t>www.capshift.com</t>
  </si>
  <si>
    <t>500535-55</t>
  </si>
  <si>
    <t>Capturisk</t>
  </si>
  <si>
    <t>Developer of algorithmic decision support platform designed for commercial real estate appraisal and loan underwriting. The company's platform automates the heavily manual process and provides Al and ML-driven analytical insights that empower the appraiser and the lender to accelerate their decisions, enabling prescreened borrowers to be matched with the partner banks who are already using the digital appraisal and credit underwriting platform.</t>
  </si>
  <si>
    <t>RevTech Labs Capital</t>
  </si>
  <si>
    <t>www.capturisk.com</t>
  </si>
  <si>
    <t>496499-05</t>
  </si>
  <si>
    <t>Caravel Concepts</t>
  </si>
  <si>
    <t>Developer of financial asset allocation and planning software designed to focus on customized financial plans and investment strategies. The company's software offers investment strategies optimized for the specific life goals of each client and applies mass customization techniques to allow individualized advice and strategy implementation, enabling advisors to provide quality products on the market and help clients execute their investment process.</t>
  </si>
  <si>
    <t>www.caravelconcepts.com</t>
  </si>
  <si>
    <t>461812-42</t>
  </si>
  <si>
    <t>Carbon Collective</t>
  </si>
  <si>
    <t>Developer of an online investment platform designed to offer sustainable and green investment services. The company's platform offers low-fee and diversified investment portfolios built for reducing carbon dioxide emissions, enabling users to reinvest in the companies solving climate change.</t>
  </si>
  <si>
    <t>Andrea Dusi, Climate Capital, Elevation Ventures, HyperGuap, Keiki Capital, Looking Glass Capital, MCJ, Parcel B, Powerhouse Ventures (Oakland), Precursor Ventures, Raiz Capital, Rebel One Ventures, Textbook Ventures, Urban Future Lab, Valley Oak Investments</t>
  </si>
  <si>
    <t>www.carboncollective.co</t>
  </si>
  <si>
    <t>471651-31</t>
  </si>
  <si>
    <t>Carbon Equity</t>
  </si>
  <si>
    <t>Operator of an impact investing platform intended to help investors make climate investments in private markets. The company uses climate diligence and financial diligence processes to select the funds that have a fixed investment period, enabling investors to access private climate tech funds and build a diversified portfolio of climate startups and scaleups.</t>
  </si>
  <si>
    <t>2MS Hinderer, 4impact capital, Aurum Impact, BlackFin Capital Partners, Elemental Beteiligungs, Enfuro Ventures, Heleen van Oord, kopa ventures, Maarten van Dijk, Robert-Jan Van Ogtrop, Theye Veen</t>
  </si>
  <si>
    <t>www.carbonequity.com</t>
  </si>
  <si>
    <t>534565-90</t>
  </si>
  <si>
    <t>Cardinal Gray</t>
  </si>
  <si>
    <t>Developer of titling tools for auto lenders intended to help auto lenders instantly send title data to the department of motor vehicles. The company's artificial intelligence title clerk lets lenders automatically receive, manage and release vehicle liens without employees staring at dashboards, enabling vehicle lenders to automate collateral management to support the financial services of the future.</t>
  </si>
  <si>
    <t>Krew Capital, Y Combinator</t>
  </si>
  <si>
    <t>www.cardinalgray.com</t>
  </si>
  <si>
    <t>589344-67</t>
  </si>
  <si>
    <t>CardLift</t>
  </si>
  <si>
    <t>Developer of a financial platform designed to help credit card issuers increase their cardholders' utilization rate. The company builds credit card issuers' white-label browser extensions and software development kits (SDKs) to change their card-on-file for all their subscriptions, add one-click checkout on all e-commerce sites, and get detailed analytics on users' spending habits, enabling clients to drive more purchases and generate more revenue per use.</t>
  </si>
  <si>
    <t>www.withcardlift.com</t>
  </si>
  <si>
    <t>557160-76</t>
  </si>
  <si>
    <t>Cardtonic</t>
  </si>
  <si>
    <t>Developer of a digital payments and gift card trading platform designed to simplify financial transactions by providing secure, fast and versatile services for everyday payments and online purchases. The company offers an all-in-one platform featuring instant gift card trading, virtual dollar cards, eSIM connectivity, bill payments and affordable gadget shopping, enabling customers to access global services, stay connected internationally and enjoy seamless, reliable financial transactions with reduced costs and faster processing times.</t>
  </si>
  <si>
    <t>www.cardtonic.com</t>
  </si>
  <si>
    <t>515391-22</t>
  </si>
  <si>
    <t>CareNow</t>
  </si>
  <si>
    <t>Operator of a financial platform intended to provide health services through flexible payments. The company's platform helps provide liquidity for paying medical bills, financing the purchase of equipment and supplies, and assisting with cash flow, enabling patients to pay for unexpected and unforeseen medical expenses in installments.</t>
  </si>
  <si>
    <t>Antler, Iterative Accelerator</t>
  </si>
  <si>
    <t>www.carenow.id</t>
  </si>
  <si>
    <t>179772-67</t>
  </si>
  <si>
    <t>CarePay</t>
  </si>
  <si>
    <t>B2B Payments, FinTech, LOHAS &amp; Wellness, Mobile</t>
  </si>
  <si>
    <t>Developer of financial software designed to save, insure, and pay for healthcare services. The company's tool administers conditional healthcare payments between funders, patients, and healthcare providers, directs funds from public and private funders directly to patients, and combines digital payment with real-time medical and financial data collection, enabling healthcare companies to save and share money specifically for healthcare and reduce leakage and simplify the management of outpatient healthcare schemes for clients.</t>
  </si>
  <si>
    <t>Agence Francaise de Developpement, G4A, Health Insurance Fund, Invest International, Investment Funds for Health in Africa, M-PESA foundation, Pfizer Foundation, PharmAccess Foundation, Reinsurance Group of America, Swiss Re Foundation, The ELMA Foundation</t>
  </si>
  <si>
    <t>www.carepay.com</t>
  </si>
  <si>
    <t>534787-93</t>
  </si>
  <si>
    <t>CarePay (Consumer Finance)</t>
  </si>
  <si>
    <t>Developer of a healthcare financing platform designed to make healthcare more accessible and affordable. The company's platform provides financing and flexible payment options for medical treatments, including instalments, enabling patients to access medical care with easy financing.</t>
  </si>
  <si>
    <t>Amplify, Bharat Founders Fund, Dholakia Ventures, GSF India, Long Tail Ventures., Powerhouse Ventures, Sin Growth Partners, SPJIMR Start-Up Incubation Centre, Untitled Ventures, Venture Garage</t>
  </si>
  <si>
    <t>www.carepay.money</t>
  </si>
  <si>
    <t>54684-01</t>
  </si>
  <si>
    <t>CargoMetrics</t>
  </si>
  <si>
    <t>Big Data, FinTech, Marketing Tech, SaaS</t>
  </si>
  <si>
    <t>Developer of a maritime trade platform designed to provide marine industry trend analysis. The company's platform engages in offering research using tools such as satellite signals and shipping data to trade in commodities, currencies and equity futures, enabling clients to get clean information regarding the marine industry for research and investment.</t>
  </si>
  <si>
    <t>www.cargometrics.com</t>
  </si>
  <si>
    <t>279655-57</t>
  </si>
  <si>
    <t>Caribou (Financial Software)</t>
  </si>
  <si>
    <t>Developer of a task automation platform designed to solve banking functions promptly. The company's platform learns about the users' banking workflow and provides real-time alerts and task prediction, as well as automates accounts payable with notifications from all accounts, enabling businesses to automate their banking workload from across all their accounts, so they can focus on their work.</t>
  </si>
  <si>
    <t>Accelerated Digital Ventures, Bell Ventures (Limassol), Blue Wire Capital, CircleRock Capital, Jude Gomila, Onstage (London), Oriza Ventures, PV Seed Fund, Y Combinator</t>
  </si>
  <si>
    <t>www.usecaribou.com</t>
  </si>
  <si>
    <t>1169058-79</t>
  </si>
  <si>
    <t>Cascade (Financial Software)</t>
  </si>
  <si>
    <t>Developer of a unified margin trading platform designed to facilitate continuous access to digital and traditional asset markets. The company's platform supports onboarding via wire, ACH, or stablecoin, offers 24/7 trading in cryptocurrencies, U.S. equities, and private markets, and is accessible without geo-blocking, enabling users to have uninterrupted and diversified market participation.</t>
  </si>
  <si>
    <t>Archetype Fund, Auros (Financial Software), Coinbase Ventures, Polychain Capital, Variant (Brooklyn)</t>
  </si>
  <si>
    <t>cascade.xyz</t>
  </si>
  <si>
    <t>454352-14</t>
  </si>
  <si>
    <t>Cash-IN-Asia</t>
  </si>
  <si>
    <t>Operator of a financial platform intended to empower entrepreneurs with the financial support they need to fulfill business aspirations. The company's platform uses artificial intelligence and data analytics to offer responsible, transparent, and flexible financing, enabling startups and entrepreneurs to have access to business financing.</t>
  </si>
  <si>
    <t>EXEO Innovation Fund</t>
  </si>
  <si>
    <t>www.cashinasia.com</t>
  </si>
  <si>
    <t>471700-27</t>
  </si>
  <si>
    <t>CashBackApp</t>
  </si>
  <si>
    <t>Marketing Tech, Mobile, Mobile Commerce</t>
  </si>
  <si>
    <t>Developer of a mobile-based consumer rewards platform designed to distribute purchase-based cashback incentives for retail shopping purposes. The company partners with FMCG companies and retailers and rewards shoppers with cashback for buying products that they promote on the platform, enabling users to save through cashback discounts via mobile money.</t>
  </si>
  <si>
    <t>Expert DOJO, LoftyInc Capital Management, Loyal VC, Sherpa Ventures, Silverbacks Holdings</t>
  </si>
  <si>
    <t>www.cashbackmobileapp.com</t>
  </si>
  <si>
    <t>501530-50</t>
  </si>
  <si>
    <t>Cashboard (Business/Productivity Software)</t>
  </si>
  <si>
    <t>Developer of an AI-powered financial analysis platform designed to automate recurring financial planning and analysis tasks for businesses. The company's platform processes raw financial data, generates detailed reports, automates FP&amp;A workflows and delivers rapid insights, enabling finance teams and business leaders with streamlined reporting, reduced manual effort, improved accuracy and real-time financial information to support informed decision-making and operational efficiency.</t>
  </si>
  <si>
    <t>10X Capital, FINTOP (US), Gaingels, TTV Capital, Y Combinator</t>
  </si>
  <si>
    <t>www.cashboard.co</t>
  </si>
  <si>
    <t>433283-68</t>
  </si>
  <si>
    <t>Cashdrop</t>
  </si>
  <si>
    <t>Developer of a contactless commerce platform designed to help merchants set up online storefronts in less than a few minutes. The company's platform offers contactless ordering, automatic text updates, and sales analytics as well as a fast and easy checkout experience for consumers who can order through the platform, enabling merchants to facilitate contactless payment without handling cash or swiping credit cards and helping consumers to order with no application download or login required.</t>
  </si>
  <si>
    <t>10X Capital, Cyan Banister, Founder Collective, Gaingels, George Strompolos, Harlem Capital, Long Journey Ventures, M25, Michelle Phan, Scott Belsky, Shrug Capital, Valor Equity Partners, Worklife Ventures</t>
  </si>
  <si>
    <t>www.cashdrop.com</t>
  </si>
  <si>
    <t>512677-99</t>
  </si>
  <si>
    <t>Cashea</t>
  </si>
  <si>
    <t>Provider of installment payment services intended to facilitate immediate retail purchases through deferred interest-free payments. The company offers a mobile-based payment platform, purchase pre-approval, interest-free installment plans, and other related services, enabling retail consumers to facilitate the acquisition of goods.</t>
  </si>
  <si>
    <t>99 Startups, Alfredo Gutierrez, Amador Holdings, Asymmetry Management, Endeavor Argentina, Endeavor Catalyst, Epakon Capital, FinSight Ventures, Krealo, Neer Venture Partners, NuMundo Ventures, Plug and Play Tech Center, Spice Expeditions, UcAB, Washington University in St. Louis</t>
  </si>
  <si>
    <t>www.cashea.app</t>
  </si>
  <si>
    <t>469184-50</t>
  </si>
  <si>
    <t>Cashee</t>
  </si>
  <si>
    <t>Developer of a financial education platform designed to provide financial literacy to the young generation. The company's platform offers education and information about finance and provides a prepaid card and digital platform that gives parents the ability to deposit money, manage gifts, pay allowances, manage chores, and set flexible controls on how much kids can spend, enabling users to improve their financial knowledge and learn financial responsibility from a young age.</t>
  </si>
  <si>
    <t>www.cashee.com</t>
  </si>
  <si>
    <t>439897-15</t>
  </si>
  <si>
    <t>Cashew (Dubai)</t>
  </si>
  <si>
    <t>Developer of an online payment platform designed to offer flexible payment options to customers. The company's platform offers point-of-sale financing with curated credit lines as well as provides an option to split payments into installments or simply delay them up to a fortnight, without any hidden fees, enabling customers with a full suite of no-interest, transparent payments, and seamless access to finance.</t>
  </si>
  <si>
    <t>Al Hassan Ghazi Ibrahim Shaker, Mashreq Bank, Noa Capital Partners</t>
  </si>
  <si>
    <t>www.cashewpayments.com</t>
  </si>
  <si>
    <t>494598-88</t>
  </si>
  <si>
    <t>CashEx</t>
  </si>
  <si>
    <t>Developer of a financial platform intended to provide US bank accounts, debit cards, and money transfer services designed to facilitate inclusion and global transactions. The company's platform offers various features such as easy signup, a multi-currency wallet, zero transaction cost, a fund wallet, and swapped currency, enabling immigrants moving to the US to get equitable access to financial services.</t>
  </si>
  <si>
    <t>Broadshade Investments, gener8tor, Google Accelerator, Harvard Innovation Launch Lab, Hatcher+, MIT Delta V, Pillar VC, PKG Center, Plug and Play Tech Center, Timbuktoo Fintech Startup Accelerator Programme, Visa</t>
  </si>
  <si>
    <t>www.cashex.app</t>
  </si>
  <si>
    <t>894782-98</t>
  </si>
  <si>
    <t>Cashfeed</t>
  </si>
  <si>
    <t>Developer of an accounts payable automation platform designed to streamline invoice processing and bookkeeping for finance teams. The company's platform offers artificial intelligence-powered invoice extraction from email inboxes and supplier portals, automatic duplicate detection, general ledger and cost center matching, rule-based approval workflows across communication channels such as email and messaging applications, scheduled payment execution with anomaly and new supplier alerts, and integration with accounting software, enabling finance teams to reduce manual data entry and accelerate end-to-end invoice lifecycle management.</t>
  </si>
  <si>
    <t>Pitchdrive, StarApps, VLAIO</t>
  </si>
  <si>
    <t>www.cashfeed.com</t>
  </si>
  <si>
    <t>431656-93</t>
  </si>
  <si>
    <t>Cashin</t>
  </si>
  <si>
    <t>Developer of a payment platform designed to simplify incentive payments. The company's platform facilitates an efficient way to distribute incentive premiums, pay outsourced employees, and other intra-company payments such as refunds, food, fuel and others, enabling clients save time in managing payments and increase productivity.</t>
  </si>
  <si>
    <t>Bertha Capital, FIP FIEAM, Grupo Boticario, Ingram Micro Brasil, Thales, WE Impact</t>
  </si>
  <si>
    <t>www.cashin.com.br</t>
  </si>
  <si>
    <t>472356-01</t>
  </si>
  <si>
    <t>CASHIN (IT Consulting and Outsourcing)</t>
  </si>
  <si>
    <t>Developer of a digital point-of-sale system designed to deliver digital payment on one platform. The company's application supports smart devices to facilitate merchants by managing their sales, costs, and related operations such as e-invoicing, reports, tracking profit and loss, and inventory, enabling clients to provide a system to manage the business on one device.</t>
  </si>
  <si>
    <t>BIM Ventures, Impact46, Investors Mine</t>
  </si>
  <si>
    <t>cashin.sa</t>
  </si>
  <si>
    <t>517375-27</t>
  </si>
  <si>
    <t>Cashku</t>
  </si>
  <si>
    <t>Operator of a digital financial planning platform designed for individuals to take control of their finances. The company offers features like goal setting, diversified fund investing with zero sales charges, and access to financial advisors for personalized guidance, enabling users to make informed financial decisions, grow their savings, and plan for their future, contributing to their overall financial well-being and security.</t>
  </si>
  <si>
    <t>1337 Ventures, Ali Kadir, FWD Start-Up Studio, TeXnovasi Accelerator Program, Tunku Muhriz</t>
  </si>
  <si>
    <t>www.cashku.my</t>
  </si>
  <si>
    <t>535774-87</t>
  </si>
  <si>
    <t>CashLend</t>
  </si>
  <si>
    <t>Developer of a financial platform designed for investors to earn a return. The company's platform offers a variety of features to protect investors, such as credit checks, risk assessments, and the possibility to invest in a loan and earn interest rate for their investment, enabling clients to connect with borrowers and lend money directly.</t>
  </si>
  <si>
    <t>Vitosha Venture Partners</t>
  </si>
  <si>
    <t>www.cashlend.bg</t>
  </si>
  <si>
    <t>472295-26</t>
  </si>
  <si>
    <t>Cashmere App</t>
  </si>
  <si>
    <t>Artificial Intelligence &amp; Machine Learning, E-Commerce, FinTech</t>
  </si>
  <si>
    <t>Developer of a data-driven savings platform designed for purchasing high-end apparel and accessories. The company's platform utilizes machine learning algorithms to analyze individual personal tastes, lifestyle patterns, and disposable income levels to provide automated recommendations for specific luxury goods, enabling customers to accumulate targeted funds incrementally and complete transactions without utilizing their primary monthly budget or incurring debt.</t>
  </si>
  <si>
    <t>ODBA</t>
  </si>
  <si>
    <t>www.cashmereapp.co.uk</t>
  </si>
  <si>
    <t>489137-32</t>
  </si>
  <si>
    <t>CashU</t>
  </si>
  <si>
    <t>Developer of a financial platform designed to optimize sales through flexible, adaptive, and immediate credit facilitation. The company's platform utilizes artificial intelligence to refine credit terms, adjust lending conditions based on risk evaluation, enhance approval efficiency, broaden financing availability, and streamline repayment structures while offering optional risk mitigation measures, enabling businesses to integrate seamless financing across digital and in-person transactions to drive growth and financial accessibility.</t>
  </si>
  <si>
    <t>A.B.Seed Ventures, Bertha Capital, BTG Pactual, Capitânia Investimentos, Caravela Capital, Credit Saison, Itaú Unibanco Holding, Lighthouse Invest, Moka Gestora, ScalexOpen</t>
  </si>
  <si>
    <t>www.cashu.com.br</t>
  </si>
  <si>
    <t>541306-63</t>
  </si>
  <si>
    <t>Cashvisory</t>
  </si>
  <si>
    <t>Developer of gamified robo-advisor platform designed to plan, execute, and manage all aspects of finances. The company's platform helps to create, manage, and execute holistic financial plans making key financial decisions within minutes along with an engaging user interface, simplified jargon-free educational content, and intuitive navigation across the user journey, enabling users to make financial planning easily and interestingly.</t>
  </si>
  <si>
    <t>10,000 Startups-NASSCOM, Ashok Agrawal, BeyondSeed, Deepika Asthana, EvolveX Accelerator, SucSEED Indovation, Upasana Koul, We Founder Circle</t>
  </si>
  <si>
    <t>www.cashvisory.com</t>
  </si>
  <si>
    <t>454391-92</t>
  </si>
  <si>
    <t>Cashy (Financial Software)</t>
  </si>
  <si>
    <t>Developer of a financial application designed to lend loans for valuables to customers. The company's application offers short-term loans, pick-up services, digital payment, and pawn loans, enabling customers to get money against security and quick cash withdrawal and collection from home.</t>
  </si>
  <si>
    <t>2m-quadrat AG, AUBMES Invest, aws Gründungsfonds, eQventure, Katharo Ventures, KK Incube Invest Management, Martin Grüll, Michael Mueller, Philipp Kinsky, S-Quad Handels- und Beteiligungs</t>
  </si>
  <si>
    <t>www.cashy.at</t>
  </si>
  <si>
    <t>458390-71</t>
  </si>
  <si>
    <t>Cassbana</t>
  </si>
  <si>
    <t>Developer of a financial lending platform designed to build financial identities for underserved communities. The company leverages machine learning and artificial intelligence to offer monetary payment and micro-lending options through an analysis of behavior patterns, enabling financial institutions to offer low-risk investments securely and helping small businesses and individuals to get short-term financing with ease.</t>
  </si>
  <si>
    <t>Access Bridge Ventures, AXIAN Investment, COTU Ventures, Cyfr Capital, DisrupTech Ventures, Endure Capital, MSA Capital, Novo Capital, Outliers Venture Capital, Raj Kulasingam, Suya Ventures, Vishal Agarwal</t>
  </si>
  <si>
    <t>cassbana.com</t>
  </si>
  <si>
    <t>892218-79</t>
  </si>
  <si>
    <t>Castle (Business/Productivity Software)</t>
  </si>
  <si>
    <t>Developer of a fintech platform designed to transform everyday revenues into a strategic bitcoin position automatically. The company's platform provides businesses with intelligent bitcoin treasury solutions, combining automation and seamless financial integrations to safeguard assets and foster long-term value creation, enabling users to get a trading platform to simplify their operations, save time, and fortify capital.</t>
  </si>
  <si>
    <t>Boost VC, Epoch Ventures, Park Rangers Capital, Winklevoss Capital Management</t>
  </si>
  <si>
    <t>savewithcastle.com</t>
  </si>
  <si>
    <t>532664-02</t>
  </si>
  <si>
    <t>CatalyzU</t>
  </si>
  <si>
    <t>EdTech</t>
  </si>
  <si>
    <t>Developer of an investment training platform designed to invest in the future catalysts of Africa. The company offers a tech-enabled ecosystem that leverages data and community, enabling customers to upskill, find jobs, and unlock investment in the venture capital and startup ecosystem.</t>
  </si>
  <si>
    <t>Future Africa, Jobtech Alliance, Llama Startup Program, Paul Breloff, Roberto Coletti, Seven Capital (Texas), Techstars, Toyosi Abolarin</t>
  </si>
  <si>
    <t>www.catalyzu.io</t>
  </si>
  <si>
    <t>459013-60</t>
  </si>
  <si>
    <t>Cauri Money</t>
  </si>
  <si>
    <t>Developer of a digital banking platform designed to manage finances. The company's platform helps to support wallet and phone recharge, money transfers, and invoice payments, enabling African diasporas to send money to Africa and manage their daily expenditures.</t>
  </si>
  <si>
    <t>50 Partners, African Angel Investors Network, DCG Expeditions, Digital Currency Group, EDHEC Entrepreneurs, Google Accelerator, Launch Africa Ventures, Nairobi Business Angels Network, Nexsecutive, Nicolas Dessaigne, Sylvain Zimmer, The Dakar Network Angels, Wuri Ventures</t>
  </si>
  <si>
    <t>www.cauri.money</t>
  </si>
  <si>
    <t>251513-38</t>
  </si>
  <si>
    <t>Causality Link</t>
  </si>
  <si>
    <t>Developer of an artificial intelligence-powered research platform intended to extract knowledge for researching and analyzing the financial market. The company's platform offers a detailed analysis of the indicators and events that drive capital markets based on translating and extracting information from millions of documents published around the globe in several languages, enabling investors and analysts to get a different perspective on companies, industries, and macroeconomics.</t>
  </si>
  <si>
    <t>Horizon (Paris), Ken Nickerson</t>
  </si>
  <si>
    <t>www.causalitylink.com</t>
  </si>
  <si>
    <t>517292-56</t>
  </si>
  <si>
    <t>Cazh</t>
  </si>
  <si>
    <t>Developer of a fintech infrastructure platform designed for schools and small businesses in underserved regions. The company's platform offers point-of-sale systems, school management software, and white-label digital card APIs, enabling merchants and educational institutions to manage cashless transactions, student payments, and customer loyalty programs through a unified digital ecosystem.</t>
  </si>
  <si>
    <t>DS/X Ventures, EduSpaze, Indigo Telkom, Katha VC, Kumpul, Skala (Accelerator), SYNRGY Accelerator</t>
  </si>
  <si>
    <t>www.cazh.id</t>
  </si>
  <si>
    <t>279389-89</t>
  </si>
  <si>
    <t>CCD Intelligent</t>
  </si>
  <si>
    <t>Big Data, FinTech, Mobile, SaaS</t>
  </si>
  <si>
    <t>Developer of a mobile financial application designed to provide more flexible access to data query and evaluation of existing financial products. The company utilized big data, AI and cloud computing technologies to develop a professional and intelligent financial supervision technology platform for government regulatory agencies, financial institutions and individual investors.</t>
  </si>
  <si>
    <t>Oxygen Capital (China), Shanghai Pudong Venture Capital</t>
  </si>
  <si>
    <t>www.aifound.cn</t>
  </si>
  <si>
    <t>343456-21</t>
  </si>
  <si>
    <t>CCX Credit</t>
  </si>
  <si>
    <t>Provider of credit information and rating services intended for financial institutions, corporates and capital markets in China. The company's offerings include corporate credit ratings, credit risk assessment models, financial bond advisory services, enterprise credit information reports and end to end credit evaluation solutions, thereby enabling clients to manage credit risk, support financing decisions and improve trust and efficiency in financial markets.</t>
  </si>
  <si>
    <t>Beijing Zhongcai Longma Capital Investment Company, Boyu Capital, Cherubic Ventures, CITIC Capital, DHVC, GL Ventures, Gopher Asset Management, Harmony Riverside, Jiacaili Investment Management (Shenzhen), Noah Holdings, Sanxia Xintai, Shenzhen Gongshan Private Equity Investment Fund Management Partnership, Three Gorges Capital, Zall Smart Commerce Group, Zhongchengxin Group, Zhuhai Zhaorui Investment, Zoo Capital</t>
  </si>
  <si>
    <t>www.ccxcredit.com</t>
  </si>
  <si>
    <t>268134-94</t>
  </si>
  <si>
    <t>CCX Credit Technology</t>
  </si>
  <si>
    <t>Provider of credit technology, and as a neutral third party to assist participants in the consumer finance field to improve risk control and asset management capabilities. The company's credit technology utilize credit to helps customers establish standards for consumer financial assets, thereby promoting the standardization of the finance industry.</t>
  </si>
  <si>
    <t>Beijing Changan Group, Huaruan Technology, Xuanlian Technology, Yunnan International Trust</t>
  </si>
  <si>
    <t>531395-74</t>
  </si>
  <si>
    <t>Cedar (Specialized Finance)</t>
  </si>
  <si>
    <t>Developer of an international payments platform designed to help businesses make cross-border payments convenient and effective. The company's platform offers a variety of features, including real-time exchange rates and fraud detection, enabling businesses to access global transactions without intermediary parties or taxes.</t>
  </si>
  <si>
    <t>Blue Moon (San Francisco), Digital Currency Group, Lattice Capital, Node (Gibraltar), North Island Ventures, QED Investors, REACH, Stellar (Financial Software), Wischoff Ventures</t>
  </si>
  <si>
    <t>www.cedar.money</t>
  </si>
  <si>
    <t>902784-52</t>
  </si>
  <si>
    <t>Ceedar</t>
  </si>
  <si>
    <t>Developer of an AI-native bookkeeping platform designed to automate bookkeeping and deliver business insights for digital-first companies. The company offers an AI bookkeeper with human oversight, seamless integration with modern tools, and up-to-date financials, enabling business owners and founders to streamline bookkeeping and maximize tax deductions.</t>
  </si>
  <si>
    <t>Adam Whitcroft, Julien Jacques, Mark Nichols, Metalab Ventures, Ruslan Nikolaev</t>
  </si>
  <si>
    <t>www.ceedar.ai</t>
  </si>
  <si>
    <t>229519-09</t>
  </si>
  <si>
    <t>Celebrity Financial</t>
  </si>
  <si>
    <t>Operator of a financial service company intended to educate, empower and enable people to improve their financial lives. The company offers services such as mortgage banking, capital investments and fintech, helping people to make sense of the financial world with empathy, tools, and insights.</t>
  </si>
  <si>
    <t>www.celebfinancial.com</t>
  </si>
  <si>
    <t>519970-15</t>
  </si>
  <si>
    <t>Celero (Financial Software)</t>
  </si>
  <si>
    <t>Operator of a white-label business financial management platform designed to help financial institutions enhance their engagement with corporate clients. The company's platform specializes in financial automation, total financial control, automatic bank reconciliation, integration with business technologies, and the ability to transform photos of payment slips, invoices, and other financial documents into payments and reports, enabling clients and customers to adequately manage their finances and reduce time spent on financial management.</t>
  </si>
  <si>
    <t>Allievo Capital, Goodz Capital, Google Accelerator, Headline, KPTL Arbitrage Management, Visa</t>
  </si>
  <si>
    <t>www.celero.com.br</t>
  </si>
  <si>
    <t>1234297-81</t>
  </si>
  <si>
    <t>Celeste (Business/Productivity Software)</t>
  </si>
  <si>
    <t>Artificial Intelligence &amp; Machine Learning, Climate Tech, FinTech</t>
  </si>
  <si>
    <t>Developer of an AI-powered water stewardship platform designed to help companies quantify water-related risks, optimize mitigation investments, and scale collaborative impact across supply chain basins. The company offers a centralized system that translates water risk into financial metrics, models ROI for resilience projects, and connects organizations with co-investors, enabling sustainability, finance, and risk teams to drive strategic action, unlock catalytic capital, and build a water-secure future.</t>
  </si>
  <si>
    <t>Savia Ventures</t>
  </si>
  <si>
    <t>www.withceleste.com</t>
  </si>
  <si>
    <t>772867-63</t>
  </si>
  <si>
    <t>Ceneka</t>
  </si>
  <si>
    <t>Developer of a web-based donation platform designed to help creators receive financial support from their audience. The company offers a centralized payment link system, integration with multiple payment methods, wallet connectivity, and a dashboard for managing contributions, enabling content creators and online influencers to collect and manage donations easily and access funds across platforms.</t>
  </si>
  <si>
    <t>Schwarzwald Capital</t>
  </si>
  <si>
    <t>www.ceneka.net</t>
  </si>
  <si>
    <t>1166646-61</t>
  </si>
  <si>
    <t>Cenit</t>
  </si>
  <si>
    <t>Developer of a real-time tax management mobile application designed to simplify tax management. The company platform features the ability to organize income and expenses in real time, answers user questions, and projects taxes for filing and payment, enabling small and medium enterprises to make informed decisions and file and pay taxes.</t>
  </si>
  <si>
    <t>Hi Ventures</t>
  </si>
  <si>
    <t>www.cenit.ai</t>
  </si>
  <si>
    <t>502823-98</t>
  </si>
  <si>
    <t>Cenoa</t>
  </si>
  <si>
    <t>Developer of a borderless super wallet application designed to bring financial services to everyone. The company's application partners with various payment providers allowing one to convert their assets into digital assets and improve access to dollar-based products, enabling customers to earn fair yields and withdraw their money at any time.</t>
  </si>
  <si>
    <t>Acrew Capital, CollectiveSpark, Human Capital, Inventures (Istanbul), Jameel Investment Management Company, Quiet Capital, Start Path, TIBAS Ventures, Ulu Ventures, Underscore VC</t>
  </si>
  <si>
    <t>www.cenoa.com</t>
  </si>
  <si>
    <t>226305-19</t>
  </si>
  <si>
    <t>Ceptinel</t>
  </si>
  <si>
    <t>Operator of a regulatory platform intended to assess risks related to money laundering, market abuse, and fraud. The company's platform offers monitoring tools and support, meeting regulatory compliance requirements, detecting anomalous situations, and generating alerts based on the analyzed data, enabling clients to keep a close and up-to-date view of their business condition with a deeper knowledge of the current state of affairs and make a better decision by lowering risks in real-time.</t>
  </si>
  <si>
    <t>HCS Capital, UDD Ventures</t>
  </si>
  <si>
    <t>www.ceptinel.com</t>
  </si>
  <si>
    <t>438935-59</t>
  </si>
  <si>
    <t>CERC Central de Recebíveis</t>
  </si>
  <si>
    <t>Developer of financial market infrastructure designed to increase the security and efficiency in the use of receivables. The company leverages data analysis, access tools, and safe data storage and provides answers to uncertainties concerning valuation, formalization, and financial flow control, enabling clients to optimize the efficiency of credit operations.</t>
  </si>
  <si>
    <t>Endeavor Catalyst, Experian Ventures, Fabio Barbosa, Fegik Investimentos, GP Investments, Gustavo Fonseca, Hindiana, Jose Bonchristiano, Marcos de Barros Lisboa, Mubadala Investment Company, Parallax Ventures, Serasa Experian, Spectra Investments, Torq (Brazil), Valor Capital Group</t>
  </si>
  <si>
    <t>www.cerc.com</t>
  </si>
  <si>
    <t>534597-04</t>
  </si>
  <si>
    <t>Cercli</t>
  </si>
  <si>
    <t>Developer of a cloud-based human resource platform designed to streamline payroll and finance operations through automation, analytics and centralized management. The company's platform offers artificial intelligence-powered insights, multi-currency payroll and a unified view of workforce data, enabling clients to improve accuracy, ensure compliance and reduce operational overhead.</t>
  </si>
  <si>
    <t>Afore Capital, Allison Pickens, COTU Ventures, Francesco Scalambrino, Francesco Simoneschi, Gerry Giacomán Colyer, Jaime Boetsch, Karim Atiyeh, Knollwood Investment Advisory, Marco Ogliengo, Mehdi Ghissassi, Michele Attisani, Picus Capital, Prabhakar Reddy, Rebel Fund, RZM Investment, Sebastian Mejia, Tony Jamous, Y Combinator, Yazan El-Baba, Zhang Zhidong</t>
  </si>
  <si>
    <t>www.cercli.com</t>
  </si>
  <si>
    <t>527580-91</t>
  </si>
  <si>
    <t>Ceviche</t>
  </si>
  <si>
    <t>Developer of an expense management platform designed to offer automated support to its clients. The company's platform offers access to the insights and expertise to manage expense allocations with expert advisory and support, allowing fund advisers and other clients to design SEC-compliant expense reporting processes.</t>
  </si>
  <si>
    <t>Forum Ventures, Mucker Capital, Right Side Capital Management, Sparked Ventures</t>
  </si>
  <si>
    <t>www.ceviche.ai</t>
  </si>
  <si>
    <t>314853-22</t>
  </si>
  <si>
    <t>CFO Plans</t>
  </si>
  <si>
    <t>Developer of an accounting management platform designed to take accounts, tax, and CFO-level support off founders' plates. The company's platform provides accounting, human resource management, financial reporting, exit planning, and regulatory compliance services, enabling clients to streamline their financial operations efficiently.</t>
  </si>
  <si>
    <t>FounderPartners</t>
  </si>
  <si>
    <t>www.cfoplans.com</t>
  </si>
  <si>
    <t>697028-14</t>
  </si>
  <si>
    <t>Chain Technologies Research</t>
  </si>
  <si>
    <t>Cryptocurrency/Blockchain, FinTech, Oil &amp; Gas</t>
  </si>
  <si>
    <t>Developer of a payment platform intended for USD transfers and supports transfers. The company's platform is built on the UTXO foundation, allowing gas fees to be paid with BTC and works seamlessly with existing Bitcoin infrastructure, enabling users to hold, stake, and deploy the Bitcoin between UTXO and account space.</t>
  </si>
  <si>
    <t>1/1 Capital, 6th Man Ventures, Anthos Capital, Bitfinex, Bybit, Chingona Ventures, Chorus One Ventures, Christian Angermayer, Cobie, Cumberland, Fidenza Capital, Flow Traders, Framework Ventures, Infinite Capital (San Juan), ITT Enidine, Karatage, Manifold Investments, Mercury Fund, Mirana Ventures, Nomura Capital Management, Peter Thiel, Shine Capital, Split Capital, WTG_Ventures, Zaheer Ebtikar</t>
  </si>
  <si>
    <t>www.plasma.org</t>
  </si>
  <si>
    <t>498261-70</t>
  </si>
  <si>
    <t>Chancen International</t>
  </si>
  <si>
    <t>Provider of education financing services intended to remove financial barriers for excluded youth. The company offers income share agreements, education financing, technical training access, higher education funding, vocational program support, and financial inclusion services, enabling students from underserved backgrounds to access quality education and increase lifetime earnings without the burden of traditional debt or collateral requirements.</t>
  </si>
  <si>
    <t>ECIIF, UBS Optimus Foundation</t>
  </si>
  <si>
    <t>www.chancen.international</t>
  </si>
  <si>
    <t>491364-01</t>
  </si>
  <si>
    <t>ChapChap Africa</t>
  </si>
  <si>
    <t>Developer of a financial technology platform designed to improve the livelihoods of low-income individuals and businesses. The company leverages versatile innovation and digital and mobile technology to unlock access to gainful employment, trade, affordable credit facilities, and low-cost financial services, enabling consumers to access services that they are in desperate need of.</t>
  </si>
  <si>
    <t>Innovations Against Poverty, Nordic Impact Funds</t>
  </si>
  <si>
    <t>chapchap.co</t>
  </si>
  <si>
    <t>527636-98</t>
  </si>
  <si>
    <t>Chargeback</t>
  </si>
  <si>
    <t>Developer of a refund management platform designed to help merchants recover fraudulent charges. The company's platform provides tools for managing chargebacks, including dispute resolution, chargeback prevention, and chargeback monitoring, enabling merchants to protect their revenue and reduce fraud losses.</t>
  </si>
  <si>
    <t>www.joinchargeback.com</t>
  </si>
  <si>
    <t>522622-72</t>
  </si>
  <si>
    <t>Charlie (Other Financial Services)</t>
  </si>
  <si>
    <t>Operator of a financial technology company intended to cater to the elderly community. The company offers faster access to social security payments, United States customer service, competitive earnings on deposits and no monthly fees or minimums, enabling customers to have their financials tracked with the help of an application.</t>
  </si>
  <si>
    <t>305 Ventures, Ayokunle Omojola, Better Tomorrow Ventures, DCVC, Expa, FPV Ventures, Gokul Rajaram, TTV Capital, Western Technology Investment</t>
  </si>
  <si>
    <t>www.charlie.com</t>
  </si>
  <si>
    <t>498558-61</t>
  </si>
  <si>
    <t>Checkin</t>
  </si>
  <si>
    <t>Developer of a registration and payment system platform designed to optimize processes and simplify complexity for customers. The company's platform offers a registration system for conferences, courses, concerts, and events that automatically handles all payment flows with invoices, cards, and everything from the actual registration and sale of tickets to resource management, product sales, checkout system, and CRM, providing organizers with a stress-free experience through flexible registration forms and automatic invoicing.</t>
  </si>
  <si>
    <t>Melesio Capital, Skagerak Capital</t>
  </si>
  <si>
    <t>www.checkinevent.com</t>
  </si>
  <si>
    <t>482782-42</t>
  </si>
  <si>
    <t>Cheddar (Financial Software)</t>
  </si>
  <si>
    <t>Artificial Intelligence &amp; Machine Learning, Big Data, FinTech, Mobile, Mobile Commerce, SaaS</t>
  </si>
  <si>
    <t>Developer of a payment platform designed to transfer, receive, and send money online. The company's platform connects users to an existing bank account as well as builds a new payment for users, including quick settlement, security, high conversion, scalability, and complete transparency for consumers and merchants, enabling firms to drive engagement and revenue.</t>
  </si>
  <si>
    <t>www.cheddar.me</t>
  </si>
  <si>
    <t>593778-34</t>
  </si>
  <si>
    <t>Cheers Cash</t>
  </si>
  <si>
    <t>Developer of a gamified gift card promotion platform designed to drive consumer engagement through sports and pop culture events. The company allows brands to offer shoppers full or partial cashback tied to the outcome of sporting events, enabling brands to incentivize purchases and manage financial risk and budget allocation.</t>
  </si>
  <si>
    <t>Dorm Room Fund, Imbolc Partners</t>
  </si>
  <si>
    <t>www.cheerscash.com</t>
  </si>
  <si>
    <t>746658-10</t>
  </si>
  <si>
    <t>Cheers Financial</t>
  </si>
  <si>
    <t>Developer of a financial platform designed to help individuals build credit. The company's platform offers savings deposits, no credit checks, and flexible terms, enabling individuals looking to improve their credit for future financial goals to have easy and accessible credit-building opportunities.</t>
  </si>
  <si>
    <t>Amplify.LA, Better Tomorrow Ventures, Impulsum Ventures (Medellin), The Mint (San Francisco)</t>
  </si>
  <si>
    <t>www.cheers.credit</t>
  </si>
  <si>
    <t>169834-96</t>
  </si>
  <si>
    <t>Chekk</t>
  </si>
  <si>
    <t>Developer of an eKYC and data portability SaaS software designed to enhance the identification verification compliance process among different parties. The company's software offers capabilities such as customer due diligence at on-boarding and KYC refresh, connectivity to people and business registries for company unwrapping, electronic verification of identity with OCR, face matching, proof of life, and antifraud for individuals, secure data wallet, messaging for consent, data portability, and interactions, enabling end-users to own and reuse their digital identity data in an easy and secure way.</t>
  </si>
  <si>
    <t>Cyberport Hong Kong, Facebook Startup Garage, HSBC Venture &amp; Growth Investments, KPMG, KPMG mLabs, Le Village by CA, LeFonds, Orbit Ventures (Venture Capital), Plug and Play Tech Center, SC Ventures, SOSV SCGC China Management Company, Standard Chartered</t>
  </si>
  <si>
    <t>www.chekk.me</t>
  </si>
  <si>
    <t>468959-14</t>
  </si>
  <si>
    <t>Cherry (Financial Software)</t>
  </si>
  <si>
    <t>Developer of a B2B payment processing platform designed to bridge the gap between accounting applications and banking transactions. The company's platform automates adjustments and syncs transaction-related data securely and directly from the integrated accounting software, using contextual data to the recipient for wire and card payments, enabling businesses to eliminate duplicate entries, automate bank account reconciliation, and reduce the complexity of navigating multiple systems.</t>
  </si>
  <si>
    <t>Lachy Groom, NFX</t>
  </si>
  <si>
    <t>www.cherrynet.com</t>
  </si>
  <si>
    <t>863191-63</t>
  </si>
  <si>
    <t>Chestnut Mortgage</t>
  </si>
  <si>
    <t>Operator of a mortgage lending platform intended to streamline home financing and refinancing processes. The company's platform uses AI-driven underwriting and processing, provides personalised rate comparisons, online application and tracking tools, support for purchase, refinance, home equity, and cash-out options, and access to dedicated loan experts, enabling homebuyers and homeowners to access loan options, reduce processing time, and secure financing with lower costs and simplified workflows.</t>
  </si>
  <si>
    <t>Neer Venture Partners, Olive Tree Capital, Sapienta Venture Capital, Y Combinator</t>
  </si>
  <si>
    <t>www.chestnutmortgage.com</t>
  </si>
  <si>
    <t>438859-00</t>
  </si>
  <si>
    <t>CHI.Ecosystem</t>
  </si>
  <si>
    <t>Developer of contactless payment platform intended to connect events and visitors. The company's platform integrates artificial intelligence and blockchain to offer cashless payments, NFT ticketing, event payments, doorsale tickets and token top-ups to maximize ticket sales, enabling event companies to bridge the gap between event visitors and events, ensuring smooth engagement and maximizing revenue for stakeholders.</t>
  </si>
  <si>
    <t>chi.app</t>
  </si>
  <si>
    <t>533584-99</t>
  </si>
  <si>
    <t>Chip (Financial Services)</t>
  </si>
  <si>
    <t>Operator of a financial services marketplace intended to provide financial advice to individuals and businesses. The company specializes in offering tax planning, 
estate planning and financial guidance to bridge the gap between consumers of financial products and financial professionals of color, enabling individuals and small businesses to retain and grow generational wealth.</t>
  </si>
  <si>
    <t>Andreessen Horowitz, gener8tor, New Jersey Economic Development Authority</t>
  </si>
  <si>
    <t>www.chipprofessionals.com</t>
  </si>
  <si>
    <t>537978-52</t>
  </si>
  <si>
    <t>Choice Digital</t>
  </si>
  <si>
    <t>Developer of a payment platform designed to provide businesses and customers with a flexible and secure payment gateway. The company's platform specializes in providing simple, secure, and customer-focused B2B and B2C payment methods and disbursements across a variety of industries, enabling customers to choose how they want to be paid.</t>
  </si>
  <si>
    <t>Firebrand Ventures</t>
  </si>
  <si>
    <t>www.choicedigital.com</t>
  </si>
  <si>
    <t>442184-23</t>
  </si>
  <si>
    <t>Choice Payment Services</t>
  </si>
  <si>
    <t>Operator of an omnichannel marketplace intended to offer financing alternatives. The company's platform unites, collaborates, and tailors stable consumer finance alternatives for clients and lends alternatives complemented by its proprietary interest-sharing payment loan product, enabling businesses to serve customers by offering affordable loans and consumer-friendly payment plans to their customers.</t>
  </si>
  <si>
    <t>www.choicepays.com</t>
  </si>
  <si>
    <t>471912-94</t>
  </si>
  <si>
    <t>Chowder</t>
  </si>
  <si>
    <t>Developer of a financing platform designed to support lease-purchase programs for household systems used by credit-challenged homeowners. The company offers digital tools that enable contractors to provide financing options for home improvement installations through structured payment programs and application processing workflows, enabling customers to access essential home systems through flexible payment arrangements.</t>
  </si>
  <si>
    <t>Contrarian Thinking Capital, HatchBridge Incubator, Knoll Ventures, Lightbank (Venture Capital), Service Provider Capital</t>
  </si>
  <si>
    <t>www.chowderfinancial.com</t>
  </si>
  <si>
    <t>172693-90</t>
  </si>
  <si>
    <t>Chronograph</t>
  </si>
  <si>
    <t>Developer of portfolio monitoring software designed to manage private capital investment data. The company's platform provides cloud-based analytics, automated data collection, artificial intelligence synthesis, turnkey data warehousing, and real-time data replication, enabling private equity investors to automate reporting and analyze fund performance.</t>
  </si>
  <si>
    <t>Carlyle AlpInvest, Nasdaq eVestment, Nasdaq Ventures, Sidekick Partners, Sixth Street Partners, Summit Partners, The Carlyle Group</t>
  </si>
  <si>
    <t>www.chronograph.pe</t>
  </si>
  <si>
    <t>493776-37</t>
  </si>
  <si>
    <t>Cicada</t>
  </si>
  <si>
    <t>Operator of an electronic trading infrastructure intended for institutional bond market access. The company supports anonymous all-to-all trading, automates trade and post-trade workflows, integrates via a comprehensive API, and includes tools for market data visualization and decision support, enabling institutional investors and dealers in emerging markets to improve liquidity, operational efficiency, and risk management.</t>
  </si>
  <si>
    <t>500 Global, 500 Startups LatAm, Citigroup, Crestone Venture Capital, DILA Capital, Kaszek, L4 Venture Builder</t>
  </si>
  <si>
    <t>www.cicada.io</t>
  </si>
  <si>
    <t>537501-79</t>
  </si>
  <si>
    <t>Cicada Partners</t>
  </si>
  <si>
    <t>Operator of an on-chain credit risk management company intended to provide risk-as-a-service to the companies. The company facilitates the growth of institutional lending on public blockchains by providing lending services to the blockchain to drive capital market efficiencies, reduce counterparty risks and improve financial market transparency, enabling lenders to participate in risk-managed non-custodial lending products.</t>
  </si>
  <si>
    <t>Bitscale Capital, Bodhi Ventures, Choppa Capital, Shiliang Tang, Techstars</t>
  </si>
  <si>
    <t>www.cicada.partners</t>
  </si>
  <si>
    <t>1366335-64</t>
  </si>
  <si>
    <t>Cifrato</t>
  </si>
  <si>
    <t>Developer of artificial intelligence-powered accounting infrastructure designed to automate bookkeeping and streamline financial operations. The company's platform retrieves electronic invoices from tax authorities, applies artificial intelligence-driven classification to assign ledger accounts and cost centers, integrates with ERP and POS systems, and provides real-time reconciliation with alerts, enabling accountants and finance teams in Latin America to reduce manual entry, minimize compliance risks, accelerate reporting, and maintain audit-ready records with improved accuracy and efficiency.</t>
  </si>
  <si>
    <t>Decelera Ventures, Fen Ventures, Kuiper (Mexico), Y Combinator</t>
  </si>
  <si>
    <t>www.cifrato.ai</t>
  </si>
  <si>
    <t>484770-25</t>
  </si>
  <si>
    <t>CinetPay</t>
  </si>
  <si>
    <t>Artificial Intelligence &amp; Machine Learning, Big Data, FinTech, Internet of Things, Mobile, Mobile Commerce, SaaS</t>
  </si>
  <si>
    <t>Developer of digital payment infrastructure designed for business transactions. The company's platform supports multiple local and international payment methods, operates in various Francophone African countries, offers real-time dashboards, API integrations, mass payout features, payment link sharing, and multi-currency settlement, enabling merchants across West and Central Africa to collect payments securely, reduce friction in cross-border transactions, shorten settlement time, and scale revenue.</t>
  </si>
  <si>
    <t>4DX Ventures, Flutterwave, Founder Institute, Seedstars International Ventures, TO VC (New York)</t>
  </si>
  <si>
    <t>www.cinetpay.com</t>
  </si>
  <si>
    <t>507159-19</t>
  </si>
  <si>
    <t>Cino</t>
  </si>
  <si>
    <t>Operator of a shared payment card platform designed to simplify group expense management and payment splitting. The company's platform provides virtual cards linked to existing bank accounts, customizable split ratios, transaction tracking, spending controls, mobile wallet integration, and automatic charge allocation across participants, enabling individuals and groups to manage shared expenses without manual reimbursements.</t>
  </si>
  <si>
    <t>Alesco Ventures, APX., Atomico (UK) Partners, Balderton Capital, Barney Yeo, Connect Ventures (UK), Elevator Startups, Heartfelt (Private Equity), Latitude59, Mastercard Lighthouse, Sie Ventures, Tera Ventures</t>
  </si>
  <si>
    <t>www.getcino.com</t>
  </si>
  <si>
    <t>687556-99</t>
  </si>
  <si>
    <t>CipherOwl</t>
  </si>
  <si>
    <t>Artificial Intelligence &amp; Machine Learning, Cryptocurrency/Blockchain, FinTech, Legal Tech</t>
  </si>
  <si>
    <t>Developer of a digital asset intelligence platform designed to navigate the complex landscape of digital asset regulations. The company's platform utilizes a modular, artificial intelligence architecture that offers real-time address screening, root cause analysis, automated regulatory report drafting, case management, and regulator response, enabling public agencies, financial institutions, and protocol builders to automate core compliance functions with enhanced transparency and control.</t>
  </si>
  <si>
    <t>AME Cloud Ventures, Coinbase Ventures, Enlight Ventures, Flourish Ventures, General Catalyst, OKX, Predictive Venture Partners, Road Capital Management, Sancus Ventures</t>
  </si>
  <si>
    <t>www.cipherowl.com</t>
  </si>
  <si>
    <t>528410-80</t>
  </si>
  <si>
    <t>Circlepay</t>
  </si>
  <si>
    <t>Developer of a financial technology platform designed to help people access their earnings before payday. The company's platform allows users to cash out a portion of their earnings in real-time, for a flat fee, enabling users to manage their finances more effectively and avoid costly payday loans.</t>
  </si>
  <si>
    <t>www.circlepay.me</t>
  </si>
  <si>
    <t>513112-06</t>
  </si>
  <si>
    <t>Circonomit</t>
  </si>
  <si>
    <t>Developer of enterprise performance modelling and decision-support software intended for operational, financial, and environmental management. The company provides a web-based control platform with semantic driver modelling, KPI linkage, and scenario simulation, enabling industrial and corporate customers to manage disruptions, quantify impacts, and optimise outcomes.</t>
  </si>
  <si>
    <t>Circular Valley, digitalHUB Aachen, EIT Community Supernovas, EIT KIC Urban Mobility, Fund F, German Accelerator, Horizen Capital, PUSH Ventures, RWTH Innovation, STARTPLATZ, TechQuartier, Vorwerk Ventures</t>
  </si>
  <si>
    <t>www.circonomit.com</t>
  </si>
  <si>
    <t>462160-18</t>
  </si>
  <si>
    <t>Citics</t>
  </si>
  <si>
    <t>Developer of real estate valuation and management software designed for asset appraisal and financial decision-making. The company's platform offers automated property valuation, data-driven market analysis, mortgage assessment tools, digital asset tracking, and integration with financial institutions, enabling banks, investors, and real estate professionals to streamline property evaluations, optimize lending processes, and enhance investment strategies.</t>
  </si>
  <si>
    <t>AiViet Venture, BHS Group Vietnam, Nextrans, Orionis Capital, PropertyGuru, TheVentures Company, Thien Viet Securities, Vietnam Investments Group, Vulpes Investment Management, Vulpes Ventures</t>
  </si>
  <si>
    <t>www.citics.vn</t>
  </si>
  <si>
    <t>507381-49</t>
  </si>
  <si>
    <t>CitoPlus</t>
  </si>
  <si>
    <t>Developer of a digital platform designed to deliver a streamlined commercial lending experience for brokers and customers. The company's platform delivers a leading data-driven lending experience that places brokers at the forefront of commercial lending and automates the collection of data and prepares the application, enabling businesses to achieve growth ambitions and save time through data-enabled lending.</t>
  </si>
  <si>
    <t>1835i, National Australian Bank Ventures</t>
  </si>
  <si>
    <t>www.citoplus.com.au</t>
  </si>
  <si>
    <t>509438-71</t>
  </si>
  <si>
    <t>Clad (Business/Productivity Software)</t>
  </si>
  <si>
    <t>Developer of a contractor management software designed for telecom companies to find, manage, and pay contractors. The company's software offers bid and vendor management to manage a bidding process amongst contractors, integrate invoicing, approve invoices, and schedule payments directly integrated with the accounting system, enabling network operators to get the appropriate price and availability for every job with no hassles.</t>
  </si>
  <si>
    <t>Better Tomorrow Ventures, Y Combinator</t>
  </si>
  <si>
    <t>www.withclad.com</t>
  </si>
  <si>
    <t>863186-50</t>
  </si>
  <si>
    <t>Claim Health</t>
  </si>
  <si>
    <t>Artificial Intelligence &amp; Machine Learning, FinTech, HealthTech, InsurTech, SaaS</t>
  </si>
  <si>
    <t>Developer of automated billing tools designed for use in post-acute healthcare settings. The company's platform generates compliant claim submissions, creates appeal letters for denied claims, integrates real-time financial reporting, and supports end-to-end revenue cycle processes, enabling home healthcare providers and administrative teams to reduce manual billing tasks, improve reimbursement accuracy, maintain regulatory compliance, and optimize financial performance through streamlined claims management and automated documentation workflows.</t>
  </si>
  <si>
    <t>Digital Health Venture Partners, Maverick Ventures, Peak XV Partners, Sapienta Venture Capital, Y Combinator</t>
  </si>
  <si>
    <t>www.claimhealth.com</t>
  </si>
  <si>
    <t>434316-34</t>
  </si>
  <si>
    <t>Clair</t>
  </si>
  <si>
    <t>Developer of an instant pay access technology designed to offer on-demand access to earned wages. The company's platform allows hourly workers to get paid as soon as they clock out of work and offers them other banking services like debit cards and account services to aid in savings and spending, and helps employers retain their workforce, enabling human capital management teams to help maintain the financial health of workers.</t>
  </si>
  <si>
    <t>Avra, Cameron Ventures, Chris Pfluger, Craig Vaream, Expansion Capital, Founder Collective, Kairos (Business/Productivity Software), Kairos HQ, Michael Vaughan, Mischief, Nicholas Westphal, Paul Appelbaum, Thomas Kunz, Thrive Capital, Upfront Ventures, Walkabout Ventures</t>
  </si>
  <si>
    <t>www.getclair.com</t>
  </si>
  <si>
    <t>616295-26</t>
  </si>
  <si>
    <t>ClarityPay</t>
  </si>
  <si>
    <t>Operator of a point-of-sale lending platform intended for loan repayment. The company offers a payment portal with autopay accessibility and assistance through the process, low interest rates, monthly payment plans, and budgeting, enabling merchants to control commerce flows, convert more customers, and drive growth.</t>
  </si>
  <si>
    <t>Outpost Ventures, TTV Capital, Vesey Ventures</t>
  </si>
  <si>
    <t>www.claritypay.com</t>
  </si>
  <si>
    <t>459156-16</t>
  </si>
  <si>
    <t>Claro Wellbeing</t>
  </si>
  <si>
    <t>Provider of a coaching program intended to enhance the financial well-being of employees. The company offers coaching sessions with money experts to have an impartial and safe space for conversations about wealth via calls or messages, weekly educational videos, and insights into their workforce's financial needs and preferences through aggregated data, enabling employees to make informed financial decisions, set realistic goals, and ultimately improve their overall financial health.</t>
  </si>
  <si>
    <t>www.clarowellbeing.com</t>
  </si>
  <si>
    <t>491120-47</t>
  </si>
  <si>
    <t>Clave (Financial Services)</t>
  </si>
  <si>
    <t>Developer of a digital lending platform designed to remove the barriers between traditional finance and emerging consumer products. The company's platform offers users a wallet to access simple, intuitive, and secure solutions to traditional financial services that include credit, payments, and transfers, enabling customers with a gateway to financial products based on blockchain technology.</t>
  </si>
  <si>
    <t>www.clavecreditos.com</t>
  </si>
  <si>
    <t>557013-79</t>
  </si>
  <si>
    <t>Clay (Financial Software)</t>
  </si>
  <si>
    <t>Developer of a financial platform designed to help tech-enabled businesses launch and fund their lending programs under their own brand. The company offers a full-stack credit infrastructure with embedded SDKs, automated underwriting, and loan servicing capabilities, enabling fintechs, brands, and digital platforms to provide a native credit experience with minimal engineering effort.</t>
  </si>
  <si>
    <t>Google Accelerator, Pepper Advantage</t>
  </si>
  <si>
    <t>www.clay.so</t>
  </si>
  <si>
    <t>540872-56</t>
  </si>
  <si>
    <t>ClearGrid</t>
  </si>
  <si>
    <t>Developer of an AI-powered debt resolution platform designed to transform traditional debt collection practices. The company offers personalized, empathetic engagement and real-time analytics, enabling borrowers to manage repayments effectively and lenders to improve recovery rates.</t>
  </si>
  <si>
    <t>9Yards Capital Management, Ahmed Alenazi, Ahmed Hamdan, Annex Investments (UAE), Anu Hariharan, BECO Capital, Björn Wagner, BYLD (Dubai), Eirad Holdings, Endeavor Catalyst, In5, Jason Gardner, Justin Kan, KBW Ventures, Kenneth Kline, Mohammed Ballout, Negma Group, Nuwa Capital, Protagonist Management, Raed Ventures, Sharaka Capital, Sultan Al-Olayan, Vinay Menda, Wa'ed Ventures, Wamda Capital, WME Group</t>
  </si>
  <si>
    <t>www.cleargrid.ai</t>
  </si>
  <si>
    <t>498380-14</t>
  </si>
  <si>
    <t>Clearing (Financial Software)</t>
  </si>
  <si>
    <t>Developer of an expense and revenue management platform designed to provide services for real estate. The company's technology offers online banking for real estate to simplify the management of expenses and income, enabling landlords and rental hosts to manage and organize finance by property and unit.</t>
  </si>
  <si>
    <t>Lair East Labs, Redbud VC, SHOR (Private Equity), Sunstone Management</t>
  </si>
  <si>
    <t>www.getclearing.co</t>
  </si>
  <si>
    <t>119008-00</t>
  </si>
  <si>
    <t>Clearinghouse</t>
  </si>
  <si>
    <t>Provider of community development lending services intended to address unmet credit needs. The company's services bridge the gap between conventional lending standards and the needs of low-income and distressed communities by offering financial lending for projects that include community facilities, affordable housing, commercial real estate, new markets tax credits, and small businesses, enabling borrowers to receive critical funding for their projects.</t>
  </si>
  <si>
    <t>Banner Bank, California Bank &amp; Trust, CIT Group, Citizens Business Bank, City National Bank, Comerica, CommerceWest Bank, Commercial Bank of California, Community Bank (Regional Banks), Community Development Financial Institutions Fund, Enterprise Financial Services (Clayton), EverBank, F&amp;M Bank (Regional Banks), Federal Home Loan Bank of San Francisco, Fifth Third, First Choice Bank (California), First General Bank, GrandPoint Bank, Huntington Bancshares, Nano Banc, Orange County Business Bank, Pacific Mercantile Bank, Partners Bank of California, Royal Business Bank, SMBC MANUBANK, State Bank of Arizona, Sunwest Bank, The PNC Financial Services Group, U.S. Bank Corporate Pension Fund, United States Department of the Treasury, Western Alliance, Zions Bancorporation</t>
  </si>
  <si>
    <t>www.clearinghousecdfi.com</t>
  </si>
  <si>
    <t>713268-28</t>
  </si>
  <si>
    <t>Clearly Acquired</t>
  </si>
  <si>
    <t>Operator of a SaaS-enabled business acquisition and investment management firm intended to simplify and accelerate the small to medium-sized business lending and acquisition ecosystem. The company offers a comprehensive, tech-enabled platform that connects verified buyers, brokers, lenders, business owners, and investors, enabling customers and clients to navigate the complexities of business acquisitions with confidence through tools for sourcing, screening, managing deals, securing financing, and closing transactions.</t>
  </si>
  <si>
    <t>www.clearlyacquired.com</t>
  </si>
  <si>
    <t>534702-88</t>
  </si>
  <si>
    <t>Cleva</t>
  </si>
  <si>
    <t>Developer of a financial technology platform designed to facilitate international payments for freelancers and businesses. The company offers virtual dollar accounts and cards that support ACH and wire transfers, enabling users to receive global payments, hold funds in interest-bearing pots, and convert earnings to local currencies through a secure and regulated digital banking environment.</t>
  </si>
  <si>
    <t>1984 Ventures, BYLD (Dubai), Decacorn Capital, FirstCheck Africa, Kairos Angels, Kara Ventures, Negma Group, Newfund Management, Rainfall Ventures, Start Path, The Raba Partnership, TLcom Capital, Visa Accelerator, Wayfinder Ventures, Y Combinator</t>
  </si>
  <si>
    <t>www.getcleva.com</t>
  </si>
  <si>
    <t>169865-47</t>
  </si>
  <si>
    <t>Click Capital Markets</t>
  </si>
  <si>
    <t>Developer of an investment technology platform designed to allow customers access to invest in capital market products. The company's platform provides information on upcoming IPOs, including company description, price, and expected date, where investors with linked brokerage accounts can purchase IPOs and follow SEC-registered securities offerings at the offering price on the effective date of the offering, providing access to new issue securities to everyday investors, enabling everyday individual investors to easily discover and invest in public offerings.</t>
  </si>
  <si>
    <t>Arizona Commerce Authority, Arizona Tech Investors, Desert Angels, E &amp; I Ventures, John Ashcroft, TAG Holdings (Venture Capital)</t>
  </si>
  <si>
    <t>www.click.markets</t>
  </si>
  <si>
    <t>228581-65</t>
  </si>
  <si>
    <t>ClickLease</t>
  </si>
  <si>
    <t>Developer of an equipment leasing platform designed to streamline the lending process for small and mid-size businesses. The company's platform offers an automated and instant online application process that delivers an approval decision and estimated monthly payments in seconds without a hard credit pull or requiring documentation, enabling businesses to acquire necessary equipment quickly and affordably.</t>
  </si>
  <si>
    <t>Aries Capital Partners, Rock Creek Capital, Stephens</t>
  </si>
  <si>
    <t>www.clicklease.com</t>
  </si>
  <si>
    <t>223077-34</t>
  </si>
  <si>
    <t>Clik.ai</t>
  </si>
  <si>
    <t>Developer of a real estate document extraction and digitization platform designed to underwrite real estate deals. The company's platform uses a machine learning-based document extraction technology that automates real estate mortgage valuation, enabling brokers and lenders to originate and underwrite loans faster.</t>
  </si>
  <si>
    <t>DMZ Ventures, Neo Bravo Capital, OneEleven(Ontario), Pavin Ventures, REACH, Redmore Properties, Second Century Ventures</t>
  </si>
  <si>
    <t>www.clik.ai</t>
  </si>
  <si>
    <t>1157779-63</t>
  </si>
  <si>
    <t>Climb (Business/Productivity Software)</t>
  </si>
  <si>
    <t>Artificial Intelligence &amp; Machine Learning, Augmented Reality, FinTech</t>
  </si>
  <si>
    <t>Developer of a fundraising operations platform designed for startup founders seeking capital. The company's platform streamlines the fundraising process through a structured sprint format, offering features such as investor research, outreach automation, pitch coordination, storytelling support, and diligence preparation, enabling early-stage startups to raise capital more efficiently while maintaining focus on product development and customer engagement.</t>
  </si>
  <si>
    <t>Microtraction</t>
  </si>
  <si>
    <t>www.heyclimb.com</t>
  </si>
  <si>
    <t>512239-69</t>
  </si>
  <si>
    <t>ClimeFi</t>
  </si>
  <si>
    <t>CleanTech, Climate Tech</t>
  </si>
  <si>
    <t>Operator of a climate startup intended to help companies achieve their net-zero goals by reducing the risk of sourcing permanent carbon credits. The company's platform features carbon removal projects for permanence, additionality, verifiability, and net negativity, enabling clients to achieve real net zero by procuring strictly permanent carbon removal credits while unlocking catalytic demand to stimulate the CDR sector.</t>
  </si>
  <si>
    <t>AFI Ventures (Paris), Borski Fund, ENGIE New Ventures, Evolem, Innovation Industries, InnovationQuarter, Julien Lemoine, Moonstone Fund, Municipality of Rotterdam, Nicolas Dessaigne, Oakley Capital, PROfounders Capital, Redstone Capital, Redstone VC, Remove (Netherlands), RoundX, Unruly Capital, Ventech (Paris), VR Ventures</t>
  </si>
  <si>
    <t>www.climefi.com</t>
  </si>
  <si>
    <t>277867-45</t>
  </si>
  <si>
    <t>ClinicPesa</t>
  </si>
  <si>
    <t>FinTech, HealthTech, Mobile</t>
  </si>
  <si>
    <t>Developer of a digital micro-savings and loan platform designed to provide convenient and affordable means to access healthcare. The company's platform offers access to digital microloans, savings plans with flexible contributions, and instant payments via mobile, providing uninsured individuals with accessible funds to cover medical bills and purchase medicine, enabling low-income users to manage healthcare costs conveniently and securely at partnered health facilities.</t>
  </si>
  <si>
    <t>African Diaspora Network, African Tech Vision, Afrinet Capital, German Society for International Cooperation, Hindsight Ventures, Investing in Innovation, Make-IT in Africa, MIT D-Lab, Quesnay, Swiss Re Foundation, Villgro Africa</t>
  </si>
  <si>
    <t>clinicpesa.com</t>
  </si>
  <si>
    <t>541149-22</t>
  </si>
  <si>
    <t>Clopos</t>
  </si>
  <si>
    <t>Developer of a cloud-based point-of-sale system designed to simplify and centralize restaurant business management. The company offers a multi-device platform with offline functionality, inventory control, staff permission settings, mobile order processing, and third-party integration features, enabling restaurants, cafés, and delivery-based food services to efficiently manage operations, reduce errors, and maintain control from any location.</t>
  </si>
  <si>
    <t>Caucasus Ventures, I2BF Global Ventures, INMerge Ventures, IT Park Ventures, White Hill Capital</t>
  </si>
  <si>
    <t>www.clopos.com</t>
  </si>
  <si>
    <t>277682-50</t>
  </si>
  <si>
    <t>CloQ</t>
  </si>
  <si>
    <t>Provider of financial lending services intended to provide financial inclusion to the low-income and unbanked entrepreneur population. The company provides finance based on a model that evaluates clients based on behavior and reliability, enabling lower-income business clients to get affordable and legal alternative nano-credit and reducing financial vulnerability.</t>
  </si>
  <si>
    <t>Artemisia, Cartier Women's Initiative, Google Accelerator, MIT Solve, R/GA Ventures, Serasa Experian, Start-Up Chile</t>
  </si>
  <si>
    <t>www.cloq.app</t>
  </si>
  <si>
    <t>820769-14</t>
  </si>
  <si>
    <t>cNGN</t>
  </si>
  <si>
    <t>Developer of a currency-backed digital coin designed to improve capital markets and financial operations. The company's technology is a compliant digital asset that is stable and secure, transparent, auditable, flexible, and cost-effective, enabling financial institutions to improve transactions and bridge the gap between digital assets and traditional finance.</t>
  </si>
  <si>
    <t>Coinbase Ventures, Convexity, LAVA (Africa), Meltwater Entrepreneurial School of Technology</t>
  </si>
  <si>
    <t>www.cngn.co</t>
  </si>
  <si>
    <t>465601-51</t>
  </si>
  <si>
    <t>Coaxion</t>
  </si>
  <si>
    <t>Provider of alternative financial services intended to help companies track and value heavy-duty machinery while monitoring performance and emissions. The company offers integration with telematics data, daily performance updates, carbon emission tracking, detailed reporting and asset valuation tools, enabling organizations managing construction, agricultural, transport and mining equipment to make informed operational and compliance decisions that support efficient asset lifecycle management.</t>
  </si>
  <si>
    <t>www.coaxion.com</t>
  </si>
  <si>
    <t>530049-07</t>
  </si>
  <si>
    <t>Coba</t>
  </si>
  <si>
    <t>Developer of an online financial platform designed to help clients to transfer their money internationally. The company's platform allows its users access to US banking, and tax-compliant invoicing, enabling customers to convert their money to local currency.</t>
  </si>
  <si>
    <t>Acacia Venture Capital Partners, Alaya Capital, Banco Base, Blue Zone Ventures, Goodwater Capital, K Street Capital, Litquidity Capital, Switch Ventures, Topaz, Y Combinator</t>
  </si>
  <si>
    <t>www.coba.ai</t>
  </si>
  <si>
    <t>435822-85</t>
  </si>
  <si>
    <t>Cobalt Fund Services</t>
  </si>
  <si>
    <t>Provider of advanced accounting and fund administration services intended to support the alternative investments industry. The company provides back-office assistance ranging from full outsourcing to in-house support of accounting functions, an online portal, and client service, and provides emerging and established funds, enabling clients to streamline their finance and business operations with transparent communication, timely deliverables, and quality workmanship.</t>
  </si>
  <si>
    <t>Shorewood Capital</t>
  </si>
  <si>
    <t>www.cobaltfundservices.com</t>
  </si>
  <si>
    <t>470673-91</t>
  </si>
  <si>
    <t>Cobre (Financial Software)</t>
  </si>
  <si>
    <t>Developer of workplace banks designed to connect companies to their employees. The company's platform allows centralization of all money movement and banking partners, accelerating domestic and cross-border payments while accessing all bank accounts in real-time for unified management of financial operations, enabling businesses to have visibility and control over their company's financial transactions, to centralize, digitize, and automate their payment processes.</t>
  </si>
  <si>
    <t>Atlantico Partners, Canary (Brazil), Kaszek, Marathon Ventures (Colombia), Oak HC/FT, QED Investors</t>
  </si>
  <si>
    <t>www.cobre.com</t>
  </si>
  <si>
    <t>54586-90</t>
  </si>
  <si>
    <t>COCC</t>
  </si>
  <si>
    <t>Developer of a core financial technology platform designed to help the banking industry. The company's digital and mobile banking platform offers business intelligence services, document management, cash management systems, enterprise accounting systems, managed security, car services, and network services, enabling banks to avail banking technology products to meet changing market conditions and automation for optimum efficiency.</t>
  </si>
  <si>
    <t>www.cocc.com</t>
  </si>
  <si>
    <t>279540-28</t>
  </si>
  <si>
    <t>Coco Mercado</t>
  </si>
  <si>
    <t>E-Commerce, FoodTech, Mobile</t>
  </si>
  <si>
    <t>Operator of an online supermarket intended to make it easy and affordable for people to buy groceries for their loved ones in Venezuela. The company's platform offers a wide selection of groceries at competitive prices, which allows purchasing and sending groceries to loved ones, regardless of their location in the world, enabling customers to support their families and friends in Venezuela, even if they cannot be there in person.</t>
  </si>
  <si>
    <t>Accel Impact Ventures, Cold Start, Flori Ventures, Inca Ventures, Tahseen Consulting, Wesley Schwalje, Y Combinator</t>
  </si>
  <si>
    <t>www.cocomercado.com</t>
  </si>
  <si>
    <t>493703-92</t>
  </si>
  <si>
    <t>Cofi (Financial Software)</t>
  </si>
  <si>
    <t>Developer of an AI-based platform designed to automate financial due diligence and portfolio monitoring. The company's platform offers real-time data integration, automated financial reporting, and AI-driven forecasting, enabling asset management firms and portfolio companies to make data-driven decisions and optimize performance.</t>
  </si>
  <si>
    <t>Bic Gipuzkoa, Capital Factory, Ekin + Program</t>
  </si>
  <si>
    <t>www.cofi.ai</t>
  </si>
  <si>
    <t>437649-76</t>
  </si>
  <si>
    <t>CoFi (Holliston)</t>
  </si>
  <si>
    <t>B2B Payments, HealthTech, SaaS</t>
  </si>
  <si>
    <t>Developer of a multi-provider payment platform designed to manage healthcare payment collection and coordination. The company's platform offers consolidated invoicing, direct payment processing, financing management, and payment tracking features, enabling ophthalmology practices, surgery centers, optometry providers, and healthcare partners to process patient payments and manage administrative operations.</t>
  </si>
  <si>
    <t>Futaleufu Partners, Las Olas Venture Capital, Maven Equity Partners, Max Parikh, Pacific Lake, Skylark Private Equity Partners, Synchrony Ventures</t>
  </si>
  <si>
    <t>www.cofimd.com</t>
  </si>
  <si>
    <t>1167812-20</t>
  </si>
  <si>
    <t>Coinbax</t>
  </si>
  <si>
    <t>Developer of programmable escrow and compliance software designed to add a trust layer to stablecoin and tokenized deposit payments. The company's platform allows financial institutions and businesses to automate escrow, settlement, and compliance processes using smart contracts, enabling users with secure and reversible stablecoin transactions with integrated fraud protection, sanctions screening, KYC verification, and customizable transaction rules across any wallet, custody provider, or stablecoin network.</t>
  </si>
  <si>
    <t>BankTech Ventures, Connecticut Innovations, Paxos, SpringTime Ventures</t>
  </si>
  <si>
    <t>www.coinbax.com</t>
  </si>
  <si>
    <t>277284-07</t>
  </si>
  <si>
    <t>CoinGecko</t>
  </si>
  <si>
    <t>Developer of a cryptocurrency ranking platform designed to give an overview of cryptocurrencies. The company's platform helps to quantitatively evaluate and rank based on pros and cons and provides metrics, including fundamental analysis of the crypto market, tracking price, market capitalization, liquidity, community, and public interest, enabling crypto holders to manage their portfolio and access an overview of the standing of digital currencies.</t>
  </si>
  <si>
    <t>MEXC Pioneer</t>
  </si>
  <si>
    <t>www.coingecko.com</t>
  </si>
  <si>
    <t>95884-57</t>
  </si>
  <si>
    <t>CoinKeeper</t>
  </si>
  <si>
    <t>Developer of a personal finance management application designed to help individuals track expenses, income, and plan household budgets. The company's platform offers multi-device budget tracking across Android and iOS, detailed statistical graphs for analyzing spending and earnings, unlimited custom categories for income and expense classification, enabling individuals and families to gain visibility into their financial habits and maintain control over personal and shared household finances.</t>
  </si>
  <si>
    <t>Ingria Business Incubator</t>
  </si>
  <si>
    <t>www.about.coinkeeper.me</t>
  </si>
  <si>
    <t>849774-79</t>
  </si>
  <si>
    <t>CoKeeps</t>
  </si>
  <si>
    <t>Developer of a digital asset custodian technology designed to deliver institutional-grade infrastructure to secure and manage digital assets. The company offers services such as cold wallet, hot wallet, wallet-as-a-service, custody, smart contract, and staking, along with an accountability-based operation to achieve a sustainable future for digital asset services, ensuring transparency, robust security, and regulatory compliance, enabling clients to increase digital assets adoption and to bridge the gap within the capital markets in a regulated environment.</t>
  </si>
  <si>
    <t>Blockchain For Good Alliance, Cradle Fund, HK Tech 300</t>
  </si>
  <si>
    <t>www.cokeeps.com</t>
  </si>
  <si>
    <t>279637-84</t>
  </si>
  <si>
    <t>Colektia</t>
  </si>
  <si>
    <t>Developer a digital collection management platform designed to optimize the communication of businesses with their debtors. The company's platform uses artificial intelligence to predict a suitable time, frequency, and channel to achieve effective collection and deliver traceability in real time, enabling financial institutions with a digital collection model that maximizes efficiency in management resources while minimizing human intervention.</t>
  </si>
  <si>
    <t>Angel Ventures Mexico, Anteris Capital, CORFO, Devlabs Ventures, Endeavor Forward, Fen Ventures, Full Spectrum Capital, Google Accelerator, Kayyak Ventures, LarrainVial, Magical (SA), Mountain Partners, Mouro Capital, Nazca, Spectra Investments, Start-Up Chile, Village Capital, Wayra</t>
  </si>
  <si>
    <t>www.colektia.com</t>
  </si>
  <si>
    <t>462626-92</t>
  </si>
  <si>
    <t>CollateralEdge</t>
  </si>
  <si>
    <t>Developer of debt capital delivery fintech platform designed to accelerate economic development through efficient capital distribution. The company offers banks an automated tool to bolster a credit profile on individual loans to allow greater underwriting flexibility while maintaining appropriate risk management, enabling lending institutions to reduce friction to ensure transformative companies have efficient access to debt capital to fund their growth.</t>
  </si>
  <si>
    <t>Capital Factory, Derek Alley, Dream Ventures, Joshua Baer, Kneeland Youngblood, Perot Jain, Phalanx Impact Partners, Sheldon Stein</t>
  </si>
  <si>
    <t>www.collateraledge.com</t>
  </si>
  <si>
    <t>227996-56</t>
  </si>
  <si>
    <t>CollBox</t>
  </si>
  <si>
    <t>Developer of a debt collection platform designed to help small businesses recover receivables. The company's platform automates the debt collection process by connecting to existing cloud accounting software, identifying delinquent accounts, and instantly pairing that debt with collection agencies, enabling collection agencies to simplify collecting past-due invoices.</t>
  </si>
  <si>
    <t>Alamo Angels, Anthony Bruno, Atlanta Technology Angels, Bryan Chambers, Byron Wier, Capital Factory, Clutch VC, John McGuire, Kenji Kuramoto, Long View Tech Ventures, Sean Spector, Stout Street Capital, Tina Dimitrova, University of Texas at Dallas Endowment</t>
  </si>
  <si>
    <t>www.collbox.co</t>
  </si>
  <si>
    <t>144044-11</t>
  </si>
  <si>
    <t>Collective2</t>
  </si>
  <si>
    <t>Developer of an online trading platform intended to connect investors with traders, quants, and trading strategy developers. The company's platform offers trading strategies, algorithms and human traders to form a virtual customized hedge fund, enabling investors to create virtual hedge fund strategies from a number of traders and trading algorithms.</t>
  </si>
  <si>
    <t>trade.collective2.com</t>
  </si>
  <si>
    <t>897570-01</t>
  </si>
  <si>
    <t>Colllecta</t>
  </si>
  <si>
    <t>Developer of a financial platform designed to handle business transactions. The company's platform provides a digital wallet, a financial management tool, and electronic payment options, enabling businesses to streamline transactions as well as financial processes while reducing insurance, transportation, and storage costs associated with cash.</t>
  </si>
  <si>
    <t>Nour Nouf Ventures</t>
  </si>
  <si>
    <t>www.colllecta.com</t>
  </si>
  <si>
    <t>1156331-53</t>
  </si>
  <si>
    <t>Colossus (Financial Services)</t>
  </si>
  <si>
    <t>Developer of a decentralized financial payment network intended for stablecoin transaction processing and digital asset settlement purposes. The company's platform utilizes a technical innovation that enables standard merchant terminals to generate cryptographic signatures from physical payment cards, facilitating smart contract account transactions and direct blockchain settlement via an integrated Layer 2 architecture, enabling global payment acquirers and card issuers to significantly reduce interchange fees and achieve near-instantaneous fund transfers without modifying existing hardware infrastructure.</t>
  </si>
  <si>
    <t>Founders, Inc, Joseph Delong</t>
  </si>
  <si>
    <t>www.colossus.credit</t>
  </si>
  <si>
    <t>772898-95</t>
  </si>
  <si>
    <t>CombineHealth</t>
  </si>
  <si>
    <t>Developer of an AI-powered revenue cycle management platform intended to assist healthcare organizations with claims processing and payment optimization. The company uses generative and agentic AI models, claims-flow automation, denial-detection analytics, and customizable rule engines, enabling hospitals and clinics to improve coding accuracy, reduce accounts receivable, and enhance payment consistency across specialties.</t>
  </si>
  <si>
    <t>Emergent Ventures, Y Combinator</t>
  </si>
  <si>
    <t>www.combinehealth.ai</t>
  </si>
  <si>
    <t>538145-83</t>
  </si>
  <si>
    <t>Comfi</t>
  </si>
  <si>
    <t>Developer of an embedded finance platform designed to improve working capital access for business transactions. The company's platform offers invoice embedded financing, real-time underwriting, payment term management, and integration with accounting and enterprise resource planning tools, enabling small and medium-sized businesses and suppliers to manage cash flow and reduce payment delays.</t>
  </si>
  <si>
    <t>Iliad Partners, In5, Partners for Growth, Raw Ventures, Sanabil 500 MENA Seed Accelerator, Shorooq Partners, Yango Ventures</t>
  </si>
  <si>
    <t>www.comfi.ai</t>
  </si>
  <si>
    <t>399553-75</t>
  </si>
  <si>
    <t>Commonwealth</t>
  </si>
  <si>
    <t>Developer of a fintech platform designed to facilitate investment in athletes and racehorses. The company offers a platform for equity investments, shareholder management, fundraising, regulatory compliance, and investor engagement, enabling athletes and racehorse owners to raise capital while allowing investors to participate in their future success.</t>
  </si>
  <si>
    <t>Beliade, Eberg Capital, Larry Fitzgerald, Social Leverage</t>
  </si>
  <si>
    <t>www.joincommonwealth.com</t>
  </si>
  <si>
    <t>101171-71</t>
  </si>
  <si>
    <t>CompareGlobalGroup</t>
  </si>
  <si>
    <t>Developer of an online comparison platforms intended for market comparison. The company's platform allows users to compare the rates and services for financial, telecommunication and utility companies around the world, providing clients with transparency and timely information.</t>
  </si>
  <si>
    <t>ACE Ventures (Geneva), Goldman Sachs Growth Equity, Jardine Matheson, Mark Pincus, Nova Founders Capital, Pacific Century Premium Developments, Peter Thiel, PineBridge Investments, Route 66 Ventures, Stem Financial</t>
  </si>
  <si>
    <t>www.compareglobalgroup.com</t>
  </si>
  <si>
    <t>962018-02</t>
  </si>
  <si>
    <t>Compass AI</t>
  </si>
  <si>
    <t>Developer of an Artificial Intelligence-powered financial intelligence tools that help founders and businesses make Chief Financial Officer-level decisions, including forecasting, cost management, and growth planning, without the need for a full-time CFO. The company's platform delivers advanced analytics and actionable insights to support critical financial decisions such as forecasting, expansion strategies, and cost optimization, and by leveraging artificial intelligence it enhances financial operations, improve decision-making, and drive sustainable growth in a competitive market, enabling companies to access CFO-grade financial expertise and planning tools at a fraction of the cost of hiring a full-time executive.</t>
  </si>
  <si>
    <t>www.compassapp.ai</t>
  </si>
  <si>
    <t>266648-32</t>
  </si>
  <si>
    <t>Complete Intelligence</t>
  </si>
  <si>
    <t>Developer of predictive analytics tools designed to enhance financial planning and decision-making for businesses. The company offers features such as visibility into future revenues and expenses, data validation processes and insights into market risks and opportunities, enabling financial managers to optimize budgeting, improve purchasing strategies, and make informed investment decisions while fostering growth and efficiency in their operations.</t>
  </si>
  <si>
    <t>AI Venture Labs, Amalfi Capital Management, Capital Factory</t>
  </si>
  <si>
    <t>www.completeintel.com</t>
  </si>
  <si>
    <t>719753-32</t>
  </si>
  <si>
    <t>Complyfirst</t>
  </si>
  <si>
    <t>Developer of a regulatory reporting platform designed for payments and e-money sectors. The company's platform automates and simplifies regulatory reporting for fintech and SMEs, ensuring compliance with the Financial Conduct Authority (FCA) requirements and features such as standardized reporting, one-click integrations, and a collaborative workspace, enabling companies to streamline their regulatory reporting processes, reduce risk, and expedite their entry into new markets.</t>
  </si>
  <si>
    <t>Endeavor Global, Techstart Ventures, Women In Business Ni</t>
  </si>
  <si>
    <t>www.complyfirst.co</t>
  </si>
  <si>
    <t>510094-99</t>
  </si>
  <si>
    <t>Comprehensive</t>
  </si>
  <si>
    <t>Developer of a compensation platform designed to help organizations make pay decisions. The company's platform integrates with human resources tools that eliminate every spreadsheet used to manage employee compensation through the portal, enabling corporates to get the information, data, and analytics to make efficient, transparent, and equitable compensation decisions from one centralized place.</t>
  </si>
  <si>
    <t>Autopilot Fund, Depth Ventures, Floodgate, Inspired Capital (New York), Nitesh Banta, Soma Capital, SV Angel</t>
  </si>
  <si>
    <t>www.comprehensive.io</t>
  </si>
  <si>
    <t>467181-91</t>
  </si>
  <si>
    <t>Comptalib</t>
  </si>
  <si>
    <t>Developer of an automated accounting platform designed to streamline various financial processes. The company's platform allows combining invoicing, commercial management, forecasting cash flow, and expense report management from its creation to its balance sheet and addresses itself directly to accountants, enabling organizations to synchronize their bank accounts with the application to automate all the work of an accountant for smooth financial flows.</t>
  </si>
  <si>
    <t>Eudomia, Triple A - Risk Finance</t>
  </si>
  <si>
    <t>www.comptalib.com</t>
  </si>
  <si>
    <t>496119-61</t>
  </si>
  <si>
    <t>Concerto Payments</t>
  </si>
  <si>
    <t>Developer of a payment platform intended to provide electronic transaction processing and security. The company's platform covers a wide range of operations with total system integration across complex environments with e-payment services, enabling clients to allow faster execution of transactions payments.</t>
  </si>
  <si>
    <t>GoldenTree Asset Management, Matrix, PayPal Ventures</t>
  </si>
  <si>
    <t>www.concertosoft.com</t>
  </si>
  <si>
    <t>498083-59</t>
  </si>
  <si>
    <t>Conciliac</t>
  </si>
  <si>
    <t>Artificial Intelligence &amp; Machine Learning, Big Data, E-Commerce, EdTech, FinTech, InsurTech, SaaS</t>
  </si>
  <si>
    <t>Developer of a enterprise data management (EDM) and artificial intelligence (AI)-powered automation platform designed to solve critical data fragmentation, validation, and predictability challenges for businesses. The company has evolved from a reconciliation-focused tool into a comprehensive artificial intelligence (AI)-driven data automation ecosystem, it has demonstrated its ability to scale globally while maintaining a high-value proposition, empowering enterprises across multiple industries.</t>
  </si>
  <si>
    <t>www.conciliac.com</t>
  </si>
  <si>
    <t>235287-28</t>
  </si>
  <si>
    <t>Concrete Investing</t>
  </si>
  <si>
    <t>Operator of an equity crowdfunding portal intended to finance premium real estate projects. The company's platform offers access to investment opportunities in real estate on which professional due diligence is conducted by the company's team and a committee of industry professionals, enabling investors to diversify their investment portfolios.</t>
  </si>
  <si>
    <t>Embed Capital, Moffu Labs, Ruggero Magnoni</t>
  </si>
  <si>
    <t>www.concreteinvesting.com</t>
  </si>
  <si>
    <t>504169-39</t>
  </si>
  <si>
    <t>CondoLivre</t>
  </si>
  <si>
    <t>Provider of financial administration services intended to offer fintech credit for employees, suppliers, and condominiums of partner administrators. The company's platform innovates residential and commercial condominiums, which helps with financial health, education, reforms, treatments, and trips, helping administrators to optimize their daily lives, positively impacting the lives of people and companies with personalized service and without any additional work for teams.</t>
  </si>
  <si>
    <t>Tagus Investimentos</t>
  </si>
  <si>
    <t>www.condolivre.com.br</t>
  </si>
  <si>
    <t>454965-13</t>
  </si>
  <si>
    <t>Conductiv</t>
  </si>
  <si>
    <t>Developer of a lending platform intended to streamline the loan application process. The company's platform facilitates digital verification of income, employment, bank statements, and tax returns, reducing the need for manual document collection, and employs machine learning algorithms that utilize first-party, permissioned data alongside credit scores to enhance underwriting accuracy, enabling lenders to increase loan approvals, decrease fraud, and improve operational efficiency across various loan types including auto, personal, credit cards, small business, and commercial loans.</t>
  </si>
  <si>
    <t>Astir Ventures, Charleston Angel Partners, First Check Ventures, H/L Ventures, Hamatha, Hustle Fund, Independent Community Bankers of America, Jumpstart NJ Angel Network, RevTech Labs, Symphonic Capital, TruStage Ventures</t>
  </si>
  <si>
    <t>www.conductiv.co</t>
  </si>
  <si>
    <t>483342-58</t>
  </si>
  <si>
    <t>Conduit</t>
  </si>
  <si>
    <t>Developer of financial software designed for cross-border payments. The company's platform gives an early-mover advantage to maximize new financial opportunities to make cross-border B2B payments and settle invoices and make commercial transactions between local fiat in emerging markets to USD around the world, enabling businesses to make cross-border payments on the same day and move money between Latin America and the US at scale.</t>
  </si>
  <si>
    <t>Altos Ventures, Asiff Hirji, Astir Ventures, Circle Ventures, Commerce Ventures, Core Innovation Capital, Diagram Ventures, Digital Currency Group, Discovery Ventures, Discovery Ventures (Berlin), Dragonfly Capital (San Francisco), Dragonfly Ventures, Fenasbac Inovacao, Fin Capital, Gaingels, Gary Marino, Gemini Frontier Fund, Gradient Ventures, Hack VC, Helios Investment Partners, Inovia Capital, Jump Crypto, Mark Britto, Nik Milanovic, Portage, Rex Salisbury, Sagard, SAIC Capital, SaxeCap, Simon Taylor, Sound Ventures, TechMeets Trader, Trajectory Ventures</t>
  </si>
  <si>
    <t>www.conduitpay.com</t>
  </si>
  <si>
    <t>507242-08</t>
  </si>
  <si>
    <t>Confer</t>
  </si>
  <si>
    <t>Developer of artificial intelligence (AI)-powered financial automation software designed to streamline mortgage processing and operational workflows for financial institutions. The company's platform offers AI agents, document processing, compliance monitoring, fraud detection, predictive risk assessment, deterministic income calculation, and data analytics tools, enabling mortgage lenders and financial institutions to automate workflows, improve accuracy, strengthen regulatory compliance, and accelerate financial operations.</t>
  </si>
  <si>
    <t>www.confersolutions.ai</t>
  </si>
  <si>
    <t>467127-46</t>
  </si>
  <si>
    <t>Confia</t>
  </si>
  <si>
    <t>Developer of a smart contracting and analytics platform designed to create efficient operations and sustainable compliance for banking and transactions. The company's platform provides real-time visibility into business operations, alerts the system identifying inefficiencies, prevents high-risk transactions, captures total deposits and potential, and minimizes manual reporting requirements, enabling clients to trace, transact, and add reports information across the supply chain.</t>
  </si>
  <si>
    <t>32 Ventures, Stoney Creek Valley Venture Capital</t>
  </si>
  <si>
    <t>www.confia.fi</t>
  </si>
  <si>
    <t>519284-71</t>
  </si>
  <si>
    <t>Confido</t>
  </si>
  <si>
    <t>Provider of financial operations software intended for automated revenue and trade process management. The company's platform offers automated cash application, classification and deductions tagging, trade promotion management, sales forecasting, ERP and retailer/distributor integrations, enabling consumer packaged goods (CPG) finance and operations teams to reduce manual work, improve visibility into trade spend and forecasting, and streamline core accounting workflows.</t>
  </si>
  <si>
    <t>Barrel Ventures, BFG Partners, Breakwater Ventures, Context Ventures, Footwork, Halo Labs (United States), Liquid 2 Ventures, Live Oak Bank, Phoenix Investment Club (San Francisco), The Fintech Fund, The Legal Tech Fund, Watchfire Ventures, Y Combinator</t>
  </si>
  <si>
    <t>www.confidotech.com</t>
  </si>
  <si>
    <t>600820-75</t>
  </si>
  <si>
    <t>Connect Money</t>
  </si>
  <si>
    <t>Developer of a digital payment platform designed to connect businesses with cash users. The company's platform issues white-labeled payment cards, allows digital payments and provides instant leading capabilities, enabling enterprises to build their own banking experience with less operational cost and grow their merchant network.</t>
  </si>
  <si>
    <t>Algebra Ventures, Arzan Venture Capital, Development Partners International, DisrupTech Ventures, Lorax Capital Partners, Masria Card, Nclude, One Stop Capital, VentureSouq</t>
  </si>
  <si>
    <t>www.connect.money</t>
  </si>
  <si>
    <t>168243-76</t>
  </si>
  <si>
    <t>ConnectPay</t>
  </si>
  <si>
    <t>Big Data, FinTech, HR Tech, SaaS</t>
  </si>
  <si>
    <t>Developer of a tax-filing platform designed to provide payroll and tax compliance services. The company's platform offers an integrated tax service that handles all the payroll tax calculations, payments, and reporting obligations, enabling small businesses to manage their health benefits, insurance, retirement savings, accounting, and bookkeeping.</t>
  </si>
  <si>
    <t>Mastercard Lighthouse, Vistara Growth</t>
  </si>
  <si>
    <t>www.connectpayusa.com</t>
  </si>
  <si>
    <t>403962-49</t>
  </si>
  <si>
    <t>Conquest Planning</t>
  </si>
  <si>
    <t>Developer of a financial planning platform designed to democratize access to personalized financial advice across all levels of wealth. The company's platform offers an AI-powered planning engine, co-planning tools, and integration with existing systems, enabling financial institutions, banks and wealth management firms to deliver personalized, efficient and scalable financial planning experiences.</t>
  </si>
  <si>
    <t>Bank of New York Mellon, BDC Capital, Canapi Ventures, Citi Ventures, Engine (Accelerator), Fidelity International Strategic Ventures, Goldman Sachs Growth Equity, IGM Financial, Portage, Royal Bank of Canada, Sagard, TIAA Ventures, USAA Corporate Development</t>
  </si>
  <si>
    <t>www.conquestplanning.com</t>
  </si>
  <si>
    <t>469157-95</t>
  </si>
  <si>
    <t>Consorciei</t>
  </si>
  <si>
    <t>Developer of a financial services infrastructure platform designed for the consórcio market. The company's platform connects administrators, sales channels, and individuals, offering tools for pricing, negotiating, selling, and managing quotas, including white-label and API-integrated tools, automated pricing, digital contract signing, post-sale, retention, reactivation, and secondary-market support, enabling businesses in Brazil to convert shares into liquidity with efficiency, transparency, and scale.</t>
  </si>
  <si>
    <t>Kamaroopin, LASP Capital, Lupa Capital, Tarpon Capital, Tera Capital</t>
  </si>
  <si>
    <t>www.consorciei.com.br</t>
  </si>
  <si>
    <t>118190-71</t>
  </si>
  <si>
    <t>Contabilizei</t>
  </si>
  <si>
    <t>Developer of an online accounting platform intended to offer tax reporting and automation services. The company's platform replaces manual computation practices with proprietary web and mobile-driven services and helps users fulfill their accounting and tax obligations, including the preparation and submission of all documents and reports required for the government, enabling small and medium businesses to manage their businesses through analysis.</t>
  </si>
  <si>
    <t>Accion, BetaVentures, Google Accelerator, Pruven Capital, Quona Capital, SoftBank Latin America Fund, The Goldman Sachs Group, The Wellington Group ( Other Commercial Products), The World Bank Group, Warburg Pincus</t>
  </si>
  <si>
    <t>www.contabilizei.com.br</t>
  </si>
  <si>
    <t>521065-99</t>
  </si>
  <si>
    <t>ContApp</t>
  </si>
  <si>
    <t>Developer of a digital accounting application designed to offer a team of accountants that helps to stay up to date. The company's software allows taking photos of all purchases, sales, withholding invoices, declarations, tax obligations, accounting, and finances, and convert them into electronic billing, graphic reports, and total tax summaries, enabling firms to get rid of all manual accounting and focus on their core business.</t>
  </si>
  <si>
    <t>BuenTrip Ventures</t>
  </si>
  <si>
    <t>www.contapp.ec</t>
  </si>
  <si>
    <t>529667-83</t>
  </si>
  <si>
    <t>Contiant</t>
  </si>
  <si>
    <t>Provider of open banking services intended to serve businesses to accept payments. The company's platform is designed to provide businesses with a secure, efficient, and cost-effective way of accepting payments from their customers in multiple currencies and provides consumer financial behavioral and risk scoring, enabling organizations to increase the efficiency and speed of their business.</t>
  </si>
  <si>
    <t>Bulgarian Expansion Bridge, Morningside Hill Capital Management</t>
  </si>
  <si>
    <t>www.contiant.com</t>
  </si>
  <si>
    <t>1326037-06</t>
  </si>
  <si>
    <t>Control (Miami)</t>
  </si>
  <si>
    <t>Developer of private custody infrastructure designed to combine individual authority with institutional-grade asset management. The company offers multi-party computation key management, beneficiary frameworks, recovery protocols, and dedicated support, enabling high-net-worth individuals, family offices, and enterprises to safeguard assets, ensure ownership continuity, and manage wealth with secure and structured custody practices.</t>
  </si>
  <si>
    <t>Compa Capital</t>
  </si>
  <si>
    <t>www.controlprivate.com</t>
  </si>
  <si>
    <t>1240035-31</t>
  </si>
  <si>
    <t>controllr(Financial Software)</t>
  </si>
  <si>
    <t>Developer of financial management tools intended for the construction industry use. The company's platform shows cash positions across projects, automates accounting and reporting processes, identifies where funds are allocated, and projects upcoming financial requirements, enabling builders, developers, trade contractors, and accounting firms to track finances, organize records, and plan operations.</t>
  </si>
  <si>
    <t>Groove Capital, Hendel Construction, High Pointe Land, LRO Residential, Marsden Building &amp; Remodeling</t>
  </si>
  <si>
    <t>www.controllr.app</t>
  </si>
  <si>
    <t>1168920-46</t>
  </si>
  <si>
    <t>Converge</t>
  </si>
  <si>
    <t>Operator of an intelligence infrastructure platform designed to automate and improve institutional credit risk assessment in commercial real estate lending. The company's platform offers reasoning across unstructured loan evidence, reconciliation of conflicting information, lender-specific policy application, risk and exception identification, and provenance tracking for credit findings, enabling institutional non-bank commercial real estate lenders to reduce manual underwriting effort, improve review consistency, and maintain a transferable record of loan risk analysis.</t>
  </si>
  <si>
    <t>Shastra VC</t>
  </si>
  <si>
    <t>www.convergefi.com</t>
  </si>
  <si>
    <t>496485-10</t>
  </si>
  <si>
    <t>Copycat Finance</t>
  </si>
  <si>
    <t>Developer of decentralized finance (Defi) technology designed to automatically copy investors' trading portfolio performance. The company's technology can connect with the multi-strategy pool of master traders and farmers and its innovative social trading and farming revolution, enabling users to invest funds and earn from every profitable trade.</t>
  </si>
  <si>
    <t>Basics Capital, Worshipper Capital, YZi Labs, ZC Capital</t>
  </si>
  <si>
    <t>www.copycat.finance</t>
  </si>
  <si>
    <t>343462-06</t>
  </si>
  <si>
    <t>Cora (Financial Services)</t>
  </si>
  <si>
    <t>Developer of a digital banking platform designed to facilitate the management of small businesses' finances. The company's platform offers a customer-centric suite of financial products for issuing invoices, automating and managing notifications, tracking, and managing expenses to address the specific needs of businesses, enabling small and medium-sized enterprises to simplify finance operations.</t>
  </si>
  <si>
    <t>Google Accelerator, Greenoaks, Kaszek, QED Investors, Ribbit Capital, Spectra Investments, Tencent Holdings, Tiger Global Management</t>
  </si>
  <si>
    <t>www.cora.com.br</t>
  </si>
  <si>
    <t>470987-29</t>
  </si>
  <si>
    <t>Coral (Real Estate Services)</t>
  </si>
  <si>
    <t>Operator of a real estate investment platform intended to help build financial independence through passive income. The company's platform provides features to browse a collection of multi-family properties, choose the number of shares, create a property LLC for each property, find and vet co-owners, and handle all the sales details, enabling clients to buy and own investment properties.</t>
  </si>
  <si>
    <t>CS Family Office, Plug and Play Tech Center, Siesta Ventures</t>
  </si>
  <si>
    <t>www.owncoral.com</t>
  </si>
  <si>
    <t>518363-92</t>
  </si>
  <si>
    <t>Corbel Payments</t>
  </si>
  <si>
    <t>Developer of an AI-powered operating system designed to accelerate buying decisions with real-time, prequalified terms for monthly payments. The company's technology revolutionizes how to unlock more customer spending power and provides industry-leading terms and approval rates, enabling equipment merchants to sell more equipment and close deals faster.</t>
  </si>
  <si>
    <t>Ibex Investors, Joule Ventures, Restive Ventures, Selah Ventures</t>
  </si>
  <si>
    <t>www.corbelpay.com</t>
  </si>
  <si>
    <t>434968-12</t>
  </si>
  <si>
    <t>Corekees</t>
  </si>
  <si>
    <t>CleanTech, FinTech, Impact Investing, LOHAS &amp; Wellness</t>
  </si>
  <si>
    <t>Developer of a sustainable investment platform designed to give sustainability an economic value by planting trees. The company offers a retail investment platform that turns reforestation projects into sustainable investments by allowing the harvest proceeds to flow back to the investors, enabling investors to contribute to planting trees and profit from a greener world.</t>
  </si>
  <si>
    <t>Green Earth</t>
  </si>
  <si>
    <t>www.corekees.com</t>
  </si>
  <si>
    <t>484542-91</t>
  </si>
  <si>
    <t>Cortex (Zug)</t>
  </si>
  <si>
    <t>Developer of AML intelligence platform designed to reduce risk and increase transparency in financial transactions. The company's platform includes compliance with all transactions by digital finance and cryptocurrencies as well as offers NFT trading services, enabling users to avoid operational risk and maintenance costs.</t>
  </si>
  <si>
    <t>Aly Madhavvji, Arcanum Capital, Blockchain Founders Fund, Chainfir Capital, Exnetwork Capital, Gate Technology, Metavest Capital, MVST:MG, Node Kapital, PLUTUSVC, Seedthrift Ventures, Shima Capital, Tokenomik</t>
  </si>
  <si>
    <t>www.thisiscortex.com</t>
  </si>
  <si>
    <t>439403-23</t>
  </si>
  <si>
    <t>CortexDAO</t>
  </si>
  <si>
    <t>Developer of automated investment software designed to earn yields across a variety of decentralized finance products in risk and reward-optimized ways. The company's software offers yield farming, risk-adjusted and diversified exposure to a portfolio of convex positions, enabling users to manage multiple strategies and earn optimal risk-adjusted yields.</t>
  </si>
  <si>
    <t>Arrington Capital, Cluster Capital, CoinGecko, DeltaHub Capital, Genblock Capital, George Lambeth, Hulk Crypto Capital, MV Global, Santiago Santos, The LAO, Vendetta Capital, WolfEdge Capital</t>
  </si>
  <si>
    <t>docs.cortexdao.com</t>
  </si>
  <si>
    <t>108043-66</t>
  </si>
  <si>
    <t>Coru</t>
  </si>
  <si>
    <t>Artificial Intelligence &amp; Machine Learning, EdTech, Mobile, SaaS</t>
  </si>
  <si>
    <t>Developer of an artificial intelligence-powered technology designed to provide hyper-personalized digital experiences. The company's platform offers differentiated customer experiences through active and personalized assistance, and one-on-one talks with financial experts, enabling customers to easily make quality financial decisions.</t>
  </si>
  <si>
    <t>A.GAIN, Argonautic Ventures, Canary (Brazil), Credit Karma, Jardine Matheson, Nova Founders Capital, Pacific Century Group, Peter Thiel, Phin Upham, QED Investors, Seaya Capital Gestion SGEIC, Struck Capital, Thiel Capital</t>
  </si>
  <si>
    <t>www.coru.com</t>
  </si>
  <si>
    <t>675474-40</t>
  </si>
  <si>
    <t>COUNT (New Castle)</t>
  </si>
  <si>
    <t>Developer of an AI-enabled accounting software designed for high-volume financial operations. The company's platform offers client management, task tracking, secure document storage, invoicing, and AI-driven automation for categorization and reconciliation, enabling accounting firms to streamline workflows, reduce manual work, and scale services without increasing headcount.</t>
  </si>
  <si>
    <t>Alliance of Angels, Creative HQ, Data Tech Fund, First Row Partners, Morgan Stanley Inclusive &amp; Sustainable Ventures</t>
  </si>
  <si>
    <t>www.getcount.com</t>
  </si>
  <si>
    <t>492918-22</t>
  </si>
  <si>
    <t>Couplr</t>
  </si>
  <si>
    <t>Developer of a behavioral matchmaking platform that connects financial advisors with compatible clients based on psychological and compatibility factors. The company offers an AI-driven system that replaces cold outreach with personalized, compatibility-based introductions, enabling financial advisors and high-growth firms to build stronger, long-term client relationships.</t>
  </si>
  <si>
    <t>MassChallenge, Peachscore + Gust Accelerator Program</t>
  </si>
  <si>
    <t>www.couplr.ai</t>
  </si>
  <si>
    <t>937217-53</t>
  </si>
  <si>
    <t>Cove (Financial Software)</t>
  </si>
  <si>
    <t>Operator of embedded finance infrastructure intended for fintech enablement purposes. The company offers workflow builders for payments and lending, real-time compliance (KYC, KYB, AML), decisioning engines with A/B and shadow modes, an integrated marketplace of service providers, and failover logic, enabling non-fintech businesses and developers to apply functional financial services in their products without rebuilding core backend systems.</t>
  </si>
  <si>
    <t>gener8tor, Scale Shift Ventures, Tampa Bay Wave</t>
  </si>
  <si>
    <t>www.cove.dev</t>
  </si>
  <si>
    <t>147725-20</t>
  </si>
  <si>
    <t>Covercy</t>
  </si>
  <si>
    <t>B2B Payments, FinTech, Real Estate Technology, SaaS</t>
  </si>
  <si>
    <t>Developer of small and medium-sized enterprise real estate investment management platforms designed to work efficiently and grow effectively by combining mission-critical financial services with investor administration. The company offers a banking-embedded platform that includes a range of tools to manage the investment lifecycle from sourcing to closing, allowing for the transfer of money globally with guaranteed rates, enabling clients to manage business investments securely.</t>
  </si>
  <si>
    <t>AltaIR Capital, Aviv Leshem, Boaz Schwartz, Dana Roffman, Group 11, ICON (Other Commercial Services), Iron Nation Fund, Konrad Kruger, Microsoft for Startups, Mindset Ventures, Mizrahi Tefahot Bank, MSW Capital, RE Angels, Silvertech Ventures, World Trade Ventures</t>
  </si>
  <si>
    <t>www.covercy.com</t>
  </si>
  <si>
    <t>439425-10</t>
  </si>
  <si>
    <t>COVERR</t>
  </si>
  <si>
    <t>Developer of a business finance platform designed to serve the financing needs of independent contractors. The company's platform services the working capital needs of independent contractors and offers an algorithm that does not check credit score, and funds based on future earnings with manageable payment plans, enabling clients to grow their business substantially without worrying about funding.</t>
  </si>
  <si>
    <t>Entrepreneurs Roundtable Accelerator, Techstars</t>
  </si>
  <si>
    <t>www.getcoverr.com</t>
  </si>
  <si>
    <t>186595-75</t>
  </si>
  <si>
    <t>Coviance</t>
  </si>
  <si>
    <t>Developer of a web-based compliance platform designed to allow credit unions and community banks to improve the lending process. The company's platform provides instant and traditional services combined with national coverage and technology to streamline the lending process and shorten the financial loan cycle, enabling users to digitize the lending cycle with fast, accurate, and easy reporting.</t>
  </si>
  <si>
    <t>Ardent Credit Union, Ascentra Credit Union, Collinscu, Financial Plus Credit Union, Next Level Ventures, One Washington Financial, Serve Credit Union, Strata Credit Union</t>
  </si>
  <si>
    <t>www.coviance.com</t>
  </si>
  <si>
    <t>497593-27</t>
  </si>
  <si>
    <t>CowGestion</t>
  </si>
  <si>
    <t>Operator of an alternative agricultural financial leasing company intended for livestock procurement and farm capitalization. The company coordinates a participatory investment framework where private savers fund the acquisition of dairy and suckler cattle alongside specialized agricultural machinery that is subsequently leased back to vetted farmers through flexible payment options payable in cash or heifer calves, enabling cattle breeders and agricultural operators to promote immediate cash flow, reduce conventional banking debts, and accelerate transition toward certified agroecological production models.</t>
  </si>
  <si>
    <t>Le Village by CA</t>
  </si>
  <si>
    <t>www.cowgestion.fr</t>
  </si>
  <si>
    <t>502949-80</t>
  </si>
  <si>
    <t>Cradle</t>
  </si>
  <si>
    <t>Developer of a cloud-based lease accounting platform designed to automate the financial reporting requirements for multiple accounting disclosers. The company's platform offers lease management functionality to manage accounting tasks, upload and track lease agreements and documents, and find leases from a variety of inputs, enabling businesses to adhere to financial reporting requirements of agreements and access to calculate the net present value with accuracy.</t>
  </si>
  <si>
    <t>Red Sea Ventures</t>
  </si>
  <si>
    <t>www.cradleaccounting.com</t>
  </si>
  <si>
    <t>114489-46</t>
  </si>
  <si>
    <t>Craft3</t>
  </si>
  <si>
    <t>Provider of a loan and credit facility services intended to strengthen communities and families. The company's platform offers loans to those without access to traditional financing while strengthening economic, ecological, and family resilience in different communities, enabling customers to get access to capital for sustainable living.</t>
  </si>
  <si>
    <t>Impact Assets</t>
  </si>
  <si>
    <t>www.craft3.org</t>
  </si>
  <si>
    <t>497730-88</t>
  </si>
  <si>
    <t>Craftgate</t>
  </si>
  <si>
    <t>Developer of a payment orchestration platform designed to integrate and manage the virtual point-of-sale of banks. The company's platform offers integration on the side of payment systems with value-added services such as central integration, card storage, one-click payment, closed-circuit wallet, payment via a link and quick response code, enabling clients to focus on growing their core business while reducing costs.</t>
  </si>
  <si>
    <t>AK Asset Management, APY Ventures, Boğaziçi Ventures, D4 Ventures, Hepsiburada, Turcorn 100, Visa Innovation Program, YTU Startup House</t>
  </si>
  <si>
    <t>www.craftgate.io</t>
  </si>
  <si>
    <t>1084996-36</t>
  </si>
  <si>
    <t>Cranston AI</t>
  </si>
  <si>
    <t>Developer of an accounting software designed to facilitate operations for business enterprises. The company offers financial systems, AI-powered accounting features, data ingestion, processing, and reconciliation features, and workflow automation services, enabling clients to enhance their business operations.</t>
  </si>
  <si>
    <t>Agent Fund, Palm Drive Capital, Rebel Fund, Scale Asia Ventures, Singularity Capital, Transpose Platform Management, Y Combinator</t>
  </si>
  <si>
    <t>www.cranston.ai</t>
  </si>
  <si>
    <t>437920-66</t>
  </si>
  <si>
    <t>Cred.ai</t>
  </si>
  <si>
    <t>Developer of financial software designed to offer banking services. The company's software offers a credit card and uses artificial intelligence to manage interest and fee payments, enabling users to manage their financial flows with ease.</t>
  </si>
  <si>
    <t>Ben Simmons, Darco Capital, David Adelman, Jackalope Ventures, John Legend, K5 Global, Michael Rubin, Mosaic General Partnership, Tim Armstrong, Valor Equity Partners</t>
  </si>
  <si>
    <t>www.cred.ai</t>
  </si>
  <si>
    <t>490800-43</t>
  </si>
  <si>
    <t>Credable</t>
  </si>
  <si>
    <t>Developer of a digital banking platform intended to offer underbanked access to relevant financial services. The company partners with financial institutions and businesses to launch financial services, including credit, savings, and payment products on digital infrastructure to connect financial institutions to customer-owners, enabling clients to focus on their core business.</t>
  </si>
  <si>
    <t>AAIC Investment, Acasia Ventures, Adaverse, EMURGO Ventures, Fondation Botnar, Future100, Launch Africa Ventures, Magic Fund, Plug and Play Tech Center, The Continent Venture Partners, Ventures Platform, Visa Accelerator</t>
  </si>
  <si>
    <t>www.ablegroup.io</t>
  </si>
  <si>
    <t>530815-24</t>
  </si>
  <si>
    <t>CredibleX</t>
  </si>
  <si>
    <t>Provider of instant access financing intended to enhance the value of financial options. The company specializes in credit-as-a-service and offers a range of credit options, including fixed-term, Invoice, and accounts receivable loans within the business software, enabling local SMEs to fulfill their needs for credit, transparency, digital, and friction-free borrowing by giving instant access to financing.</t>
  </si>
  <si>
    <t>Berkley Square Finance, FenderCap, Kilgour Williams Capital, MasterCard, Mubadala Investment Company</t>
  </si>
  <si>
    <t>www.crediblex.io</t>
  </si>
  <si>
    <t>844677-55</t>
  </si>
  <si>
    <t>Credibur</t>
  </si>
  <si>
    <t>Developer of an operational infrastructure platform designed to support non-bank lending and structured credit operations. The company's platform offers automated calculation and verification agents, borrowing base automation, covenant monitoring, and reporting with an application programming interface-based and auditable infrastructure, enabling originators and capital providers streamlined and transparent management of asset-backed facilities.</t>
  </si>
  <si>
    <t>Alexandros Bottenbruch, Bjarke Staun-Olsen, Charlotte Pallua, Estelle Merle, Inovia Capital, Malte Rau, MS&amp;AD Ventures, Redstone VC</t>
  </si>
  <si>
    <t>www.credibur.com</t>
  </si>
  <si>
    <t>465288-49</t>
  </si>
  <si>
    <t>Crediclub</t>
  </si>
  <si>
    <t>Developer of a financial platform designed to offer personal loans, group loans, business loans, investment, and payment opportunities. The company's platform reaches customers with advantages in precision, fraud identification, efficiency, and personalization by using artificial intelligence with the trust and transparency facilitated by blockchain, savings and payment products, enabling clients to finance their businesses, grow their savings, and strengthen their wealth.</t>
  </si>
  <si>
    <t>International Finance Corporation, L Catterton, Sarona Asset Management, Trefilia Capital</t>
  </si>
  <si>
    <t>www.crediclub.com</t>
  </si>
  <si>
    <t>596279-08</t>
  </si>
  <si>
    <t>Credify</t>
  </si>
  <si>
    <t>Developer of an end-to-end supply chain platform designed to streamline and ease your cross-border business. The company's platform facilitates centralized communication, focuses on high-volume corridors, document storage service, requests for financing, and payments, enabling importers and exporters to request quotes, book shipments, and track their shipments by reducing cost, risk, and complexity in global trade.</t>
  </si>
  <si>
    <t>First Circle Capital, Seedstars International Ventures, Visa Accelerator</t>
  </si>
  <si>
    <t>www.credify.africa</t>
  </si>
  <si>
    <t>264512-26</t>
  </si>
  <si>
    <t>CrediStock</t>
  </si>
  <si>
    <t>Developer of a financial technology platform designed to transform African technological startups by providing working capital to grow your business. The company's platform ensures the provision of necessary capital as well as a-la-carte loan tools via their various application program interfaces, enabling startup firms to have access to finance to capitalize on business opportunities and expand.</t>
  </si>
  <si>
    <t>Google Accelerator, Kepple Africa Ventures, LAUNCH Accelerator (Berkeley), SBI Investment</t>
  </si>
  <si>
    <t>www.crediation.com</t>
  </si>
  <si>
    <t>264988-54</t>
  </si>
  <si>
    <t>Credit Culture</t>
  </si>
  <si>
    <t>Provider of financial services intended to specialize in personal loans. The company's services offer an integrated platform that offers features like instant credit, real-time processing to generate personalized loan rates automatically, and other related features, enabling consumers to access the platform for low-cost rates.</t>
  </si>
  <si>
    <t>Lee Kwok Bun, RCE Capital</t>
  </si>
  <si>
    <t>www.creditculture.sg</t>
  </si>
  <si>
    <t>464411-35</t>
  </si>
  <si>
    <t>Credit Dharma</t>
  </si>
  <si>
    <t>Developer of a financial platform designed to simplify and streamline the home loan process. The company offers quick disbursal times, low interest rates, and a digital-first approach, enabling home buyers and property investors to secure the best home loan offers with minimal paperwork and hassle.</t>
  </si>
  <si>
    <t>10x Founders, Amrish Rau, Astir Ventures, Better Capital (California), Cloud Capital (India), Giri Malpani, iSeed (India), Jitendra Gupta, Kalaari Capital, Kunal Shah, Lalit Keshre, Mohit Daga, Ramakant Sharma, Rohit MA, Sweta Rau, Tanuj Khandelwal</t>
  </si>
  <si>
    <t>creditdharma.in</t>
  </si>
  <si>
    <t>225684-91</t>
  </si>
  <si>
    <t>Credit4sales</t>
  </si>
  <si>
    <t>Developer of a cloud-based business-to-business credit management software designed to anticipate customer risk, utilise sales potential, and generate cash. The company's software seamlessly integrates with ERP and gives a more complete understanding of customers to drive the business's success, enabling clients to grow their business into a more streamlined, effective, and efficient organization across finance, sales, customer service, and more.</t>
  </si>
  <si>
    <t>Hiventures</t>
  </si>
  <si>
    <t>www.credit4sales.com</t>
  </si>
  <si>
    <t>539744-77</t>
  </si>
  <si>
    <t>CreditApp</t>
  </si>
  <si>
    <t>Developer of a credit application platform designed for online lenders, automotive dealerships, and residential landlords. The company offers income verification, identity verification, document submission, contract signing, and lender connectivity features, enabling clients to facilitate financing processes and manage deal workflows.</t>
  </si>
  <si>
    <t>Inovia Capital, The Digital Commerce Calgary Fintech Award Contest</t>
  </si>
  <si>
    <t>www.creditapp.ca</t>
  </si>
  <si>
    <t>463180-06</t>
  </si>
  <si>
    <t>CreditBook</t>
  </si>
  <si>
    <t>Developer of a financial management platform designed to serve micro, small and medium enterprises. The company's platform allows customers to track pending payments, receive payment reminders and keep a record of all transactions, enabling clients to have efficiency and transparency in decision-making.</t>
  </si>
  <si>
    <t>Alexander Erikstrup, Ashley Flucas, Banana Capital, Better Tomorrow Ventures, BitRate Venture Capital, Erik Peterson, Fintech Nation, Firstminute Capital, i2i Ventures (Pakistan), Julian Shapiro, Kube VC, Michael Jarmuz, Musha Ventures, Quiet Capital, Ratio (United Kingdom), Sriram Krishnan, Tiger Global Management, Turner Novak, VentureSouq</t>
  </si>
  <si>
    <t>www.creditbook.pk</t>
  </si>
  <si>
    <t>343124-29</t>
  </si>
  <si>
    <t>CreditLife</t>
  </si>
  <si>
    <t>Provider of credit card services focused on regional retail banks. The company created a new generation of digital retail banking customer management platform including market customer acquisition system, risk management system, customer operation system and customer value realization system to assist regional banks in marketing, managing credit risks and user interaction applications, enabling small and medium sized banks to gain customers and achieve higher growth.</t>
  </si>
  <si>
    <t>Great Abundance Year Asset Management, HyGoal Capital, Jiangrongxin Technology, Legend Star, Qingsong Fund, Shenzhen Bingchuan Network</t>
  </si>
  <si>
    <t>www.wecreditlife.com</t>
  </si>
  <si>
    <t>501610-42</t>
  </si>
  <si>
    <t>Creditop</t>
  </si>
  <si>
    <t>Developer of a credit infrastructure platform designed to facilitate access to financing within Latin American commerce. The company offers checkout financing integration, lender connectivity, and credit origination infrastructure, enabling merchants and financial institutions across Latin America to provide and access embedded credit through a unified system.</t>
  </si>
  <si>
    <t>Alaya Capital, Amador Holdings, Clocktower Ventures, Collide Capital, Driven Ventures, Endeavor Colombia, First Check Ventures, Koyamaki, Newtopia VC</t>
  </si>
  <si>
    <t>www.creditop.com</t>
  </si>
  <si>
    <t>182452-60</t>
  </si>
  <si>
    <t>CreditPer</t>
  </si>
  <si>
    <t>Developer of a mobile-based financial application designed to offer a financial identity and financial services to unbanked people. The company's application provides online asset-based microloans at a fair price using artificial intelligence that does data-driven decision-making and assessment for individuals and small businesses, enabling users to secure loans with speed.</t>
  </si>
  <si>
    <t>ACT Group (Pakistan), Deosai Ventures, DFS Lab, IBA Aman Center for Entrepreneurial Development, Insitor Impact Asia Fund, Karandaaz</t>
  </si>
  <si>
    <t>www.creditper.pk</t>
  </si>
  <si>
    <t>268744-51</t>
  </si>
  <si>
    <t>Creditu</t>
  </si>
  <si>
    <t>Operator of a digital mortgage platform intended to expand access to home ownership. The company offers a transparent and accessible lending process, enabling underserved clients to obtain property financing without competing with traditional banks.</t>
  </si>
  <si>
    <t>Alive Ventures, Endeavor Perú, L4 Venture Builder</t>
  </si>
  <si>
    <t>www.creditu.com</t>
  </si>
  <si>
    <t>228838-69</t>
  </si>
  <si>
    <t>Crediwatch</t>
  </si>
  <si>
    <t>Developer of an information intelligence platform designed to provide big data risk analysis for financial institutions. The company's platform combines computational techniques like machine learning, natural language processing, and data visualization technologies to generate insights from distributed and unstructured data sources, enabling financial banks, institutional investors, and corporations to make fast and informed decisions while being able to realize market prospects and mitigate capital risks.</t>
  </si>
  <si>
    <t>Abstract Ventures, ARTIS (San Francisco), Astir Ventures, Better Capital (California), Biswajit Ghosh, Chakra Growth Capital, Gauri Jatia, Govind Lohia, K2X, Kishore Ganji, Mekin Maheshwari, Modern India, NASSCOM DeepTech Club, Piper Serica Advisors, Pithambar Gona, Rajesh Rai, Ramakant Sharma, Rise (London), RiSo Capital, Sandeep Farias, Surojit Niyogi, Vijaykumar Jatia, Zone Startups India</t>
  </si>
  <si>
    <t>www.crediwatch.com</t>
  </si>
  <si>
    <t>493461-01</t>
  </si>
  <si>
    <t>CredoPay</t>
  </si>
  <si>
    <t>Developer of a plug-and-play integrated platform designed for payment acquisitions and processing. The company offers merchant acquiring, infrastructure as a service, payment processing, device certifications, reconciliation, and settlement, enabling clients to streamline operations and reduce costs.</t>
  </si>
  <si>
    <t>EzSwype LLC, Zent International</t>
  </si>
  <si>
    <t>www.credopay.com</t>
  </si>
  <si>
    <t>490211-74</t>
  </si>
  <si>
    <t>Credrails</t>
  </si>
  <si>
    <t>Developer of a financial technology designed to offer infrastructure for open banking rails. The company offers a technology that connects banks, mobile money, and other sources of financial data into a single application programming interface for interoperability and moving money through various channels, enabling clients to move money across the African continent.</t>
  </si>
  <si>
    <t>Acasia Ventures, Breega, Chris Adelsbach, Emerge (Accelerator), First Circle Capital, FMO Entrepreneurial Development Bank, Full Circle Africa, Kindred Capital, Launch Africa Ventures, Norrsken22, Precursor Ventures, Raj Kulasingam, Samos Investments, SoftBank Investment Advisers, Speedinvest, The Continent Venture Partners, Unicorn Growth Capital, Vishal Agarwal</t>
  </si>
  <si>
    <t>www.credrails.com</t>
  </si>
  <si>
    <t>741918-52</t>
  </si>
  <si>
    <t>Creem</t>
  </si>
  <si>
    <t>Operator of a financial infrastructure services platform intended to simplify global payment processing for digital businesses. The company's platform offers features such as flexible trial periods, account verification, dynamic pricing tools, crypto payment options, dedicated support, AI-driven performance insights and revenue splits, enabling companies of all sizes to optimize operations, manage payments efficiently and enhance customer satisfaction while focusing on business growth.</t>
  </si>
  <si>
    <t>Antler, Practica Capital</t>
  </si>
  <si>
    <t>www.creem.io</t>
  </si>
  <si>
    <t>493352-56</t>
  </si>
  <si>
    <t>Creizer</t>
  </si>
  <si>
    <t>Developer of a fintech platform designed to offer intelligent and flexible credit to people who sell online. The company's platform provides financing for online regional sellers through customizable payments based on their sales, enabling businesses to pay as they sell based on the metrics of their stores.</t>
  </si>
  <si>
    <t>Alan Rutledge, Andrés Bilbao, Angel Ventures Mexico, Asymmetry Ventures, Blue Zone Ventures, Carabela, Fausto Ibarra, FoundersX Ventures, Gaingels, George Gordon, James Park, Katharine Hiscox, Liquid 2 Ventures, Matilde Giglio, Palrecha Capital, Pioneer Fund, Rebel Fund, Soma Capital, Sur Ventures (VC), True Capital Management, Village Capital, Y Combinator</t>
  </si>
  <si>
    <t>www.creizer.com</t>
  </si>
  <si>
    <t>464240-44</t>
  </si>
  <si>
    <t>CrePASS</t>
  </si>
  <si>
    <t>Developer of a peer-to-peer lending platform designed to connect borrowers and lenders directly. The company's platform offers a virtual marketplace that provides people with low or non-existent credit ratings the opportunity to receive financial benefits through a fair assessment within institutional financing and to support the increasing provision of digital financial lending products to the underserved population, enabling borrowers to raise money through an alternative credit evaluation method.</t>
  </si>
  <si>
    <t>Bespin Global, BNK Financial Group, BNK Venture Capital, Cento Ventures, CunaeST Foundation, ETRI Holdings, Hanwha Life Insurance, IBK 1st Lab, KAIST Venture Investment Holdings, KB Innovation HUB, MetLife Inclusion Plus, Mirae Asset Global Investments, Muirwoods Ventures, Shinhan Futures Lab, SKTCH, SparkLabs Group, Tech Incubator Program for Startup, TheVentures Company, Wells Investment</t>
  </si>
  <si>
    <t>www.crepass.com</t>
  </si>
  <si>
    <t>553130-56</t>
  </si>
  <si>
    <t>Crepay</t>
  </si>
  <si>
    <t>Developer of a payment platform intended to provide Generation Z with the BNPL method. The company offers practical financial services that integrate IT technology to the younger generation and a service that accumulates points through Apptech and uses the accumulated points to repay without paying any money, providing users with rewards in a variety of ways, which can be used to make payments.</t>
  </si>
  <si>
    <t>BonAngels Venture Partners, MetLife Inclusion Plus, Tech Incubator Program for Startup</t>
  </si>
  <si>
    <t>www.crepay.com</t>
  </si>
  <si>
    <t>501058-00</t>
  </si>
  <si>
    <t>Crescent (Business/Productivity Software)</t>
  </si>
  <si>
    <t>Developer of a cash management platform designed to help organizations deploy idle capital through automation and cash flow insights. The company's platform transforms stagnant cash into earnings for growth with smart automation, one-click high yields, earnings insights, and personalized cash management recommendations, enabling startups, businesses, and individuals to optimize cash management across their entire firm.</t>
  </si>
  <si>
    <t>Momentis (Omaha), Nathan McCauley</t>
  </si>
  <si>
    <t>www.getcrescent.com</t>
  </si>
  <si>
    <t>515945-26</t>
  </si>
  <si>
    <t>Crescenta</t>
  </si>
  <si>
    <t>Developer of a digital investment platform designed for investment in private equity funds. The company's platform specializes in the alternative investment space &amp; offers access to investment in the private markets through education and digitalization, enabling retail and professional investors to access private markets, diversify portfolios, and manage investments through a centralized digital interface.</t>
  </si>
  <si>
    <t>Acurio Ventures Partners, Endeavor Catalyst, FJ Labs, KFund, Viriditas Ventures</t>
  </si>
  <si>
    <t>www.crescenta.com</t>
  </si>
  <si>
    <t>500610-70</t>
  </si>
  <si>
    <t>CrescItalia</t>
  </si>
  <si>
    <t>Developer of a fintech proprietary platform intended to offer innovative financing solutions to small and midsize enterprises (SMEs). The company's platform offers an advisory activity that designs and develops value-added services and proposes alternative financial solutions to the traditional banking channel that helps professional investors and asset managers to invest in the Italian real economy, enabling businesses to get an alternative financial system to the traditional banking channel.</t>
  </si>
  <si>
    <t>www.crescitalia-mctech.com</t>
  </si>
  <si>
    <t>522492-76</t>
  </si>
  <si>
    <t>CREX Capital</t>
  </si>
  <si>
    <t>Developer of a commercial real estate technology platform designed to enhance regulatory-compliant process for financing transactions. The company's platform specializes in an AI-powered system architecture supported by blockchain algorithms that combines self-learning and key performance indicator (KPI) -based operators with automated analysis and documentation to assist in the lending procedure, enabling clients to access a faster, more secure and complete financing process.</t>
  </si>
  <si>
    <t>Plug and Play Tech Center, Startup Wise Guys</t>
  </si>
  <si>
    <t>www.crex.digital</t>
  </si>
  <si>
    <t>121376-53</t>
  </si>
  <si>
    <t>CRiskCo</t>
  </si>
  <si>
    <t>Developer of a credit risk analysis and management platform designed to offer realistic revenue stream predictions. The company's platform aggregates information from accounting systems and ERPs using an API that runs AI-based auto-spreading of financial insights and provides a risk rating for every business through novel, real-time, ongoing, risk-free credit reports, along with customer risk analysis, enabling clients to evaluate the credibility of their customers and credit applicants.</t>
  </si>
  <si>
    <t>FinAccelerate, Jade Ventures, Prytek, River City Labs, The Venture Center</t>
  </si>
  <si>
    <t>www.criskco.com</t>
  </si>
  <si>
    <t>399106-18</t>
  </si>
  <si>
    <t>Crop2Cash</t>
  </si>
  <si>
    <t>Operator of a digital financing platform intended to contribute to the economic empowerment of farmers in rural Nigeria. The company's platform allows one to receive digital payments and digitalizes the value chain of food crops for activities like weighing, quality control and extension services, enabling farmers to enhance transparency and efficiency in the agricultural supply chain and help build their financial identity.</t>
  </si>
  <si>
    <t>African Food Changemakers, Cascador, Catalyst Fund, Co-Creation Hub, Equitable Ventures, Five Two Five, German Society for International Cooperation, Google Accelerator, Halcyon Incubator, Katapult Group, Katapult Ocean, Make-IT in Africa, Marula Square, Plug and Play Tech Center, SAIS Accelerator, Seedstars International Ventures, Village Capital, Wennovation Hub</t>
  </si>
  <si>
    <t>www.crop2cash.com.ng</t>
  </si>
  <si>
    <t>442428-13</t>
  </si>
  <si>
    <t>CrossVal</t>
  </si>
  <si>
    <t>Developer of a financial planning and analysis platform designed to empower business growth with the help of data. The company's platform uses subjective and objective factors to develop multifactor quantitative models to analyze deal worthiness and valuations based on machine learning algorithms, enabling startup founders as well as investors to get intelligent insights and simplify the fundraising process.</t>
  </si>
  <si>
    <t>Mohammed Bin Rashid Innovation Fund, Oraseya Capital</t>
  </si>
  <si>
    <t>www.crossval.com</t>
  </si>
  <si>
    <t>288538-57</t>
  </si>
  <si>
    <t>CrowdFunz</t>
  </si>
  <si>
    <t>Operator of an online crowdfunding platform designed to provide real estate fundraising and investing services. The company provides commercial real estate investment opportunities and strict risk management, allowing retail investors to participate in small-to-medium real estate projects and earn profit.</t>
  </si>
  <si>
    <t>Shanghai Hantan Investment Management</t>
  </si>
  <si>
    <t>www.crowdfunz.com</t>
  </si>
  <si>
    <t>221789-17</t>
  </si>
  <si>
    <t>Crowdinvest</t>
  </si>
  <si>
    <t>Operator of an online equity and property crowdfunding platform intended to connect global investors with impactful startups in emerging markets. The company's platform helps users to surf and invest in selected projects that are started by verified entrepreneurs and offer reviews, enabling investors from developed economies to invest in start-ups from emerging markets like India.</t>
  </si>
  <si>
    <t>Aura Global, Diederik Martin Agterhuis, Keith Boldeau, Leela Capital, Marcel van de Meent Vermogensregie, Olgers Vermogensregie, Red Ribbon Asset Management, Sagar Raj Chopra, Sanjay Choudhary, Sari Anneli Ruokolainen, Simsan Ventures, The1stprinciples</t>
  </si>
  <si>
    <t>www.crowdinvest.com</t>
  </si>
  <si>
    <t>482344-30</t>
  </si>
  <si>
    <t>CRS</t>
  </si>
  <si>
    <t>FinTech, InsurTech, Marketing Tech, SaaS</t>
  </si>
  <si>
    <t>Developer of a credit score data platform designed to make working with regulated and sensitive data simple and secure. The company's platform allows companies to launch credit technology faster with guided compliance and application programming interface integrations in a single platform, unlocking financial data products and services via a single, streamlined onboarding process approach sets a new industry standard with comprehensive credit solutions and unrivaled customer service, enabling finance companies to make powerful and accurate data-driven decisions.</t>
  </si>
  <si>
    <t>Anthem Venture Partners, Brighter Capital, Escalate Capital Partners, Flexcap Ventures, Fresh Ventures, Hybridge Capital Management, IA Capital Group, Leadout Capital, MS&amp;AD Ventures, Plug and Play Tech Center, Raptor Group, Simplex Ventures, T-Bird Capital, Tenacity Venture Capital</t>
  </si>
  <si>
    <t>www.crscreditapi.com</t>
  </si>
  <si>
    <t>1153752-67</t>
  </si>
  <si>
    <t>Crunched (Business/Productivity Software)</t>
  </si>
  <si>
    <t>Developer of an Excel artificial intelligence agent designed for Excel automation and analysis. The company offers an AI-powered assistant for Excel, enabling professionals in consulting, finance, corporate modeling, and accounting to build, audit, and enhance complex financial models with greater accuracy.</t>
  </si>
  <si>
    <t>20VC, First Round Capital, Founder Factor, Mario Götze, Multimodal Ventures, Paul Graham, Presight (Abu Dhabi), Shorooq Partners, Y Combinator</t>
  </si>
  <si>
    <t>www.usecrunched.com</t>
  </si>
  <si>
    <t>529877-17</t>
  </si>
  <si>
    <t>Crux (Business/Productivity Software)</t>
  </si>
  <si>
    <t>Developer of relationship intelligence software designed to support small-business banking and related relationship-management activities. The company's platform provides continuous market scanning, real-time business intelligence, lifecycle-based prioritization, automated monitoring of portfolio performance, and unified data access across organizational functions, enabling community financial institutions to identify relevant prospects, understand client context, time outreach appropriately, and manage small-business relationships more effectively.</t>
  </si>
  <si>
    <t>gener8tor, One Washington Financial, Red Cedar Ventures</t>
  </si>
  <si>
    <t>www.cruxanalytics.com</t>
  </si>
  <si>
    <t>820353-52</t>
  </si>
  <si>
    <t>Cryptade</t>
  </si>
  <si>
    <t>Cryptocurrency/Blockchain, EdTech, FinTech</t>
  </si>
  <si>
    <t>Developer of a cryptocurrency trading and educational platform intended to help users understand cryptocurrency markets. The company's platform offers a centralized hub that combines trading functionalities with guided educational pathways, personalized learning experiences, and AI-powered explanations, enabling both beginners and experienced traders to navigate the cryptocurrency landscape with greater confidence and understanding.</t>
  </si>
  <si>
    <t>www.cryptade.com</t>
  </si>
  <si>
    <t>489580-21</t>
  </si>
  <si>
    <t>CryptoMate</t>
  </si>
  <si>
    <t>Developer of an artificial intelligence-based crypto settling and scoring software designed to buy and exchange cryptocurrencies. The company's software offers social network bots that facilitate creating wallets, buying coins and providing access to protocols, enabling customers to achieve financial inclusion through decentralized finance.</t>
  </si>
  <si>
    <t>10X Capital, AG Collective Capital, Bitcoin Frontier Fund, Celo Camp, Flori Ventures, Gaingels, Gossamer Capital, Hashkey Capital, Parallel18, Pygma, SAP.iO, SBX Capital, Sommet, Start-Up Chile, Tampa Bay Wave, Techstars, TVP (Spain), Village Capital</t>
  </si>
  <si>
    <t>www.cryptomate.me</t>
  </si>
  <si>
    <t>1241056-36</t>
  </si>
  <si>
    <t>Cryptostein</t>
  </si>
  <si>
    <t>Cryptocurrency/Blockchain, EdTech, FinTech, Mobile Commerce</t>
  </si>
  <si>
    <t>Developer of an investment management application intended for buying, trading, and learning about digital assets to support user participation in cryptocurrency activities. The company's platform offers asset exchange features, educational tools, wallet functions, and mobile access, enabling individuals with the knowledge and skills to make smarter financial decisions through the power of gamification.</t>
  </si>
  <si>
    <t>Lazio Innova</t>
  </si>
  <si>
    <t>www.cryptostein.org</t>
  </si>
  <si>
    <t>332683-39</t>
  </si>
  <si>
    <t>Cub</t>
  </si>
  <si>
    <t>Developer of a financial technology platform designed to automate receivables management. The company's platform offers tools to collect, receive, and have full control of the portfolio with analysis and efficient release of resources, enabling clients to improve financial predictability and optimize cash flow.</t>
  </si>
  <si>
    <t>Alexia Ventures, Endeavor Promessas, Graphene Ventures, Guilherme Bonifácio, Patrick Sigrist, Terracotta Ventures, Upload Ventures, Upload Ventures (Sao Paulo)</t>
  </si>
  <si>
    <t>www.cub.com.br</t>
  </si>
  <si>
    <t>491693-50</t>
  </si>
  <si>
    <t>Culttivo</t>
  </si>
  <si>
    <t>Operator of a digital agricultural credit platform intended to provide financing in a simple and uncomplicated way. The company's platform provides credit lines, allowing the customer to keep their products in storage, aiming to sell them under better market conditions or use them as a resource for the acquisition of inputs, improvements in the field, and liquidity, enabling farmers to access credit using their farm produce.</t>
  </si>
  <si>
    <t>Eisai, FIAgro, KPTL Arbitrage Management, Octante, Raphael Covre, The Yield Lab Latam</t>
  </si>
  <si>
    <t>www.culttivo.com</t>
  </si>
  <si>
    <t>489056-05</t>
  </si>
  <si>
    <t>Cumbuca</t>
  </si>
  <si>
    <t>Developer of a shared expense management platform designed to simplify joint financial administration. The company's platform provides group expense tracking, payment splitting, shared balances, virtual cards, bill payments, Pix transfers, contribution monitoring, and transaction visibility, enabling couples, families, roommates, and friends to manage shared finances, coordinate payments, and maintain spending transparency.</t>
  </si>
  <si>
    <t>Fernando Gadotti, Guilherme Weege, Lightspeed Venture Partners, Pedro Sirotsky, Renato Freitas, Supera Capital, Verve Capital, Y Combinator</t>
  </si>
  <si>
    <t>www.cumbuca.com</t>
  </si>
  <si>
    <t>105745-33</t>
  </si>
  <si>
    <t>Cumplo</t>
  </si>
  <si>
    <t>Operator of a crowdfunding and business financing platform intended to connect companies seeking capital with individual and institutional investors. The company's platform provides SME financing applications, investment opportunity listings, investor portfolio participation, funding disbursement, payment collection, risk management, corporate payment solutions, and transaction administration, enabling businesses to access financing and investors to participate in debt-based investment opportunities.</t>
  </si>
  <si>
    <t>Fasanara Capital, Hi Ventures, Morro Ventures, Start Path, Venturance Alternative Assets</t>
  </si>
  <si>
    <t>www.cumplo.com</t>
  </si>
  <si>
    <t>527529-16</t>
  </si>
  <si>
    <t>Curie Money</t>
  </si>
  <si>
    <t>Developer of a digital spending platform designed to give more competitive returns than bank accounts. The company's platform offers a digital account that keeps the sum invested backed by mutual funds and allows to make UPI payments, enabling users to grow their savings by investing them in mutual funds.</t>
  </si>
  <si>
    <t>India Quotient</t>
  </si>
  <si>
    <t>www.curie.money</t>
  </si>
  <si>
    <t>464206-24</t>
  </si>
  <si>
    <t>Currency Clear</t>
  </si>
  <si>
    <t>Developer of a digital payment platform intended to reduce the costs and challenges small and medium-sized enterprises face. The company's platform provides services for global payments, reconciled collection, multicurrency accounts, payment history reporting, and international transactions, enabling users to easily send and receive funds globally.</t>
  </si>
  <si>
    <t>Startupbootcamp Holding, Visa Innovation Program</t>
  </si>
  <si>
    <t>www.currencyclear.com</t>
  </si>
  <si>
    <t>173141-47</t>
  </si>
  <si>
    <t>CV Systems</t>
  </si>
  <si>
    <t>Developer of online transaction processing software designed to meet information technology requirements for financial institutions. The company's software assists in transaction management, card management, dispute tracking, and services related to automated teller machines, enabling financial institutions to get mission-critical software systems and improve security in online transactions.</t>
  </si>
  <si>
    <t>Three Zero Three Capital Partners</t>
  </si>
  <si>
    <t>www.cvsystems.com</t>
  </si>
  <si>
    <t>442968-49</t>
  </si>
  <si>
    <t>Cwallet</t>
  </si>
  <si>
    <t>Developer of financial technology designed to enable individuals to get access to financial services. The company's technology provides individuals with prompt online recharge, paying bills, receiving salaries, metro card recharge, and mobile bill payment services, as well as provides bus, train, flight, and hotel booking services, enabling users to make mobile payments from cards, bank accounts, and digital credit, among others, in a single click.</t>
  </si>
  <si>
    <t>360-Nautica, Digital Incubation Center, MBK Holding, Qatar Business Incubation Center, Qatar FinTech Hub Wave, Risin Ventures, Tenity, Village Capital, Visa</t>
  </si>
  <si>
    <t>cwallet.qa</t>
  </si>
  <si>
    <t>897304-15</t>
  </si>
  <si>
    <t>Cycles</t>
  </si>
  <si>
    <t>Developer of a financial technology platform designed to enable individuals to settle debts securely. The company's platform removes traditional financial barriers and offers a decentralized, user-centric approach, allowing users to clear debts on their own terms-supporting multiple payment types while ensuring data privacy and transaction security, enabling clients to regain financial control in a way that aligns with their needs and values.</t>
  </si>
  <si>
    <t>Blockchange Ventures, CMCC Global, Coinbase Ventures, Compound (New York), Primitive Ventures, Titan Fund</t>
  </si>
  <si>
    <t>www.cycles.money</t>
  </si>
  <si>
    <t>83543-05</t>
  </si>
  <si>
    <t>Cyndx</t>
  </si>
  <si>
    <t>Developer of an advanced technology platform designed to enhance capital raising and merger and acquisition transactions. The company offers artificial intelligence-driven, deep learning, and natural language processing-powered algorithms, enabling growing companies, investors, and financial institutions to discover connections and opportunities.</t>
  </si>
  <si>
    <t>Rakuten Capital</t>
  </si>
  <si>
    <t>www.cyndx.com</t>
  </si>
  <si>
    <t>527644-00</t>
  </si>
  <si>
    <t>Cypator</t>
  </si>
  <si>
    <t>Developer of a crypto trading platform designed for over-the-counter desks and institutional market participants to execute digital asset trades securely and transparently, operating in the institutional trading sector. The company offers a branded client-facing platform with low-latency application programming interfaces, an institutional-grade graphical user interface dashboard, smart order routing, multiple liquidity connections, best execution logic, transparency controls, and full transaction auditing, enabling institutional traders to execute and monitor crypto transactions with operational efficiency, compliance, and risk oversight.</t>
  </si>
  <si>
    <t>Gold Coast Tech, Hashkey Capital, Libra Capital Ventures, Uncorrelated Ventures</t>
  </si>
  <si>
    <t>www.cypator.com</t>
  </si>
  <si>
    <t>546447-88</t>
  </si>
  <si>
    <t>Cyrannus</t>
  </si>
  <si>
    <t>Operator of a venture investment platform intended to connect founders with experts and active investors. The company provides funding and support through its stakeholder network and proprietary modeling, an active social community comprised of experts and influencers discussing venture, technology, startups, industry news, and more, enabling clients to access the wide faction of exposure investment scope.</t>
  </si>
  <si>
    <t>Kobol Fund, Ohio Department of Development</t>
  </si>
  <si>
    <t>www.cyrannus.io</t>
  </si>
  <si>
    <t>186004-99</t>
  </si>
  <si>
    <t>d1g1t</t>
  </si>
  <si>
    <t>Developer of a digital wealth management platform designed for advisors as well as investors. The company's platform leverages analytics and risk management tools to offer portfolio management services and features, including client management, monitoring, and management of the adviser's business growth, historical performance, and future risk analysis, and portfolio tracking, enabling clients to deepen the adviser-client relationship through personalized interaction.</t>
  </si>
  <si>
    <t>CI Financial, Extreme Venture Partners, Figtree, Illuminate Financial, JAM FINTOP, MissionOG, NAventures, OMERS Ventures, OneEleven(Ontario), Portage, Purpose Unlimited, Royal Bank of Canada</t>
  </si>
  <si>
    <t>www.d1g1t.com</t>
  </si>
  <si>
    <t>525360-52</t>
  </si>
  <si>
    <t>D3 Labs</t>
  </si>
  <si>
    <t>Developer of a blockchain-based platform designed for secure asset tokenization and settlement purposes. The company's platform offers programmable transaction capabilities, real-time settlement, smart contract-enabled compliance and immutable ledger tracking, enabling financial institutions to access global liquidity, improve operational efficiency and ensure regulatory compliance.</t>
  </si>
  <si>
    <t>Arkana Ventures, DS/X Ventures, EX Capital, Ignight Capital, Kinesys Group, Qredo, Royal Group, Saison Capital, Signum Capital, Spiral Ventures, Taisu Ventures, Tribe (Consulting Services), UOB Venture Management, XRPL Accelerator</t>
  </si>
  <si>
    <t>d3labs.io</t>
  </si>
  <si>
    <t>494618-77</t>
  </si>
  <si>
    <t>Daba (Financial Services)</t>
  </si>
  <si>
    <t>Developer of an investment platform designed to access investment analysis and build wealth by investing in the private and public capital markets. The company's platform offers investing, trading, and digital assets trading features in one application, enabling clients to invest directly and get all the news and curated updates in one place to maximize their investments.</t>
  </si>
  <si>
    <t>Ajim Capital, Dhuna Ventures, Ecobank Fintech Challenge, Noemis Ventures, Plug and Play Tech Center</t>
  </si>
  <si>
    <t>www.dabafinance.com</t>
  </si>
  <si>
    <t>642509-65</t>
  </si>
  <si>
    <t>Daily Pay</t>
  </si>
  <si>
    <t>Operator of a financial technology company intended to provide pre-settlement financing services to business owners. The company's platform advances settlement amounts before the official settlement date and offers advances on future sales through a non-face-to-face process, enabling businesses to improve cash flow and access funds more quickly.</t>
  </si>
  <si>
    <t>Center for Creative Economy and Innovation, Fintech Center Korea, KB Innovation HUB, MetLife Inclusion Plus, Primer (South Korea), Red Hook Capital, Tech Incubator Program for Startup, Yukyung PSG Asset Management</t>
  </si>
  <si>
    <t>www.daily-pay.co.kr</t>
  </si>
  <si>
    <t>520531-30</t>
  </si>
  <si>
    <t>Daleel</t>
  </si>
  <si>
    <t>Developer of a digital financial platform designed to help individuals and businesses find, compare, and manage financial products with ease. The company's user-friendly platform aggregates product information from multiple providers, enabling consumers to make informed financial decisions and access personalized product recommendations in one place.</t>
  </si>
  <si>
    <t>Atlantic Council, Bahrain FinTech Bay, F6 Ventures, Hambro Perks Acquisition, Orbit Ventures (Venture Capital), Qatar FinTech Hub Wave, Spring Studios (Bahrain), Visa Everywhere Initiative</t>
  </si>
  <si>
    <t>www.getdaleel.com</t>
  </si>
  <si>
    <t>1168892-29</t>
  </si>
  <si>
    <t>Dalinora</t>
  </si>
  <si>
    <t>Developer of an AI-powered financial advisory platform designed to make investing intuitive, personalized and stress-free by combining professional expertise with empathetic guidance. The company offers licensed, AI-driven financial counseling that blends objective data with individual goals and values, enabling customers to access secure, tailored investment recommendations anytime and transform financial decision-making into a confident, human-like experience.</t>
  </si>
  <si>
    <t>Biometric Ventures</t>
  </si>
  <si>
    <t>www.dalinora.com</t>
  </si>
  <si>
    <t>497789-56</t>
  </si>
  <si>
    <t>Dambi</t>
  </si>
  <si>
    <t>Developer of an online loan brokerage platform designed to offer mortgage loans. The company's platform increases access to products and expands loan selection opportunities, and allows users to compare and apply for home purchase, living expenses, tenant deposit returns, and refinancing loans all at once, enabling customers with a convenient loan procedure.</t>
  </si>
  <si>
    <t>Xinova Investment</t>
  </si>
  <si>
    <t>www.dambee.com</t>
  </si>
  <si>
    <t>489711-79</t>
  </si>
  <si>
    <t>Dana Fintech</t>
  </si>
  <si>
    <t>Developer of an agentic lending platform designed to provide access to finance and digital lending for underbanked micro and small enterprises and gig economy workers, collar workers, and farmers. The company offers a scoring engine that gives a credit score based on device data, partner data, API data, psychometric tests, and demographic information of underbanked and credit-excluded borrowers, a financial advisor chatbot, and loan matching services, enabling fintech lenders, credit unions, and banks to digitize and accelerate their lending workflows.</t>
  </si>
  <si>
    <t>Accelerating Asia</t>
  </si>
  <si>
    <t>www.dana.money</t>
  </si>
  <si>
    <t>538175-89</t>
  </si>
  <si>
    <t>Daphne</t>
  </si>
  <si>
    <t>Developer of an alternative asset management platform designed to digitize and streamline the direct digital connections between asset managers. their investors and channel partners. The company provides a simple one-time integration through a defined suite of APIs to stream fund information and offers data that can be transmitted and consumed via a web-based interface, allowing clients to manage their assets in an advanced, digital manner.</t>
  </si>
  <si>
    <t>Apollo Global Management, Bloomberg, Hamilton Lane, Motive Partners</t>
  </si>
  <si>
    <t>www.getdaphne.com</t>
  </si>
  <si>
    <t>490676-86</t>
  </si>
  <si>
    <t>Dash.fi</t>
  </si>
  <si>
    <t>B2B Payments, E-Commerce, FinTech, SaaS</t>
  </si>
  <si>
    <t>Developer of a financial automation and corporate payment platform designed to help advertisers maximize profitability and manage advertising spend efficiently. The company's platform offers AI-powered ad audit agents, automated payables management, virtual corporate cards, flexible spend controls, and rewards integration, enabling advertisers, e-commerce brands, and growing businesses to reduce billing discrepancies, streamline payment operations, and improve cash flow management.</t>
  </si>
  <si>
    <t>Mucker Capital, William Hsu</t>
  </si>
  <si>
    <t>www.dash.fi</t>
  </si>
  <si>
    <t>375600-70</t>
  </si>
  <si>
    <t>Dasseti</t>
  </si>
  <si>
    <t>Developer of due diligence software designed to streamline data exchange for the investment sector. The company's platform utilizes artificial intelligence and automation to facilitate data collection, analysis, and reporting, enabling institutional investors and asset managers to automate due diligence processes, manage investor relations, and aggregate sustainability metrics.</t>
  </si>
  <si>
    <t>Jabbar Internet Group, Nasdaq Ventures, Wamda Capital</t>
  </si>
  <si>
    <t>www.dasseti.com</t>
  </si>
  <si>
    <t>517249-63</t>
  </si>
  <si>
    <t>Data4Deals</t>
  </si>
  <si>
    <t>Operator of a data monetization platform intended to generate real value from banking transaction data. The company's platform uses artificial intelligence to understand customer preferences and behavior from financial data, enabling brands to reach new customers and deepen relationships with existing ones, and customers to get cashback on their purchases.</t>
  </si>
  <si>
    <t>Iberis Capital, Indico Capital Partners, Lince Capital, Visa Innovation Program</t>
  </si>
  <si>
    <t>www.datafordeals.com</t>
  </si>
  <si>
    <t>231202-45</t>
  </si>
  <si>
    <t>DataCanvas</t>
  </si>
  <si>
    <t>Developer of an automated data science platform designed for data scientists and AI practitioners. The company offers distributed computing architecture, automated resource management, high-performance data processing frameworks, and integrated AI development environments with scalable deployment capabilities for enterprises to effectively coordinate development and implement model management.</t>
  </si>
  <si>
    <t>Advantech Capital Partners, Beijing Cultural Investment Development Group, Beijing Zhongguancun Capital Fund Management, CEC Fund, China Taiping Investment, Delta Capital, e.Hualu Capital, Hangzhou Dongfang Jiafu Asset Management, InnoVen Capital, Junzi Capital, Kexi Capital, Leading Capital Company, Lingfeng Capital, Longmen Investment, Oriental Fortune Capital, People's Capital, Qianhai FoF, Qihang Capital, Redpoint China Ventures, SAIF Partners, Shun Xi Fund, Topset China, Xiang He Capital, Z&amp;Y Capital, Zhuhai Qichenxing Investment</t>
  </si>
  <si>
    <t>www.datacanvas.com</t>
  </si>
  <si>
    <t>232473-88</t>
  </si>
  <si>
    <t>Datacultr</t>
  </si>
  <si>
    <t>Developer of a risk management and digital debt collection SaaS platform intended for bridging the accessibility gap for the credit darks. The company's platform provides consumer engagement, recovery, and collection options and offers lenders the ability to use their smartphones as a tool for financial inclusion, and also assists in providing access to that device, enabling institutional lenders to reduce delinquencies impacting on-time payments.</t>
  </si>
  <si>
    <t>Flipkart Leap, JioGenNext, MetLife, NP Consulting, Seedstars International Ventures, Startup Haryana, Startupbootcamp Holding, Sturgeon Capital, Village Capital</t>
  </si>
  <si>
    <t>www.datacultr.com</t>
  </si>
  <si>
    <t>497780-29</t>
  </si>
  <si>
    <t>Dataknows</t>
  </si>
  <si>
    <t>Developer of a financial application designed for making investment decisions. The company's application is a real estate and stock investment app based on big data and artificial intelligence, analyzing data based on accumulated information to predict future apartment prices, enabling users to access investment information.</t>
  </si>
  <si>
    <t>D-Camp, Hana Bank Global, iM Investment Partners, K2 Investment Partners, KB Innovation HUB, Kolon Investment, Korea Venture Investment, SJ Investment Partners, Woomi, Woori Bank, Zer01ne</t>
  </si>
  <si>
    <t>www.dataknows.ai</t>
  </si>
  <si>
    <t>494480-71</t>
  </si>
  <si>
    <t>Datanomik</t>
  </si>
  <si>
    <t>Developer of a multi-bank cash management platform designed to eliminate time waste and improve efficiency. The company's platform offers secure access to financial data in real-time through simple API integration, gives cash visibility, and allows developers to implement any APIs with few lines of code, enabling businesses to get their financial information faster, simpler, and more efficiently.</t>
  </si>
  <si>
    <t>Andreessen Horowitz, Andrés Bilbao, Canary (Brazil), Conrado Engel, Daniel Bilbao, Endeavor Promessas, Juan Fantoni, Latitud, Mountain Partners, Nazca, Pablo Garfinkel, Paolo Bernasconi, Sebastian Mejia, Spectra Investments, Suzy Ferreira</t>
  </si>
  <si>
    <t>www.datanomik.com</t>
  </si>
  <si>
    <t>327302-11</t>
  </si>
  <si>
    <t>Dattos</t>
  </si>
  <si>
    <t>Developer of a financial platform designed to standardize, control, and optimize reconciliations. The company's platform compares different sources of information, identifies errors in financial controls and reports, and optimizes accounting processes, enabling businesses to easily and accurately handle and cross-check multiple data sources, process large volumes, validate information, and deliver regulatory mechanisms.</t>
  </si>
  <si>
    <t>A.B.Seed Ventures, BoostLAB, Gr8 Ventures, Igah Ventures, InovAtiva, Invest Tech, Thomson Reuters</t>
  </si>
  <si>
    <t>www.dattos.com.br</t>
  </si>
  <si>
    <t>471091-87</t>
  </si>
  <si>
    <t>DAWUL</t>
  </si>
  <si>
    <t>Developer of an online community-based social trading platform designed for investment strategies. The company's platform allows beginner investors to look for automated ways to execute trades or follow professional traders and their portfolios, along with investment strategies, enabling users to view the data of investment funds and analyze their own preferred funds.</t>
  </si>
  <si>
    <t>Derayah Ventures, Impact46, Raed Ventures, Seedra Ventures, Sharaka Capital, Sukna Ventures</t>
  </si>
  <si>
    <t>www.dawul.net</t>
  </si>
  <si>
    <t>399098-08</t>
  </si>
  <si>
    <t>Dayra</t>
  </si>
  <si>
    <t>Developer of an online financial platform intended to offer financial services to unbanked gig workers and micro-businesses via API integration. The company's offerings include virtual bank accounts, prepaid cards, and access to credit and loans via API integration, enabling clients to offer financing to their unbanked workers and customers through embedded financial services.</t>
  </si>
  <si>
    <t>Alexander Shulgin, EFG Holding, Falak Startups, First Circle Capital, Hub71, Jean-Claude Tring, Omar Darwazah, SV Pacific Ventures, Tanmiya Capital Ventures, VentureSouq, Y Combinator</t>
  </si>
  <si>
    <t>www.dayra.co</t>
  </si>
  <si>
    <t>588974-41</t>
  </si>
  <si>
    <t>DayZero (Financial Software)</t>
  </si>
  <si>
    <t>Developer of AI-powered accounting software designed for automating general ledger accounting and financial management for businesses. The company's platform provides tools such as invoicing with three-way match capability, bill payment, purchase order generation, inventory management and tracking, fulfilment cost management, and analytics with dashboards, KPIs, and reporting, enabling businesses to streamline financial operations and enhance decision-making.</t>
  </si>
  <si>
    <t>Deco Ventures, Flybridge (New York), irrvrntVC, Onward HQ, Stage 2 Capital, SuperAngel.Fund</t>
  </si>
  <si>
    <t>www.ondayzero.com</t>
  </si>
  <si>
    <t>559512-01</t>
  </si>
  <si>
    <t>Dcap (Consumer Finance)</t>
  </si>
  <si>
    <t>Developer of a consumer financing platform designed to enhance financial inclusion for underserved communities. The company offers seamless, end-to-end lending-as-a-service, real-time credit decisions, and tailored insurance services, enabling businesses to provide equitable access to capital and promote asset ownership.</t>
  </si>
  <si>
    <t>Gobi Partners, Khazanah Nasional</t>
  </si>
  <si>
    <t>www.dcap.com.my</t>
  </si>
  <si>
    <t>542257-57</t>
  </si>
  <si>
    <t>Deadweight Loss</t>
  </si>
  <si>
    <t>Developer of a charitable giving platform based in Salt Lake City, Utah. The company is currently operating in stealth mode.</t>
  </si>
  <si>
    <t>Emergent Venture Partners, Thiel Capital</t>
  </si>
  <si>
    <t>706917-97</t>
  </si>
  <si>
    <t>Deal Flow Xchange</t>
  </si>
  <si>
    <t>Developer of a deals listing platform designed to collaborate on equity and debt deals, and maintain a balance of transparency and anonymity. The company's platform facilitates direct lenders and investors with streamlined access to a curated selection of pre-qualified opportunities, enabling customers to access a curated selection of pre-qualified opportunities, fostering targeted and efficient engagements.</t>
  </si>
  <si>
    <t>www.uedfx.com</t>
  </si>
  <si>
    <t>300298-96</t>
  </si>
  <si>
    <t>DealCircle</t>
  </si>
  <si>
    <t>Developer of a merger and acquisition deal-matching platform designed to connect merger and acquisition advisors with the most relevant buyers using a data-driven approach. The company integrates external data sources with proprietary buyer intelligence and hosts an anonymous deal marketplace, enabling small- to mid-cap institutional advisors to efficiently create high-quality longlists for sell-side mandates.</t>
  </si>
  <si>
    <t>Carsten Kraus, CK Holding, Hanse Ventures, Heise Ventures, Innovationsstarter, Parsec Ventures, Philipp Klöckner, Round2 Capital</t>
  </si>
  <si>
    <t>www.dealcircle.com</t>
  </si>
  <si>
    <t>230098-15</t>
  </si>
  <si>
    <t>DealFlow</t>
  </si>
  <si>
    <t>Developer of an equity crowdfunding platform designed to be the link between investors and companies. The company's platform is a junction box between businesses that need financing and people who want to become co-owners of the businesses in growth, enabling companies to get investors for their funding.</t>
  </si>
  <si>
    <t>Analytika Ventures, Cartavio (Norway), Startuplab Ventures</t>
  </si>
  <si>
    <t>www.dealflow.no</t>
  </si>
  <si>
    <t>747313-93</t>
  </si>
  <si>
    <t>DealRisk</t>
  </si>
  <si>
    <t>Provider and developer of analysis tools designed for banks, insurance companies, security firms, mutual funds and listed companies. The company focuses on quantitative analysis and risk management based on AI algorithms, enabling clients with financial analysis tools.</t>
  </si>
  <si>
    <t>SBI China, Sbi-Inesa Investment, Yinfeng Rongjin Investment Management</t>
  </si>
  <si>
    <t>www.deal-risk.com</t>
  </si>
  <si>
    <t>515949-94</t>
  </si>
  <si>
    <t>Debifi</t>
  </si>
  <si>
    <t>Developer of a non-custodial cryptocurrency-backed lending platform designed to provide crypto-based consumer loans. The company's platform uses a multi-signature address with keys on a blockchain to secure the amount until the loan is repaid, has a real-time monitoring system, and offers loans of large volumes and long-term, enabling users to monitor their escrow balance in real-time.</t>
  </si>
  <si>
    <t>Axiom Venture Partners (UK), Brad Mills, Century Equity Partners, Christopher Hunter, Concentric Team, Epoch Ventures, Fulgur Ventures, Giacomo Zucco, Ten31, Timechain(UK), Willy Woo</t>
  </si>
  <si>
    <t>www.debifi.com</t>
  </si>
  <si>
    <t>111204-37</t>
  </si>
  <si>
    <t>DebtLine</t>
  </si>
  <si>
    <t>Operator of a research and investing information platform intended to monitor and execute trade receivables. The company is currently operating in Stealth Mode.</t>
  </si>
  <si>
    <t>Ventures Hub</t>
  </si>
  <si>
    <t>820480-60</t>
  </si>
  <si>
    <t>Debto</t>
  </si>
  <si>
    <t>Provider of digital debt resolution and creditor negotiation services intended to help individuals assess and address personal debt obligations. The company collects user-provided financial and creditor information through a structured questionnaire, generates an overview of outstanding obligations, and suggests resolution paths such as installment consolidation, discounted settlement agreements, or access to new financing when feasible, enabling individuals with consumer debt in Italy to reach sustainable agreements and reduce direct interaction with creditors.</t>
  </si>
  <si>
    <t>Vento (Venture Capital)</t>
  </si>
  <si>
    <t>www.debto.it</t>
  </si>
  <si>
    <t>470782-99</t>
  </si>
  <si>
    <t>Deception And Truth Analysis</t>
  </si>
  <si>
    <t>Developer of a text-based analysis tool designed for lightning-fast deception and truth analysis of text-based communications. The company's tool leverages a proprietary library of scientifically-based algorithms that rapidly scour financial texts for deception, enabling users to detect fraud and deception resulting in significant savings in both time and resources.</t>
  </si>
  <si>
    <t>KDX Ventures, MS&amp;AD Ventures, ThirdStream Partners</t>
  </si>
  <si>
    <t>www.deceptionandtruthanalysis.com</t>
  </si>
  <si>
    <t>518164-39</t>
  </si>
  <si>
    <t>Decimal Technologies</t>
  </si>
  <si>
    <t>Developer of an enterprise software development platform designed to serve consulting, training, development and support services for enterprise clients. The company's platform offers digital lending and loan origination systems for home loans, SME lending, personal loans credit card origination, KYC, video KYC, internal bank workflows for approvals of business banking individual banking, savings and deposit accounts, enabling lenders to reduce the overall processing time by digitizing the back-end workflow.</t>
  </si>
  <si>
    <t>www.decimaltech.com</t>
  </si>
  <si>
    <t>521992-54</t>
  </si>
  <si>
    <t>DecisioningIT</t>
  </si>
  <si>
    <t>Developer of an artificial intelligence-powered automotive lending platform designed to modernize dealership financing and improve consumer transparency. The company platform offers automated lender matching, real-time pre-approvals, and data-driven insights, enabling dealerships to expand their customer base, maximize revenue, and enhance the vehicle financing experience.</t>
  </si>
  <si>
    <t>Anges Québec, Jean-Philippe Salvas</t>
  </si>
  <si>
    <t>www.decisioning.it</t>
  </si>
  <si>
    <t>863739-55</t>
  </si>
  <si>
    <t>Deconflict</t>
  </si>
  <si>
    <t>Developer of a crypto deconfliction platform designed to detect and prevent on-chain fraud. The company's platform facilitates the verification and reporting of cryptocurrency wallet addresses, helping law enforcement agencies, financial institutions, and cryptocurrency users enhance the security and transparency of cryptocurrency transactions, enabling customers to streamline complex investigations, eliminate redundant efforts, and achieve proactive coordination.</t>
  </si>
  <si>
    <t>Alliance (Other Capital Markets/Institutions), Contribution Capital, ego death capital, Lattice Capital</t>
  </si>
  <si>
    <t>deconflict.com</t>
  </si>
  <si>
    <t>894956-68</t>
  </si>
  <si>
    <t>Deduction</t>
  </si>
  <si>
    <t>Developer of a consumer accounting and tax preparation platform designed to provide year-round tax guidance and accurate filing.
The company offers an AI tax accountant that gives fast advice, files returns automatically, and has CPAs review important decisions and final filings, enabling individuals and small business owners to manage their taxes efficiently and with confidence.</t>
  </si>
  <si>
    <t>Asymmetry Management, Charley Moore, Creator Ventures, Intuition Capital (New York), Intuition Ventures, Intuition(Paris), One Way Ventures, Thomson Reuters Ventures</t>
  </si>
  <si>
    <t>www.deduction.com</t>
  </si>
  <si>
    <t>1164995-02</t>
  </si>
  <si>
    <t>Deek</t>
  </si>
  <si>
    <t>Developer of a prediction market platform designed to facilitate user engagement through interactive forecasting games. The company's platform incorporates features such as swipe-based prediction interfaces, real-time market odds, gamified betting mechanics, and attention-based rewards, enabling online users to participate in prediction activities.</t>
  </si>
  <si>
    <t>Animoca Brands, Arche Fund, Aspen Digital, CatcherVC, Donny Chi, Everest Ventures Group, Fidenza Capital, Fifth Era Blockchain Coinvestors Fund Manager, Folius Ventures, Hardbank, Ivan Li, Jason S Kampf, Mask Network, OKX Ventures, PANONY, Spacebar Ventures</t>
  </si>
  <si>
    <t>deek.network</t>
  </si>
  <si>
    <t>465351-49</t>
  </si>
  <si>
    <t>Deep Discovery</t>
  </si>
  <si>
    <t>Artificial Intelligence &amp; Machine Learning, Big Data, Cybersecurity</t>
  </si>
  <si>
    <t>Developer of an artificial intelligence system designed to help banks, regulators, law enforcement, and journalists. The company uses advanced machine learning algorithms to solve the ownership problem in anti-money laundering, countering financial terrorism, and other efforts to fight financial crime, enabling directors and officers to discover signals of financial crime within opaque networks that have otherwise gone undetected.</t>
  </si>
  <si>
    <t>Asymmetry Ventures, Bossa Invest, FinTech Sandbox, Green Visor Capital, Jordan Hoffner, Launchpad Capital, Lukas Biewald, Seafront Capital, Sweat Equity Ventures, The General Partnership, Xfund</t>
  </si>
  <si>
    <t>www.deepdiscovery.ai</t>
  </si>
  <si>
    <t>229945-60</t>
  </si>
  <si>
    <t>Deep Systems</t>
  </si>
  <si>
    <t>Developer of a trading and operations platform designed to support workflow control and regulatory compliance across capital markets. The company offers execution and order management for buy-side and sell-side firms, middle office capabilities, and full trade and order lifecycle management, enabling global financial institutions to operate efficiently while meeting operational and compliance requirements in complex environments.</t>
  </si>
  <si>
    <t>Belvedere Strategic Capital</t>
  </si>
  <si>
    <t>www.deepsystems.com</t>
  </si>
  <si>
    <t>491588-83</t>
  </si>
  <si>
    <t>Deep Tier</t>
  </si>
  <si>
    <t>Developer of a supply chain financing platform designed to make cash management services transparent, customized and open to all players. The company's platform simplifies and broadens access to supply-chain financing through discounting, reverse factoring, advanced digital payments and invoice trading, enabling manufacturers, suppliers and financial institutions to access tailored liquidity and improve cash-flow across the supply chain.</t>
  </si>
  <si>
    <t>Aldabra Capital, Comer Industries, FNDX, Gellify, Iungo</t>
  </si>
  <si>
    <t>www.deeptier.io</t>
  </si>
  <si>
    <t>510422-95</t>
  </si>
  <si>
    <t>Deepfin</t>
  </si>
  <si>
    <t>Developer of an invoicing software designed for users to monitor cash flow, get paid faster, pay taxes and solve problems. The company's software simplifies financial workflow by seamless invoice creation, online payment processing and expense tracking, powered by AI and it also customizes invoices with business logo for a personalized touch and enhanced branding, enabling freelancers, small business owners and ambitious hustlers to manage their business finances, accounting and taxes smoothly.</t>
  </si>
  <si>
    <t>Iron Wolf Capital, Superhero Capital</t>
  </si>
  <si>
    <t>www.deepfin.io</t>
  </si>
  <si>
    <t>443202-40</t>
  </si>
  <si>
    <t>DeepFinance</t>
  </si>
  <si>
    <t>Developer of data analysis and presentation software designed to process financial reporting data. The company's software platform helps users better understand success and pain points through analyzing company financial reports, enabling users to gain new insight for decision-making.</t>
  </si>
  <si>
    <t>Eastern Bell Venture Capital, eRoad Software, Ivy Capital (Shanghai), MPC (Beijing), PwC China, SIE Industry Fund, Vision Plus Capital, Warburg Pincus</t>
  </si>
  <si>
    <t>www.deepfinance.com</t>
  </si>
  <si>
    <t>1159319-71</t>
  </si>
  <si>
    <t>Deepidv</t>
  </si>
  <si>
    <t>Developer of a full-stack identity verification and fraud prevention platform designed to help businesses onboard and verify users through a secure, automated and compliant AI-driven engine. The company offers a modular, all-in-one verification engine that combines ID validation, biometric liveness detection, deepfake prevention and continuous behavioral monitoring, enabling customers to streamline complex KYC/AML compliance and reduce fraud while providing a frictionless onboarding experience for their users.</t>
  </si>
  <si>
    <t>www.deepidv.com</t>
  </si>
  <si>
    <t>343080-82</t>
  </si>
  <si>
    <t>DeepQ</t>
  </si>
  <si>
    <t>Developer of artificial intelligence (AI) technology designed to serve in the finance industry. The company integrates artificial intelligence and natural language processing technologies to provide enterprises with intelligent products such as intelligent machine customer service, intelligent investment consulting, and intelligent investment research, enabling clients to improve operation efficiency and reduce costs.</t>
  </si>
  <si>
    <t>Capital X (China), Changzhou Hi-tech Group, Detong Capital, Grand Flight, HeShiJia Asset Management, Ningbo Tongshang Group, Ningbo Zhenhai Huizhi Angel Investment Partnership, Tianjing Yuance Investment Management Company, Xingfu Investment Management, Zizhu Xiaomiao PE</t>
  </si>
  <si>
    <t>www.shenqingtech.com</t>
  </si>
  <si>
    <t>327149-29</t>
  </si>
  <si>
    <t>Deferit</t>
  </si>
  <si>
    <t>Developer of a bill payment and budgeting platform designed for managing household expenses. The company's platform enables users to upload bills, pay them upfront on the user's behalf, allows repayment through flexible interest-free installments, supports bill negotiation and credit reporting features, and provides tools for tracking payments and adjusting schedules, enabling consumers to manage cash flow, avoid late fees, and maintain consistent bill payments.</t>
  </si>
  <si>
    <t>Carthona Capital, Redbus Ventures</t>
  </si>
  <si>
    <t>www.deferit.com</t>
  </si>
  <si>
    <t>111099-07</t>
  </si>
  <si>
    <t>defi Solutions</t>
  </si>
  <si>
    <t>Developer of a browser-based loan origination system (LOS) designed to offer lending technology and business process outsourcing (BPO) services. The company's software provides configurable, quick-to-implement, and actionable insights based on actual performance and also provides collection, analysis, and custom reporting based on a lender's origination data, enabling lenders to manage the application lifecycle and receive analytics from a single and flexible platform.</t>
  </si>
  <si>
    <t>Bain Capital Ventures, Warburg Pincus</t>
  </si>
  <si>
    <t>www.defisolutions.com</t>
  </si>
  <si>
    <t>520794-37</t>
  </si>
  <si>
    <t>Defy</t>
  </si>
  <si>
    <t>Developer of blockchain compliance technologies designed for financial security and regulatory adherence. The company's platform automates data collection, virtual asset service provider verification, and secure information sharing, enabling cryptocurrency exchanges, wallets, and custodians to comply with global regulations, mitigate fraud risks, and ensure safe transactions through automated compliance and identity verification mechanisms.</t>
  </si>
  <si>
    <t>Accelerate Izmir, Alesta Yatırım, Boost the Future, Ege Technopark, Finesta Yatırım, Mohammed Bin Rashid Innovation Fund, Sertaç Özinal, ŞirketOrtağım, TEB Girisim Evi, Visa Innovation Program</t>
  </si>
  <si>
    <t>www.getdefy.co</t>
  </si>
  <si>
    <t>469542-70</t>
  </si>
  <si>
    <t>Degura</t>
  </si>
  <si>
    <t>Developer of a digital employee benefits platform designed to serve human resources teams and employees in Germany. The company's cloud-based portal automates the management of occupational pensions, health insurance, and disability insurance to reduce administrative overhead while increasing transparency for staff, enabling employees, employers, and insurance companies to make pension systems and access insurance legally secure and minimize liability risks.</t>
  </si>
  <si>
    <t>b2venture, David Nothacker, Gerhard Cromme, Julius Köhler, Nicolaus Schefenacker, Patrick Dahmen</t>
  </si>
  <si>
    <t>www.degura.de</t>
  </si>
  <si>
    <t>527333-95</t>
  </si>
  <si>
    <t>DeLend Tecnologia</t>
  </si>
  <si>
    <t>Developer of a decentralized lending platform designed to optimize the monitoring of payments and collections The company's platform utilizes artificial intelligence and open finance technology to share financial data from different institutions through a single link, transform raw data into models of income, credit, and consumer profiles, and manage payments, enabling small and medium enterprises to accelerate the receipt of funds.</t>
  </si>
  <si>
    <t>Airborne Ventures, Andreessen Horowitz, Experian Ventures, Mercado Bitcoin</t>
  </si>
  <si>
    <t>www.delend.finance</t>
  </si>
  <si>
    <t>534481-21</t>
  </si>
  <si>
    <t>Delfi Labs</t>
  </si>
  <si>
    <t>Developer of a financial software platform designed to provide financial risk management services. The company's AI-driven financial risk management system provides CFOs and ALCOs everywhere an edge in their day-to-day operations, and offers balance sheet analytics, sensitivity reports, AI optimization, and trade approval and execution, enabling enterprises of all sizes to access an AI-enabled algorithmic derivative hedging strategy.</t>
  </si>
  <si>
    <t>Chaac Ventures, Echelon Capital (Evanston), Gold Coast Tech, MS&amp;AD Ventures, One Washington Financial</t>
  </si>
  <si>
    <t>www.delfi.co</t>
  </si>
  <si>
    <t>1131632-74</t>
  </si>
  <si>
    <t>Denki</t>
  </si>
  <si>
    <t>Developer of an AI-based auditing platform designed to comply with financial regulations. The company's platform applies machine learning to structure and analyze financial and operational data, automates repetitive audit procedures, supports preparation of workpapers and documentation, and surfaces anomalies or exceptions for human review, enabling audit and assurance professionals to reduce manual workload, increase coverage of tested items, and improve consistency of audit processes.</t>
  </si>
  <si>
    <t>20VC, Base10 Partners, Hi2 Global, Shine Capital, Y Combinator</t>
  </si>
  <si>
    <t>www.denki.ai</t>
  </si>
  <si>
    <t>600568-21</t>
  </si>
  <si>
    <t>Dentite</t>
  </si>
  <si>
    <t>Developer of an artificial intelligence medical billing software designed for creating and submitting claims to ensure reimbursement. The company's platform automates the process of submitting medical insurance claims for common dental procedures, enabling dental practices to increase their revenue and handle the entire claims process</t>
  </si>
  <si>
    <t>Acacia Venture Capital Partners, Bold Ventures (Buffalo), GrowthX Capital, Launch NY, Matter (Consulting Services (B2B)), Stone Mountain Ventures, UB Cultivator</t>
  </si>
  <si>
    <t>www.dentite.com</t>
  </si>
  <si>
    <t>470442-88</t>
  </si>
  <si>
    <t>DePay</t>
  </si>
  <si>
    <t>Developer of a decentralized financial services platform for cryptocurrencies designed to simplify and improve payments. The company offers various Defi products for individuals and businesses, including a decentralized payment acceptance protocol, donation platforms, crypto exchange, cryptocurrency wallets, online credit platforms, and payroll management, enabling users to accept and perform crypto payments more efficiently.</t>
  </si>
  <si>
    <t>Hillrise Ventures, Krealo</t>
  </si>
  <si>
    <t>www.depay.com</t>
  </si>
  <si>
    <t>226895-32</t>
  </si>
  <si>
    <t>DepositBook</t>
  </si>
  <si>
    <t>Developer of an open banking platform designed to connect banks and depositors globally for high-value deposits. The company's platform is a global marketplace for wholesale deposits as well, and it offers multiple services in the field of finance through primary issuance placement, secondary trading of major illiquid asset classes, and corporate loans, enabling businesses to shift current market practices from paper, voice, and relationship-based transactions to digital via secure electronic trade workflows.</t>
  </si>
  <si>
    <t>NeoVentures (CVC)</t>
  </si>
  <si>
    <t>www.deposit-book.com</t>
  </si>
  <si>
    <t>528803-02</t>
  </si>
  <si>
    <t>Depozit.UZ</t>
  </si>
  <si>
    <t>Developer of a platform designed to help users compare various financial products like deposits, loans, and bank cards. The company offers a comprehensive set of features, including personalized loan and credit scoring, enabling individuals to make informed financial decisions, while ensuring access to the best available options.</t>
  </si>
  <si>
    <t>AloqaVentures, StartupBase (Uzbekistan), Sturgeon Capital, UzVC</t>
  </si>
  <si>
    <t>www.depozit.uz</t>
  </si>
  <si>
    <t>494114-41</t>
  </si>
  <si>
    <t>Derify protocol</t>
  </si>
  <si>
    <t>Developer of a decentralized derivatives trading platform designed to facilitate the trade of perpetual contracts. The company's platform specializes in infinite liquidity, zero slippage cost, and zero impermanent cost, enabling traders to directly trade with the liquidity pool, without relying on the assistance of a centralized matching system or market makers.</t>
  </si>
  <si>
    <t>Leos Ventures, Portico Ventures, T3Each Global Ventures</t>
  </si>
  <si>
    <t>www.derify.finance</t>
  </si>
  <si>
    <t>155627-02</t>
  </si>
  <si>
    <t>Destacame</t>
  </si>
  <si>
    <t>Developer of a financial well-being platform intended to help individuals regain control of their finances and rebuild their credit standing. The company offers credit history tracking, debt organization tools, financial education resources, and personalized guidance, enabling individuals with limited access to financial services to understand their financial position and improve access to responsible credit.</t>
  </si>
  <si>
    <t>Accion, Banco Santander, Catalyst Fund, Corporación de Fomento de la Producción de Chile, Fen Ventures, Kayyak Ventures, Mountain Partners, SantanderX, Start-Up Chile</t>
  </si>
  <si>
    <t>www.destacame.cl</t>
  </si>
  <si>
    <t>498402-55</t>
  </si>
  <si>
    <t>Destaxa</t>
  </si>
  <si>
    <t>Developer of payment software designed to send each transaction to the acquirer, offering a low processing fee. The company's platform offers a technology to help merchants work with multiple disbursement acquirers and accept multiple networks with its automatic routing systems, enabling merchants to find cost-efficient methods for each deal.</t>
  </si>
  <si>
    <t>Accion, Alessio Alionço, Caravela Capital, Clocktower Ventures, Endeavor Promessas, Norte Ventures, Quona Capital, Supera Capital, Tiago Dalvi</t>
  </si>
  <si>
    <t>www.destaxa.com.br</t>
  </si>
  <si>
    <t>458417-71</t>
  </si>
  <si>
    <t>Destiny (Financial Software)</t>
  </si>
  <si>
    <t>Developer of an investment platform intended to provide investors access to the private tech industry. The company's platform publicly shares financial information of large and medium-cap venture-backed private tech companies, enabling retail investors to invest in the private market.</t>
  </si>
  <si>
    <t>Charlie Cheever, Frederick Ehrsam, Heather Hasson, Keisuke Honda, Luca Ventures, Nasir Jones, Rahul Vohra, Sand Hill Angels, Siqi Chen, Soma Capital, Streamlined Ventures Management, Ullas Naik, Utopian Ventures (San Francisco), Zachary Perret</t>
  </si>
  <si>
    <t>www.destiny.xyz</t>
  </si>
  <si>
    <t>438301-45</t>
  </si>
  <si>
    <t>Deutsche Firmenkredit Partner</t>
  </si>
  <si>
    <t>Provider of financial services intended to promote growth, enable innovation, and create security for medium-sized companies from all sectors. The company's services include in-house financing consultants with improved decision-making templates, which make the process scalable, enabling businesses to have access to corporate loans.</t>
  </si>
  <si>
    <t>FH Ventures (Planegg), HW Capital, Marcus Wolsdorf, Robert Haselsteiner</t>
  </si>
  <si>
    <t>www.dfkp.de</t>
  </si>
  <si>
    <t>339812-38</t>
  </si>
  <si>
    <t>DFWY Tech</t>
  </si>
  <si>
    <t>Developer of a financial data analysis platform designed to help banks evaluate credit level. The company's integrated credit management platform helps financial institutions efficiently evaluate credit and loan data to make more-informed financial management decisions, providing intelligent analytical and product management tools to banking institutions looking to better manage financial data.</t>
  </si>
  <si>
    <t>Delta Capital, Guochuang Zhongding, Legend Capital, Ventech (Paris), Xiamen C&amp;D Corporation</t>
  </si>
  <si>
    <t>www.dfwytech.com</t>
  </si>
  <si>
    <t>494561-44</t>
  </si>
  <si>
    <t>DGlobal</t>
  </si>
  <si>
    <t>Operator of a financial technology company intended to transform financial management for everyone, starting with Pakistan. The company offers a user-centric digital banking system based on ethical banking with an Islamic ethos, enabling users to access financial products and services they need to improve their lives and achieve their goals.</t>
  </si>
  <si>
    <t>www.din.global</t>
  </si>
  <si>
    <t>490796-56</t>
  </si>
  <si>
    <t>Diadem Capital</t>
  </si>
  <si>
    <t>Developer of a funding platform intended to streamline fundraising for venture-backed founders. The company's platform specializes in providing an AI-powered fundraising marketplace in which startups can explore all funding options by adding deal requirements and tracking the progress of negotiations, it offers free service to VCs, CVCs and Family Offices, venture companies that are directed to investors according to their unique criteria, enabling businesses to raise funding rounds and efficiently.</t>
  </si>
  <si>
    <t>Decathlon Capital Partners, Element 46 Tech Accelerator, Innovent Capital Group, IPD Capital, Launch NY, OCA Ventures, Paddock Capital, Western New York Venture Association</t>
  </si>
  <si>
    <t>joindiadem.com</t>
  </si>
  <si>
    <t>343451-35</t>
  </si>
  <si>
    <t>DIBS Capital</t>
  </si>
  <si>
    <t>Developer of a multi-broker network intended to facilitate a market for selling secondary shares of private companies. The company's platform provides complete digitization of the process with Web3 technology, allowing for transparent, secure, and compliant transactions and broker affiliation, enabling clients to get liquidity for their private assets with broker distribution of digitized shares.</t>
  </si>
  <si>
    <t>Asahi Kasei Corporate Venture Capital, Asahi Kasei Therapeutics Venture Capital, Astralabs, Dan Lok Ventures, Draper Associates, Esalen Ventures, EthAum, Expert DOJO, Gaingels, Holt Xchange, MetroCap Partners, Mindful Venture Capital, Practical Venture Capital, Red Thread Ventures, RevTech Labs Capital, TiE Women, Valhalla Private Capital, Weave VC</t>
  </si>
  <si>
    <t>www.dibscapital.com</t>
  </si>
  <si>
    <t>466976-26</t>
  </si>
  <si>
    <t>Dibsy</t>
  </si>
  <si>
    <t>Developer of digital payment software designed to change the face of payments and banking and to make payment processing simple. The company's software offers affordable, straightforward onboarding and fast integration with simple APIs, with this tool, business owners can accept payments through their website, apps, or messaging, enabling businesses to accept multiple forms of payments in one place.</t>
  </si>
  <si>
    <t>Salem Al Mannai</t>
  </si>
  <si>
    <t>www.dibsy.one</t>
  </si>
  <si>
    <t>515355-04</t>
  </si>
  <si>
    <t>Diesta</t>
  </si>
  <si>
    <t>Developer of an artificial intelligence-powered premium reconciliation and payment platform designed to automate financial workflows for the insurance industry. The company's platform offers a specialized financial sub-ledger that unifies policy administration systems, bank data, and payment provider transactions, enabling managing general agents (MGAs), brokers, and insurers to eliminate manual reconciliation tasks, reduce unallocated cash, and accelerate premium distribution.</t>
  </si>
  <si>
    <t>Antler, Commerce Ventures, FinTech Collective, FinTech Innovation Lab, Lloyd's Lab, Plug and Play Tech Center, Restive Ventures, SixThirty Ventures, Systema Nova, Westerly Group</t>
  </si>
  <si>
    <t>www.diesta.co.uk</t>
  </si>
  <si>
    <t>520863-31</t>
  </si>
  <si>
    <t>DigiFT Tech Singapore</t>
  </si>
  <si>
    <t>Developer of a decentralized platform designed for blockchain trading. The company's platform allows trading with the exchange of fiat currency or transferring funds to various wallets, enabling customers to trade decentralized finance products in a regulatory-compliant manner.</t>
  </si>
  <si>
    <t>Hash Global, Hashkey Capital, Mirana Ventures, Offchain Labs, Polygon Labs(IT Consulting and Outsourcing), SBI Holdings, Sequoia Capital, Shanda (Private Equity), Xin Enterprise, Yunqi Partners</t>
  </si>
  <si>
    <t>www.digift.io</t>
  </si>
  <si>
    <t>466061-86</t>
  </si>
  <si>
    <t>DigiKhata</t>
  </si>
  <si>
    <t>Developer of a bookkeeping and accounting application designed to record and manage business transactions. The company offers features for managing business and personal accounts, ledgers, debit-credit transactions, expenses, employee attendance, payroll, salaries, and installment payments in multiple currencies, enabling small businesses to manage customers, suppliers, and bank balances in one place.</t>
  </si>
  <si>
    <t>Karandaaz, Keystone Capital (US), MSA Capital, Orbit Ventures (Venture Capital), Shorooq Partners, SOSV, Taarah Ventures, Telenor Velocity, Venture for Pakistan</t>
  </si>
  <si>
    <t>www.digikhata.pk</t>
  </si>
  <si>
    <t>183407-14</t>
  </si>
  <si>
    <t>Digio (Financial Services)</t>
  </si>
  <si>
    <t>Developer of a unified payment technology platform designed to combine payment methods and process all credit or debit cards. The company's platform offers end-to-end payment processing, compliance, security, and back-office access to all kinds of international and local card schemes and e-wallets and makes it available across all channels, enabling financial institutions to process their financial requirements in a convenient manner.</t>
  </si>
  <si>
    <t>Beacon Venture Capital, Processing Center Company, Siam Alpha Equity</t>
  </si>
  <si>
    <t>www.digio.co.th</t>
  </si>
  <si>
    <t>234492-76</t>
  </si>
  <si>
    <t>Digital Agriculture Services</t>
  </si>
  <si>
    <t>Developer of a cloud-based rural intelligence platform intended to deliver reliable rural data and analytics. The company's platform provides complete coverage of Australian rural property, with scientifically supported, ground-truthed data and insights, along with geographic coverage, automatic, evidence-based guidance, production forecasting, benchmarking, and exclusive digital agricultural insights from renowned scientists, enabling clients to predict and manage agriculture investment and commerce.</t>
  </si>
  <si>
    <t>Blackbird Ventures, CSIRO, Firemark Ventures, Insurance Australia Group, NOAB Ventures, Nutrien Ag Solutions, Startmate, TELUS Global Ventures, The Agfood Fund</t>
  </si>
  <si>
    <t>www.digitalagricultureservices.com</t>
  </si>
  <si>
    <t>1157717-44</t>
  </si>
  <si>
    <t>Digital Gravity Network Technology</t>
  </si>
  <si>
    <t>Big Data, FinTech, Manufacturing</t>
  </si>
  <si>
    <t>Developer of an industrial-internet system designed to streamline the supply, distribution, and financing of industrial resources. The company offers an integrated platform featuring online trading of industrial materials, big-data driven supply-chain intelligence, and embedded digital financing, enabling manufacturing enterprises and supply-chain stakeholders to unlock greater operational efficiency and collaboration.</t>
  </si>
  <si>
    <t>Chongqing Zongshen Power, Jiangsu Jinrun Industrial Investment, Jiangxi Dacheng Industrial Investment Management, NewMargin Capital</t>
  </si>
  <si>
    <t>www.360shuyin.com</t>
  </si>
  <si>
    <t>398903-05</t>
  </si>
  <si>
    <t>Digital International Bank</t>
  </si>
  <si>
    <t>Provider of financial and banking services intended to provide technology-driven and customer-oriented services. The company's services include individual and corporate banking, such as opening savings accounts at competitive interest rates, providing loans, and time deposits, enabling clients to get a single-stop place for all their banking-related needs.</t>
  </si>
  <si>
    <t>www.bankdib.com</t>
  </si>
  <si>
    <t>720238-06</t>
  </si>
  <si>
    <t>DigiTax</t>
  </si>
  <si>
    <t>Developer of tax compliance software designed for regulatory reporting and financial record management. The company's platform facilitates digital tax filing, invoicing, and real-time transaction tracking with automated data synchronization, electronic document generation, and secure cloud storage, enabling businesses to maintain compliance with tax regulations, streamline financial workflows, and reduce manual effort in tax reporting and record-keeping.</t>
  </si>
  <si>
    <t>Equitable Ventures, FrontEnd Ventures, Higa Capital, Kitsilano Technologies, Safaricom Spark Accelerator</t>
  </si>
  <si>
    <t>www.digitax.tech</t>
  </si>
  <si>
    <t>233230-15</t>
  </si>
  <si>
    <t>Digitt</t>
  </si>
  <si>
    <t>Provider of digital lending and credit refinancing services in Guadalajara, Jalisco. The company offers credit card refinancing loans, debt consolidation, online loan origination, fixed-term repayment plans, loan account management, and digital payment tracking.</t>
  </si>
  <si>
    <t>Agave Lab, Angel Ventures Mexico, APX Capital, Capria Ventures, Clocktower Ventures, Daniel Braatz, Dillon Krasnigor, FJ Labs, Gilgamesh Ventures, Guadalajara Angel Investor Network, Hypothesis Studio, ID345, IGNIA, Irrazonables, John Buttrick, KohFounders, Latitud, Manolo Sánchez, New Stack Ventures, People Ventures, Polymath Ventures, Renaud Laplanche, Saturnino Fanlo, Treville Capital Group, Yes VC, Yolo Investments</t>
  </si>
  <si>
    <t>www.digitt.com</t>
  </si>
  <si>
    <t>541181-89</t>
  </si>
  <si>
    <t>DiiMO</t>
  </si>
  <si>
    <t>Developer of a money lending platform designed to help small and medium enterprises in El Salvador. The company's platform gives access to capital advances in a fully digital way, giving people the possibility of requesting a loan at any time from anywhere, enabling local citizens to avoid requesting loans from informal lenders and paying high interest.</t>
  </si>
  <si>
    <t>Delta Accelerator, Endless Ventures, HAguila Investments, Irrazonables</t>
  </si>
  <si>
    <t>www.diimo.co</t>
  </si>
  <si>
    <t>753158-89</t>
  </si>
  <si>
    <t>Dija (Financial Services)</t>
  </si>
  <si>
    <t>Developer of a financial wellness application intended for educational purposes. The company's platform provides users with daily micro-learning modules, interactive money management challenges, and automated progress tracking systems, enabling women to cultivate sustainable financial habits, improve literacy regarding personal investment strategies, and achieve long-term economic independence through a gamified interface that emphasizes behavioral consistency and community support.</t>
  </si>
  <si>
    <t>Plus Venture Capital</t>
  </si>
  <si>
    <t>www.dija.money</t>
  </si>
  <si>
    <t>1150922-35</t>
  </si>
  <si>
    <t>DiligenceSquared</t>
  </si>
  <si>
    <t>Provider of AI-powered market research and commercial due diligence services intended for investors, private equity firms, and businesses. The platform uses artificial intelligence to collect and analyze market data, conduct automated expert interviews, and generate detailed reports by automating many tasks traditionally done by consulting firms, enabling clients to evaluate markets, competitors, and potential investments.</t>
  </si>
  <si>
    <t>Amino Capital, Founder Factor, Multimodal Ventures, Relentless VC, Twenty Two Ventures, Y Combinator</t>
  </si>
  <si>
    <t>www.diligencesquared.com</t>
  </si>
  <si>
    <t>266111-92</t>
  </si>
  <si>
    <t>Dingfu Data</t>
  </si>
  <si>
    <t>Developer of an analysis platform intended to enhance financial decision-making and insight generation. The company's platform leverages artificial intelligence, big data, and natural language processing to deliver financial analysis, enabling financial institutions to identify default risks, streamline data processing, and improve research efficiency.</t>
  </si>
  <si>
    <t>www.dingfudata.com</t>
  </si>
  <si>
    <t>496455-49</t>
  </si>
  <si>
    <t>Dinner Table</t>
  </si>
  <si>
    <t>AudioTech, EdTech, LOHAS &amp; Wellness, Mobile, SaaS</t>
  </si>
  <si>
    <t>Provider of parenting education and coaching services designed for developing value-driven family systems and child development practices. The company's platform offers structured courses, live coaching sessions, community forums, and educational tools covering financial literacy, relationship building, value creation, and practical life skills, enabling parents and caregivers to implement long-term strategies for fostering independence, emotional intelligence, financial responsibility, and generational impact within their households.</t>
  </si>
  <si>
    <t>Altrus Capital, David Meltzer, Dream Ventures, Gino Wickman, Jim Kwik, Kale Investment Fund, Kate Wells, Loral Langemeier, Mark Timm, Solyco Capital</t>
  </si>
  <si>
    <t>www.dinnertable.com</t>
  </si>
  <si>
    <t>436046-05</t>
  </si>
  <si>
    <t>Diool</t>
  </si>
  <si>
    <t>Developer of a payment processing platform designed to carry out financial transactions digitally. The company's platform facilitates digital payment acceptance from multiple channels, automates transaction tracking, provides detailed financial reporting, supports user management and access control, and integrates with local banks and mobile money services, enabling businesses to manage and streamline their financial operations more effectively.</t>
  </si>
  <si>
    <t>Seedstars International Ventures, The Family (Financial Services), The Lundin Group</t>
  </si>
  <si>
    <t>www.diool.com</t>
  </si>
  <si>
    <t>757154-26</t>
  </si>
  <si>
    <t>Disputed.ai</t>
  </si>
  <si>
    <t>Developer of an AI-powered chargebacks platform designed to streamline revenue management for online businesses. The company's platform offers tailored, comprehensive chargeback handling and brand protection, enabling e-commerce merchants to reduce financial losses and maintain customer trust, providing strategic chargeback resolution.</t>
  </si>
  <si>
    <t>www.disputed.ai</t>
  </si>
  <si>
    <t>720015-31</t>
  </si>
  <si>
    <t>Distributed Technologies Research</t>
  </si>
  <si>
    <t>Developer of a financial technology platform designed to build next-generation global payments infrastructure. The company's platform combines traditional fiat payment rails with blockchain and stablecoin technology to send, receive, hold, and convert funds across borders, enabling businesses to streamline functions such as cross-border payments, global payroll, merchant checkout, and treasury management.</t>
  </si>
  <si>
    <t>www.dtr.org</t>
  </si>
  <si>
    <t>434391-13</t>
  </si>
  <si>
    <t>Divibank</t>
  </si>
  <si>
    <t>Developer of financial services software designed to facilitate customers' access to products and services offered by accredited financial institutions. The company's mission is to be the go-to partner for companies looking to expand efficiently, offering technology and personalized support in an all-in-one platform. The company's platform integrates multiple payment methods, helping businesses reduce costs, increase transaction approvals, and drive sustainable growth.</t>
  </si>
  <si>
    <t>Allievo Capital, Alter Global, Alumni Ventures, Balaji Vijayan, Basecamp Fund, Better Tomorrow Ventures, Burch Creative Capital, Clocktower Ventures, Daniel Simon, DD Venture Capital, Endeavor Promessas, Gaingels, Gilgamesh Ventures, Interplay Ventures, Jenny Johnston, Joshua Abramowitz, Kairos Angels, Karim Atiyeh, Kube VC, Magma Partners, Maya Capital (Brazil), Partners Edge (USA), Presight Capital, Rally Cap VC, Sebastian Mejia, Tayo Oviosu, The Fintech Fund, Udayan Pandey, Village Global</t>
  </si>
  <si>
    <t>www.divibank.co</t>
  </si>
  <si>
    <t>593888-05</t>
  </si>
  <si>
    <t>DivTax</t>
  </si>
  <si>
    <t>Developer of a digital tax reclaiming platform designed to maximize customers' dividend yields. The company offers a fully digital platform to reclaim foreign Quellensteuer on dividends, enabling customers to optimize their dividend yields.</t>
  </si>
  <si>
    <t>Angel Invest, Capcircle Partners, Christian Stiebner, Innovationsstarter, Matthias Goegele, Maximilian Linden, Ralph Müller, Superangels, TKM (Bonnl)</t>
  </si>
  <si>
    <t>www.div.tax</t>
  </si>
  <si>
    <t>156446-11</t>
  </si>
  <si>
    <t>Diyi Chedai</t>
  </si>
  <si>
    <t>FinTech, Mobility Tech, TMT</t>
  </si>
  <si>
    <t>Developer of an online loan-financing platform designed to enhance the efficiency and transparency of vehicle-related financing across the automotive aftermarket. The company offers integrated financial product design, asset management capabilities, and data-driven risk controls, enabling used-car dealers, automotive logistics operators, and end consumers to access streamlined financing and improved capital circulation.</t>
  </si>
  <si>
    <t>360 Jinrong, Addor Capital, Bailian Group, Beijing Automotive Group Industrial Investment, China Growth Capital, CITIC Group, CreditEase, Guangdong Yuecai Venture Capital, MPC (Beijing), Shanghai Jingxi Investment Management Partnership, Shanghai Stone Capital, Southeast University Education Foundation, Tianma Shares, Youjin Capital</t>
  </si>
  <si>
    <t>www.1che.com</t>
  </si>
  <si>
    <t>459803-98</t>
  </si>
  <si>
    <t>Djamo</t>
  </si>
  <si>
    <t>Developer of a financial application designed to allow customers to use their cards with zero fees for a wide range of services. The company's application offers free cards and limitless cards that can be used as normal debit cards, virtual accounts, automatic savings, and a product to receive salaries, complementing the existing local and cross-border payment offers available with the app and card, enabling users to set aside funds as savings, track expenses, manage card payments and control withdrawals and finances.</t>
  </si>
  <si>
    <t>Athletico Ventures, AXIAN Group, AXIAN Investment, DCG Expeditions, Digital Currency Group, Enza Capital, Janngo, Kima Ventures, Launch Africa Ventures, Norrsken Africa Seed, Oikocredit, P1 Ventures, Partech, SANAD Fund, The Raba Partnership, Verod-Kepple Africa Ventures, Y Combinator, Youcef Es-skouri</t>
  </si>
  <si>
    <t>www.djamo.com</t>
  </si>
  <si>
    <t>638542-45</t>
  </si>
  <si>
    <t>DL Software</t>
  </si>
  <si>
    <t>Operator of a software portfolio company intended to cater to people based in New York, United States. The company is engaged in developing various software in fintech, designing, and healthcare sector applications, enabling businesses to run operations at ease at an affordable cost.</t>
  </si>
  <si>
    <t>Balaji Srinivasan, Dao5, Evolve Ventures, Flex Capital, Infinitum, Kevin Zhou, Meltem Demirors</t>
  </si>
  <si>
    <t>www.dl.software</t>
  </si>
  <si>
    <t>530974-09</t>
  </si>
  <si>
    <t>Dneuro</t>
  </si>
  <si>
    <t>Operator of an artificial intelligence robo-advisor platform intended to digitize the asset management process. The company's platform is designed to provide customized portfolios for retirement pension, variable insurance, wrap account, and corporate fund management outsourcing (OCIO), according to individual income, expenses, assets, and liabilities, enabling consultants with a comprehensive and personalized asset management system.</t>
  </si>
  <si>
    <t>Douzone Bizon, Fintech cube, Seoul Fintech Lab, Shinhan Futures Lab, Tech Incubator Program for Startup</t>
  </si>
  <si>
    <t>www.dneuro.ai</t>
  </si>
  <si>
    <t>454384-63</t>
  </si>
  <si>
    <t>Dojah</t>
  </si>
  <si>
    <t>Developer of a cross-industry API platform designed to allow developers and businesses to access multiple services in one integration. The company's business platform offers the team the ability to connect to several APIs which can be used for different services like financial services, KYC services, money laundering services, and many more, providing banks and financial institutions with a dashboard to manage the account efficiently.</t>
  </si>
  <si>
    <t>Ajim Capital, FastForward (Lagos), GreenHouse Capital, Hatcher+, Plug and Play Tech Center, Swiss Founders Fund, Visa Accelerator, Y Combinator</t>
  </si>
  <si>
    <t>www.dojah.io</t>
  </si>
  <si>
    <t>601913-89</t>
  </si>
  <si>
    <t>Dolly Card</t>
  </si>
  <si>
    <t>Provider of prepaid debit cards catering to the filmmaking industry. The company's card is built for the pre-production, on-set, and post-production expenses and issue instant cards to your crew, linked to your budget's line items, enabling producers to issue virtual cards to every crew member with one click, capturing each expense at the point of sale, rather than requiring paper invoicing, cash or repayment and manual expense tracking.</t>
  </si>
  <si>
    <t>Fika Ventures</t>
  </si>
  <si>
    <t>www.dollycard.com</t>
  </si>
  <si>
    <t>688451-86</t>
  </si>
  <si>
    <t>Domain Diligence</t>
  </si>
  <si>
    <t>Developer of an online platform intended to mediate merger and acquisition transactions. The company's platform offers tools and resources to expedite and streamline due diligence processes, enabling investment banks to conduct thorough investigations efficiently.</t>
  </si>
  <si>
    <t>Illinois Ventures, Polsky Center for Entrepreneurship and Innovation at the University of Chicago, The Grainger College of Engineering</t>
  </si>
  <si>
    <t>493866-91</t>
  </si>
  <si>
    <t>Domino (Financial Software)</t>
  </si>
  <si>
    <t>Developer of an investment platform designed to manage investment details from stocks to crypto. The company's platform offers real-time market price, portfolio return management function, asset weight management function, and dividend management function, enabling investors to track investment portfolios including domestic stocks, foreign stocks, and cryptocurrencies, and share portfolios with other investors.</t>
  </si>
  <si>
    <t>CashWalk, Hana Ventures, Korea Investment Partners, Spring Camp, Stonebridge Ventures (Seoul), Tech Incubator Program for Startup</t>
  </si>
  <si>
    <t>www.domino.is</t>
  </si>
  <si>
    <t>1081789-21</t>
  </si>
  <si>
    <t>Donnerstag.ai</t>
  </si>
  <si>
    <t>Developer of financial reconciliation software intended to automate financial reconciliation across enterprise operational and payment data. The company offers financial reconciliation, receivables management, discrepancy detection, payment matching, ERP integrations, and workflow automation, enabling finance teams to reconcile services, invoices, and payments across enterprise systems.</t>
  </si>
  <si>
    <t>Crestone Venture Capital, Hansmann Family Office, QED Investors, Speedinvest</t>
  </si>
  <si>
    <t>donnerstag.ai</t>
  </si>
  <si>
    <t>471073-78</t>
  </si>
  <si>
    <t>DonorSee</t>
  </si>
  <si>
    <t>Operator of an online donation-based crowdfunding platform intended to provide money to needy people. The company's platform helps users post their campaigns, raise funds that are transferred directly to the bank account of the campaign owner for a social cause, and provide a video update showing the impact, enabling donors to help individuals and causes in need.</t>
  </si>
  <si>
    <t>Casa do Impacto</t>
  </si>
  <si>
    <t>www.donorsee.com</t>
  </si>
  <si>
    <t>600578-11</t>
  </si>
  <si>
    <t>Doo!</t>
  </si>
  <si>
    <t>Developer of an essential services platform designed for service aggregation and payments. The company's platform offers a diverse range of services such as bus ticket reservations, ordering administrative documents, subscribing to insurance, purchasing tickets for cultural events, and connecting agents and partners offering customer services, enabling users to get the different services needed through a network of mobile money points.</t>
  </si>
  <si>
    <t>Saviu Ventures, Timbuktoo Fintech Startup Accelerator Programme</t>
  </si>
  <si>
    <t>www.doo.africa</t>
  </si>
  <si>
    <t>268670-62</t>
  </si>
  <si>
    <t>Doorway</t>
  </si>
  <si>
    <t>Operator of a venture capital platform intended for individuals to participate in the venture capital market. The company's platform offers access to exclusive investment by selecting promising startups based on criteria such as market potential, financial health, and team expertise, enabling investors to invest in a curated selection of high-growth startups with the potential for significant returns.</t>
  </si>
  <si>
    <t>Alberto Grignolo, Alessandro Bonfiglioli, Angels4Women, Buono &amp; Partners, CDP Venture Capital (Rome), Enrico Donati, Francesco Caio, Giorgio De Giorgi, Marco Occhetti, Paola Lanati, Piercarlo Gera, Pietro Saccomandi</t>
  </si>
  <si>
    <t>doorway.investments</t>
  </si>
  <si>
    <t>772524-91</t>
  </si>
  <si>
    <t>Dorje AI</t>
  </si>
  <si>
    <t>Developer of an all-in-one workflow platform designed to automate all business processes. The company's platform helps to boost productivity, cut costs, and simplify operations with no implementation costs, enabling clients to help automate workflows with AI, free up time for employees, and improve productivity.</t>
  </si>
  <si>
    <t>Orvel Ventures</t>
  </si>
  <si>
    <t>www.dorje.ai</t>
  </si>
  <si>
    <t>522883-99</t>
  </si>
  <si>
    <t>Doss</t>
  </si>
  <si>
    <t>Artificial Intelligence &amp; Machine Learning, FinTech, Manufacturing, SaaS</t>
  </si>
  <si>
    <t>Developer of enterprise operations software designed to manage and automate core business processes across finance, supply chain, and data management.
The company's platform integrates inventory tracking, procurement, order processing, accounting, data storage, workflow configuration, analytics, automation, and system integrations within a single configurable environment, enabling manufacturing, distribution, consumer goods, and operationally complex mid-market enterprises to centralize data, adapt processes quickly, improve visibility across operations, reduce manual effort, and support scalable growth without additional operational overhead.</t>
  </si>
  <si>
    <t>47th Street Partners Management, Amplify Partners, Base Case Capital, Commerce Ventures, Contrary (San Francisco), General Catalyst, Greyhound Capital, Hawk Hill Ventures, Intuit Ventures, Madrona Venture Group, Mintaka Ventures, Pathlight Ventures, Premji Invest (US), Theory Ventures, Village Global, XYZ Venture Capital</t>
  </si>
  <si>
    <t>www.doss.com</t>
  </si>
  <si>
    <t>664524-73</t>
  </si>
  <si>
    <t>Dossiers</t>
  </si>
  <si>
    <t>Developer of an AI-powered anti-money laundering and compliance toolkit intended to reduce financial risk. The company's software minimizes risks that come from specially designated nationals, politically exposed persons, and other high-risk customers, enabling financial institutions to mitigate risk.</t>
  </si>
  <si>
    <t>nVentures</t>
  </si>
  <si>
    <t>www.dossiers.wiki</t>
  </si>
  <si>
    <t>442501-12</t>
  </si>
  <si>
    <t>Dougs</t>
  </si>
  <si>
    <t>Provider of online accounting services intended to handle financial statements and generate tax filings. The company's platform offers features such as real-time income statement screening, forecasting of charges, balance sheet, and tax deductions, and other accounting functions, enabling accountants and businesses to maintain their financial data.</t>
  </si>
  <si>
    <t>Expedition Growth Capital</t>
  </si>
  <si>
    <t>www.dougs.fr</t>
  </si>
  <si>
    <t>551735-56</t>
  </si>
  <si>
    <t>Downpayments</t>
  </si>
  <si>
    <t>Provider of financing services intended for the purchase of real estate property. The company offers transformational capital, buyer agency services, and technology to the buyers to break their commitment and provide interest-free payments at low rates, enabling users to turn equity into an interest-free down payment.</t>
  </si>
  <si>
    <t>Second Century Ventures</t>
  </si>
  <si>
    <t>www.downpayments.com</t>
  </si>
  <si>
    <t>1153065-25</t>
  </si>
  <si>
    <t>Draconic</t>
  </si>
  <si>
    <t>Developer of an artificial intelligence-powered trading assistant platform designed for navigating volatile financial markets. The company's platform processes data across equities, forex, crypto, and commodity markets using multi-agent AI models, cross-market correlation algorithms, adaptive learning of user behavior, and pattern detection among hundreds of institutional indicators, enabling traders to make more informed decisions, adapt to changing market conditions, and improve overall trading performance.</t>
  </si>
  <si>
    <t>WEH Ventures</t>
  </si>
  <si>
    <t>www.draconic.ai</t>
  </si>
  <si>
    <t>1157401-63</t>
  </si>
  <si>
    <t>Drake (Financial Services)</t>
  </si>
  <si>
    <t>Developer of a cryptocurrency exchange platform designed to facilitate decentralized trading of digital assets. The company's platform offers a full limit order book, cross-margin trading, collateral swaps, and backstop AMM liquidity, enabling users to trade with, participate as liquidity providers through earn, and leverage automated vaults for delta-neutral yield strategies.</t>
  </si>
  <si>
    <t>CMS Holdings (New York), Monad Foundation</t>
  </si>
  <si>
    <t>www.drake.exchange</t>
  </si>
  <si>
    <t>109172-17</t>
  </si>
  <si>
    <t>Dream Payments</t>
  </si>
  <si>
    <t>Developer of a digital payment platform designed to make digital transactions easier. The company's platform helps in accepting payments, issuing receipts, customization and managing product catalogues and sales reviews in real-time, enabling merchants to offer frictionless digital and mobile payment experiences to their end customers.</t>
  </si>
  <si>
    <t>Acreditus Partners, Aly Shalakany, Amitaabh Malhotra, Blue Sky Capital, C100 (Commercial Services), Celtic House Asia Partners, Connecticut Innovations, Deepak Jain, FairVentures, GCI Capital (Toronto), Maco.la Capital, Real Ventures, Rouge River Capital, Scott Matthews, Sky Blue Impact, Startupbootcamp Holding, Sutter Securities Group, TD Bank (USA), Tessera Venture Partners, The Lazaridis Institute, VentureClash, Verstra Ventures</t>
  </si>
  <si>
    <t>www.dreampayments.com</t>
  </si>
  <si>
    <t>711341-65</t>
  </si>
  <si>
    <t>DreamFi</t>
  </si>
  <si>
    <t>Operator of a financial platform designed to help users save money on everyday expenses and build a plan toward economic freedom. The company offers affordable cell phone plans, instant prescription discounts, and life insurance access with a checking account, enabling individuals seeking financial control to reduce costs and improve their money management.</t>
  </si>
  <si>
    <t>www.dreamfi.com</t>
  </si>
  <si>
    <t>521057-35</t>
  </si>
  <si>
    <t>DREX</t>
  </si>
  <si>
    <t>Provider of a business-to-business renewable energy finance marketplace intended to aggregate small and medium-sized clean energy projects. The company's platform makes clean energy projects bankable, enabling businesses access to investment in half the time of a traditional project finance transaction.</t>
  </si>
  <si>
    <t>Halcyon Incubator, Outlier Ventures</t>
  </si>
  <si>
    <t>www.drex.network</t>
  </si>
  <si>
    <t>895314-43</t>
  </si>
  <si>
    <t>DRIVECredit</t>
  </si>
  <si>
    <t>Developer of a credit restoration program designed to help clients achieve mortgage eligibility. The company combines AI-powered proprietary credit analysis software, personalized coaching, and a money-back guarantee upon home closing, enabling customers with low credit scores to rapidly rebuild their financial profile, access mortgage and auto financing opportunities, and gain long-term credit education and support.</t>
  </si>
  <si>
    <t>Impact Foundation</t>
  </si>
  <si>
    <t>www.drivecredit.co</t>
  </si>
  <si>
    <t>162299-44</t>
  </si>
  <si>
    <t>Drop</t>
  </si>
  <si>
    <t>Developer of a cashback platform designed to help users earn points when they shop. The company's platform encourages customers to keep shopping by offering rewards like points, discounts, and cashback in exchange for purchases, enabling shoppers with ways to save money and brands to influence and understand consumer behavior to offer a customized shopping experience.</t>
  </si>
  <si>
    <t>C100 (Commercial Services), Candice Faktor, Capital One Ventures, CSC UpShot Ventures, ff Venture Capital, Fjor (US), G5 Capital (Greenwich), Gaingels, Hedgewood, Highline Beta, HOF Capital, Kensington Capital Partners, MaRS Discovery District, Natureza Growth Partners, New Enterprise Associates, Plaza Asset Management, Portage, Radical Ventures, RBCx, Rogue Insight Capital, Royal Bank of Canada, Sand Hill Angels, Sierra Ventures, SVB Financial Group, Synchrony Ventures, Tom Williams, Two Small Fish Ventures, Versatile Venture Capital, White Star Capital</t>
  </si>
  <si>
    <t>www.joindrop.com</t>
  </si>
  <si>
    <t>496733-14</t>
  </si>
  <si>
    <t>DRUO</t>
  </si>
  <si>
    <t>Operator of an account-based payment infrastructure intended to facilitate direct bank debit transactions for businesses and consumers. The company offers direct connections with financial institutions, international debit network capabilities, fraud reduction features, and bank account-based payment processing, enabling merchants and businesses to accept digital payments with lower transaction costs and broader customer access.</t>
  </si>
  <si>
    <t>4YFN, Crestone Venture Capital, Global FinTech Venture Partners, Global PayTech Ventures, Operator Stack, Plug and Play Tech Center, Unpopular Ventures</t>
  </si>
  <si>
    <t>www.druo.com</t>
  </si>
  <si>
    <t>522095-59</t>
  </si>
  <si>
    <t>DrutoLoan</t>
  </si>
  <si>
    <t>Developer a digital loan application intended to help entrepreneurs in times of emergencies, and business opportunities. The company's application offers personal loans, emergency loans, travel loans, medical loans, maternity loans, business loans, mutual trust loans, household loans, and savings schemes, enabling clients to make financial decisions and take loans securely and in a hassle free manner.</t>
  </si>
  <si>
    <t>www.drutoloan.com</t>
  </si>
  <si>
    <t>624386-53</t>
  </si>
  <si>
    <t>DSScorp</t>
  </si>
  <si>
    <t>Provider of financial technology services based in Memphis, Tennessee. The company offers technology services such as software to integrate with core systems, enabling banks and credit unions to interact with digital assets.</t>
  </si>
  <si>
    <t>www.dsscorp.io</t>
  </si>
  <si>
    <t>600083-56</t>
  </si>
  <si>
    <t>dtbX</t>
  </si>
  <si>
    <t>Developer of a hyper-personalization platform designed to integrate and manage fragmented banking systems. The company offers a technology stack that enables interoperability across core banking, payment, lending, and related systems, along with data-driven insights and AI-based pattern identification, enabling clients to unify existing applications, improve efficiency, and deliver digital banking services.</t>
  </si>
  <si>
    <t>Kettleborough VC</t>
  </si>
  <si>
    <t>www.gravity.ind.in</t>
  </si>
  <si>
    <t>529671-43</t>
  </si>
  <si>
    <t>dtcpay</t>
  </si>
  <si>
    <t>Developer of a digital payments network designed to provide real-time settlement and regulated financial services across multiple jurisdictions. The company offers a globally licensed payment infrastructure, integration of digital assets with traditional finance, and cross-border transaction capabilities, enabling businesses and individuals to conduct compliant transactions across regions with streamlined payment processing.</t>
  </si>
  <si>
    <t>David Tung, Jean Marc Poullet, Kwee Liong Tek, Start Path, Tham Sai Choy, Vertex Ventures Southeast Asia &amp; India</t>
  </si>
  <si>
    <t>www.dtcpay.com</t>
  </si>
  <si>
    <t>469510-84</t>
  </si>
  <si>
    <t>du-it</t>
  </si>
  <si>
    <t>Developer of a B2B transaction platform intended to provide digital installment payment resolutions. The company's platform supports online and in-store deferred payment processing, automated credit assessment, merchant integration APIs, transaction management, and reconciliation tools, enabling retailers and small to medium-sized enterprises to offer structured installment options, manage receivables, and facilitate compliant buy now pay later transactions across business-to-consumer and business-to-business sales channels.</t>
  </si>
  <si>
    <t>www.du-it.my</t>
  </si>
  <si>
    <t>897521-23</t>
  </si>
  <si>
    <t>Duckbill (Financial Software)</t>
  </si>
  <si>
    <t>Big Data, CloudTech &amp; DevOps, FinTech</t>
  </si>
  <si>
    <t>Developer of cloud cost management and financial planning tools designed to help enterprises control infrastructure spending. The company offers software that aggregates cloud usage and billing data, analyzes contract terms and key cost drivers, and supports forecasting and FinOps reporting, enabling finance leaders, engineering teams, and procurement stakeholders to understand cloud expenditures, align budgets, and manage ongoing cloud economics.</t>
  </si>
  <si>
    <t>Adam Gross, Brian Hall, David Singleton, Encoded Ventures, Heavybit, Mark Imbriaco, Uncork Capital</t>
  </si>
  <si>
    <t>www.duckbillhq.com</t>
  </si>
  <si>
    <t>1257869-17</t>
  </si>
  <si>
    <t>Dueflow</t>
  </si>
  <si>
    <t>Developer of a payment and treasury management platform designed to streamline financial administration for member-run organizations. The company offers tools for collecting dues, managing reimbursements, tracking payments, and automating financial workflows, enabling fraternities, sororities, and clubs to replace manual collection processes and maintain clear financial records.</t>
  </si>
  <si>
    <t>Google Accelerator, Pirque</t>
  </si>
  <si>
    <t>www.dueflow.co</t>
  </si>
  <si>
    <t>340822-63</t>
  </si>
  <si>
    <t>Duemint</t>
  </si>
  <si>
    <t>Developer of financial management software designed for accounts receivable, payable, and treasury operations. The company's platform provides automated invoice processing, payment scheduling, real-time reconciliation, omnichannel messaging for payment reminders, online payment integration, enabling businesses to optimize cash flow, reduce manual workload, and enhance financial control.</t>
  </si>
  <si>
    <t>Chile Ventures, UDD Ventures</t>
  </si>
  <si>
    <t>www.duemint.com</t>
  </si>
  <si>
    <t>711818-47</t>
  </si>
  <si>
    <t>Duna</t>
  </si>
  <si>
    <t>Artificial Intelligence &amp; Machine Learning, FinTech, HR Tech</t>
  </si>
  <si>
    <t>Developer of a compliance management platform designed to automate manual work and business onboarding. The company's platform automates manual compliance tasks through an AI-native policy and risk engine, and reduces costs by optimizing the business onboarding workflow, enabling enterprises to grow, eliminate friction, and instantly deliver higher conversion.</t>
  </si>
  <si>
    <t>CapitalG, Claire Johnson, Frank Slootman, Index Ventures, Puzzle Ventures (Berlin)</t>
  </si>
  <si>
    <t>www.duna.com</t>
  </si>
  <si>
    <t>520002-46</t>
  </si>
  <si>
    <t>Dunning</t>
  </si>
  <si>
    <t>Developer of receivables management software designed for automating and optimizing credit collections based on customer payment behavior. The company's platform uses artificial intelligence, personalized credit scoring, automated communication through email, text messages, and voice calls, integration with enterprise resource planning systems, and access to national credit databases, enabling businesses that operate on credit to reduce defaults and improve recovery performance through data-driven workflows, predictive analysis, and customizable billing and notification tools.</t>
  </si>
  <si>
    <t>BMG Uptech, Capital Empreendedor, FIEMG Lab</t>
  </si>
  <si>
    <t>www.dunning.com.br</t>
  </si>
  <si>
    <t>234709-30</t>
  </si>
  <si>
    <t>DunRok</t>
  </si>
  <si>
    <t>Developer of a digital investment banking platform designed to bridge the gap between banking and digital assets. The company's platform offers an end-to-end ecosystem for investment banking, underwriting, financial asset custody, and asset trading, enabling companies to get a regulated financial system for security tokens.</t>
  </si>
  <si>
    <t>Holdun Family Office</t>
  </si>
  <si>
    <t>720035-38</t>
  </si>
  <si>
    <t>Dwilar</t>
  </si>
  <si>
    <t>Developer of a credit assessment platform designed to help individuals and investors access financial services across borders. The company's platform leverages AI and offers automated credit conversion, risk and fraud detection, and compliance tools, enabling international residents and cross-border investors to maintain credit continuity, secure overseas financing, and access lending conditions globally.</t>
  </si>
  <si>
    <t>9Capital, Berkeley SkyDeck, Beyond Japan, Buzz Innovation Inc., East Ventures, FinTech Sandbox, ICT STARTUP LEAGUE, MTG Ventures, Plug and Play Tech Center, Seven Bank, Shinryo Fund, Z Venture Capital</t>
  </si>
  <si>
    <t>www.dwilar.tech</t>
  </si>
  <si>
    <t>292762-36</t>
  </si>
  <si>
    <t>DX Compliance</t>
  </si>
  <si>
    <t>Developer of compliance technology designed to help financial institutions mitigate risk and scale operations efficiently. The company offers a platform featuring machine learning for real-time transaction monitoring and frontier technologies to identify patterns within an institution, enabling specialized firms and fast-growing businesses to automate regulatory processes while ensuring effective risk management and operational oversight.</t>
  </si>
  <si>
    <t>BetaDen, Enterprise Ireland, EY FinTech Growth Programme, Hub71, NDRC</t>
  </si>
  <si>
    <t>www.dxcompliance.com</t>
  </si>
  <si>
    <t>481566-16</t>
  </si>
  <si>
    <t>E-ctare</t>
  </si>
  <si>
    <t>AgTech, FinTech, Mobile, SaaS, Supply Chain Tech</t>
  </si>
  <si>
    <t>Provider of financial ecosystem services intended for agricultural operations. The company provides credit, digital wallets, and financial management tools, integrating advanced technology and engineering to streamline transactions and enhance liquidity, enabling farmers and agribusinesses to access and manage finances efficiently.</t>
  </si>
  <si>
    <t>Baita, Bridges for Innovation, Esalqtec</t>
  </si>
  <si>
    <t>ectare.com.br</t>
  </si>
  <si>
    <t>749220-49</t>
  </si>
  <si>
    <t>E-Money Markets</t>
  </si>
  <si>
    <t>Provider of foreign exchange and payment services intended to empower high-net-worth individuals in managing international transactions. The company offers a white-label platform, consultancy services, customer services, data reconciliation, and real-time data insights, enabling clients to navigate market conditions with greater efficiency and transparency.</t>
  </si>
  <si>
    <t>CH1 Investment Partners</t>
  </si>
  <si>
    <t>www.e-moneymarkets.com</t>
  </si>
  <si>
    <t>56876-59</t>
  </si>
  <si>
    <t>E-Settlement</t>
  </si>
  <si>
    <t>Developer of a payment service application designed to control and provide information on business performance. The company's services facilitate the transfer of money from person to person, from person to merchant, and vice versa, using the web application and personal email addresses, enabling businesses to receive payments via a smartphone through secure channels.</t>
  </si>
  <si>
    <t>Garden Institute of Business and Entreprenureship, GreenHouse Capital, Lagos Angel Network</t>
  </si>
  <si>
    <t>www.esettlementgroup.com</t>
  </si>
  <si>
    <t>769463-83</t>
  </si>
  <si>
    <t>Eagl</t>
  </si>
  <si>
    <t>Developer of a financial close management software intended to streamline monthly closing procedures. The company's platform integrates with existing ERP and accounting software and offers features such as variance analysis, anomaly detection, and real-time insights, helping finance teams increase accuracy and speed in monthly closing procedures.</t>
  </si>
  <si>
    <t>CNBB Equity Partners, Gilles Mattelin, Jeroen De Wit, Joris Van der Gucht, Jorn Vanysacker, Lorenz Bogaert, Louis Jonckheere, Matthias Geeroms, Roeland Delrue, Start It X, Syndicate One, Wouter Respaille</t>
  </si>
  <si>
    <t>www.geteagl.com</t>
  </si>
  <si>
    <t>522887-59</t>
  </si>
  <si>
    <t>Early Pay</t>
  </si>
  <si>
    <t>Developer of an advanced payment settlement platform designed to solve the stagnation of the cash flow of offline stores. The company's platform offers next-day settlement for card and delivery sales, automated sales tracking, fraud detection, data crawling, and sales analysis, enabling small business owners to receive store revenue daily and manage financial operations.</t>
  </si>
  <si>
    <t>IBK Changgong, KDB NextRound, Kiwoom Investment, KT&amp;G SangSang Planet, MetLife Inclusion Plus, MYSC, Seoul National University Technology Holdings, Tech Incubator Program for Startup</t>
  </si>
  <si>
    <t>www.earlypay.kr</t>
  </si>
  <si>
    <t>688603-69</t>
  </si>
  <si>
    <t>Earlybird</t>
  </si>
  <si>
    <t>Operator of a fintech platform intended to offer bookkeeping practices for SMEs. The company's platform provides a virtual account to manage expenses, creates multi-currency virtual cards to manage budgets, provides cashback against business purchases, transfers data between the bank and accounting platform, and categorizes past transactions, enabling clients to prepare financial reports and insights, and streamlines tax preparation.</t>
  </si>
  <si>
    <t>Antler, Tenity</t>
  </si>
  <si>
    <t>www.earlybirdfinance.ai</t>
  </si>
  <si>
    <t>515477-98</t>
  </si>
  <si>
    <t>Earnext</t>
  </si>
  <si>
    <t>Developer of a wealth management platform designed to support professionals managing the wealth of the wealthy. The company utilizes artificial intelligence and machine learning to develop its algorithms and to suggest the best strategies to wealth advisors and accountants, enabling advisors to work, modify, and update in real-time, and customers to check their situation.</t>
  </si>
  <si>
    <t>Feel Venture, Fin+Tech, Rigel Ventures, Startupbootcamp Holding, The Net Value, Zest Group</t>
  </si>
  <si>
    <t>www.earnext.com</t>
  </si>
  <si>
    <t>472021-93</t>
  </si>
  <si>
    <t>Earnipay</t>
  </si>
  <si>
    <t>Developer of a business payment software intended to easily disburse salaries to their employees. The company's software partners with employers and connects to payroll systems that help employees access a portion of their daily earnings, and get financial education and personal finance management to improve financial well-being, enabling clients to improve the financial health of their employees.</t>
  </si>
  <si>
    <t>Canaan Partners, Fola Olatunji-David, Kola Aina, Lise Birikundavyi, Musha Ventures, Olumide Soyombo, Shola Akinlade, Ventures Platform, Village Global, Voltron Capital, XYZ Venture Capital</t>
  </si>
  <si>
    <t>www.earnipay.com</t>
  </si>
  <si>
    <t>266326-12</t>
  </si>
  <si>
    <t>Earnnest</t>
  </si>
  <si>
    <t>Operator of a digital payment platform intended to facilitate secure money transfers in real estate. The company's platform allows a secure and direct transfer of money from the buyer to the escrow holder with a flat fee to homebuyers with no in-person interaction required and mitigates the risk of wire fraud while eliminating paper checks, enabling agents to remove the liability of losing money check and eliminate fraud.</t>
  </si>
  <si>
    <t>REACH, Second Century Ventures</t>
  </si>
  <si>
    <t>www.earnnest.com</t>
  </si>
  <si>
    <t>431666-74</t>
  </si>
  <si>
    <t>Easy Pay Chain</t>
  </si>
  <si>
    <t>Developer of a cryptocurrency designed to facilitate international e-commerce. The company's platform enables users to pay with and accept EPC tokens using the company's Epaychain wallets, enabling users to more conveniently purchase goods from foreign merchants.</t>
  </si>
  <si>
    <t>Fenbushi Capital</t>
  </si>
  <si>
    <t>432420-49</t>
  </si>
  <si>
    <t>EasyEuro</t>
  </si>
  <si>
    <t>Developer of a financial platform designed to simplify and accelerate cross-border services for European and Asian business communities. The company's platform offers business-to-business remittance between Europe and China, batch payments, and multi-currency accounts, enabling businesses to expand globally.</t>
  </si>
  <si>
    <t>Ally Capital China, Geoswift, HaoYue Capital, Huashan Capital, Shanghai Zhonghe Venture Capital, Stratified Capital, SwiftPass, Unity Asset Management</t>
  </si>
  <si>
    <t>www.easyeuro.eu</t>
  </si>
  <si>
    <t>493333-84</t>
  </si>
  <si>
    <t>Eazipay</t>
  </si>
  <si>
    <t>Developer of payroll software designed for salary payments and bookkeeping of startups. The company's platform helps to add or upload details of staff, salary, and pay and allows automated tax payment, provides instant invoices and receipts, smart auto-reminders, and plans revenue and expenses projections, enabling businesses to facilitate stress-free tax remittance.</t>
  </si>
  <si>
    <t>Ajim Capital, FoundersX Ventures, Y Combinator</t>
  </si>
  <si>
    <t>www.myeazipay.com</t>
  </si>
  <si>
    <t>749366-47</t>
  </si>
  <si>
    <t>Ebra (Financial Software)</t>
  </si>
  <si>
    <t>Developer of a financial platform designed to facilitate and collect debts through artificial intelligence. The company offers flexible, customer-centric communication methods and personalized payment options, enabling individuals facing financial obligations to settle their debts in a more efficient and stress-free manner.</t>
  </si>
  <si>
    <t>Raz Group, Scene Holding Company</t>
  </si>
  <si>
    <t>www.ebra.sa</t>
  </si>
  <si>
    <t>571798-18</t>
  </si>
  <si>
    <t>Ecair</t>
  </si>
  <si>
    <t>Developer of a financing and technology platform designed to accelerate energy-efficiency and solar projects, serving individual consumers and small and medium-sized businesses. The company's platform offers installer-partnered onboarding, project quality verification, tailored financing structures including leasing and subsidy pre-financing, and integrated underwriting and compliance workflows, enabling installers to deliver accessible renovation and solar projects while improving project reliability and access to capital.</t>
  </si>
  <si>
    <t>Bpifrance, Climate Club (Paris), Inco Ventures, Kima Ventures, Planet A, Silence VC, Übermorgen Ventures, Voyagers.io</t>
  </si>
  <si>
    <t>www.ecair.eco</t>
  </si>
  <si>
    <t>340802-92</t>
  </si>
  <si>
    <t>Eco (California)</t>
  </si>
  <si>
    <t>Developer of digital payment systems intended for cross-border peer-to-peer transfers without reliance on traditional banking infrastructure. The company's platform enables self-custodied fund management, browser-based transactions without app installation, username-based and QR-code-based payment initiation, and link-based transfers to recipients without existing accounts, allowing global users to send and receive US-dollar-denominated payments while maintaining control of their private keys.</t>
  </si>
  <si>
    <t>1kx, 9Yards Capital Management, Access Ventures, Activant Capital, Andreessen Horowitz, Anthony Pompliano, Ausum Ventures, Blockchain, Blockchain Ventures (CVC), Blockchange Ventures, Celo Foundation, Champion Hill Labs, Champion Hill Ventures, Coinbase Ventures, Collab+Currency, D20 Capital, Digital Currency Group, Divergence Ventures, Draft Ventures, Expa, Formless Capital, Founders Fund, GSR, GSR Ventures, Jack Herrick, Jonathan Lewin, Justin Blau, Keisuke Honda, Kelvin Beachum, L Catterton, Larry Fitzgerald, Lightspeed Venture Partners, LionTree Partners, Melo7 Tech Partners, Meltem Demirors, Nader Al-Naji, Nascent, Nima Capital, Not Boring, Pantera Capital, Proof Group, Roham Gharegozlou, Sean Combs, Shrug Capital, Slow Capital, Slow Ventures, Spectra Investments, Spring Ventures (USA), StartX (US), Streamlined Ventures Management, Thirty Five Ventures, Tiffany Haddish, Tribe Capital, Ullas Naik, Valor Capital Group, Valor Equity Partners</t>
  </si>
  <si>
    <t>www.eco.com</t>
  </si>
  <si>
    <t>469055-62</t>
  </si>
  <si>
    <t>Ed Partners Africa</t>
  </si>
  <si>
    <t>Operator of education-focused financing services designed to expand access to quality schooling infrastructure across Africa. The company provides loans by bringing access to formal credit to the doorsteps and offers innovative and affordable credit, removing the difficult processes with mainstream lenders to scale operations and cater to a wider student base, enabling school owners of affordable schools to facilitate education.</t>
  </si>
  <si>
    <t>Acumen Fund, Afrique Créative, Investisseurs &amp; Partenaires, Yunus Social Business, Zephyr Management</t>
  </si>
  <si>
    <t>www.edpartnersafrica.com</t>
  </si>
  <si>
    <t>399482-92</t>
  </si>
  <si>
    <t>Edbridg</t>
  </si>
  <si>
    <t>Operator of an education financing platform designed to help students fund their higher education. The company offers income-based tuition financing, flexible repayment structures, and employment-linked payment plans, enabling students and international learners to access education funding without collateral or financial burden.</t>
  </si>
  <si>
    <t>500 Global, Fusion Partners (Switzerland), Olivier d'Estaing, Plug and Play Tech Center, Sharjah Entrepreneurship Center</t>
  </si>
  <si>
    <t>www.edbridg.com</t>
  </si>
  <si>
    <t>752614-03</t>
  </si>
  <si>
    <t>Edda Pay</t>
  </si>
  <si>
    <t>Developer of an AI platform designed to bridge the gap between book publishers and financial stability. The company's platform leverages machine learning to reduce the financial risk associated with traditional royalty models and offers flexible on-demand payment options without compromising their cash flow, enabling publishers to access real-time information about their book sales and earnings and plan their financial future with confidence.</t>
  </si>
  <si>
    <t>Almi Invest, Innovatum Incubator, Oscar Franzén</t>
  </si>
  <si>
    <t>eddapay.com</t>
  </si>
  <si>
    <t>601979-32</t>
  </si>
  <si>
    <t>Eddi</t>
  </si>
  <si>
    <t>Developer of an artificial intelligence-powered funding management platform designed to improve the planning and administration of educational grants. The company's platform includes automated compliance reporting, strategic alignment tools to connect funding to institutional goals, stakeholder collaboration features, and analytics capabilities to surface actionable insights, enabling clients to streamline operations, meet regulatory requirements, and enhance the impact of public and private funding allocations.</t>
  </si>
  <si>
    <t>Forum Ventures, Impact Assets, MGT, Right Side Capital Management, Samvid Ventures</t>
  </si>
  <si>
    <t>www.eddifi.ai</t>
  </si>
  <si>
    <t>492597-28</t>
  </si>
  <si>
    <t>EdfaPay</t>
  </si>
  <si>
    <t>Developer of a financial platform designed to provide smart and efficient payment services. The company offers mobile software that specializes in executing financial transactions efficiently in the shortest possible time, least effort &amp; cost, and allows merchants to provide all payment methods for their customers using an NFC system, enabling businesses to collect customer payments through smartphones and completely forgo traditional POS systems.</t>
  </si>
  <si>
    <t>500 Global, Al Jabr, Al-Dhowayan Group, Atmiid Investment, Basmah Commercial Investment, Inspire Us, Nufud Wealth International, Nuwa Capital, Omantel Innovation Labs, Sanabil 500 MENA Seed Accelerator, Taqadam (Accelerator), Waad Investment, Wallan Group, Yaser Alghamdi</t>
  </si>
  <si>
    <t>www.edfapay.com</t>
  </si>
  <si>
    <t>459737-56</t>
  </si>
  <si>
    <t>EdFin</t>
  </si>
  <si>
    <t>Developer of an education-focused finance platform designed to improve access to quality learning by supporting students, parents, schools, and educators. The company's platform offers targeted savings accounts, fee-financing products, working-capital loans, asset-purchase funding, and study-abroad lending partnerships, enabling learners and education providers to access dependable financial support that strengthens educational progress.</t>
  </si>
  <si>
    <t>Gray Matters Capital, Octopus Ventures</t>
  </si>
  <si>
    <t>www.edfinmfb.com</t>
  </si>
  <si>
    <t>494010-55</t>
  </si>
  <si>
    <t>Edge</t>
  </si>
  <si>
    <t>Operator of an online payments platform intended to streamline operations. The company's platform offers an alternative to traditional payment processing systems through a safe and secure ecosystem with 3D security, fraud detection, blocking, and machine learning tools, enabling merchants from high-risk industries to grow and capture more revenue.</t>
  </si>
  <si>
    <t>Alan Rutledge, Alumni Ventures, Arash Ferdowsi, Artia Moghbel, Basecamp Fund, Brandon Curran, Browder Capital, Centre Partners, Centre Street Partners, Gaingels, Jackalope Ventures, James Bailey, Joshua Browder, Long Journey Ventures, Pareto Holdings, Sam Weller, Scott Banister, Seagate Ventures, Shreyas Doshi, Socially Financed, Spacecadet Ventures, Superangel, SuperAngel.Fund, The Fintech Fund</t>
  </si>
  <si>
    <t>www.tryedge.io</t>
  </si>
  <si>
    <t>539735-68</t>
  </si>
  <si>
    <t>EduFi</t>
  </si>
  <si>
    <t>Operator of a student-loan financing platform intended for educational expenses. The company's platform provides a study-now-pay-later financing service with flexible repayment, low interest rates, machine-learning/AI-driven credit assessment, and 24/7 digital support, enabling students to pursue higher education without financial barriers.</t>
  </si>
  <si>
    <t>Abhi, AdalFi, Alumni Ventures, Arizona Commerce Authority, Deem Ventures, Mentors Fund, OurCrowd, Palm Drive Capital, Q Business, Sanabil 500 MENA Seed Accelerator, Techlogix, Zayn Venture Capital</t>
  </si>
  <si>
    <t>www.edufi.tech</t>
  </si>
  <si>
    <t>229576-33</t>
  </si>
  <si>
    <t>eFactor Network</t>
  </si>
  <si>
    <t>Provider of supply chain financing services intended to optimize working capital for global supply chains. The company assists suppliers who seek discounts on accounts receivable in return for advance payments, as well as enhances their scale of business via financing offers by means of integrating national and foreign banks, enabling clients to mitigate financial risk by means of funding diversification.</t>
  </si>
  <si>
    <t>Dalus Capital, International Finance Corporation</t>
  </si>
  <si>
    <t>www.efactornetwork.com</t>
  </si>
  <si>
    <t>506939-50</t>
  </si>
  <si>
    <t>Eisen</t>
  </si>
  <si>
    <t>Developer of a compliance automation software designed for escheatment, disbursement, and account offboarding purposes. The company's platform automates manual workflows, streamlines regulatory outreach, and manages disbursement processes, enabling financial institutions to reduce regulatory risk, improve operational efficiency, and ensure compliance with evolving legal requirements through integrated and auditable tools.</t>
  </si>
  <si>
    <t>Annelies Gamble, Catalyze Advisors, Cowboy Ventures, Cronos Accelerator, First Round Capital, Homebrew Management, Index Ventures, Mischief, MissionOG, Operator Partners, Plug and Play Tech Center, Reform Ventures, Restive Ventures</t>
  </si>
  <si>
    <t>www.witheisen.com</t>
  </si>
  <si>
    <t>769752-10</t>
  </si>
  <si>
    <t>Ekko</t>
  </si>
  <si>
    <t>Developer of a financial wellness platform designed to improve employee financial stability and well-being across workplaces. The company's platform offers earned wage access, a mobile app for financial education and planning, and employer-facing HR tools, enabling employers and their workforces to reduce financial stress, support daily money needs, and strengthen retention and engagement.</t>
  </si>
  <si>
    <t>Fondation Botnar, Impact Square, Sagana</t>
  </si>
  <si>
    <t>ekko.vn</t>
  </si>
  <si>
    <t>178390-09</t>
  </si>
  <si>
    <t>Ekuaibao</t>
  </si>
  <si>
    <t>Developer of an enterprise reimbursement management platform designed to manage corporate claims and business expenses. The company specializes in developing an enterprise resource management system designed to help enterprises manage corporate expenses, employee cost reimbursement, business travel planning, and other cost control operations, aiming to provide innovative invoice management solutions to help companies cut operation costs and improve efficiency.</t>
  </si>
  <si>
    <t>DCM Ventures, Future Capital Discovery Fund, Geek Founders, HSG (Hong Kong), K2VC, Mandra Capital, SoftBank Investment Advisers, Tiger Global Management, Tuniu, Yinxinggu Capital</t>
  </si>
  <si>
    <t>www.ekuaibao.com</t>
  </si>
  <si>
    <t>597140-02</t>
  </si>
  <si>
    <t>Elevate (Financial Software)</t>
  </si>
  <si>
    <t>Developer of an AI-powered data pipeline platform designed to integrate, clean, and enrich organizational data using large language models. The company offers tools that build data workflows powered by LLMs, such as connectors, transformation logic, and enrichment layers, enabling teams to consolidate disparate data sources, reduce manual ETL (extracting data from sources, transforming it by hand, and loading it into a destination) efforts, and make downstream analytics more powerful.</t>
  </si>
  <si>
    <t>Blue Wire Capital, South Park Commons, The MBA Fund, Y Combinator</t>
  </si>
  <si>
    <t>www.useelevate.dev</t>
  </si>
  <si>
    <t>491524-84</t>
  </si>
  <si>
    <t>Elevate Pay</t>
  </si>
  <si>
    <t>Developer of cross-border payment software designed to help freelancers, remote workers, and founders manage earnings in United States dollars. The company's platform offers USD accounts, international money transfers, currency conversion, and payment management tools, enabling remote professionals and digital businesses to receive, hold, and transfer international payments more efficiently.</t>
  </si>
  <si>
    <t>Arash Ferdowsi, Blaise Matuidi, Dropbox, Global Founders Capital, Goodwater Capital, Jupiter (Financial Software), Kieran Gibbs, Launch Africa Ventures, LoftyInc Capital Management, N26 Bank, Negma Group, Nicolas Kopp, Octopus Ventures, Revolut, Sunny Side Venture Partners, Venture Square, VentureSouq, Visa, Y Combinator</t>
  </si>
  <si>
    <t>www.elevatepay.co</t>
  </si>
  <si>
    <t>453493-63</t>
  </si>
  <si>
    <t>Elphinstone</t>
  </si>
  <si>
    <t>Operator of a personal financial advisory firm intended to diversify portfolios and provide stability and growth potential in the stock market. The company simplifies the investment process by offering fractional shares, eliminating the need for a large minimum investment by partnering with established brokers to ensure regulatory compliance and secure custody of assets, enabling the rising middle classes of frontier markets to achieve financial independence.</t>
  </si>
  <si>
    <t>Flybridge (New York), Hi2 Global, Rally Cap VC, Soma Capital, The Community Fund, Y Combinator</t>
  </si>
  <si>
    <t>www.elphinstone.us</t>
  </si>
  <si>
    <t>464346-55</t>
  </si>
  <si>
    <t>ELV8 (Financial Services)</t>
  </si>
  <si>
    <t>Operator of an investment management and advisory company designed to help athletes take control of their finances. The company's platform offers credit report services and provides masterclasses on investing, entrepreneurship, personal finance, and budgeting from successful entrepreneurs and celebrity coaches, enabling people to get guidance on how to manage their finances from industry experts.</t>
  </si>
  <si>
    <t>100KM Ventures, Adam Breneman, Andover Ventures, Andy Katz-Mayfield, Ausum Ventures, Avesta Fund, BDMI, Broadhaven Capital Partners, Chingona Ventures, Chris Paul, D.F.A. Capital, Elevate Ventures, Gaingels, gener8tor, Hustle Fund, J4.Ventures, Jay Kapoor, Jim Briles, Jimmer Fredette, Kyle Hines, Moai Capital, ODF, Oliver Marmol, OneTeam Partners, Outbound Capital, Portfolia, Reach Capital, Sanjay Kapoor, Symphonic Capital, Techstars, The Northwestern Mutual Life Insurance, Tim Fong, Tundra Ventures, Vernon Davis</t>
  </si>
  <si>
    <t>www.scout-financial.com</t>
  </si>
  <si>
    <t>560343-97</t>
  </si>
  <si>
    <t>eMaisha Pay</t>
  </si>
  <si>
    <t>Operator of a financial platform intended to provide access to credit, transact, and payment management. The company's platform offers buy-now-pay-later services along with inventory tracking, business analytics, sales and receipting, and expense recording, among others, enabling farmers to get the necessary business and financial tools to thrive in the industry and build an inclusive and sustainable food system.</t>
  </si>
  <si>
    <t>African Diaspora Network, AWS Clean Energy Accelerator 4.0, Baobab Network, CATAPULT: Inclusion Africa, Google Accelerator, Hustle Fund, Impact Assets, SAIS Accelerator, Timbuktoo Fintech Startup Accelerator Programme</t>
  </si>
  <si>
    <t>www.emaishapay.com</t>
  </si>
  <si>
    <t>499926-79</t>
  </si>
  <si>
    <t>Emata</t>
  </si>
  <si>
    <t>AgTech, Artificial Intelligence &amp; Machine Learning, FinTech, Impact Investing, InsurTech</t>
  </si>
  <si>
    <t>Developer of a fintech digital lender platform designed to digitize the agricultural sector. The company's tool utilises end-to-end digital processes, AI-powered alternative credit-scoring, and partnerships with agricultural intermediaries like cooperatives and aggregators, provides affordable digital loans, enabling farmers to get financing efficiently.</t>
  </si>
  <si>
    <t>African Renaissance Ventures, Blue Chip Venture Company, Development Innovation Ventures, Draper Richards Kaplan Foundation, Dutch Embassy, Marcus Boström, Norrsken Evolve, Plug and Play Tech Center, SAIS Accelerator, Village Capital, Zephyr Management</t>
  </si>
  <si>
    <t>www.emata.io</t>
  </si>
  <si>
    <t>540747-91</t>
  </si>
  <si>
    <t>Embankment</t>
  </si>
  <si>
    <t>Operator of a cloud-based asset service business intended to meet the needs of alternative investment fund managers. The company's platform delivers end-to-end fund management, administration and depositary services and offers a full suite of connected, automated and efficient administrative services, enabling users to access a full suite of connected and digitized fund and depositary services.</t>
  </si>
  <si>
    <t>BlackFin Capital Partners, Denmark's Export and Investment Fund, JRNY Capital, SEED Capital (Copenhagen), Smedvig Ventures</t>
  </si>
  <si>
    <t>www.embankment.com</t>
  </si>
  <si>
    <t>497939-77</t>
  </si>
  <si>
    <t>Embed (Amsterdam)</t>
  </si>
  <si>
    <t>Developer of a payment service platform designed to offer an embedded payment system for vertical SaaS (software as a service) companies. The company's platform offers a crypto-native payments system built for online payments to provide a system to e-commerce companies who want to accept fiat and crypto payments, enabling merchants to take crypto and fiat payment rails in a compliant manner and comply with the ever-changing legal requirements and ensure business continuity.</t>
  </si>
  <si>
    <t>Ash Park Capital, Chris Adelsbach, Global Founders Capital, Karatage, Kindred Capital, OpenFX</t>
  </si>
  <si>
    <t>www.embed.co</t>
  </si>
  <si>
    <t>844276-78</t>
  </si>
  <si>
    <t>Emblematic</t>
  </si>
  <si>
    <t>Developer of an AI-powered financial automation platform designed to streamline accounting processes. The company's platform automates tasks such as invoice extraction, transaction categorization, journal entry generation, internal audits, and compliance with GAAP/IFRS standards, utilizing a human-in-the-loop approach to ensure accuracy and oversight, enabling finance teams to enhance efficiency, reduce errors, and focus on strategic decision-making..</t>
  </si>
  <si>
    <t>Big Sur Ventures, Caesar Ventures, Chris Adelsbach, Enzo Ventures, GoCardless, KFund, Monzo Bank, Passion Capital, Plug and Play Tech Center, Tide, Ventures Together</t>
  </si>
  <si>
    <t>www.emblematic.ai</t>
  </si>
  <si>
    <t>503357-95</t>
  </si>
  <si>
    <t>EmpreX</t>
  </si>
  <si>
    <t>Developer of a digital lending platform designed to provide access to consumer credit using open finance data. The company's platform offers a fintech platform with machine learning based credit assessment, automated loan processing, and integration with financial data sources, enabling underserved individuals and small service providers to obtain personalized loans with improved risk evaluation and more accessible borrowing terms.</t>
  </si>
  <si>
    <t>www.emprex.com.br</t>
  </si>
  <si>
    <t>434749-60</t>
  </si>
  <si>
    <t>Emrgo</t>
  </si>
  <si>
    <t>Developer of an investment banking platform designed for emerging capital markets. The company's platform facilitates investment banking, venture and growth banking, capital markets, trading, custody, and fintech services and tailors them to people's fundraising and investment needs, enabling financial institutions, fundraisers, investors, and service providers to streamline operations for capital markets.</t>
  </si>
  <si>
    <t>Chad Fox, David Martínez, Falak Investment Hub, Flat6labs, Joa Capital, Musaab Hakami, Sustany GP, Taqadam (Accelerator), Vision Ventures (Saudi Arabia)</t>
  </si>
  <si>
    <t>www.emrgo.com</t>
  </si>
  <si>
    <t>497276-74</t>
  </si>
  <si>
    <t>Enabill</t>
  </si>
  <si>
    <t>B2B Payments, FinTech, FoodTech, Restaurant Technology</t>
  </si>
  <si>
    <t>Developer of a payment and restaurant engagement platform designed to help restaurants transform transactions into customer growth opportunities. The company's platform offers smart payment processing, QR-based ordering, restaurant CRM tools, AI-driven behavior analytics, and insight-based marketing features, enabling restaurants and food service businesses to improve guest engagement, streamline operations, and increase customer retention.</t>
  </si>
  <si>
    <t>The Taken Seat, Zain Great Idea Accelerator</t>
  </si>
  <si>
    <t>enabill.com</t>
  </si>
  <si>
    <t>512774-74</t>
  </si>
  <si>
    <t>EnableNow</t>
  </si>
  <si>
    <t>Developer of a financial data analysis platform designed for companies to get to know their customers. The company's platform generates real-time insight into customer data by processing and enriching data with artificial intelligence, which helps in data enrichment, pattern recognition, and risk analysis, providing businesses with new insights and opportunities about financial service and loyalty program providers to fix complex issues related to consumer behavior.</t>
  </si>
  <si>
    <t>Bossche Investerings Maatschappij, Brabantse Ontwikkelings Maatschappij, EMM Holding, Fleujel Investments, Microsoft for Startups, The Bossche Investment Company</t>
  </si>
  <si>
    <t>www.enablenow.nl</t>
  </si>
  <si>
    <t>1360886-41</t>
  </si>
  <si>
    <t>End Close</t>
  </si>
  <si>
    <t>Operator of an automated financial reconciliation platform intended to help high-volume payments companies streamline their month-end close processes. The company's platform offers a deterministic rules engine and AI-driven agents that automatically investigate exceptions and reconcile complex data, enabling client to eliminate manual spreadsheets and maintain audit-ready compliance reporting.</t>
  </si>
  <si>
    <t>The Explorer Fund, Y Combinator</t>
  </si>
  <si>
    <t>www.endclose.com</t>
  </si>
  <si>
    <t>756075-97</t>
  </si>
  <si>
    <t>Endeavor (Financial Software)</t>
  </si>
  <si>
    <t>Digital Health, FinTech, HealthTech</t>
  </si>
  <si>
    <t>Developer of consumer finance orchestration software intended for healthcare payment management purposes. The company's platform connects medical and dental practices with multiple lenders, automates financing workflows, centralizes payment plan selection, supports faster approvals, and optimizes payment options and terms for patients, enabling healthcare providers and elective-care practices to increase case approvals, reduce administrative effort, and improve patient access to care.</t>
  </si>
  <si>
    <t>Analog Ventures, DIA (Healthcare), RiverPark Ventures, Twine Ventures</t>
  </si>
  <si>
    <t>www.endeavorflow.com</t>
  </si>
  <si>
    <t>866469-70</t>
  </si>
  <si>
    <t>Endl</t>
  </si>
  <si>
    <t>Developer of a digital financial platform designed for multi-currency account management and global transactions. The company's platform facilitates crypto-to-fiat conversion, issuance of compliant digital accounts, cross-border payment execution, and identity verification through licensed partners, enabling businesses and professionals in international markets to conduct regulated financial operations that combine cryptocurrency use with conventional banking systems.</t>
  </si>
  <si>
    <t>500 Global, Iterative Accelerator, Sanabil 500 MENA Seed Accelerator, Tenity, XRPL Accelerator</t>
  </si>
  <si>
    <t>www.endl.io</t>
  </si>
  <si>
    <t>230625-91</t>
  </si>
  <si>
    <t>Endpoint (Business/Productivity Software)</t>
  </si>
  <si>
    <t>Developer of an online platform intended to offer digital documentation and deal-closing services for real estate agents and their buyers and sellers. The company's platform offers a mobile application for users to access transaction details, real-time notifications, a progress tracker, a transaction dashboard, and a scheduling system for deal closings, enabling clients to streamline the digital settlement process to make deal closing simple, quick, and transparent.</t>
  </si>
  <si>
    <t>BCG Digital Ventures, First American Financial</t>
  </si>
  <si>
    <t>www.endpoint.com</t>
  </si>
  <si>
    <t>601899-13</t>
  </si>
  <si>
    <t>EnFi</t>
  </si>
  <si>
    <t>Developer of a credit analysis and risk monitoring platform designed to assess loan applications and track portfolio performance. The company's platform features the ability to aggregate and analyze borrower data from multiple sources, automatically extract financial information, identify potential risks, and generate customized credit reports, enabling clients to make informed lending decisions and manage their loan portfolios.</t>
  </si>
  <si>
    <t>Argon Ventures, Boston Seed Capital, Commerce Ventures, FINTOP (US), Impellent Ventures, Patriot Financial Partners, Unusual Ventures</t>
  </si>
  <si>
    <t>www.enfi.ai</t>
  </si>
  <si>
    <t>490219-12</t>
  </si>
  <si>
    <t>Enigma Auditor</t>
  </si>
  <si>
    <t>Developer of artificial intelligence-enabled financial software designed to provide financial risk assessment. The company provides a subscription-based audit service, artificial intelligence-powered risk detection across all data, risk analysis, and reporting, enabling businesses with optimized financial analysis and reporting.</t>
  </si>
  <si>
    <t>540834-04</t>
  </si>
  <si>
    <t>Enjoy Before Pay</t>
  </si>
  <si>
    <t>Operator of a digital payment platform intended for reducing consumption pressure and improving prospective conversion rate. The company's platform determines the customer's credit rating through the system and also the online and offline experience in payment, consumer finance and digital marketing, enabling enterprises to increase the transaction conversion rate of merchants.</t>
  </si>
  <si>
    <t>www.alixxhf.com</t>
  </si>
  <si>
    <t>503000-56</t>
  </si>
  <si>
    <t>Enrollsy</t>
  </si>
  <si>
    <t>Developer of an integrated payment system designed to simplify and digitize all kinds of enrollment. The company's software offers customizable enrollment forms, spreadsheets, enrollment, account and activity, reporting, payment process management, and electronic signatures, enabling clients to onboard students, and employees without paper, spreadsheets, silos, or manual billing and payments.</t>
  </si>
  <si>
    <t>www.enrollsy.com</t>
  </si>
  <si>
    <t>470077-30</t>
  </si>
  <si>
    <t>Enso</t>
  </si>
  <si>
    <t>Operator of a financial services platform designed to simplify access to digital payments. The company offers a mobile banking platform with digital wallets, payment processing, card-based transactions, and financial management tools to simplify personal banking and payment management, enabling individual users and digital payment customers to manage transactions and access banking services through a unified interface.</t>
  </si>
  <si>
    <t>www.joinenso.com</t>
  </si>
  <si>
    <t>509111-38</t>
  </si>
  <si>
    <t>Enstack</t>
  </si>
  <si>
    <t>Developer of a small to medium enterprise mobile application designed to offer operational, logistical, and financial tools needed in a single platform. The company's application allows take a first leap towards digitization and manage orders, track inventory, get paid, ship packages, and record daily business transactions, enabling SMEs to understand business and run it better with its accounting, inventory tools, and built-in reports.</t>
  </si>
  <si>
    <t>BlackPine Group, Mangrove Capital Partners, Unifier Ventures, William Kim, Xendit</t>
  </si>
  <si>
    <t>www.enstack.com</t>
  </si>
  <si>
    <t>57886-39</t>
  </si>
  <si>
    <t>Enterprise Risk Control</t>
  </si>
  <si>
    <t>FinTech, InsurTech, SaaS, TMT</t>
  </si>
  <si>
    <t>Developer of a financial software designed to offer automated insurance tracking and risk management services. The company's software provides tools for the management of insurance tracking risk, tax ID verification, electronic storage management, as well as financial, license, and legal screening, enabling firms to handle their financial risk conveniently.</t>
  </si>
  <si>
    <t>www.enterpriserc.com</t>
  </si>
  <si>
    <t>593964-37</t>
  </si>
  <si>
    <t>Entrepreneur Dad</t>
  </si>
  <si>
    <t>Developer of an Internet and fiscal service platform designed to provide fiscal and taxation services. The company uses SaaS technology and online platform to provide enterprises with tax declaration, financial and tax consulting, license processing, intellectual property, legal compliance services helps enterprises manage business taxation and administrative items, enabling clients to improve their account management in an efficient way.</t>
  </si>
  <si>
    <t>519946-12</t>
  </si>
  <si>
    <t>Entries AI (Financial Software)</t>
  </si>
  <si>
    <t>Developer of an artificial intelligence-powered enterprise resource planning software designed for streamlining business operations for startups and growing enterprises. The company integrates double-entry accounting with native GST support, e-invoicing, e-way bill generation, GSTR filing and reconciliation, inventory management, manufacturing tracking, human resource management, payroll processing, and statutory compliance, along with AI-driven transaction categorization and anomaly detection, enabling small and mid-sized businesses to consolidate fragmented tools into a single unified system, eliminate data silos, and achieve real-time operational and compliance visibility.</t>
  </si>
  <si>
    <t>B.S. Aswathnarayan, Karthik Ramamoorthy, PointOne Capital, Shihab Puthukkudi</t>
  </si>
  <si>
    <t>www.entries.ai</t>
  </si>
  <si>
    <t>707478-76</t>
  </si>
  <si>
    <t>Enza (Financial Services)</t>
  </si>
  <si>
    <t>Expected 01-Jan-2027</t>
  </si>
  <si>
    <t>Developer of a payments platform designed to expand access to modern digital commerce across Africa. The company offers a payments infrastructure built by experienced industry operators, enabling buyers and sellers across the African continent to transact more efficiently and support broader participation in digital commerce.</t>
  </si>
  <si>
    <t>Algebra Ventures, Quona Capital, Visa Accelerator</t>
  </si>
  <si>
    <t>www.enzagroup.global</t>
  </si>
  <si>
    <t>865638-46</t>
  </si>
  <si>
    <t>EPSMomentum</t>
  </si>
  <si>
    <t>Developer of data-driven equity screening tools designed for identifying high-growth investment opportunities. The company's platform incorporates proprietary scoring models such as EM and TM Scores, post-earnings drift forecasting, and institutional flow analytics, enabling retail and professional investors to make enhanced decisions through real-time screening, earnings momentum analysis, technical entry signals, and behavioral finance insights across U.S.-listed equities.</t>
  </si>
  <si>
    <t>Appia Ventures</t>
  </si>
  <si>
    <t>www.epsmomentum.com</t>
  </si>
  <si>
    <t>279940-51</t>
  </si>
  <si>
    <t>EQIBank</t>
  </si>
  <si>
    <t>Developer of a digital banking platform designed to simply view all accounts online in one place and move money. The company's platform supports innovative approaches to building a more interconnected banking world, with a focus on breaking historical banking limitations, enabling customers' financial freedom through a different approach.</t>
  </si>
  <si>
    <t>Canaccord Genuity, Gravitas Securities, Matthew McKibbin, PALCapital Ventures, US Capital Global</t>
  </si>
  <si>
    <t>www.eqibank.com</t>
  </si>
  <si>
    <t>171560-98</t>
  </si>
  <si>
    <t>EquBot</t>
  </si>
  <si>
    <t>Developer of a financial analytics platform designed to offer investment insights for assisting investors in forecasting and mitigating market risks. The company's platform uses artificial intelligence throughout the investment process within an exchange-traded fund, combines big data analytics, and creates or analyzes portfolios by leveraging its proprietary machine learning algorithms and knowledge graph, enabling institutions to enhance their investment products and processes.</t>
  </si>
  <si>
    <t>Emles Venture Partners</t>
  </si>
  <si>
    <t>www.equbot.com</t>
  </si>
  <si>
    <t>431677-09</t>
  </si>
  <si>
    <t>EquiDeFi®</t>
  </si>
  <si>
    <t>Developer of a financial technology software-as-a-service platform designed to launch and manage private investments for private capital markets. The company's platform provides workflow tools for investment diligence, documentation, onboarding, countersigning, and transaction management, while integrating with third-party financial and administrative service providers, enabling broker-dealers, law firms, family offices, wealth managers, issuers, and investors to streamline private investment workflows and capital market operations.</t>
  </si>
  <si>
    <t>www.equidefi.com</t>
  </si>
  <si>
    <t>339949-81</t>
  </si>
  <si>
    <t>Equiduct</t>
  </si>
  <si>
    <t>Developer of an online trading platform designed to provide stock exchange investment services. The company's platform combines a vanilla central limit order book with retail and institutional information and also offers a consolidated market data view of the market through its pre- and post-trade market data products, enabling investors access to the necessary information to make their investment decisions.</t>
  </si>
  <si>
    <t>BAMS Angels Fund, BNP Paribas Securities Services, Börse Berlin, Jos Peeters, KBC Securities, Knight Capital Group, Optiver, Viel &amp; Cie, Virtu Financial, Winterflood Securities</t>
  </si>
  <si>
    <t>www.equiduct.com</t>
  </si>
  <si>
    <t>222296-86</t>
  </si>
  <si>
    <t>EquiFi</t>
  </si>
  <si>
    <t>Developer of an equity funding instrument designed to transform the way consumers create and manage wealth. The company's product is an alternative financing instrument that provides new home buyers with the ability to benefit from an equity co-investment in the purchase of their home and offers existing homeowners a new channel to access the existing equity in their homes, liberating them from traditional debt-based systems, enabling homeowners to purchase a home with lower monthly mortgage payments.</t>
  </si>
  <si>
    <t>1Flourish Ventures, Intero Real Estate Services, The Palisades Group</t>
  </si>
  <si>
    <t>www.equifi.com</t>
  </si>
  <si>
    <t>464029-39</t>
  </si>
  <si>
    <t>Equilibrium Ventures (Financial Services)</t>
  </si>
  <si>
    <t>Developer of an alternative investment platform designed for people to achieve financial independence. The company's platform facilitates access to investments normally reserved for institutions and ultra-wealthy individuals and offers alternatives that can help protect against market volatility, enabling investors to add diversification to portfolios that are not correlated to the stock market and can reduce portfolio risk and improve returns.</t>
  </si>
  <si>
    <t>Albert Cheng, Alderbrook Companies, Calm Ventures, Common Ocean, Draft Ventures, F7 Ventures, Foundation Capital, Frontier Ventures, Gaingels, GTMfund, Highfield Capital, Hustle Fund, Incisive Ventures, Janus Ventures, Kube VC, Lakewest Venture Partners, Lofty Ventures, Lubos Menus, Makai VC, Montage Ventures, Natural Bridge Ventures, Riverside Ventures, Shahed Khan, Smash Capital, Socially Financed, The Council (San Francisco), Transform Investments, Vesey Ventures</t>
  </si>
  <si>
    <t>www.equi.com</t>
  </si>
  <si>
    <t>117440-38</t>
  </si>
  <si>
    <t>EquityMultiple</t>
  </si>
  <si>
    <t>Developer of a commercial real estate investment platform designed to make real estate investing accessible and transparent. The company's platform offers direct investing platforms powered by a combination of proprietary technology and institutional real estate investment expertise, enabling individual and institutional investors to invest alongside the market's sponsors across a variety of commercial real estate property types and positions in the capital stack.</t>
  </si>
  <si>
    <t>Christian Mundigo, Cody Heisinger, David Tobin, Hudson Valley Startup Fund, J. Stephen Emery, Kenneth Pasternak, Marcus &amp; Millichap, Mission Capital Advisors (Investment Banks)</t>
  </si>
  <si>
    <t>www.equitymultiple.com</t>
  </si>
  <si>
    <t>431696-17</t>
  </si>
  <si>
    <t>Eqvista</t>
  </si>
  <si>
    <t>Expected 18-Feb-2027</t>
  </si>
  <si>
    <t>Operator of an equity management software designed to record and manage the company's stocks. The company's software assists in managing equity electronically to capture all shareholder's activities by issuing or transferring new or existing shares, creating reports and statistics, generating financial analysis statements as well as performing a valuation of shares, enabling companies, investors, and shareholders to track, manage and make well-informed decisions about their company's equity.</t>
  </si>
  <si>
    <t>BDev Ventures, Evolution Accelerator</t>
  </si>
  <si>
    <t>www.eqvista.com</t>
  </si>
  <si>
    <t>214110-37</t>
  </si>
  <si>
    <t>Erable</t>
  </si>
  <si>
    <t>Developer of an impact investing platform intended to facilitate investment in sustainable activities that have a tangible, positive impact on the world. The company's platform connects investors with social and environmental initiatives by creating non-dilutive and fully transparent revenue-sharing assets, enabling people to invest in transparent, traceable, positive-impact financial products offering short-term profitability.</t>
  </si>
  <si>
    <t>Orange DAO, Regenerative (Swiss)</t>
  </si>
  <si>
    <t>www.erable.com</t>
  </si>
  <si>
    <t>503590-33</t>
  </si>
  <si>
    <t>Erbeo</t>
  </si>
  <si>
    <t>Developer of an online financing platform designed to provide flexible funding for businesses. The company platform offers tailored non-bank financing, lightning-fast decisions and transparent repayment options, enabling businesses across various industries to improve financial liquidity and support growth efficiently.</t>
  </si>
  <si>
    <t>365.fintech, Lighthouse Ventures (Prague), SpeedUp Venture Capital Group</t>
  </si>
  <si>
    <t>www.erbeo.com</t>
  </si>
  <si>
    <t>500540-23</t>
  </si>
  <si>
    <t>Erithmitic</t>
  </si>
  <si>
    <t>Operator of borrowing and lending platform intended to provide institutional financing by leveraging proprietary data and software. The company's platform combines data, technology, and institutional lending support to provide customized debt financing services for all asset types through a streamlined end-to-end process, enabling borrowers and brokers with experienced originators, underwriters, engineers, and data scientists to execute any lending or borrowing.</t>
  </si>
  <si>
    <t>AlleyCorp, Ribbit Capital, Tishman Speyer Properties, Unpopular Ventures</t>
  </si>
  <si>
    <t>www.erithmitic.com</t>
  </si>
  <si>
    <t>894593-80</t>
  </si>
  <si>
    <t>Ertikaz Solutions</t>
  </si>
  <si>
    <t>Developer of logistics and financial operations platform designed for digital transformation in supply chain management. The company's platform integrates features such as transport order issuance, vehicle tracking, fleet communication, maintenance scheduling, invoicing, tax calculation, inventory control, and real-time reporting, enabling logistics providers and transportation companies to automate workflows, comply with regulatory standards, and improve operational efficiency through a unified digital ecosystem.</t>
  </si>
  <si>
    <t>Tali Ventures</t>
  </si>
  <si>
    <t>www.ertikaz-tech.com</t>
  </si>
  <si>
    <t>537528-07</t>
  </si>
  <si>
    <t>Escarlata</t>
  </si>
  <si>
    <t>Developer of a fintech platform intended to provide highly scalable platforms for alternative financing. The company's platform offers finance-related remedies with major corporations and multinationals to structure credit platforms, enabling companies with tools and strategies to optimize their financial management and growth.</t>
  </si>
  <si>
    <t>Krealo, Seedstars International Ventures</t>
  </si>
  <si>
    <t>www.escarlata.co</t>
  </si>
  <si>
    <t>454469-68</t>
  </si>
  <si>
    <t>Esther</t>
  </si>
  <si>
    <t>Developer of a fund distribution platform designed to help government and nonprofit organizations get crisis funds to those in need. The company's platform works with charity partners to verify that people in financial crisis directly donate from donor to recipient, enabling users to fight local poverty through direct peer-to-peer giving.</t>
  </si>
  <si>
    <t>Ada Ventures, Clarendon Fund Managers, SFC Capital</t>
  </si>
  <si>
    <t>esther.international</t>
  </si>
  <si>
    <t>973464-40</t>
  </si>
  <si>
    <t>Eterny</t>
  </si>
  <si>
    <t>Developer of a finance management platform designed to organize and protect financial accounts, digital assets, and documents. The company's platform utilizes artificial intelligence and blockchain to automate tasks like contract and payment audits, track deadlines, and optimize agreements, enabling users to avoid legal delays, manage their wealth, and ensure that critical information is accessible for beneficiaries or business partners.</t>
  </si>
  <si>
    <t>DEPO Ventures, JIC (Czech Republic), Purple Ventures (Brno)</t>
  </si>
  <si>
    <t>www.eterny.io</t>
  </si>
  <si>
    <t>459613-00</t>
  </si>
  <si>
    <t>ETF Action</t>
  </si>
  <si>
    <t>Developer of a data analytics and research platform intended to empower investment professionals with institutional-level data. The company's platform provides industry-leading tools, actionable financial insights, and engaging model portfolios, it streamlines the investment process, from initial research to comparative analysis to portfolio construction, enabling investors to manage their own model portfolio and expand their investment research with reliable and intuitive financial tools.</t>
  </si>
  <si>
    <t>www.etfaction.com</t>
  </si>
  <si>
    <t>182832-31</t>
  </si>
  <si>
    <t>etika</t>
  </si>
  <si>
    <t>Operator of an online lending platform intended to simplify and widen access to finance. The company's platform offers affordable and tailored finance options and provides the amount one can borrow without any hassle for credit history, enabling customers to avail flexible and affordable payment terms.</t>
  </si>
  <si>
    <t>www.etika.com</t>
  </si>
  <si>
    <t>438741-19</t>
  </si>
  <si>
    <t>eTip</t>
  </si>
  <si>
    <t>Developer of an end-to-end digital tipping and review platform intended for the hotel and service industry. The company's platform offers secure digital payment alternatives for giving tips to employees, housekeepers, valets, and nail technicians in the hospitality, transportation, beauty, and entertainment industries as their rewards, enabling individuals and businesses to give cashless mobile tips and help service workers recover lost wages due to the lack of cash tips.</t>
  </si>
  <si>
    <t>Anupam Jena, BDMI, Brad Wellstead, Cassis &amp; Cassis Capital, Gene D'Ovidio, OAKS Asset Management, Sand Hill Angels</t>
  </si>
  <si>
    <t>www.etip.com</t>
  </si>
  <si>
    <t>1161408-88</t>
  </si>
  <si>
    <t>EurewaX</t>
  </si>
  <si>
    <t>Developer of a cross-border financial cloud platform designed to build secure and efficient fund transfer platforms for trade service enterprises. The company's platform provides complete cross-border payment infrastructure for banks and financial institutions, including compliance frameworks, risk control systems, and multi-currency processing capabilities, helping traditional financial institutions quickly enter the digital payment field, enabling users to get a technology stack to manage their transactions.</t>
  </si>
  <si>
    <t>iPayLinks, Kairous Capital, Ruifeng Wealth Management</t>
  </si>
  <si>
    <t>www.eurewax.com</t>
  </si>
  <si>
    <t>53575-21</t>
  </si>
  <si>
    <t>Eved</t>
  </si>
  <si>
    <t>Developer of a global AP and payments platform designed for events, media, and entertainment purposes. The company's platform automates and centralizes the processing of invoices and payments with a single workflow by providing security, efficiency, and visibility, enabling companies to pay all invoices digitally through a single consolidated daily payment.</t>
  </si>
  <si>
    <t>Foley Ventures, Huizenga Capital Management, Julie Silverstein, Merrick Ventures, Thor Equities</t>
  </si>
  <si>
    <t>www.eved.com</t>
  </si>
  <si>
    <t>279515-44</t>
  </si>
  <si>
    <t>EventVestor</t>
  </si>
  <si>
    <t>Developer of a cloud-based platform designed to provide event-driven, quantified data for investment and trading strategies. The company's platform offers a comprehensive database of corporate, industry, and market events with both qualitative and quantitative insights, enabling institutional investors and traders to enhance their decision-making and generate alpha.</t>
  </si>
  <si>
    <t>www.eventvestor.com</t>
  </si>
  <si>
    <t>512804-08</t>
  </si>
  <si>
    <t>Evergreen</t>
  </si>
  <si>
    <t>Operator of financial software intended to provide financial planning and investing services. The company's platform offers various financial services that include planning after retirement, modern financial planning, managing investment money, and risk management for your investment, enabling customers to get a fair, transparent, and long-term sustainable investment and round analysis with all the financial information through a digital platform.</t>
  </si>
  <si>
    <t>ZAIS Group</t>
  </si>
  <si>
    <t>www.evergreen.de</t>
  </si>
  <si>
    <t>1257575-59</t>
  </si>
  <si>
    <t>Everything (Financial Software)</t>
  </si>
  <si>
    <t>Developer of a digital trading platform designed to simplify cryptocurrency exchange and decentralized finance participation. The company offers instant token swaps, high-leverage futures, integrated rewards, and seamless Telegram-based access, enabling crypto traders and digital asset enthusiasts to trade efficiently, earn passive income, and engage in decentralized financial activities.</t>
  </si>
  <si>
    <t>Animoca Brands, Hex Trust, Humanity Protocol, Jaime Rogozinski, TPC (California)</t>
  </si>
  <si>
    <t>everything.co</t>
  </si>
  <si>
    <t>519969-25</t>
  </si>
  <si>
    <t>Evlos</t>
  </si>
  <si>
    <t>Operator of a network-slicing marketplace designed to identify customized systems for market gaps and problems. The company's marketplace provides financial tools for digital banking, bill funds, private banking, and multicurrency banking. Tokenization of liquid and illiquid assets, issuance and crypto wallet, and structuring of operations, enabling businesses to bring scalability to business processes.</t>
  </si>
  <si>
    <t>Darwin Startups, Torq (Brazil)</t>
  </si>
  <si>
    <t>www.evlos4u.com</t>
  </si>
  <si>
    <t>442598-32</t>
  </si>
  <si>
    <t>Evolve Credit</t>
  </si>
  <si>
    <t>Operator of an online loan marketplace intended to make financial services more inclusive, accessible, and transparent for Africans. The company's platform offers various lending products including personal loans, business loans, and other loan options, and also provides personalized recommendations based on needs, enabling clients to review and compare loans and other financial products.</t>
  </si>
  <si>
    <t>Future Africa, Google Accelerator, Ingressive (Nigeria), Magic Fund, Microtraction, Resilience17, Samurai Incubate Africa, VentureSouq</t>
  </si>
  <si>
    <t>www.evolvecredit.co</t>
  </si>
  <si>
    <t>156533-59</t>
  </si>
  <si>
    <t>Exchangelodge</t>
  </si>
  <si>
    <t>Operator of a financial technology company designed to improve private markets data quality and streamline data connectivity. The company offers services to the private markets industry, automates inefficient, error-prone manual data processes, supplies actionable information ready for decision-making, and powers data workflows by integrating existing systems and cleansing all data for accuracy and completeness with its sophisticated business rules engine, enabling clients to improve data conviction and execute on their business goals with scale and precision.</t>
  </si>
  <si>
    <t>Allegheny Financial Group, Audrey's Kitchen, Beresford Ventures, Christopher Ewing, Curtis Snyder, Innovation Works, Robert Caporale, Ryan Willis, SteelBridge Labs, Woodbury Partners Group, LLC</t>
  </si>
  <si>
    <t>www.exchangelodge.com</t>
  </si>
  <si>
    <t>1318447-90</t>
  </si>
  <si>
    <t>ExChao</t>
  </si>
  <si>
    <t>Developer of enterprise-focused software tools intended for programmatic revenue assurance purposes. The company's platform provides online, non-downloadable software for enterprise data unification, automates business functions related to business intelligence, financial analysis, revenue recovery, and workflow optimization, and supports mid-market and enterprise users by improving operational efficiency, enabling organizations in the enterprise software market to enhance revenue processes and streamline data-driven decision making.</t>
  </si>
  <si>
    <t>www.exchao.com</t>
  </si>
  <si>
    <t>267491-08</t>
  </si>
  <si>
    <t>Exuus</t>
  </si>
  <si>
    <t>Developer of digital financial management tools designed to support savings and credit management for underserved groups. The company's platform features group savings tracking, digital record-keeping, automated contribution management, and financial analytics, enabling community organizations and individuals in emerging markets to efficiently manage collective finances, improve transparency, and access essential financial services for economic inclusion and empowerment.</t>
  </si>
  <si>
    <t>AI Hub for Sustainable Development, DeveloPPP Ventures, Google Accelerator, HiiL Justice Accelerator, Seedstars International Ventures, Village Capital</t>
  </si>
  <si>
    <t>www.exuus.com</t>
  </si>
  <si>
    <t>534610-18</t>
  </si>
  <si>
    <t>EZcale</t>
  </si>
  <si>
    <t>Developer of a financial infrastructure programming interface designed to help businesses streamline their financial operations. The company's technology offers to integrate payments, virtual accounts, outgoing payments, point-of-sale terminal software, and transaction billing systems, enabling businesses to improve system efficiency which saves time and money.</t>
  </si>
  <si>
    <t>Avalancha Ventures</t>
  </si>
  <si>
    <t>www.ezcale.com</t>
  </si>
  <si>
    <t>1167802-12</t>
  </si>
  <si>
    <t>Ezeebit</t>
  </si>
  <si>
    <t>Developer of a digital crypto payment platform designed to simplify merchant transactions for businesses. The company's platform supports on-chain and off-chain payments, merchant dashboards, and local settlement options, enabling merchants to securely accept and manage crypto payments.</t>
  </si>
  <si>
    <t>Anton Katz, Chris Harmse, Davide de Picciotto, Digital Currency Group, Founder Collective, Nadir Khamissa, Terry Angelos, The Raba Partnership</t>
  </si>
  <si>
    <t>www.ezeebit.com</t>
  </si>
  <si>
    <t>534960-28</t>
  </si>
  <si>
    <t>Ezo</t>
  </si>
  <si>
    <t>Developer of billing and inventory software designed for businesses to grow their revenue. The company's software creates professional bills and invoices, manages inventory, and tracks payments, helping businesses save time and money and improve their efficiency.</t>
  </si>
  <si>
    <t>Arali Ventures, Cornell Maha60 Accelerator Program</t>
  </si>
  <si>
    <t>store.ezobooks.in</t>
  </si>
  <si>
    <t>599699-62</t>
  </si>
  <si>
    <t>Ezra (San Francisco)</t>
  </si>
  <si>
    <t>Operator of a financial platform intended for financial wellness initiatives. The company's platform offers emergency savings accounts that can be securely integrated into payroll and HR systems, helping employees save directly from payroll, receive matching rewards, and make withdrawals when needed, enabling talent-focused employers to retain their workers, reduce attrition, and improve financial resiliency across the workforce.</t>
  </si>
  <si>
    <t>Acadian Ventures, Better Tomorrow Ventures, Impact Assets, Praxis (New York), StoryHouse Ventures</t>
  </si>
  <si>
    <t>www.tryezra.com</t>
  </si>
  <si>
    <t>969424-66</t>
  </si>
  <si>
    <t>F2</t>
  </si>
  <si>
    <t>Developer of an intelligence platform designed to enhance decision-making across private market investment workflows. The company's platform offers deal intelligence, institutional knowledge management, financial analysis, contextual data evaluation, and workflow automation for private market investment firms, enabling investment professionals to assess opportunities, perform financial analysis, and monitor portfolios with complete historical and market context.</t>
  </si>
  <si>
    <t>Alumni Ventures, Carya Venture Partners, Clocktower Ventures, HIGHLANDX, Left Lane Capital, Next Legacy Partners, NFX, Pioneer Fund, Sarah Smith Fund, Soma Capital, Torch Capital, VSC Ventures, Y Combinator</t>
  </si>
  <si>
    <t>www.f2.ai</t>
  </si>
  <si>
    <t>495962-02</t>
  </si>
  <si>
    <t>F360</t>
  </si>
  <si>
    <t>Developer of a comprehensive financial management platform designed to streamline operations for retailers and franchise networks. The company's platform offers centralized financial dashboards, automated reconciliation and multi-entity integration, enabling franchise operators and retail chains to enhance financial visibility, reduce errors and make data-driven decisions.</t>
  </si>
  <si>
    <t>HiPartners Capital &amp; Work, HIX Capital, InovaBRA</t>
  </si>
  <si>
    <t>www.f360.com.br</t>
  </si>
  <si>
    <t>556994-26</t>
  </si>
  <si>
    <t>Fabits</t>
  </si>
  <si>
    <t>Developer a financial planning and investment platform designed to simplify investing and empower users to achieve their financial goals through automation and personalized guidance. The company's platform offers goal-based investing with automated investing, financial planning tools and educational resources, enabling users to make informed investment decisions and confidently navigate their financial journey.</t>
  </si>
  <si>
    <t>www.fabits.com</t>
  </si>
  <si>
    <t>1240032-52</t>
  </si>
  <si>
    <t>Facet (Financial Software)</t>
  </si>
  <si>
    <t>Developer of AI-powered financial automation tools designed to streamline and enhance finance team operations. The company is currently operating in Stealth mode.</t>
  </si>
  <si>
    <t>Fly Ventures</t>
  </si>
  <si>
    <t>www.facet-ai.com</t>
  </si>
  <si>
    <t>93859-39</t>
  </si>
  <si>
    <t>Facilipay</t>
  </si>
  <si>
    <t>Developer of experience-driven commerce and payment platform designed to build customer experiences, drive loyalty, power sales, and grow. The company is focused on digitizing SMBs to facilitate mobile payments, loyalty, social engagement, and customer communications, enabling enterprises to streamline transactions and enhance data-driven customer engagement.</t>
  </si>
  <si>
    <t>ComOp, DataOp, Enterprise Ireland, Kellysan Enterprises, NDRC</t>
  </si>
  <si>
    <t>www.facilipay.io</t>
  </si>
  <si>
    <t>442255-87</t>
  </si>
  <si>
    <t>Facta</t>
  </si>
  <si>
    <t>Developer of a no-code financial data warehouse and business intelligence system designed to unify and build financial data from multiple business sources. The company provides tools for aggregating, analyzing, connecting, collecting, and organizing financial, revenue, SaaS, and other business data, enabling clients to create and use centralized datasets for reporting, forecasting, and analysis in spreadsheets and other FP&amp;A tools.</t>
  </si>
  <si>
    <t>Akash Garg, Avlok Kohli, Christian Oestlien, Elias Rubel, Inner Loop Capital, Jonathan Weiner, Point Field Partners</t>
  </si>
  <si>
    <t>www.facta.io</t>
  </si>
  <si>
    <t>231576-04</t>
  </si>
  <si>
    <t>Factris</t>
  </si>
  <si>
    <t>Developer of a flexible credit line platform designed to help small and medium-sized businesses to meet cash requirements and financing needs. The company's platform facilitates updating, simplifying, and scaling the proven old-school factoring business model and turns unpaid invoices into cash within one business day, enabling small and medium-sized European companies to grow their business.</t>
  </si>
  <si>
    <t>AB Ventures, Advance Global Capital, Aegon Asset Management, Arab Bank, European Union, Million Monkeys, NN Investment Partners, Optima Investments, Speedinvest</t>
  </si>
  <si>
    <t>www.factris.com</t>
  </si>
  <si>
    <t>589673-89</t>
  </si>
  <si>
    <t>Fai</t>
  </si>
  <si>
    <t>Developer of a tax compliance software platform designed to secure financial data. The company's platform offers electronic invoicing, simplified bookkeeping, tax return filing, and access to tax advisors, enabling users to automate financial processes, reduce tax filing burden, and achieve tax compliance in Saudi Arabia.</t>
  </si>
  <si>
    <t>500 Global, F6 Ventures, Oqal Angel Investment Network, Sanabil 500 MENA Seed Accelerator, Taqadam (Accelerator), Wa'ed Ventures</t>
  </si>
  <si>
    <t>www.fai.sa</t>
  </si>
  <si>
    <t>407220-58</t>
  </si>
  <si>
    <t>Fairbanc</t>
  </si>
  <si>
    <t>Operator of an AI-powered mobile loan and payments platform designed to offer credit without collateral or credit history. The company's platform provides read digital footprints, such as transaction history with large suppliers and data on the mobile phone, to grant an instant digital credit line, enabling small and medium enterprises to purchase inventories from selected suppliers.</t>
  </si>
  <si>
    <t>500 Global, 500 Southeast Asia, Accion, ADB Ventures, Asian Development Bank, East Ventures, Lippo Group, Michael Sampoerna's Office, Oak Drive Ventures, Sampoerna Telekomunikasi Indonesia, The MBA Fund, Venturra Capital, Wharton School of the University of Pennsylvania</t>
  </si>
  <si>
    <t>www.fairbanc.app</t>
  </si>
  <si>
    <t>442767-16</t>
  </si>
  <si>
    <t>Faire.ai</t>
  </si>
  <si>
    <t>Developer of a credit automation platform designed to streamline open banking. The company's platform specializes in consumer credit automation, which uses open banking as a source and uses data, machine learning, and artificial intelligence to estimate scores and manage the entire life cycle of a loan, helping partner banks and financial institutions to provide instant loans.</t>
  </si>
  <si>
    <t>www.faire.ai</t>
  </si>
  <si>
    <t>454726-18</t>
  </si>
  <si>
    <t>Fairly AI</t>
  </si>
  <si>
    <t>Developer of a risk management platform designed to provide quality assurance for automated decision-making systems. The company's platform provides regulatory technology for artificial intelligence and centralized governance to assure accountability and compliance in regulated industries, enabling banking and insurance, healthcare, and aerospace industries to get an analytical engine that scans systems for bias and compliance norms.</t>
  </si>
  <si>
    <t>Backstage Capital, Benhamou Global Ventures, FinTech Innovation Lab, Flybridge (New York), Flying Fish Partners, Founder Institute, L Marks, Loyal VC, Next (Consulting Services), Sutra Ventures, Techstars, Village Capital, XFactor Ventures</t>
  </si>
  <si>
    <t>www.asenion.ai</t>
  </si>
  <si>
    <t>231098-14</t>
  </si>
  <si>
    <t>Fairmoney Microfinance Bank</t>
  </si>
  <si>
    <t>Developer of a mobile banking application designed to provide instant cash loans. The company's application offers a credit scoring algorithm based on data from a smartphone, granting access to credit for underbanked populations in emerging countries, along with fast and secure business, medical, car, and personal loans, enabling customers to access loans at competitive interest rates.</t>
  </si>
  <si>
    <t>Agoranov, Arthur Waller, Aruwa Capital Management, Augustin Sayer, Cauris, Christopher Zemina, DST Global, Flourish Ventures, HAVAIC, Kinled Holding, Newfund Management, Omidyar Network, Pierre Omidyar, Speedinvest, Tiger Global Management, TLcom Capital, TLG Capital, UNIQA Ventures</t>
  </si>
  <si>
    <t>fairmoney.io</t>
  </si>
  <si>
    <t>433900-99</t>
  </si>
  <si>
    <t>Fairplay</t>
  </si>
  <si>
    <t>Provider of revenue-based financial services intended for e-commerce growth and inventory management. The company integrates data-driven analysis of sales history and marketing performance to offer flexible capital advances without requiring equity or personal guarantees, allowing retail entrepreneurs and digital marketplace sellers to scale their operations with non-dilutive funding tailored to their specific growth cycles.</t>
  </si>
  <si>
    <t>0BS (Mexico), Carlos Martin, Carlos Salinas, DILA Capital, Elevar Equity, Kayyak Ventures, Mountain Partners, Nazca, Nut VC, QED Investors, Ricardo Weder, Spectra Investments, Speedinvest, UNIQA Ventures</t>
  </si>
  <si>
    <t>www.getfairplay.com</t>
  </si>
  <si>
    <t>503985-43</t>
  </si>
  <si>
    <t>Fairy</t>
  </si>
  <si>
    <t>Artificial Intelligence &amp; Machine Learning, Big Data, Marketing Tech, Mobile, SaaS</t>
  </si>
  <si>
    <t>Developer of a behavior analysis and engagement platform intended to assist in understanding and acting on user activity across devices and applications. The company's platform uses on-device artificial intelligence that processes user context and behaviors without requiring a network connection and preserves privacy, supporting both mobile and web environments, enabling digital service providers to improve customer interaction and retention outcomes.</t>
  </si>
  <si>
    <t>Bass Investment, Bluepoint, D-Camp, Google Accelerator, iAccel (Seongnam-si), IBK 1st Lab, InfoBank, KB Innovation HUB, Kona I, KU Startup, LG Uplus, Mashup Ventures, SKTCH, SUPERSTART, Tech Incubator Program for Startup</t>
  </si>
  <si>
    <t>www.fairytech.ai</t>
  </si>
  <si>
    <t>510357-88</t>
  </si>
  <si>
    <t>FANtium</t>
  </si>
  <si>
    <t>Developer of an NFT-based athlete investment platform designed for fans to invest in athletes. The company's platform enables the creation of a community with tokens that can serve as sources of future earnings, enabling sports fans to invest and participate in the real-world financial success of athletes.</t>
  </si>
  <si>
    <t>Anand Agarawala, Better Angle, BLN Capital, Brian O'Hagan, Dominic Thiem, FunFair Ventures, Itamar Lesuisse, LatinLeap, Lucas Von Cranach, NxGen Ventures, Sebastien Borget, w3.fund</t>
  </si>
  <si>
    <t>www.fantium.com</t>
  </si>
  <si>
    <t>439429-42</t>
  </si>
  <si>
    <t>FanVestor</t>
  </si>
  <si>
    <t>Operator of an equity crowdfunding platform intended to offer crowdsourced fundraising for sports, entertainment, and media. The company's platform helps fans to invest in fractional ownership and lets brands increase their fan engagement by providing virtual and physical packages, perks, products, and experiences, enabling fans to invest and become equity partners in the careers and businesses of celebrities, musicians, and athletes.</t>
  </si>
  <si>
    <t>7BC Venture Capital, Formic Ventures, Stellar (Financial Software), Sukna Ventures</t>
  </si>
  <si>
    <t>www.fanvestor.com</t>
  </si>
  <si>
    <t>170705-71</t>
  </si>
  <si>
    <t>FarmDrive</t>
  </si>
  <si>
    <t>Operator of an alternative credit scoring platform intended to offer loans to small farmers. The company's platform leverages alternative datasets to create comprehensive credit scores that financial institutions use to lend to smallholder farmers at the base of the pyramid, enabling farmers to have easy access to capital.</t>
  </si>
  <si>
    <t>1to4 Foundation, ADAP Capital, AK IMPACT INVESTORS, C4DLab, Engineers Without Borders Canada, Mercy Corps, Safaricom, Shona Group, Sunu Capital, The Lakes Charitable Foundation, U.S. Agency for International Development, Village Capital</t>
  </si>
  <si>
    <t>www.farmdrive.co</t>
  </si>
  <si>
    <t>452764-72</t>
  </si>
  <si>
    <t>Farmfundr</t>
  </si>
  <si>
    <t>Operator of a crowdfunding investment platform intended to bridge the gap between investors and agriculture by maximizing an investor's return. The company's platform provides equity investments in farmland and agricultural facilities, enabling investors to connect with agriculture and find opportunities to invest.</t>
  </si>
  <si>
    <t>www.farmfundr.com</t>
  </si>
  <si>
    <t>467074-27</t>
  </si>
  <si>
    <t>Farseer</t>
  </si>
  <si>
    <t>Developer of a financial planning and analysis platform designed to take control of the company's cash flow and increase profitability. The company's platform empowers users to build financial models, import actuals that are mapped, generate a forecast for all revenue and cost categories automatically, and enable fast creation of what-if scenarios on all levels, enabling companies to eliminate manual work, improve the accuracy and security as well, and gain new insights in the domain of financial planning and analytics.</t>
  </si>
  <si>
    <t>Apertu Capital, Aymo Ventures, Google Accelerator, SQ Capital, Zicer</t>
  </si>
  <si>
    <t>www.farseer.com</t>
  </si>
  <si>
    <t>522340-21</t>
  </si>
  <si>
    <t>Fauree</t>
  </si>
  <si>
    <t>Developer of fintech supply chain platform designed to structure trade finance and working capital optimization. The company's platform helps to streamline operations, frees up cash flow, and focuses on growth with enterprise SaaS platform and embedded finance, enabling businesses to optimize their working capital and streamline their supply chain operations.</t>
  </si>
  <si>
    <t>Planet N Group</t>
  </si>
  <si>
    <t>www.fauree.com</t>
  </si>
  <si>
    <t>312904-63</t>
  </si>
  <si>
    <t>Fawaterak</t>
  </si>
  <si>
    <t>Developer of a digital payments and invoicing platform designed to simplify how businesses collect money online. The company's platform offers customizable payment links, digital invoicing sent through messaging channels, support for cards, wallets, cash collection, and local gateways, plug-ins for online stores, and clear transaction reports, enabling merchants and service-based businesses to receive payments from customers anywhere and keep full visibility over their cash flow.</t>
  </si>
  <si>
    <t>NilePreneurs, Plug and Play Tech Center, Sanabil 500 MENA Seed Accelerator, Startupbootcamp Holding</t>
  </si>
  <si>
    <t>www.fawaterk.com</t>
  </si>
  <si>
    <t>462652-66</t>
  </si>
  <si>
    <t>Fazz</t>
  </si>
  <si>
    <t>Provider of digital financial ecosystem services intended to provide seamless access to core financial services for businesses across Southeast Asia. The company offers no-frills financial infrastructure powered by technology, enabling micro-small businesses and enterprises to manage and grow through accessible financial tools and decentralized finance.</t>
  </si>
  <si>
    <t>500 Global, ACV Capital, B Capital Group, BRI Ventures, Brunei Investment Agency, DST Global, EDBI, GMO Venture Partners, Golden Gate Ventures, Hans Tung, Ilham Ltd, Insignia Ventures Partners, InterVest, Liquid 2 Ventures, Michael Seibel, Mitsubishi UFJ Financial Group, MUFG Innovation Partners, Partech, Quiet Capital, RedBadge Pacific, Tiger Global Management, UQ Innovation Labs, Vis Capital, Y Combinator</t>
  </si>
  <si>
    <t>www.fazz.com</t>
  </si>
  <si>
    <t>633108-88</t>
  </si>
  <si>
    <t>Fd Intelligence</t>
  </si>
  <si>
    <t>Developer of intelligent automation systems designed to streamline finance and operational processes across industries. The company's platform integrates AI-driven robots to perform data processing, task automation, and decision-making support, enabling businesses to improve productivity, reduce errors, and achieve time and cost savings, ultimately enhancing workforce efficiency and providing scalable growth opportunities.</t>
  </si>
  <si>
    <t>UKSE (Sheffield)</t>
  </si>
  <si>
    <t>www.fdintelligence.co.uk</t>
  </si>
  <si>
    <t>762536-53</t>
  </si>
  <si>
    <t>Feather (Hardware)</t>
  </si>
  <si>
    <t>Developer of a payment processing platform designed to simplify business transactions. The company's platform offers an integrated product that supports multiple methods, including contactless and recurring billing, fraud protection, and next-day funding, enabling firms to reduce transaction friction, manage cash flow management, and improve customer experience.</t>
  </si>
  <si>
    <t>Hat-trick Capital</t>
  </si>
  <si>
    <t>www.allfeather.com</t>
  </si>
  <si>
    <t>772594-12</t>
  </si>
  <si>
    <t>Fee Solution</t>
  </si>
  <si>
    <t>Developer of a fee management software designed for parents to view and pay tuition fees to schools. The company's software helps to simplify and streamline the fee payment process for schools and provides convenience and offers automated billing, online payment options, customizable fee structures and secure data management, enabling schools to track payments, generate reports, and manage their finances.</t>
  </si>
  <si>
    <t>www.feesolution.com</t>
  </si>
  <si>
    <t>84575-62</t>
  </si>
  <si>
    <t>Feidee</t>
  </si>
  <si>
    <t>Developer of mobile application for personal finance. The company's mobile application for personal finance allows its users to manage their personal finance online by recording their expenses and incomes, enabling users to budget for costs and manage savings in a more efficient way.</t>
  </si>
  <si>
    <t>Fanpujinke Group, Fosun RZ Capital, HSG (Hong Kong), Kohlberg Kravis Roberts, Kunlun Technology, Shaochun Xu, Source Code Capital</t>
  </si>
  <si>
    <t>www.sui.com</t>
  </si>
  <si>
    <t>185391-82</t>
  </si>
  <si>
    <t>Fellow Funders</t>
  </si>
  <si>
    <t>Operator of an equity crowdfunding platform intended to support companies in their expansion. The company's tool allows investors, both institutional and individual, to invest in several projects, as well as early-stage and growth companies and unlock new capital by streamlining the syndication process for diverse portfolios, enabling businesses to raise funding in a convenient manner.</t>
  </si>
  <si>
    <t>Chamberi Ventures, European Commission, Startup Alcobendas</t>
  </si>
  <si>
    <t>www.fellowfunders.es</t>
  </si>
  <si>
    <t>535466-62</t>
  </si>
  <si>
    <t>Fence</t>
  </si>
  <si>
    <t>Developer of an asset-backed credit facility management platform designed to automate debt facility operations like reporting and payments. The company's platform offers programmable debt integration in the back office for data transfer and capital requests, and also enhances capital efficiency with settlements by automated and real-time reporting, enabling users to replace spreadsheets, portable document format, emails, and traditional finance rails with blockchain-based infrastructure to save time and money when managing debt.</t>
  </si>
  <si>
    <t>Actyus, Alexandra Piedrahita, Altari Ventures, Baptiste Cota, Crane Venture Partners, Didier Valet, Earth (Berlin), Eduardo Salvo, Galaxy Ventures, Galaxy Ventures (New York), Hardi Meybaum, Luca Ascani, Mark Ransford, MassMutual Ventures, MyInvestor Banco, Notion Capital, NxGen Ventures, ParaFi Capital, Paula Blazquez, Semantic Ventures</t>
  </si>
  <si>
    <t>www.fence.finance</t>
  </si>
  <si>
    <t>433422-19</t>
  </si>
  <si>
    <t>FengShou Technology</t>
  </si>
  <si>
    <t>Operator of a supply chain finance platform intended to provide financing for small and medium enterprises. The company's supply chain finance platform utilizes blockchain technology to provide customized credit solutions for companies and dealers, providing financing to multi-tier suppliers.</t>
  </si>
  <si>
    <t>Huicai Capital</t>
  </si>
  <si>
    <t>513351-64</t>
  </si>
  <si>
    <t>Fennel</t>
  </si>
  <si>
    <t>Developer of a mobile investing application designed to provide insight into how companies impact the world. The company's application lets users invest in stocks and ETFs with powerful tools to help them manage their portfolios, provides education and information about upcoming shareholder proposals, and makes ESG data accessible to understand a company's impact, enabling retail investors to get access to tools to better engage with companies.</t>
  </si>
  <si>
    <t>Capital Factory, Jeffrey Cruttenden, John Rundle, Larry Sonsini, Paul Sinsar, Preston Butcher, Temerity Capital Partners</t>
  </si>
  <si>
    <t>www.fennel.com</t>
  </si>
  <si>
    <t>1305225-28</t>
  </si>
  <si>
    <t>Fenrock</t>
  </si>
  <si>
    <t>Developer of an artificial intelligence-based workflow and case management system designed for banking back office operations. The company's platform provides data aggregation and enrichment tools, automated alert and case processing, generation of analysis narratives and audit-ready reports, human-in-the-loop review controls, built-in regulatory guidance updates, compliance support across areas such as due diligence and lending regulations, and reporting functionalities for examiners and internal stakeholders, enabling financial institutions to handle higher operational volumes while maintaining traceability, compliance alignment, and structured decision-making processes.</t>
  </si>
  <si>
    <t>Kevin Moore, Seraph Group, TRAC VC, Y Combinator</t>
  </si>
  <si>
    <t>www.fenrock.ai</t>
  </si>
  <si>
    <t>510251-59</t>
  </si>
  <si>
    <t>Fero Drinks</t>
  </si>
  <si>
    <t>Provider of a supply chain financing platform intended for the wine and spirits industry. The company's platform integrates inventory-backed funding with logistics and operational workflows, enabling wine producers, whisky distillers, and merchants to unlock capital from their stock and manage global supply chain movements through a unified technology-enabled system.</t>
  </si>
  <si>
    <t>BCI Capital, Helix Collective, Luminary Partners, Notion Capital, Semapa Next, Shapers</t>
  </si>
  <si>
    <t>www.ferodrinks.com</t>
  </si>
  <si>
    <t>527746-87</t>
  </si>
  <si>
    <t>Fero Payment Science</t>
  </si>
  <si>
    <t>Developer of a checkout portal designed to provide a personalized payment service. The company's artificial intelligence engine gives options on which transactions to offer more expensive payment methods and also reduces or applies friction, which detects fraud and removes false positives, enabling companies to access tailor-made payment services that save time.</t>
  </si>
  <si>
    <t>Antler, Coatue Management, Volta Ventures</t>
  </si>
  <si>
    <t>www.fero.com</t>
  </si>
  <si>
    <t>519858-01</t>
  </si>
  <si>
    <t>Fetcch labs</t>
  </si>
  <si>
    <t>Developer of a web-three pull payments infrastructure platform designed to decentralize payments connectivity network. The company's platform connects users, wallets, and decentralized applications across various blockchains, and also introduces a system of cross-chain, composable wallet IDs, enabling users to maintain a single identity that connects to an array of addresses on any chain.</t>
  </si>
  <si>
    <t>AppWorks, BlackDragon (Zagreb), Compute Ventures, GravityX Capital, Hashkey Capital, Infinity Ventures Crypto, LD Capital, Levitate Labs, Momentum 6</t>
  </si>
  <si>
    <t>www.fetcch.xyz</t>
  </si>
  <si>
    <t>267729-40</t>
  </si>
  <si>
    <t>Fiable</t>
  </si>
  <si>
    <t>Big Data, FinTech, Mobile</t>
  </si>
  <si>
    <t>Developer of an application programming interface software designed to assess the financial health of businesses. The company automates the collection, extraction, and enrichment of financial statement data at any scale, from small businesses to organizations, enabling clients to streamline decision-making for the procurement and lending verticals.</t>
  </si>
  <si>
    <t>Boson Ventures, CP Ventures, David Hicks &amp; Co, Launch Pad (Australia), REACH Australia and New Zealand, UNSW Founders</t>
  </si>
  <si>
    <t>www.fiable.com.au</t>
  </si>
  <si>
    <t>436211-20</t>
  </si>
  <si>
    <t>Fibo</t>
  </si>
  <si>
    <t>Developer of a digital financial platform intended to avail tax refunds. The company's platform consists of a bot that tracks and automates the operations of accountants, companies, government agencies, and other sources of information using natural language processing technologies and optical character recognition, enabling employees to complete their tax returns.</t>
  </si>
  <si>
    <t>Discount Capital, Hannah Frenkel, Itai Weinstein, The Founders Kitchen</t>
  </si>
  <si>
    <t>www.fibotax.com</t>
  </si>
  <si>
    <t>484032-34</t>
  </si>
  <si>
    <t>ficc.ai</t>
  </si>
  <si>
    <t>Developer of an AI-powered fixed-income pricing platform designed to deliver real-time bond valuations and market insights. The company's platform uses advanced machine learning models and provides post-trade analysis, portfolio management guidance, and data for trading decisions, investment allocations, or compliance oversight, enabling institutional investors, asset managers, and financial professionals to enhance trading efficiency, identify market opportunities, and improve portfolio management.</t>
  </si>
  <si>
    <t>www.ficc.ai</t>
  </si>
  <si>
    <t>207692-20</t>
  </si>
  <si>
    <t>Fichorga</t>
  </si>
  <si>
    <t>Developer of notarial, office management, and accounting software intended to support notaries and local authorities in their major technological and IT developments. The company offers technologies to facilitate the daily life of notarial studies, such as drafting deeds, payroll, human resources, electronic signatures, accounting, and managing diaries, enabling businesses to facilitate the daily work of notarial offices and providing installation and technical support.</t>
  </si>
  <si>
    <t>www.fichorga.fr</t>
  </si>
  <si>
    <t>147941-47</t>
  </si>
  <si>
    <t>Fido (Consumer Finance)</t>
  </si>
  <si>
    <t>Developer of a digital financing platform designed to offer access to instant credit loans. The company's platform offers a small credit on filling application forms without any fees, collateral, or guarantors, and makes instant credit decisions for customers with no financial track record while reducing operational costs, enabling individuals and entrepreneurs to get fast, easy, and secure access to digital financial services.</t>
  </si>
  <si>
    <t>Alumni Ventures, BlueOrchard Finance, Energy Ventures Group, FMO Entrepreneurial Development Bank, Fortissimo Capital</t>
  </si>
  <si>
    <t>gh.fido.money</t>
  </si>
  <si>
    <t>496470-61</t>
  </si>
  <si>
    <t>Fidu Trade</t>
  </si>
  <si>
    <t>Developer of a financial technology intended for smaller businesses that need temporary liquidity quickly and without disruption. The company's platform features a fully digital service, modern credit risk assessment, and management, enabling exporters to monetize their receivables upon goods delivery or service completion.</t>
  </si>
  <si>
    <t>www.fidutrade.com</t>
  </si>
  <si>
    <t>459567-82</t>
  </si>
  <si>
    <t>FIDx</t>
  </si>
  <si>
    <t>Operator of a product-agnostic retirement platform intended to provide holistic systems to address investors' changing needs. The company offers a digital insurance exchange platform with financial planning integrations, carrier comparison tools, electronic application workflows, compliance checks, and portfolio monitoring capabilities, enabling financial advisors, brokerage firms, and insurance providers to manage annuity transactions and retirement planning processes more efficiently</t>
  </si>
  <si>
    <t>Axonic Insurance Services, Envestnet, Franklin Resources, Global Atlantic Financial Group, Invesco, Prudential Financial</t>
  </si>
  <si>
    <t>www.fidx.io</t>
  </si>
  <si>
    <t>903149-47</t>
  </si>
  <si>
    <t>FieldPay</t>
  </si>
  <si>
    <t>Developer of a real-time payout application designed for workforce incentive alignment. The company's platform enables same-day cash disbursements to field technicians across industries, integrates with administrative and operational tools for transparent management oversight, supports liquidity for individual workers, and helps businesses activate performance-driven teams, enabling service providers to scale operations while maintaining technician motivation and financial flexibility.</t>
  </si>
  <si>
    <t>2045 Ventures, El Cap Holdings</t>
  </si>
  <si>
    <t>www.myfieldpay.com</t>
  </si>
  <si>
    <t>621860-68</t>
  </si>
  <si>
    <t>Fifr</t>
  </si>
  <si>
    <t>Developer of an automated financial management platform designed to simplify investing, optimize tax strategies, and support long-term wealth planning. The company's platform integrates automated investment execution, proactive tax optimization, personalized financial guidance, transparent fee structures, and real-time communication with experts, enabling individuals and business professionals seeking organized financial oversight to achieve improved wealth growth, reduced stress in managing complex financial tasks.</t>
  </si>
  <si>
    <t>www.fifr.io</t>
  </si>
  <si>
    <t>640208-71</t>
  </si>
  <si>
    <t>Fifteenth</t>
  </si>
  <si>
    <t>Provider of tax planning and filing services intended to cater to individuals in the tech industry. The company offers tax return preparation, tax advisory, tailored tax strategies, and consultation with the help of tax experts and the software stack, enabling professionals to navigate tax optimization for private and public equity, rental incomes, and angel investments.</t>
  </si>
  <si>
    <t>A*, Akash Garg, General Catalyst, Ryan Eisenman, SV Angel, Swapnil Jain</t>
  </si>
  <si>
    <t>www.fifteenth.com</t>
  </si>
  <si>
    <t>431733-25</t>
  </si>
  <si>
    <t>Fillip Fleet</t>
  </si>
  <si>
    <t>Developer of a digital wallet application designed to turn a smartphone into a gas card. The company's application helps businesses view all payments and set scheduled controls on their drivers' digital gas cards to unlock the pump and pay for gas using their password-protected mobile device, enabling customers to save money at the pump with a new, safe and secure way to buy gas.</t>
  </si>
  <si>
    <t>1871, Adventure Capital (Canada), Azure Capital Partners, DILA Capital, F3 Uranium, Google Accelerator, InterGen Capital, Keiretsu Forum, Mark Little, Platform Calgary, Staircase Ventures, The Digital Commerce Calgary Fintech Award Contest, The51 Ventures, Thin Air Labs, Tribune Capital (Asset Management), Wisdom Venture Capital</t>
  </si>
  <si>
    <t>www.fillipfleet.com</t>
  </si>
  <si>
    <t>547663-24</t>
  </si>
  <si>
    <t>Filtroo Ai</t>
  </si>
  <si>
    <t>Developer of a fintech company intended to bridge the gap between social media engagement and financial rewards. The company offers various activities on social platforms that allow users to earn points and rewards, including gift cards, coupons, discounts, merchandise, and even experiences, enabling users to have a large following to benefit from the platform.</t>
  </si>
  <si>
    <t>www.filtroo.ai</t>
  </si>
  <si>
    <t>481293-01</t>
  </si>
  <si>
    <t>Fin (Financial Software)</t>
  </si>
  <si>
    <t>Developer of an artificial intelligence-powered financial software and credit products designed to promote financial wellness and inclusion. The company's software offers lending services using advanced proprietary artificial intelligence-powered algorithms and a data-driven fintech system for fraud prevention and credit granting, enabling clients to access financial tools.</t>
  </si>
  <si>
    <t>Acasia, Acasia Ventures, Alexander Schuetz, Amandine Lobelle, Charles Delingpole, Christian Angermayer, Christian Faes, Future Africa, Jai Mahtani, Jonathan Doerr, Klemens Hallmann, LeadInvest, Leonard Stiegeler, Manuel Koser, Richard Aseme, Sudeep Ramnani</t>
  </si>
  <si>
    <t>fin.africa</t>
  </si>
  <si>
    <t>484201-81</t>
  </si>
  <si>
    <t>FIN-PAY</t>
  </si>
  <si>
    <t>Developer of a unified payments platform designed for digital payment services. The company offers a payment application to small, mid-market, and enterprise clients, enabling people to make payments across cards, QR, and digital currencies, and the freedom and choice to accept any form of payment from customers.</t>
  </si>
  <si>
    <t>www.finpay.co</t>
  </si>
  <si>
    <t>498428-02</t>
  </si>
  <si>
    <t>Fin3</t>
  </si>
  <si>
    <t>Developer of a blockchain application designed to offer digital drafts. The company's platform is a blockchain and web3 infrastructure to offer fast settlements, cheap loan origination, and new revenue opportunities, invented a new payment method based on the Uniform Commercial Code Article XII amendments, enabling banks to create tokenized bank deposits or stablecoins and use them for payments.</t>
  </si>
  <si>
    <t>Independent Community Bankers of America, Motivate Venture Capital, Nyca Partners</t>
  </si>
  <si>
    <t>www.fin3.tech</t>
  </si>
  <si>
    <t>433624-69</t>
  </si>
  <si>
    <t>FinAccess</t>
  </si>
  <si>
    <t>Developer of a cloud-based core banking platform designed to provide a class digital infrastructure to microfinance institutions in growth markets. The company's application provides end-to-end information technology services for the financial sector from conception, and deployment to maintenance, enabling microfinance institutions to reduce costs, improve efficiency, and scale up, especially for rural populations.</t>
  </si>
  <si>
    <t>Cartography Capital, Century Oak Ventures, Change Com, Chanzo Capital, Echo Ventures, EchoVC Partners, Full Circle Africa, HAVAIC, Katapult Group, Launch Africa Ventures, MAVA Ventures, Musha Ventures, Prodigio Capital, Push Ventures (Kenya), Red Hook Capital, R-Ventures, Silverbacks Holdings, The Continent Venture Partners, Uncovered Fund, Vastly Valuable Ventures</t>
  </si>
  <si>
    <t>www.finaccess.co</t>
  </si>
  <si>
    <t>327296-98</t>
  </si>
  <si>
    <t>Finaktiva</t>
  </si>
  <si>
    <t>Developer of a digital platform designed to manage entrepreneurship and SMEs' cash flow, liquidity needs, and finance for growth. The company's platform combines cash management, supply chain finance, and lending, offering credit disbursement on time after analyzing the venture by verifying the complete documentation process, helping firms to access financing, acquire immediate liquidity, and disperse payments to their suppliers.</t>
  </si>
  <si>
    <t>Acumen Fund, Aktiva Asset Management, Aktiva Financiera, Alive Ventures, AlphaMundi, Andeo, BBVA Spark, Confiar, Conny &amp; Co., Cornelius Boersch, Grupo Cibest, Invictum Capital, Mountain Partners, responsAbility Investments, Triodos Bank, Village Capital, Yunus Social Business</t>
  </si>
  <si>
    <t>www.finaktiva.com</t>
  </si>
  <si>
    <t>529059-43</t>
  </si>
  <si>
    <t>Finalle</t>
  </si>
  <si>
    <t>Developer of a financial intelligence platform designed to provide investors with real-time market insights. The company's platform aggregates and analyzes vast amounts of financial data, enabling investors to make more informed investment decisions.</t>
  </si>
  <si>
    <t>Cactus Capital (Israel), Yazamut 360</t>
  </si>
  <si>
    <t>www.finalle.ai</t>
  </si>
  <si>
    <t>442589-05</t>
  </si>
  <si>
    <t>Finaloop</t>
  </si>
  <si>
    <t>Developer of a real-time accounting platform designed to automate financial management for e-commerce and direct-to-consumer brands. The company offers automated data syncing across sales channels, banks, and payment systems, combined with expert bookkeeping and strategic finance tools, enabling online retailers and brand operators to have accurate, tax-ready reporting and streamlined financial operations.</t>
  </si>
  <si>
    <t>Accel, Adi Mayor, Aleph (Israel), Aviad Harell, Axon (Tel Aviv), Commerce Ventures, Danny Grander, Danny Leshem, Lightspeed Venture Partners, Lightspeed Venture Partners Israel, Ofir Ehrlich, Operator Partners, Tomer Bar-Zeev, Vesey Ventures, Yoav Naveh</t>
  </si>
  <si>
    <t>www.finaloop.com</t>
  </si>
  <si>
    <t>740130-67</t>
  </si>
  <si>
    <t>Financarbon</t>
  </si>
  <si>
    <t>Developer of a fintech digital platform designed to increase the issuance of premium carbon credits. The company's platform connects project developers and carbon credit buyers through their trusted banks and streamlines the identification, financing, and monitoring of carbon projects, enabling clients with a seamless B2C experience to offset their everyday online and in-store spending.</t>
  </si>
  <si>
    <t>www.financarbon.com</t>
  </si>
  <si>
    <t>503280-10</t>
  </si>
  <si>
    <t>FinanceKey</t>
  </si>
  <si>
    <t>Developer of a payment and treasury operations platform designed to manage liquidity, payments, compliance and connectivity. The company's platform helps to remove the complexity of bank and treasury connectivity, provides instant cash visibility, and helps in the end-to-end automation of payment and treasury workflows, enabling finance and IT professionals to act on real-time data and take advantage of API banking and manage treasury integrations with ease.</t>
  </si>
  <si>
    <t>First Fellow Partners, Kasvu Open, Kinled Holding, Kiuas Accelerator, Maki.vc, Mastercard Lighthouse</t>
  </si>
  <si>
    <t>www.financekey.com</t>
  </si>
  <si>
    <t>460187-83</t>
  </si>
  <si>
    <t>Financial Analysis Security</t>
  </si>
  <si>
    <t>Provider of full-range solutions intended to prevent financial crimes. The company develops software and intelligent hardware by leveraging big data analysis and artificial intelligence technologies, committing to preventing financial crimes and keeping the society secure.</t>
  </si>
  <si>
    <t>Beijing TRS Information Technology Company, Ciit Asset Management, Gaorong Ventures, Qianhai Wutong Mergers and Acquisitions Funds, Waterwood Investment Management</t>
  </si>
  <si>
    <t>www.sinofas.cn</t>
  </si>
  <si>
    <t>481814-65</t>
  </si>
  <si>
    <t>Financial Information Systems</t>
  </si>
  <si>
    <t>Developer a financial platform designed to provide banking and fintech digital transformation. The company provides IT services and develops a no-code platform that allows automating any business processes of customer organizations through their IT teams, enabling businesses to quickly install, configure, and launch the product, fully adapted and localized by the specifics of their business.</t>
  </si>
  <si>
    <t>KAMA FLOW</t>
  </si>
  <si>
    <t>www.fisgroup.ru</t>
  </si>
  <si>
    <t>141525-10</t>
  </si>
  <si>
    <t>Financial Risk Solutions (Financial Software)</t>
  </si>
  <si>
    <t>Developer of investment administration software designed to automate complex processes across life assurance, wealth, and asset management sectors. The company offers actuarial-led expertise, integrated front-to-back office functionality, real-time oversight, and cloud-enabled deployment, enabling financial institutions and outsourcers to reduce operational costs, manage compliance, and enhance risk control.</t>
  </si>
  <si>
    <t>Juniper Group</t>
  </si>
  <si>
    <t>www.frsltd.com</t>
  </si>
  <si>
    <t>399158-47</t>
  </si>
  <si>
    <t>Financial Rubik's Cube</t>
  </si>
  <si>
    <t>Developer of an intelligent investment platform designed to provide investment consulting services. The company's platform uses big data and intelligent algorithms to analyze investment portfolios while tracking the dynamics of product purchases at various investment institutions and also provides financial advising service, enabling clients to improve their wealth management efficiency and make better investment decisions.</t>
  </si>
  <si>
    <t>9C Capital, AAMA Angel Fund, Analysys, Bat Capital, Chang'an Capital, D&amp;S Capital, Enlight Growth Partners, Grand Yangtze Capital, Junyao Capital, Kaitai Capital, Pine Cypress Fund, Suzhou Guofa Venture Capital, Unity Ventures (China), Xinyi Asset Management</t>
  </si>
  <si>
    <t>www.licaimofang.com</t>
  </si>
  <si>
    <t>267755-05</t>
  </si>
  <si>
    <t>Financier (Financial Services)</t>
  </si>
  <si>
    <t>Cryptocurrency/Blockchain, FinTech, Marketing Tech</t>
  </si>
  <si>
    <t>Developer of a management accounting platform intended to provide integrated automation for operations. The company's platform provides management reporting service with an intuitive interface of reports with any detail to analyze financial flows and increase business profitability, enabling businesses to build financial reports and receive advanced analytics, and forecasts.</t>
  </si>
  <si>
    <t>Andrey Sokolov, Internet Initiatives Development Fund, Mikhail Bazhenov, Mikhail Gavrilov, Pavel Orlov, Viktor Savuyk</t>
  </si>
  <si>
    <t>www.fin-ctrl.ru</t>
  </si>
  <si>
    <t>547722-64</t>
  </si>
  <si>
    <t>Finanz</t>
  </si>
  <si>
    <t>Developer of a platform designed to help individuals learn about personal finance, save money, and start investing. The company offers educational content, automated saving tools, and beginner-friendly investment options, enabling young adults to build financial confidence and long-term wealth.</t>
  </si>
  <si>
    <t>B4i - Bocconi for innovation, Bravo Innovation Hub, Global Start Up Program, IKIGAI (Siena), Le Village by CA, SocialFare Seed, TechQuartier, Visa Innovation Program</t>
  </si>
  <si>
    <t>www.finanzapp.io</t>
  </si>
  <si>
    <t>676205-56</t>
  </si>
  <si>
    <t>Finbar</t>
  </si>
  <si>
    <t>Developer of financial data software designed to streamline global data integration and analysis. The platform offers real-time financial data extraction using machine learning, natural language processing, and optical character recognition with automated financial modelling, enabling clients to update models and save time by eliminating manual data processing.</t>
  </si>
  <si>
    <t>Founders Capital, Nama Ventures, Oxford Saïd Business School, Unpopular Ventures, Y Combinator</t>
  </si>
  <si>
    <t>www.finbar.com</t>
  </si>
  <si>
    <t>592723-18</t>
  </si>
  <si>
    <t>FinBiz Technologies</t>
  </si>
  <si>
    <t>Developer of a fintech platform designed for digital origination and management of loans. The company's platform facilitates loan origination and management, relationship management, customer origination, and accounting, enabling micro and small enterprises to streamline operations, improve access to credit, and automate processes.</t>
  </si>
  <si>
    <t>ITF Group (Sofia), New Vision 3, South East European Innovators Program</t>
  </si>
  <si>
    <t>www.finbiztech.eu</t>
  </si>
  <si>
    <t>179599-06</t>
  </si>
  <si>
    <t>FINBOA</t>
  </si>
  <si>
    <t>Developer and provider of SaaS-based process automation software designed to replace manual compliance systems and processes with intelligent automation. The company provides secure and transformational alternatives to digitize and automate payment disputes and regulatory compliance, it offers pre-built workflow solutions to address the challenges of manual processes across all payment types, enabling banking institutions to focus on doing meaningful work, improve both the staff and customer experience while boosting financial institution growth.</t>
  </si>
  <si>
    <t>CFV Ventures, FSS Investments, RevTech Labs Capital, Tampa Bay Wave, The Venture Center</t>
  </si>
  <si>
    <t>www.finboa.com</t>
  </si>
  <si>
    <t>533533-15</t>
  </si>
  <si>
    <t>Fincart</t>
  </si>
  <si>
    <t>Artificial Intelligence &amp; Machine Learning, E-Commerce, FinTech, SaaS, Supply Chain Tech</t>
  </si>
  <si>
    <t>Developer of a web-based e-commerce marketplace platform designed to streamline shipping and financing for social sellers, small, and medium-sized e-commerce brands. The company's platform uses a machine-learning-based data engine that uses channel sync automation, generating financing limits, requests, and repayment financing, tracking, recommendations, and selection of the courier service, enabling e-merchants to manage shipping and returns with improved delivery performance.</t>
  </si>
  <si>
    <t>Afreximbank, Africa Tech Startup Forum, Antler, BlueStream Ventures, Commercial International Bank, Falak Startups, FIVE35 Ventures, Hi2 Global, Jedar Capital, Kalahari Capital, Launch Africa Ventures, MINT Incubator, Orbit Ventures (Venture Capital), Plug and Play Tech Center, Plus Venture Capital, Reflect Ventures, Visa, Yango</t>
  </si>
  <si>
    <t>www.fincart.io</t>
  </si>
  <si>
    <t>491551-48</t>
  </si>
  <si>
    <t>Fincent</t>
  </si>
  <si>
    <t>Developer of financial software designed to reconcile books as per the tax regime. The company's software utilizes artificial intelligence (AI) with a real-time dashboard to offer financial management, digital invoicing, accounts payable and receivable automation, financial projections, budgeting, and tax payment, enabling entrepreneurs to focus on expanding their businesses by making payments from a single place.</t>
  </si>
  <si>
    <t>Accel, Neon Fund, Saka Ventures, StartupXseed Ventures, Thirdbase Capital, Trust Fund</t>
  </si>
  <si>
    <t>www.fincent.com</t>
  </si>
  <si>
    <t>187953-85</t>
  </si>
  <si>
    <t>Finch Technologies</t>
  </si>
  <si>
    <t>Developer of an online financial and loan comparison portal designed to provide comparable information on relevant financial institution products. The company's portal specializes in closing the gap between companies and their customers with scalable, flexible, and modular technology, enabling financial firms to offer fintech products in a digital ecosystem and a healthy and financially inclusive population.</t>
  </si>
  <si>
    <t>AlphaCode (South Africa), Benatar Capital, Parktown Capital</t>
  </si>
  <si>
    <t>www.finch-technologies.com</t>
  </si>
  <si>
    <t>615740-05</t>
  </si>
  <si>
    <t>Fincretive</t>
  </si>
  <si>
    <t>Developer of a payment processing platform designed to accept transactions without needing multiple terminals or integrations. The company's platform allows retailers to accept all over-the-counter and healthy benefit card payments across any point-of-sale system and uses machine learning to filter restricted items from the approved product list, reducing transaction declines and friction at checkout, enabling independent grocers to improve both operational efficiency and customer experience.</t>
  </si>
  <si>
    <t>www.fincretive.com</t>
  </si>
  <si>
    <t>436062-16</t>
  </si>
  <si>
    <t>Fincy</t>
  </si>
  <si>
    <t>Develoepr of a financial platform designed to facilitate seamless and contactless currency exchange. The company's platform offers an affordable alternative to existing financial services, starting with currency exchange and multi-currency wallets, leveraging a secure financial infrastructure and round-the-clock support, enabling users to conduct contactless payments and also support an in-app social network.</t>
  </si>
  <si>
    <t>GBCI Ventures</t>
  </si>
  <si>
    <t>www.fincy.com</t>
  </si>
  <si>
    <t>531361-00</t>
  </si>
  <si>
    <t>FinDaily (Financial Software)</t>
  </si>
  <si>
    <t>Developer of a financial analytics platform designed for delivering summarized information on the organization's essential accounting, banking, and metrics daily. The company offers key financial information through the mail with support of email operations and editing facilities, enabling clients to get daily financial updates on their companies.</t>
  </si>
  <si>
    <t>gener8tor, Husker Venture Fund, Invest Nebraska, NMotion, Right Side Capital Management</t>
  </si>
  <si>
    <t>www.findaily.io</t>
  </si>
  <si>
    <t>519975-82</t>
  </si>
  <si>
    <t>FinEdu.Tech</t>
  </si>
  <si>
    <t>Developer of a structured credit platform for the educational segment, intended to offer easy access to credit for schools. The company offers credit access with digital contracts, financial management, and flexible payment options, enabling educational institutions to forecast their future credit requirements and access credit at reduced costs.</t>
  </si>
  <si>
    <t>Alpha Valorem</t>
  </si>
  <si>
    <t>www.finedu.tech</t>
  </si>
  <si>
    <t>459299-80</t>
  </si>
  <si>
    <t>Finekra</t>
  </si>
  <si>
    <t>Developer of a financial software designed to undertake banking transactions from a single place. The company's software offers banking services by transferring data to the accounting program with account information, making mass payments, reporting point-of-sale data, and managing the check integration process, enabling clients to perform dealer transactions with a direct debit system and catering to the needs of companies.</t>
  </si>
  <si>
    <t>AK Asset Management, Alesta Yatırım, Eksim Ventures, Keiretsu Forum, Mindvest VC, Nuvio., Sertaç Özinal, Visa Innovation Program, Workup (Turkey)</t>
  </si>
  <si>
    <t>www.finekra.com</t>
  </si>
  <si>
    <t>494504-92</t>
  </si>
  <si>
    <t>Finergia</t>
  </si>
  <si>
    <t>Developer of a financial management platform designed to support the company's growth in an orderly and sustainable manner. The company's platform offers online financial management subcontracting services such as financial planning, budget management, and various others, enabling small and medium enterprises (SMEs) and Startups to improve profitability, debt, and quality of life.</t>
  </si>
  <si>
    <t>www.finergia.es</t>
  </si>
  <si>
    <t>1165530-07</t>
  </si>
  <si>
    <t>Finerty</t>
  </si>
  <si>
    <t>Developer of an automated data exchange and compliance platform intended to streamline secure information sharing between financial institutions. The company's platform offers to automate third-party data requests, facilitate encrypted data integration, track workflow and policy verification in real time, and comply with open finance regulations, enabling financial institutions and advisors to reduce manual processes, enhance operational efficiency, and improve client trust through seamless, secure, and compliant data exchange.</t>
  </si>
  <si>
    <t>Enterprise Ireland, InsTech.ie, New Frontiers Ireland</t>
  </si>
  <si>
    <t>www.finertydata.com</t>
  </si>
  <si>
    <t>493828-84</t>
  </si>
  <si>
    <t>Finfare</t>
  </si>
  <si>
    <t>Operator of a payment platform intended to manage corporate and personal expenditures. The company's platform provides smart cards and utilizes artificial intelligence that supports businesses with services for all their spending needs and a reward program, enabling customers to pay and get more with every movement of their money.</t>
  </si>
  <si>
    <t>Digital Mobile Venture</t>
  </si>
  <si>
    <t>www.finfare.com</t>
  </si>
  <si>
    <t>1364913-64</t>
  </si>
  <si>
    <t>Finfinity</t>
  </si>
  <si>
    <t>Developer of a lending and wealth management platform designed to streamline access to financial products. The company connects users to a network of lenders, offers tools to discover and compare loan options, supports digital application and documentation workflows, integrates software development kits for partner integrations and messaging-based lending, and provides unified dashboards for tracking approvals, pay-outs, and investments, enabling retail borrowers and investors to manage borrowing and savings with improved transparency, speed, and control.</t>
  </si>
  <si>
    <t>Bavadeep Reddy, BizDateUp Technologies, Gurshant Singh Bhatia, Harbir Dhingra, Malani Ventures, Mankind Pharma, Sanjay Singhvi, Sunny Bhatia, Upkaran Singh Chawla, Vi-John Group</t>
  </si>
  <si>
    <t>www.finfinity.co.in</t>
  </si>
  <si>
    <t>510122-98</t>
  </si>
  <si>
    <t>Finfra</t>
  </si>
  <si>
    <t>Developer of an embedded lending infrastructure platform designed to enable the launch and scaling of credit products. The company offers licensed origination, servicing, collections, and reporting infrastructure, enabling alternative lenders to deploy compliant lending operations and reach underserved small businesses without building local infrastructure.</t>
  </si>
  <si>
    <t>Accion, BADideas.fund, Cento Ventures, DS/X Ventures, Fintech Nation, Fintech Nation., FIRSTPICK, Hustle Fund, Matiss Ansviesulis, Plug and Play Tech Center, Scale Up by Endeavor, Seedstars International Ventures, Z Venture Capital</t>
  </si>
  <si>
    <t>www.finfra.io</t>
  </si>
  <si>
    <t>548321-50</t>
  </si>
  <si>
    <t>Fingular</t>
  </si>
  <si>
    <t>Operator of a digital financial services platform intended for inclusive consumer lending in emerging markets. The company's platform operates as a neobank offering credit-led products, savings, and investment tools tailored to underserved populations across Southeast Asia, South Asia, and the Middle East, enabling individuals with irregular income and limited access to traditional banking to achieve financial empowerment.</t>
  </si>
  <si>
    <t>Orionis Capital</t>
  </si>
  <si>
    <t>fingular.com</t>
  </si>
  <si>
    <t>227808-37</t>
  </si>
  <si>
    <t>Finhay</t>
  </si>
  <si>
    <t>Operator of a wealth management platform intended to revolutionize the way retail investors access the financial world. The company's platform harnesses advanced machine learning to provide personalized investment recommendations, catering to various risk preferences, enabling investors to start with small capital and seamlessly build their portfolio.</t>
  </si>
  <si>
    <t>Do Ventures, H2 Ventures, Infinity Ventures Crypto, Insignia Ventures Partners, IVC Venture Capital, Jeffrey Cruttenden, Jonathan Keidan, Nguyen Giang, Openspace Capital, RedBadge Pacific, Rhombuz Ventures, The Startup Wheel, Thien Viet Securities, TNB Aura, Vietnam Investments Group, VNDirect Securities, VSV Capital, Zeroth.AI</t>
  </si>
  <si>
    <t>www.finhay.com.vn</t>
  </si>
  <si>
    <t>533499-76</t>
  </si>
  <si>
    <t>Finia (Financial Services)</t>
  </si>
  <si>
    <t>Developer of a payment orchestration platform designed to increase merchant's payment acceptance rates and reduce their processing costs. The company's platform offers AI to automatically retry transactions through multiple payment providers, and ensure that they always get paid, enabling merchants to accept payments from a wider range of customers at a low cost.</t>
  </si>
  <si>
    <t>Clocktower Ventures, Deciens Capital, Oswaldo Trava, Paul Sawaya, Pepe Shabot, Precursor Ventures, Sarah Smith Fund, Twine Ventures, Zachary Bookman</t>
  </si>
  <si>
    <t>www.finia.mx</t>
  </si>
  <si>
    <t>675047-53</t>
  </si>
  <si>
    <t>Finit</t>
  </si>
  <si>
    <t>Developer of real-time stock market analytics software designed to help investors identify market trends and improve trading strategies. The company's platform uses proprietary algorithms, big data, and artificial intelligence to analyze real-time order flow and market activity, providing indicators on momentum, large transactions, and buying flows for Korean and U.S. equities, enabling investors and financial institutions to identify stocks and develop more informed trading strategies.</t>
  </si>
  <si>
    <t>Industrial Bank of Korea, Stonebridge Ventures (Seoul)</t>
  </si>
  <si>
    <t>us.finit.co.kr</t>
  </si>
  <si>
    <t>171745-39</t>
  </si>
  <si>
    <t>Finizens</t>
  </si>
  <si>
    <t>Developer of an online automated investment and savings management platform designed to allow consumers to invest in various global and diverse passive management funds. The company's platform combines finance and technology to spread the benefits of quality investment services and convenient banking alternatives, and invests the savings in an automated way, according to risk profiling and the investment pattern indicated, enabling investors to get the freedom to withdraw money at any time without penalties.</t>
  </si>
  <si>
    <t>Axon Partners Group, Caser Insurance, Fintech Ventures, Jordi Bartomeu, Miguel Haupt, Reza Ghassemi, Steven Zitzer, Vicenç Martí</t>
  </si>
  <si>
    <t>www.finizens.com</t>
  </si>
  <si>
    <t>638364-70</t>
  </si>
  <si>
    <t>FinLens (Financial Software)</t>
  </si>
  <si>
    <t>Developer of financial management software intended to automate financial operations through intelligent automation and data integration. The company offers financial data integration, predictive analytics, AI-powered financial copilot, forecasting, dashboards, and financial reporting, enabling businesses to monitor financial performance and make data-driven financial decisions using real-time information.</t>
  </si>
  <si>
    <t>Entrepreneurs Roundtable Accelerator, New Jersey Economic Development Authority, NZVC</t>
  </si>
  <si>
    <t>www.finlens.ai</t>
  </si>
  <si>
    <t>502790-50</t>
  </si>
  <si>
    <t>Finmaks</t>
  </si>
  <si>
    <t>Developer of a cloud-based financial application designed to provide open banking alternatives. The company provides integrations with ERPs and accounting software, reminders on payments and collections, and analysis of transactions based on expenses, statements, and balances, enabling businesses to aggregate accounts from multiple banks into a single dashboard.</t>
  </si>
  <si>
    <t>Cube Incubation</t>
  </si>
  <si>
    <t>finmaks.ai</t>
  </si>
  <si>
    <t>266138-74</t>
  </si>
  <si>
    <t>Finmap</t>
  </si>
  <si>
    <t>Developer of financial management tools designed for small businesses and entrepreneurs. The company's tools provide analysis of key business financials such as cash flows and profitability statements, and automate financial management routines by integrating with banks and accounting tools, enabling clients to set up company financial and management accounting and optimize analytical summary reports.</t>
  </si>
  <si>
    <t>1991 Ventures, BRISE Capital, Capital Genetics, Google Accelerator, Inspirium Laboratories, Peter Baron, Presto Ventures, SID Venture Partners, Sigma Software Labs, SMOK Ventures, Startup Wise Guys, Sturgeon Capital, Tivoli Ventures, Ukrainian Startup Fund, Village Capital</t>
  </si>
  <si>
    <t>www.finmap.online</t>
  </si>
  <si>
    <t>529556-86</t>
  </si>
  <si>
    <t>FinMaq</t>
  </si>
  <si>
    <t>Developer of a financial services platform designed to offer financing for productive assets. The company's platform offers a variety of features, including credit scoring, leasing, and revolving credit, enabling businesses in the health, construction, and industrial sectors to access the financing they need to grow and succeed.</t>
  </si>
  <si>
    <t>30N Ventures, Accial Capital, Alive Ventures, Cambridge Innovation Center</t>
  </si>
  <si>
    <t>www.finmaq.com.co</t>
  </si>
  <si>
    <t>519303-25</t>
  </si>
  <si>
    <t>FINN (Financial Services)</t>
  </si>
  <si>
    <t>Developer of a financial well-being platform designed to improve personal financial management and income flexibility. The company's application offers real-time tracking of incomes and expenses with visual charts, early access to earned wages without interest or fees, a marketplace for part-time job opportunities filtered by location and skills, free educational courses on financial literacy and access to personal accident insurance coverage, enabling underbanked individuals and workers to manage finances and increase their earning potential.</t>
  </si>
  <si>
    <t>5i Ventures, Mana Ventures, Team Ignite Ventures</t>
  </si>
  <si>
    <t>www.finn-app.com</t>
  </si>
  <si>
    <t>160471-00</t>
  </si>
  <si>
    <t>Finnomena</t>
  </si>
  <si>
    <t>Developer of an investment and portfolio management application designed to help users invest and manage financial goals. The company's application recommends an automated portfolio of stocks based on the risk that investors choose, along with tracking their investment situations and adjusting their investment plans to their needs, enabling financial investors to research, analyse data and receive real-time analysis of market and funds.</t>
  </si>
  <si>
    <t>500 Global, 500 TukTuks, BCH Ventures, Gobi Partners, Krungsri Finnovate, LINE (Communication Software), Openspace Capital, Premier Advisory Group</t>
  </si>
  <si>
    <t>www.finnomena.com</t>
  </si>
  <si>
    <t>113566-33</t>
  </si>
  <si>
    <t>Finnovista</t>
  </si>
  <si>
    <t>Operator of an innovation and venture capital firm intended to promote collaboration with corporations, startups, and entrepreneurs in the finance ecosystem. The company offers organizations acceleration programs, private funding, conferences, and boot camps, among others, enabling new-age industry players to develop key organisational skills, explore partnerships, and generate tangible results in collaboration with the ecosystem.</t>
  </si>
  <si>
    <t>IGNIA</t>
  </si>
  <si>
    <t>www.finnovista.com</t>
  </si>
  <si>
    <t>500761-81</t>
  </si>
  <si>
    <t>Finofo</t>
  </si>
  <si>
    <t>Developer of an automated and integrated financial platform designed for businesses to access global banking, automate international payables and receivables, and manage their treasury functions. The company's platform offers payments and cash flow forecasts automated to integrate cash flow data, understand historical trends, build forecasts, and stress test the assumptions to changing market conditions, enabling users to model the cash flows without spending hours on tedious spreadsheets.</t>
  </si>
  <si>
    <t>Desjardins Financial Security Investments, Motivate Venture Capital, Plug and Play Tech Center, SaaS Ventures, Sweetspot Capital Holdings, Watertower Ventures</t>
  </si>
  <si>
    <t>www.finofo.com</t>
  </si>
  <si>
    <t>342189-19</t>
  </si>
  <si>
    <t>Finogeeks</t>
  </si>
  <si>
    <t>Developer of a financial market analysis and communication platform intended to serve the IT service industry. The company's product allows financial service professionals to research market data and securely share insights with each other, enabling users to develop investment networks more easily.</t>
  </si>
  <si>
    <t>Gaocheng Capital, Guosheng Securities, Vered Holdings, Yonghua Capital</t>
  </si>
  <si>
    <t>www.finogeeks.com</t>
  </si>
  <si>
    <t>294514-03</t>
  </si>
  <si>
    <t>Finoramic</t>
  </si>
  <si>
    <t>Developer of a monetary wellness platform designed to provide financial services in a verified and digitally consumable financial profile of their users. The company's platform offers complete control over tracking investments, savings, and expenses with less manual effort using artificial intelligence, enabling users to easily and securely share their financial data with any financial services application.</t>
  </si>
  <si>
    <t>IIIT-H Foundation, Venu Vemula</t>
  </si>
  <si>
    <t>www.finoramic.com</t>
  </si>
  <si>
    <t>230005-63</t>
  </si>
  <si>
    <t>Finpass</t>
  </si>
  <si>
    <t>Operator of a credit search platform intended to connect businesses with various financing alternatives for their needs. The company's platform uses matching technology and artificial intelligence to unite firms that seek credit and investors in a way that the algorithm finds the credit options, enabling entrepreneurs to find early credit instead of wasting time on meetings and unnecessary bureaucracy.</t>
  </si>
  <si>
    <t>BoostLAB, BTG Pactual, Igah Ventures, Provence Partners</t>
  </si>
  <si>
    <t>www.finpass.com.br</t>
  </si>
  <si>
    <t>1152819-91</t>
  </si>
  <si>
    <t>Finperks</t>
  </si>
  <si>
    <t>Developer of a prepaid orchestration platform designed to simplify access to global and local prepaid products through a single integration. The company offers a unified API (Application Programming Interface), consolidated contracts, centralized settlements, and scalable infrastructure, enabling banks, fintechs, brands, retailers, and payroll platforms to expand product offerings, drive engagement, and unlock new revenue with minimal operational complexity.</t>
  </si>
  <si>
    <t>Motive Partners, seed + speed Ventures, The House of Finance and Tech Berlin</t>
  </si>
  <si>
    <t>www.finperks.com</t>
  </si>
  <si>
    <t>528903-91</t>
  </si>
  <si>
    <t>FinqUP</t>
  </si>
  <si>
    <t>Operator of a cloud-based investment platform intended for automated claim reporting and initial risk assessment. The company's platform offers features like fractional shares, automated portfolio management, and research tools for a diversification of capital across AI-based strategies, enabling investors to invest in the stock market and increase capital with low fees and no minimum investment.</t>
  </si>
  <si>
    <t>www.finqup.com</t>
  </si>
  <si>
    <t>731795-77</t>
  </si>
  <si>
    <t>FinRight</t>
  </si>
  <si>
    <t>Developer of a financial platform designed to simplify and resolve employee provident fund management issues. The company's platform offers expert assistance with provident fund withdrawal, transfer, and KYC-related problems, ensuring users can address discrepancies like data mismatches, unpaid contributions, and incorrect documentation, enabling individuals to efficiently manage their provident fund and avoid rejections or delays in processing.</t>
  </si>
  <si>
    <t>Abhishant Pant, Aishwarya Jaishankar, Akash Shah, Manish Shah, Miten Sampat</t>
  </si>
  <si>
    <t>www.finright.in</t>
  </si>
  <si>
    <t>1319640-67</t>
  </si>
  <si>
    <t>Finrob</t>
  </si>
  <si>
    <t>Developer of an AI-powered research platform designed to deliver real-time financial and crypto market intelligence through multi-modal analytics. The Company provides an AI-native research platform designed for investors, analysts and financial professionals seeking deep insights into both traditional finance and cryptocurrency markets, enabling users to access accessible, AI-driven financial and crypto research insights with real-time analytics and multi-model intelligence.</t>
  </si>
  <si>
    <t>www.finrob.xyz</t>
  </si>
  <si>
    <t>1158729-40</t>
  </si>
  <si>
    <t>Finseeka</t>
  </si>
  <si>
    <t>Developer of an AI-powered market analysis platform designed for private market intelligence. The company provides tools to search and analyze filings, registrations, and representative records, monitor activity, track market trends, and query private market data using AI, enabling investors and analysts to make informed decisions.</t>
  </si>
  <si>
    <t>FreshTracks Capital</t>
  </si>
  <si>
    <t>www.finseeka.com</t>
  </si>
  <si>
    <t>521615-44</t>
  </si>
  <si>
    <t>Finsire</t>
  </si>
  <si>
    <t>Operator of a digital public infrastructure (DPI) for all assets platform intended to collateralize income and digitize all asset classes. The company's platform offers application programming interfaces (APIs) for easy identification and verification tools to fetch all assets of the user spread across different asset classes, such as mutual funds, stocks, insurance, bonds, earned salary, and other asset classes, enabling clients with easy pledging of assets to facilitate secured lending.</t>
  </si>
  <si>
    <t>1947 Rise, Abhinav Sinha, Abhishek Goyal, Abhishek Rungta, Adept Ventures, Amit Goel, BlueLotus Ventures, DeVC, DevX (Ahmedabad), eChai Ventures, Harshil Mathur, iSeed (India), Justin Caldbeck, Lalit Keshre, Long Tail Ventures., LVX, Madhusudanan Rangarajan, Maninder Gulati, Mars Shot Ventures, Meet Semlani, Mohan Karuppaiah, Muthukumar Ayyakkannu, Portal Angel Investors, Prabhu Rangarajan, Pratekk Agarwal, Purple Seed Capital, Rahul Mathur, Shashank Kumar, SN Damani, Spark Capital Advisors, Sprint VC</t>
  </si>
  <si>
    <t>www.finsire.com</t>
  </si>
  <si>
    <t>521718-49</t>
  </si>
  <si>
    <t>Finso</t>
  </si>
  <si>
    <t>Developer of financial software designed to offer money transfer, shopping, and loan payment services to customers. The company's platform offers a mobile interface, loan application and processing functions, integrated money transfer capabilities, connectivity with retailers and financial institutions, and flexible repayment features, enabling consumers seeking accessible personal or shopping financing to manage transactions more conveniently and efficiently.</t>
  </si>
  <si>
    <t>HackZone Scale Up, SantanderX, TEB Girisim Evi, Tenity, TT Ventures PİLOT, Workup (Turkey)</t>
  </si>
  <si>
    <t>www.finso.co.uk</t>
  </si>
  <si>
    <t>470437-57</t>
  </si>
  <si>
    <t>Finspo</t>
  </si>
  <si>
    <t>Developer of a digital mortgage broking application designed to connect home loan borrowers with mortgage brokers for their loan needs. The company's platform uses analytical algorithms to link users to accounts in one place, including savings, backup savings, spending, and mortgage, as well as backup for emergency savings to give customers access to home loan advice and automate the process, providing borrowers with personalized insights on their savings and other expenses and lower cost client acquisition, plus increased engagement and retention.</t>
  </si>
  <si>
    <t>Ashok Ramamurthy, Gregory Armour</t>
  </si>
  <si>
    <t>www.finspo.com.au</t>
  </si>
  <si>
    <t>529773-13</t>
  </si>
  <si>
    <t>Fintary</t>
  </si>
  <si>
    <t>Developer of a financial operating system designed to support and drive the business in operations to focus on its growth. The company's system specializes in automating personalized follow-up, insights with transparency from the cash revenue data, reducing operational overhead, enabling companies to get valuable insights from the back office, and making decisions that will position them for profitability and predictable cash flow.</t>
  </si>
  <si>
    <t>Alumni Ventures, Harlem Capital, Infinity Ventures (San Francisco), Kyber Knight Capital, Sierra Ventures</t>
  </si>
  <si>
    <t>www.fintary.com</t>
  </si>
  <si>
    <t>465297-31</t>
  </si>
  <si>
    <t>FinTech Automation</t>
  </si>
  <si>
    <t>Operator of a financial platform intended to facilitate the digital transformation of financial institutions. The company's platform offers family wealth, CRM, robotic process automation, acceleration cloud, artificial intelligence and managed services, enabling banks and fintech clients to solve the problem of running business operations.</t>
  </si>
  <si>
    <t>www.fintechautomation.com</t>
  </si>
  <si>
    <t>482821-66</t>
  </si>
  <si>
    <t>Fintech Galaxy</t>
  </si>
  <si>
    <t>Developer of an open finance platform designed to enable secure and compliant financial data sharing. The company offers a regulated API infrastructure, enabling financial institutions, fintech firms, and businesses across the MENA region to integrate open banking and embedded finance capabilities.</t>
  </si>
  <si>
    <t>www.thefinx.io</t>
  </si>
  <si>
    <t>234727-48</t>
  </si>
  <si>
    <t>FintechOS</t>
  </si>
  <si>
    <t>Developer of a cloud-based banking platform designed to improve how financial technology is built. The company's platform uses a hybrid agile methodology that takes into consideration the available resources and realistic timeline expectations and maps opportunities for collaboration throughout the project, enabling clients to meet the expectations of consumers and businesses seeking personalized services.</t>
  </si>
  <si>
    <t>Bek Ventures, BlackRock, Cipio Partners, DIFC Innovation Hub, Earlybird Venture Capital, Endeavor Catalyst, GapMinder Venture Partners, Grow London, International Finance Corporation, LAUNCHub Ventures, Microsoft for Startups, Molten Ventures, OTB Ventures, Softelligence</t>
  </si>
  <si>
    <t>www.fintechos.com</t>
  </si>
  <si>
    <t>399210-94</t>
  </si>
  <si>
    <t>Fintel Connect</t>
  </si>
  <si>
    <t>Developer of a customer acquisition platform designed to generate new clients for banks. The company's product provides marketing data related to driving growth, leveling the playing field for financial brands to grow online, and marketing solutions for financial services, enabling businesses to expand their digital acquisition in a scalable way.</t>
  </si>
  <si>
    <t>BankTech Ventures, EDC Investments, Government of Canada, ICBA Securities, The Venture Center</t>
  </si>
  <si>
    <t>www.fintelconnect.com</t>
  </si>
  <si>
    <t>340849-63</t>
  </si>
  <si>
    <t>FinTell</t>
  </si>
  <si>
    <t>Provider of high-end fintech services based on mobile internet big data. The company provides intelligent risk control decisions and systematic solutions for banks and other licensed financial institutions by applying new technologies such as artificial intelligence and combining professional risk control experience.</t>
  </si>
  <si>
    <t>China Growth Capital, HSG (Hong Kong), Titanium Ventures, Youshan Capital</t>
  </si>
  <si>
    <t>www.fintell.com.cn</t>
  </si>
  <si>
    <t>439273-45</t>
  </si>
  <si>
    <t>Fintica</t>
  </si>
  <si>
    <t>Developer of an artificial intelligence-based financial technology designed to give real-time market analyses with an understanding of vast amounts of data. The company's technology uses an investment and risk decision-support tool associated with intelligent market data feeds to allow pattern recognition, anomaly detection and predictive modelling with unmatched online learning capabilities, enabling investment managers, market infrastructure, and global data vendors to analyse the financial market efficiently.</t>
  </si>
  <si>
    <t>Barker and Booth Commercial Agency, BlueLion Incubator, Cortica (Business/Productivity Software), Duotem Capital, Legend Arb</t>
  </si>
  <si>
    <t>www.fintica-ai.com</t>
  </si>
  <si>
    <t>719135-38</t>
  </si>
  <si>
    <t>Fintologya</t>
  </si>
  <si>
    <t>Developer of cloud-native financial infrastructure designed for regulatory-compliant digital banking and secure payments. The company's platform delivers scalable transaction systems, high-assurance data security, and seamless integration with institutional finance workflows, enabling banks, fintechs, and financial institutions across the GCC to launch next-generation digital products that meet evolving compliance standards while supporting innovation, operational resilience, and regional expansion.</t>
  </si>
  <si>
    <t>fintologya.com</t>
  </si>
  <si>
    <t>1233028-36</t>
  </si>
  <si>
    <t>Fintower</t>
  </si>
  <si>
    <t>Developer of an AI-powered financial planning platform designed to centralize and streamline financial data management for CFOs, CEOs, and finance teams. The company offers automated scenario modeling, real-time analytics, and board-ready reporting with AI-driven insights, enabling scale-ups and mid-market firms to replace manual spreadsheets, improve forecasting accuracy, and make faster, more informed strategic decisions.</t>
  </si>
  <si>
    <t>Alexander Hars, Almi, Chalmers Ventures, Daniel Jonsson, Lightbend, William Olsson</t>
  </si>
  <si>
    <t>www.fintower.ai</t>
  </si>
  <si>
    <t>520617-52</t>
  </si>
  <si>
    <t>Fintwin Corporation</t>
  </si>
  <si>
    <t>Developer of financial transaction automation tools designed to streamline and support digital payment operations. The company's platform offers automatic fee collection, batch transfer processing, real-time receivables tracking, salary disbursement capabilities, and easy-to-integrate payment APIs, enabling businesses to manage their financial transactions efficiently, reduce manual workloads, improve payment accuracy, and operate with greater security and reliability.</t>
  </si>
  <si>
    <t>Simple Tech Investment</t>
  </si>
  <si>
    <t>www.fintwin.vn</t>
  </si>
  <si>
    <t>996457-42</t>
  </si>
  <si>
    <t>Finup</t>
  </si>
  <si>
    <t>Developer of an investment platform designed to democratize access to capital and investment opportunities in Belarus. The company's platform offers services related to bonds, stocks, trust management, investment consulting, and brokerage, enabling investors and legal entities seeking investments to explore local securities markets and find opportunities.</t>
  </si>
  <si>
    <t>Softline Venture Partners</t>
  </si>
  <si>
    <t>www.finup24.com</t>
  </si>
  <si>
    <t>470842-75</t>
  </si>
  <si>
    <t>Finvar</t>
  </si>
  <si>
    <t>Developer of a modular white-label financial infrastructure platform designed to help financial organizations build digital financial products with reduced risk. The company offers modular infrastructure, workflow automation, and integration capabilities, enabling wealth managers, banks, and credit unions to streamline operations, expand financial services, and improve customer experiences.</t>
  </si>
  <si>
    <t>LvlUp Ventures, Octerra Capital</t>
  </si>
  <si>
    <t>www.finvar.com</t>
  </si>
  <si>
    <t>496517-86</t>
  </si>
  <si>
    <t>Finvero</t>
  </si>
  <si>
    <t>Operator of a credit marketplace intended to offer personalized financing services from a single platform. The company offers integration of diverse data sources, AI-driven risk assessment models, and generative AI-based insights, enabling financial institutions and lenders to enhance credit evaluation accuracy and strengthen fraud detection.</t>
  </si>
  <si>
    <t>Arrebol Capital, Bell Ventures (Limassol), Brainstorm Ventures, Conexo Ventures, COREangels, FJ Labs, Global FinTech Venture Partners, MANA Tech, Mana Ventures, NuMundo Ventures, Ricardo Amper, VXT Negocios, Wellington Access Ventures</t>
  </si>
  <si>
    <t>www.finvero.com</t>
  </si>
  <si>
    <t>571553-20</t>
  </si>
  <si>
    <t>Finvest</t>
  </si>
  <si>
    <t>Developer of a wealth management platform designed for people to optimize their finances. The company analyzes business and financial signals and discovery tools for informed investment decisions, along with offering portfolio analysis tools, enabling investors to make smart investment choices.</t>
  </si>
  <si>
    <t>Bayhouse Capital, Fractal Ventures, Olive Tree Capital, Oliver Jung, Pioneer Fund, Unpopular Ventures, Y Combinator</t>
  </si>
  <si>
    <t>www.getfinvest.com</t>
  </si>
  <si>
    <t>527353-48</t>
  </si>
  <si>
    <t>Finviet Technology</t>
  </si>
  <si>
    <t>Operator of a fintech platform intended to create a system throughout the value chain, starting from distribution to retail and financial services. The company's platform specializes in providing financial and telecommunication services, e-wallets and payment gateways, banking services, and agent banking, enabling users to get equipped with technology systems to create a competitive advantage.</t>
  </si>
  <si>
    <t>IT-Farm, Seoul National University Technology Holdings, Sojitz, Spring Camp, Tekton Ventures</t>
  </si>
  <si>
    <t>www.finviet.com.vn</t>
  </si>
  <si>
    <t>463370-23</t>
  </si>
  <si>
    <t>Finway</t>
  </si>
  <si>
    <t>Developer of a financial operating system designed for small and medium-sized businesses and ensured simple digitized and automated financial processes. The company's platform covers budget planning and cash flow, liquidity management, all purchase and invoice approvals, payments via bank connection or virtual and physical debit or prepaid cards, and the associated preliminary accounting with an interface to data, enabling businesses to automate the accounts payable processes.</t>
  </si>
  <si>
    <t>10X Group, 6 Degrees Capital, Andrej Henkler, b2venture, Capital 49, eNugget Ventures, Felix Haas, Force Over Mass Capital, Paul Forster, Werk 1, Xpreneurs</t>
  </si>
  <si>
    <t>finway.de</t>
  </si>
  <si>
    <t>543985-84</t>
  </si>
  <si>
    <t>Finwello</t>
  </si>
  <si>
    <t>Developer of a financial wellness benefit platform designed to provide monetary health insights. The company's platform supports the financial health of employees, aligns the total rewards strategy with their needs, offers personalized savings plans and real-time insights, and provides insights for employers to optimize their benefits budget, enabling employers to manage their employee's financial health effectively.</t>
  </si>
  <si>
    <t>Advanced Technology Development Center, Solidea Capital</t>
  </si>
  <si>
    <t>www.finwello.com</t>
  </si>
  <si>
    <t>343796-23</t>
  </si>
  <si>
    <t>Finwise Bank</t>
  </si>
  <si>
    <t>Operator of a financial tech bank intended to operate in the United States. The company offers big-bank security with community bank services and specializes in lending services and also offers mobile banking, cash management services, consumer banking, business banking, and small and medium-term loans., enabling clients with banking services.</t>
  </si>
  <si>
    <t>www.finwise.bank</t>
  </si>
  <si>
    <t>399215-35</t>
  </si>
  <si>
    <t>Finzly</t>
  </si>
  <si>
    <t>Operator of an online banking platform designed to perform financial transactions based on upgraded technology. The company's platform offers cloud-native architecture, modular applications, real-time payment capabilities, and embedded banking APIs, enabling banks, credit unions and fintechs to streamline operations, deliver seamless payment experiences, and accelerate innovation.</t>
  </si>
  <si>
    <t>Independent Community Bankers of America, The Venture Center, TZP Group</t>
  </si>
  <si>
    <t>www.finzly.com</t>
  </si>
  <si>
    <t>521991-91</t>
  </si>
  <si>
    <t>Fionic</t>
  </si>
  <si>
    <t>Operator of a fintech platform intended to offer credit risk assessment and capital formation. The company's platform is machine learning and AI data-driven, created to leverage technology and capital, helping investors, originators, and end-consumers to know credit quality for financial success.</t>
  </si>
  <si>
    <t>Ben Rothschild, S-Ventures (Israel)</t>
  </si>
  <si>
    <t>www.fionic.com</t>
  </si>
  <si>
    <t>739924-03</t>
  </si>
  <si>
    <t>Fira</t>
  </si>
  <si>
    <t>Developer of an automated financial research platform designed for efficient data extraction and analysis from unstructured financial reports. The company's platform reads and processes financial reports, providing source-cited answers, verifiable financial calculations and Excel-ready tables, including the ability to upload custom documents and covering annual reports of international companies, enabling investment banks and private equity firms to significantly reduce research time and focus on analysis and decision-making.</t>
  </si>
  <si>
    <t>Cyber.Fund, Sapienta Venture Capital, Y Combinator</t>
  </si>
  <si>
    <t>www.firaresearch.com</t>
  </si>
  <si>
    <t>1318631-41</t>
  </si>
  <si>
    <t>Fireplace (Business/Productivity Software)</t>
  </si>
  <si>
    <t>Developer of a professional trading terminal designed to provide a unified terminal that aggregates market and execution across prediction market venues. The company's platform delivers real-time data, institution-grade execution, advanced charting, wallet, whale, and insider tracking, and discovery, enabling users to get a trading system and earn revenues.</t>
  </si>
  <si>
    <t>BlackPine Group, Brian Crain, Chris Cable, Echo Capital Group, Evgeny Gaevoy, Frachtis, Legion (Tortola), Lito Coen, Sunil Srivatsa, Vaibhav Mittal, White Star Capital</t>
  </si>
  <si>
    <t>pro.fireplace.gg</t>
  </si>
  <si>
    <t>495537-67</t>
  </si>
  <si>
    <t>Firmbase</t>
  </si>
  <si>
    <t>Developer of a financial planning and analysis platform designed to drive better business decisions. The company's platform utilizes artificial intelligence to analyze, monitor, and report on business metrics to create financial models and allows for real-time adjustments and scenario planning to keep them synchronized, enabling enterprises to enhance their operations, improve performance, and foster collaboration among finance teams.</t>
  </si>
  <si>
    <t>Alexey Baikov, Charles Songhurst, Danny Grander, Deloitte Launchpad, Gil Shai, Kesha Ventures, Maxim Melamedov, Meron Capital, NFX, Ofir Ehrlich, Omer Kaplan, Or Offer, S Capital VC, Shmuel Levy, Talmon Marco</t>
  </si>
  <si>
    <t>www.firmbase.ai</t>
  </si>
  <si>
    <t>156186-19</t>
  </si>
  <si>
    <t>First Circle</t>
  </si>
  <si>
    <t>Developer of a digital financing and banking platform designed to provide accessible credit and financial tools for businesses. The company's platform offers non-collateral business loans, online accounts with no fees, and employee lending programs, enabling small and medium enterprises in the Philippines to improve cash flow, manage operations efficiently, and support long-term growth.</t>
  </si>
  <si>
    <t>500 Southeast Asia, Accion, Alter Global, Chris Adelsbach, Endeavor Catalyst, Fasanara Capital, Insignia Ventures Partners, International Finance Corporation, Key Capital, Koru Partners, Maiora Ventures, Nuard Ventures, SBI Ventures Malaysia, Silverhorn Investment Advisors, Spiral Ventures, Tryb Group, Venturra Capital</t>
  </si>
  <si>
    <t>www.firstcircle.ph</t>
  </si>
  <si>
    <t>517982-23</t>
  </si>
  <si>
    <t>Firstcard</t>
  </si>
  <si>
    <t>Developer of a financial technology company designed to help students save money on everyday purchases. The company offers debit cards without any annual sign-up or overdraft fees, requires no minimum account balance, and offers cashback at every transaction, enabling college students to easily manage their finances via a mobile application.</t>
  </si>
  <si>
    <t>10X Capital, ANOBAKA, CyberAgent Capital, Cygames Capital, Dawn Capital (Tokyo), FreakOut Shinsei Fund, Gaingels, Iceblue Fund, Mitsui Sumitomo Kaijo Capital</t>
  </si>
  <si>
    <t>www.firstcard.app</t>
  </si>
  <si>
    <t>520504-03</t>
  </si>
  <si>
    <t>Fiscontech</t>
  </si>
  <si>
    <t>Developer of a fintech software intended to make accounting and financials productive and efficient by automating fiscal and tax processes. The company's technology provides automated tasks such as delivery guide and receipt, advanced filter for issues common to several customers, storage, and management of purchase and sales markup language, and analysis of debts, enabling clients to make financial and accounting information search processes productive.</t>
  </si>
  <si>
    <t>Bossa Invest</t>
  </si>
  <si>
    <t>www.fiscontech.com.br</t>
  </si>
  <si>
    <t>229176-19</t>
  </si>
  <si>
    <t>FISPAN</t>
  </si>
  <si>
    <t>Developer of a financial technology company designed to integrate banks with their clients' enterprise resource planning (ERP) and accounting systems. The company's technology provides innovative enterprise resource planning (ERP) banking solutions that eliminate the complexities and frustrations of traditional banking services and by embedding banking services directly into enterprise resource planning (ERP) and accounting software, enabling them to streamlines financial workflows, reduces costs, minimizes manual errors, and enhances efficiency for businesses of all sizes.</t>
  </si>
  <si>
    <t>BDC Capital, C100 (Commercial Services), Canapi Ventures, Chase Bank, FINTOP (US), JP Morgan Chase, Panache Ventures, Plug and Play Tech Center, Rhino Ventures, Saloniki Investments, Start Path, The Lazaridis Institute</t>
  </si>
  <si>
    <t>www.fispan.com</t>
  </si>
  <si>
    <t>607979-35</t>
  </si>
  <si>
    <t>Five</t>
  </si>
  <si>
    <t>Developer of a biometric authentication platform intended to improve the payment process. The company specializes in reading the patterns on users' palms without storing any sensitive data to give a safe, secure way to authenticate in a completely keyless access control, enabling businesses to shorten queues for checkouts with contactless authentication without touching any shared surfaces.</t>
  </si>
  <si>
    <t>13books Capital, Blue Wire Capital, Form Ventures, MPG Fund, Octopus Ventures, Quadri Ventures, Venrex Investment Management</t>
  </si>
  <si>
    <t>www.five.id</t>
  </si>
  <si>
    <t>1157780-71</t>
  </si>
  <si>
    <t>Five Bells</t>
  </si>
  <si>
    <t>Developer of a settlement platform designed for crypto transactions. The company's platform leverages blockchain to mitigate settlement risk, enabling users to standardize communication, eliminate time-consuming settlements, and detect costly margins.</t>
  </si>
  <si>
    <t>Concentric Team, ego death capital, Epoch Ventures, Fulgur Ventures, Timechain(UK)</t>
  </si>
  <si>
    <t>www.fivebellssettlement.com</t>
  </si>
  <si>
    <t>471685-24</t>
  </si>
  <si>
    <t>FIX4 Capital</t>
  </si>
  <si>
    <t>Provider of vehicle maintenance financing intended for automotive service centers and vehicle owners. The company offers affordable loans with flexible terms and approves loans based on the value of the vehicle and not credit score, enabling citizens to have equal access to affordable and flexible financing for their vehicle repairs at any time during the lifecycle of their vehicle.</t>
  </si>
  <si>
    <t>Keira Capital Partners, Martin Lavigne, Tactico</t>
  </si>
  <si>
    <t>www.fix4.com</t>
  </si>
  <si>
    <t>515145-34</t>
  </si>
  <si>
    <t>FIXE ( Accounting, Audit and Tax Services)</t>
  </si>
  <si>
    <t>Operator of a bookkeeping software intended to focus on restaurant bookkeeping operations. The company's platform offers vendor invoicing, reporting, and payroll processing that track staffing to special menus, enabling restaurant owners to make bookkeeping easier and more affordable.</t>
  </si>
  <si>
    <t>New York Angels</t>
  </si>
  <si>
    <t>www.getmyfixe.com</t>
  </si>
  <si>
    <t>589758-85</t>
  </si>
  <si>
    <t>Flaex</t>
  </si>
  <si>
    <t>Developer of a decentralized perpetual trading exchange platform designed to integrate native yield generation with margin trading for cryptocurrency users. The company's platform offers yield-earning USDC deposits, fee revenue sharing, gasless trading, and community reward opportunities, enabling crypto traders and liquidity providers to engage in decentralized margin markets with reduced transaction costs and enhanced earning potential.</t>
  </si>
  <si>
    <t>flaex.io</t>
  </si>
  <si>
    <t>1272507-31</t>
  </si>
  <si>
    <t>Flamingo (Financial Services)</t>
  </si>
  <si>
    <t>Operator of a crowdfunding platform designed to support the preservation and restoration of wetlands and related ecosystems. The company offers curated environmental projects, direct donation participation, transparent progress tracking, and community engagement, enabling individuals and project leaders focused on environmental conservation to fund impactful initiatives and contribute to biodiversity protection and climate resilience.</t>
  </si>
  <si>
    <t>Regenerative (Swiss)</t>
  </si>
  <si>
    <t>www.flamingo.eco</t>
  </si>
  <si>
    <t>503588-98</t>
  </si>
  <si>
    <t>Flamingo (Financial Software)</t>
  </si>
  <si>
    <t>Operator of a financial platform intended to help users manage their finances. The company's platform provides sophisticated tools that help to set future goals like buying a house, retirement planning, living on a farm, or traveling the world, automating expenses and budget categorization, enabling users to set savings goals based on their desired lifestyle.</t>
  </si>
  <si>
    <t>www.flamingotech.com.au</t>
  </si>
  <si>
    <t>342125-74</t>
  </si>
  <si>
    <t>Flash ()</t>
  </si>
  <si>
    <t>HR Tech</t>
  </si>
  <si>
    <t>Developer of a human resource management platform designed to facilitate the consolidation of benefits in one central location. The company's platform allows one to manage employee benefits with full legal compliance and reduces the need for multiple tools, enabling companies to enhance control over corporate expenses and employee satisfaction.</t>
  </si>
  <si>
    <t>Battery Ventures, Citius, Global Founders Capital, Kauffman Fellows, Lalit Keshre, Monashees, Norte Ventures, Spectra Investments, Tencent Holdings, Tiger Global Management, Whale Rock Capital Management</t>
  </si>
  <si>
    <t>www.flashapp.com.br</t>
  </si>
  <si>
    <t>518084-47</t>
  </si>
  <si>
    <t>Flash (Financial Software)</t>
  </si>
  <si>
    <t>Developer of a mobile payment application designed to simplify everyday transactions and bill payments. The company offers QR-based payments, secure processing through partnered banking infrastructure, and spending insights, enabling consumers to pay bills and purchases seamlessly while managing their expenses efficiently.</t>
  </si>
  <si>
    <t>Addition, Flourish Ventures, Globivest, Resilience17</t>
  </si>
  <si>
    <t>www.useflash.app</t>
  </si>
  <si>
    <t>691515-37</t>
  </si>
  <si>
    <t>Flash (Newark)</t>
  </si>
  <si>
    <t>Developer of a payment gateway platform designed to accept payments in the form of Bitcoin. The company's platform allows setting up payments and subscriptions and simplifying the integration of Bitcoin into business, enabling merchants to enhance customer experience and offer secure payments.</t>
  </si>
  <si>
    <t>Early Riders, Initial Capital</t>
  </si>
  <si>
    <t>www.paywithflash.com</t>
  </si>
  <si>
    <t>515130-49</t>
  </si>
  <si>
    <t>Flashwire</t>
  </si>
  <si>
    <t>Developer of a fintech platform designed to revolutionize the way people interact with traditional financial services. The company's platform ensures enhanced security and compliance while being user-friendly, convenient, and having more robust features than traditional banking institutions, enabling clients to build a digital banking ecosystem that optimizes how people and banks interact with their money.</t>
  </si>
  <si>
    <t>Cobo Ventures, CyberX, Gate Ventures (Gate.io), Legend Trading, SuperChain Capital, VeChain</t>
  </si>
  <si>
    <t>www.flashwire.com</t>
  </si>
  <si>
    <t>510218-20</t>
  </si>
  <si>
    <t>Fledger</t>
  </si>
  <si>
    <t>Developer of an equity management platform intended to easily set up and manage incentive or equity plans. The company's platform lets users set up incentives and structures, manage cap tables, and provide clients with legal advice, enabling businesses to manage employee incentives in a simple, quick, and low-cost way enabling them to attract and retain talents more easily.</t>
  </si>
  <si>
    <t>Curiosity VC, Plug and Play Tech Center</t>
  </si>
  <si>
    <t>www.fledger.ai</t>
  </si>
  <si>
    <t>533533-42</t>
  </si>
  <si>
    <t>Flend</t>
  </si>
  <si>
    <t>Developer of a tech-enabled platform designed to streamline financing processes for SMEs. The company offers a cutting-edge infrastructure, leveraging digital contracts, e-signatures, and data analysis, enabling small and medium-sized enterprises to access agile and transparent funding options, driving economic growth, and addressing critical financing gaps.</t>
  </si>
  <si>
    <t>Banque Misr, Camel Ventures, Egypt Ventures, Elsewedy Capital, Plus Venture Capital, Sukna Ventures, Visa Accelerator</t>
  </si>
  <si>
    <t>www.flend.io</t>
  </si>
  <si>
    <t>463098-79</t>
  </si>
  <si>
    <t>Flex Financial Technologies</t>
  </si>
  <si>
    <t>Developer of a spend management platform designed to help small and medium-sized enterprises to manage and track expenses. The company's platform provides an intuitive user interface, insights, digital requisitions, bulk payment transfers, budgeting, and expense tracking, enabling businesses to digitize their daily operations.</t>
  </si>
  <si>
    <t>500 Global, Accion, Ajim Capital, Berrywood Capital, Boro Capital, Brett Kopf, Chui Ventures, Expert DOJO, Google Accelerator, Julian Shapiro, Kairos Angels, LoftyInc Capital Management, Maneesh Arora, Mastercard Foundation, Paradox Capital (United States), Realm Capital Ventures, Sahil Lavingia, Unpopular Ventures</t>
  </si>
  <si>
    <t>www.useflexfinance.com</t>
  </si>
  <si>
    <t>231303-25</t>
  </si>
  <si>
    <t>Flexa (Media and Information Services (B2B))</t>
  </si>
  <si>
    <t>Developer of a payment application designed for point-of-sale payments through cryptocurrency. The company's application offers bitcoin, ether, bitcoin cash, and litecoin, which can be used to pay through a flex code, enabling users to buy products through a fraud-proof payments network,d as per their choice,ce without accessing liquid cash.</t>
  </si>
  <si>
    <t>1kx, Access Ventures, Ault Krug Partners, Gemini Frontier Fund, Iconium Blockchain Ventures, Jump Crypto, Moonwhale Ventures, Morningside Capital (Chicago), Nima Capital, Pantera Capital, Robot Ventures, Tribal Ventures</t>
  </si>
  <si>
    <t>www.flexa.co</t>
  </si>
  <si>
    <t>455193-73</t>
  </si>
  <si>
    <t>FlexTax</t>
  </si>
  <si>
    <t>Developer of an online accounting management platform intended to provide tax, administrative, and financial management services to SMEs. The company offers accounting consulting, administration tools, and financial tools, enabling organizations to comply with accounting and taxation procedures per law.</t>
  </si>
  <si>
    <t>Creative Thinking Ventures</t>
  </si>
  <si>
    <t>www.flextax.it</t>
  </si>
  <si>
    <t>65661-76</t>
  </si>
  <si>
    <t>FlexWage</t>
  </si>
  <si>
    <t>Provider of digital financial services intended to offer short-term capital and payroll card tools. The company's technology interfaces with employer human resource and payroll systems to provide employees with virtual cards to manage accrued wages within the pay cycle and assist households in avoiding the debt trap associated with using cost-lending alternatives, enabling employees to monitor their earned wages efficiently.</t>
  </si>
  <si>
    <t>Pathward Financial</t>
  </si>
  <si>
    <t>www.flexwage.com</t>
  </si>
  <si>
    <t>482119-57</t>
  </si>
  <si>
    <t>Flip (IT Consulting and Outsourcing)</t>
  </si>
  <si>
    <t>Digital Health, FinTech, SaaS</t>
  </si>
  <si>
    <t>Developer of healthcare financing software designed to improve access to medical treatments and procedures. The company's software provides online credit processing, installment payment management, and clinic administration tools, enabling patients to pay for healthcare services through long-term installment plans and helping clinics manage payment workflows.</t>
  </si>
  <si>
    <t>www.flipsaude.com</t>
  </si>
  <si>
    <t>522218-44</t>
  </si>
  <si>
    <t>Flipcash</t>
  </si>
  <si>
    <t>Operator of a digital cash &amp; wallet platform intended to enable instant, global payments in any currency. The company offers a mobile wallet app, wallet functionality, support for multiple currencies, QR-code transfers, and non-custodial access keys, enabling users to perform peer-to-peer transfers as simple as handing over physical cash.</t>
  </si>
  <si>
    <t>Anatoly Yakovenko, Balaji Srinivasan, M13, Mert Mumtaz, Rajiv Gokal, Roham Gharegozlou, Union Square Ventures</t>
  </si>
  <si>
    <t>www.flipcash.com</t>
  </si>
  <si>
    <t>491693-05</t>
  </si>
  <si>
    <t>FLIT Invest</t>
  </si>
  <si>
    <t>Developer of an investment platform designed to simplify impact investing and align portfolios with personal values. The company platform offers an automated, accessible technology with no high account minimums, enabling everyday investors to build wealth through sustainable and socially responsible investments.</t>
  </si>
  <si>
    <t>Lincoln Bleveans, Marton Erdei, Oktogon Ventures</t>
  </si>
  <si>
    <t>www.flitinvest.com</t>
  </si>
  <si>
    <t>435494-80</t>
  </si>
  <si>
    <t>Float</t>
  </si>
  <si>
    <t>Provider of a financing platform intended to simplify business finance through integrated funding, banking, and payment capabilities. The company offers revenue-based financing, multi-currency accounts, foreign exchange, global payments, and credit facilities, enabling technology companies to access growth capital and manage international financial operations.</t>
  </si>
  <si>
    <t>Chapters Group, D2 Fund (London), Globivest, Kinled Holding, Linbo Invest, Pharus, Propel Capital (Sweden), Stockholm Innovation &amp; Growth, VNTRS</t>
  </si>
  <si>
    <t>www.floatfinance.com</t>
  </si>
  <si>
    <t>903206-26</t>
  </si>
  <si>
    <t>Float (Financial Services)</t>
  </si>
  <si>
    <t>Developer of an AI-powered financial market intelligence platform designed to generate mathematical embeddings of financial market data. The company develops models that represent market events for price forecasting, market manipulation detection, data compression, and synthetic market simulation for stress testing, enabling clients to analyze financial market data and support quantitative research and risk analysis</t>
  </si>
  <si>
    <t>FinTech Sandbox, gBETA</t>
  </si>
  <si>
    <t>www.float.trading</t>
  </si>
  <si>
    <t>591406-57</t>
  </si>
  <si>
    <t>Float (Johannesburg)</t>
  </si>
  <si>
    <t>Developer of an e-payment platform designed to provide a financially responsible interest-free instalment payment option. The company's platform offers installment payments that allow shoppers to split card payments into flexible, interest-free monthly payments, enabling customers and merchants to make monetary transactions and interactions effortlessly.</t>
  </si>
  <si>
    <t>Invenfin, Lighthouse Venture Partners, Platform Investment Partners, Saad Investment, Visa Accelerator</t>
  </si>
  <si>
    <t>www.float.co.za</t>
  </si>
  <si>
    <t>455171-05</t>
  </si>
  <si>
    <t>Float Financial Solutions</t>
  </si>
  <si>
    <t>Developer of an automated expense management platform designed to manage corporate cards, personal reimbursements, approvals, and invoices. The company's platform features virtual card generation for online spending, a spending tracker and controller, accounting automation, and periodic integrated reports and insights, enabling employees and managers to keep track of expenses and stay within the budget.</t>
  </si>
  <si>
    <t>A*, Andrew Macdonald, BDC Capital, Browder Capital, C100 (Commercial Services), Daniel Park, DMZ (Toronto), FJ Labs, Garage Capital, Global Founders Capital, Golden Ventures, Goldman Sachs Asset Management, Goldman Sachs Growth Equity, Inovia Capital, Jamie McDonald, Kirk Simpson, Michael Katchen, Michael Wilshire, Northleaf Capital Partners, OMERS Ventures, Rhianna Brancato, Riverside Ventures, Roach Capital, Russell Jones, Susa Ventures, SVB Financial Group, Teralys Capital, Tiger Global Management, Tiny Capital, Velocity Incubator</t>
  </si>
  <si>
    <t>www.floatfinancial.com</t>
  </si>
  <si>
    <t>452824-39</t>
  </si>
  <si>
    <t>FloBiz</t>
  </si>
  <si>
    <t>Developer of an artificial intelligence-powered stock management and accounting platform designed to simplify billing and accounting needs. The company's platform digitizes invoicing, streamlines business accounting, automates workflows across enterprises, manages outstanding, and monitors stock, enabling businesses to automate and optimize business operations.</t>
  </si>
  <si>
    <t>100Unicorns, Amrish Rau, Ankit Tomar, Anuj Golecha, Beams Fintech Fund, BEENEXT Capital Management, Elevation Capital (India), Greenoaks, iSeed (India), Jitendra Gupta, Krishnan Menon, Kunal Shah, Neeraj Arora, Nitin Gajria, Nitin Gupta, Pantera Capital, Peak XV Partners, Samyakth Capital, Satyen Kothari, Sayali Karanjkar, Think Investments (San Francisco), Vaibhav Karnavat, Vijay Sharma, Whiteboard Capital</t>
  </si>
  <si>
    <t>www.flobiz.in</t>
  </si>
  <si>
    <t>509581-90</t>
  </si>
  <si>
    <t>Flood</t>
  </si>
  <si>
    <t>Developer of a white-label digital commerce platform designed to transform offline retail into integrated, mobile-first marketplaces. The company's platform offers a no-code, API-based platform with features like merchant onboarding, loyalty programs, real-time analytics, and in-store pickup to increase transaction volume and become digital commerce hubs, enabling telcos, banks, and enterprises to digitize retail experiences and expand their digital ecosystems.</t>
  </si>
  <si>
    <t>Action Hero Ventures, CRE Venture Capital, Tomorrow Street</t>
  </si>
  <si>
    <t>www.flood.finance</t>
  </si>
  <si>
    <t>160900-57</t>
  </si>
  <si>
    <t>Floryn</t>
  </si>
  <si>
    <t>Developer of an online financial platform intended to finance outstanding invoices for small and medium-sized businesses. The company's platform uses machine learning and data analysis to quickly assess risks by analyzing recent banking transactions and other relevant data points, and offers fee-based credit on outstanding invoices directly financed by professional and institutional investors with no sector exclusion, enabling small and medium-sized businesses to balance their working capital needs without moving to a bank.</t>
  </si>
  <si>
    <t>National Westminster Bank</t>
  </si>
  <si>
    <t>www.floryn.com</t>
  </si>
  <si>
    <t>434265-76</t>
  </si>
  <si>
    <t>Flouci</t>
  </si>
  <si>
    <t>Developer of a financial application designed to provide cashless banking and instant digital payments for all connected people. The company's application offers fully digital access to free bank accounts, wallets for payments and transfers, ATM withdrawals with and without a card, QR-based payments, bank transfers, and a current account without fees for the unbanked and underserved, enabling users to manage finances and transact seamlessly without reliance on cash or traditional banking procedures.</t>
  </si>
  <si>
    <t>Columbia Business School, Digital Currency Group, Google Accelerator, HiiL Justice Accelerator, Launch Africa Ventures, MetLife Foundation, Musha Ventures, Orange Fab Tunisia, Rally Cap VC, Startup Tunisia, Tamer Fund for Social Ventures, The DOT, Village Capital, Visa Accelerator</t>
  </si>
  <si>
    <t>fr.flouci.com</t>
  </si>
  <si>
    <t>512319-70</t>
  </si>
  <si>
    <t>Flow</t>
  </si>
  <si>
    <t>Developer of a dashboard and delegation platform designed to help brokers and their teams streamline the placement process for large commercial insurance. The company's platform specializes in an insurance digital marketplace, groundbreaking artificial intelligence-based risk appetite matching, marketing summary, detailed reports on carriers' risk appetite, and an automated renewals process, enabling users to turbo-charge the renewal process using automation and AI-based prediction.</t>
  </si>
  <si>
    <t>www.flowspecialty.com</t>
  </si>
  <si>
    <t>500666-05</t>
  </si>
  <si>
    <t>Flow48</t>
  </si>
  <si>
    <t>Developer of a lending infrastructure platform designed to facilitate access to working capital for small and medium enterprises. The company offers embedded underwriting and servicing capabilities, partner-based distribution, and an end-to-end technology stack, enabling financial institutions and ecosystem partners to provide financing efficiently and scale across markets.</t>
  </si>
  <si>
    <t>212, 468 Capital, Blockchain Founders Fund, Breega, Daphni, Endeavor Catalyst, Evolution (Venture Capital), Fetchr (Logistics), First Circle Capital, New Enterprise Associates, Plus Venture Capital, Scott Sandell, Speedinvest, TLG Ventures, UNIQA Ventures, Unpopular Ventures</t>
  </si>
  <si>
    <t>www.flow48.com</t>
  </si>
  <si>
    <t>156484-54</t>
  </si>
  <si>
    <t>FlowAccount</t>
  </si>
  <si>
    <t>Developer of a cloud-based accounting platform designed to track payments and invoices. The company's platform features the ability to create and send professional invoices, track payments and transactions, open bills, share documents, and more, enabling enterprises to effectively manage their businesses and accounting process.</t>
  </si>
  <si>
    <t>500 Global, 500 TukTuks, Beacon Venture Capital, Golden Gate Ventures, Kasikornbank, Money Forward, Peak XV Partners, PocketRN, SBI Investment, Sequoia Capital</t>
  </si>
  <si>
    <t>www.flowaccount.com</t>
  </si>
  <si>
    <t>1173420-37</t>
  </si>
  <si>
    <t>FlowCredi</t>
  </si>
  <si>
    <t>Provider of a financing intermediation service intended to facilitate access to secured credit. The company's platform integrates technology with multiple financial institutions, offers personalized advisory, supports collateral-backed options such as real estate and automotive guarantees, and extended repayment terms, enabling individuals and small businesses to access tailored secured credit aligned with their financial profiles and goals.</t>
  </si>
  <si>
    <t>Gabriel Lacombe, Leandro Abreu, Norte Ventures, Patrick Sigrist, Verve Capital</t>
  </si>
  <si>
    <t>www.flowcredi.com.br</t>
  </si>
  <si>
    <t>469703-62</t>
  </si>
  <si>
    <t>FlowFi</t>
  </si>
  <si>
    <t>Developer of a financial intelligence platform designed to help entrepreneurs operate at peak financial performance. The company's platform combines technology with accounting services, enabling founders to get a snapshot of the company's health more easily, while also preparing investor reports and slides.</t>
  </si>
  <si>
    <t>14Peaks Capital, 6nine26, AJI Capital, Blumberg Capital, Clocktower Ventures, Cooley, Differential Ventures, Ineffable Ventures, Parade Ventures, Precursor Ventures, Riverside Ventures, SaxeCap, Special Ventures, Stella Capital (Chicago), Tokyo Black, Verissimo Ventures</t>
  </si>
  <si>
    <t>www.flowfi.com</t>
  </si>
  <si>
    <t>510229-45</t>
  </si>
  <si>
    <t>Flowpay</t>
  </si>
  <si>
    <t>Provider of business loans intended for transparent cash flow management for SMEs. The company provides payment services, point-of-sale systems, and alternative revenue streams, enabling businesses to expand their merchant services and expand, and utilize predictive AI models to assess risk more effectively.</t>
  </si>
  <si>
    <t>Allard Luchsinger, DEPO Ventures, IBM fintechx, Kartik Varma, Mark Ransford, Martin Herrmann, Patero, Soulmates Ventures, Techstars</t>
  </si>
  <si>
    <t>www.flowpay.io</t>
  </si>
  <si>
    <t>467242-30</t>
  </si>
  <si>
    <t>Fluenccy</t>
  </si>
  <si>
    <t>Developer of a foreign exchange management platform designed to optimize business currency conversion costs with existing financial providers. The company's platform ingests historical and upcoming foreign-currency invoices, analyzes real-time rate movements, benchmarks bank pricing, and applies artificial intelligence-driven scoring, forecasting, and hedging recommendations, enabling businesses that make or receive cross-border payments to plan FX exposure, identify overcharges, and execute spot conversions at more favorable times.</t>
  </si>
  <si>
    <t>Paloma Group</t>
  </si>
  <si>
    <t>www.fluenccy.com</t>
  </si>
  <si>
    <t>509449-51</t>
  </si>
  <si>
    <t>Fluid</t>
  </si>
  <si>
    <t>Developer of a financial platform intended to bridge traditional banking and crypto finance. The company's platform supports on-ramping and off-ramping between fiat accounts and Web3 wallets, provides a tokenized digital dollar backed with real currency, integrates with a decentralized exchange, offers a card for spending, and runs a tokenized arbitrage fund, enabling smallholder farmers to control their assets seamlessly and access both bank-like services and on-chain opportunities.</t>
  </si>
  <si>
    <t>FINCA Ventures, FinTech Sandbox, Meltwater Entrepreneurial School of Technology</t>
  </si>
  <si>
    <t>www.fluidfinance.co</t>
  </si>
  <si>
    <t>169167-88</t>
  </si>
  <si>
    <t>Fly Money</t>
  </si>
  <si>
    <t>Operator of an online travel money system intended to help travel websites offer currency exchange services to their clients. The company aggregates exchange rates from currency providers all around the globe and is capable of integration with any travel website, creating a new revenue stream for travel websites, enabling travelers to order currency at the best rates in the market, and collecting the money at the airport.</t>
  </si>
  <si>
    <t>Amit Biel, Amitai Bar-Am, David Kalmanson, Direct Round, Google Accelerator, Isreal David, Nitai Alush-Aben, Ronen Kalmanson, SigmaLabs Accelerator, Visa, Yosi Fait</t>
  </si>
  <si>
    <t>www.flymoney.com</t>
  </si>
  <si>
    <t>437725-63</t>
  </si>
  <si>
    <t>Fly Tiger Technology</t>
  </si>
  <si>
    <t>Developer of a customer success software designed for banks. The company's software help banks and other financial institutions improve communications efficiency by utilizing natural language and artificial intelligence technologies, enabling banks and financial organizations to provide 7*24 customer services via video.</t>
  </si>
  <si>
    <t>Huashan Capital, Shunwei Capital, Tencent Investment, Winreal Investment</t>
  </si>
  <si>
    <t>www.feihu365.com</t>
  </si>
  <si>
    <t>496732-60</t>
  </si>
  <si>
    <t>Flychain</t>
  </si>
  <si>
    <t>Developer of a financial platform designed to reduce the financial and operational burdens of running a business in healthcare. The company's platform provides a financial suite of tools including upfront cash for insurance claims, lines of credit, equipment financing and drug financing, enabling healthcare providers to secure working capital to invest in the growth of their business and increase their revenue.</t>
  </si>
  <si>
    <t>Clocktower Ventures, Company Ventures, Everywhere Ventures, Fluent Ventures, Health Engine Accelerator, Mischief, Soma Capital, The Fintech Fund, Vast Ventures</t>
  </si>
  <si>
    <t>www.flychain.us</t>
  </si>
  <si>
    <t>865541-98</t>
  </si>
  <si>
    <t>Flyra</t>
  </si>
  <si>
    <t>Developer of a cross-border payment platform designed to simplify and speed up international money transfers. The company offers bank-grade security, instant transfers, stablecoin wallets, and a card, enabling consumers and global platforms to send, receive, and spend funds with transparency and low friction.</t>
  </si>
  <si>
    <t>Blockwall Management, Overlook (San Francisco), Rally Cap VC, The Venture Dept</t>
  </si>
  <si>
    <t>www.flyra.com</t>
  </si>
  <si>
    <t>681204-61</t>
  </si>
  <si>
    <t>Focal (Communication Software)</t>
  </si>
  <si>
    <t>Developer of an artificial intelligence-enabled meeting assistant designed to streamline workflow and boost productivity. The company's platform offers an artificial intelligence meeting assistant specifically designed for financial advisors, automatically generating artificial intelligence-powered agendas, summarizing key points, and streamlining workflows, enabling advisors to focus on client relationships and strategic financial planning.</t>
  </si>
  <si>
    <t>Distributed Ventures, Jamie Hopkins, Jason Pereira, Kellan Brown, Michael Batnick, Wischoff Ventures</t>
  </si>
  <si>
    <t>www.meetwithfocal.com</t>
  </si>
  <si>
    <t>343251-28</t>
  </si>
  <si>
    <t>Folkeinvest</t>
  </si>
  <si>
    <t>Developer of a crowdfunding platform designed to facilitate investment in start-ups and growth companies. The company's platform offers features such as equity crowdfunding, share emission advice, internet technology, finance tech, and startup fundraising, enabling clients with an effective meeting place between companies seeking capital and the people who want to invest in exciting companies.</t>
  </si>
  <si>
    <t>FinStart Nordic, Polaris Media</t>
  </si>
  <si>
    <t>www.folkeinvest.no</t>
  </si>
  <si>
    <t>290056-51</t>
  </si>
  <si>
    <t>Foloosi</t>
  </si>
  <si>
    <t>Developer of a mobile and e-commerce platform designed to provide bill payment services. The company's platform connects consumers with businesses to provide an actionable flow of events resulting in quick and secure payment methods based on QR codes and card networks, enabling enterprises to get paid using QR codes and a payment link from the consumers without the need for a POS machine.</t>
  </si>
  <si>
    <t>AIC Raise, Benhzeem Invest, DIFC Innovation Hub, Future100, Mohammed Alsuwaidi, Rasheed Alfalasi, Sharjah Entrepreneurship Center</t>
  </si>
  <si>
    <t>www.foloosi.com</t>
  </si>
  <si>
    <t>88330-42</t>
  </si>
  <si>
    <t>Fondeadora</t>
  </si>
  <si>
    <t>Provider of digital banking services intended to eliminate the inefficiencies relating to the traditional transaction system. The company's services allow its users to download an application and receive an international virtual debit card, eliminating commissions and paperwork while also operating as a crowdfunding platform, enabling customers and businesses to monitor their money and expenses, receive immediate notifications as well and raise funding in a secure manner.</t>
  </si>
  <si>
    <t>A.GAIN, Astir Ventures, Bossa Invest, FinTech Collective, Foundation Capital, Gokul Rajaram, Gradient Ventures, Hi Ventures, IGNIA, Kishore Ganji, Launchbay Capital, LW Partners, MyAsiaVC, Paradox Ventures, Pareto Holdings, Portage, Realm Capital Ventures, S32, Scott Belsky, Sound Ventures, VentureSouq, Voltity, Y Combinator, Zeno Ventures</t>
  </si>
  <si>
    <t>fondeadora.com</t>
  </si>
  <si>
    <t>960439-06</t>
  </si>
  <si>
    <t>Fonmap</t>
  </si>
  <si>
    <t>Provider of fintech services intended to bring together alternative investment funds, especially real estate and venture capital investment funds. The company offers investors the opportunity to monitor their fund portfolio and the investment performance of funds from a single screen, enabling people to get information such as the latest developments, new funds issued and periodic returns to investors.</t>
  </si>
  <si>
    <t>RePie Yatırım Holding, SMOK Ventures, Tera Girisim, Turkcell Iletisim Hizmetleri</t>
  </si>
  <si>
    <t>www.fonmap.com</t>
  </si>
  <si>
    <t>279766-00</t>
  </si>
  <si>
    <t>Fonto</t>
  </si>
  <si>
    <t>Developer of a consumer-driven data platform designed to analyze brand-level, per capita consumer spending and to survey buyers based on their actual transactions. The company's platform offers integrated data with survey and research data to provide consumer insights and top-line summaries of parameters like net worth, account balances, superannuation, loyalty programs, shares, and investments, enabling businesses to get access to actionable insights and make better decisions.</t>
  </si>
  <si>
    <t>CP Ventures, Network Ten, News Corp, Nova Entertainment, REA Group, Scaleup Mediafund, Start Path</t>
  </si>
  <si>
    <t>www.fonto.com.au</t>
  </si>
  <si>
    <t>497780-47</t>
  </si>
  <si>
    <t>Food Note Service</t>
  </si>
  <si>
    <t>Developer of a bookkeeping application designed to create a service and help restaurant owners. The company creates an integrated sales, settlement, and profit management platform that can be customized as per the needs of the clients and guides in the digital transformation of restaurant stores and franchises by collecting and analyzing foodservice data, enabling store owners to know if they are making a profit while conducting business in a complicated environment.</t>
  </si>
  <si>
    <t>A Ventures, CNT Tech, Find Us, Haesung Investment, IBK Changgong, Industrial Bank of Korea, Kolon Investment, Korea Venture Investment, Shinhan Capital, Tech Incubator Program for Startup, Tigris Investment</t>
  </si>
  <si>
    <t>www.jangboo.kr</t>
  </si>
  <si>
    <t>593472-88</t>
  </si>
  <si>
    <t>FOR</t>
  </si>
  <si>
    <t>Provider of accounting software licences and integrated services intended to revolutionize how companies manage their financial operations. The company provides logistic and inventory management, manufacturing capabilities, and the ability to integrate with APIs and business intelligence software like Power BI, enabling businesses to improve business efficiency.</t>
  </si>
  <si>
    <t>Born Capital (California)</t>
  </si>
  <si>
    <t>www.for.inc</t>
  </si>
  <si>
    <t>846860-23</t>
  </si>
  <si>
    <t>Forest Jalan</t>
  </si>
  <si>
    <t>Developer of blockchain-based financial instruments designed for investment diversification and yield generation. The company tokenizes real-world assets into digital securities, integrates with decentralized finance protocols, incorporates investor access controls and compliance mechanisms, and utilizes smart contracts for automated yield distribution, enabling retail and institutional markets to securely invest in asset-backed instruments with enhanced liquidity, transparency, and operational efficiency.</t>
  </si>
  <si>
    <t>BlissVine Ventures, Center for Creative Economy and Innovation, Changgu Program, Grab Holdings, Hashed, Kaia DLT Foundation, Korea International Cooperation Agency, MYSC, Tech Incubator Program for Startup</t>
  </si>
  <si>
    <t>www.forestjalan.com</t>
  </si>
  <si>
    <t>97957-90</t>
  </si>
  <si>
    <t>FormFree</t>
  </si>
  <si>
    <t>Developer of automated asset verification platform designed to eliminate fraud. The company's asset verification services help financial institutions determine the ability of their customers to pay back loans and reduce closing times by automating the financial verification process, and offer automated, paperless verification of deposits and assets, enabling companies to reduce fraud while removing the need for borrowers to supply paper bank statements.</t>
  </si>
  <si>
    <t>American Red Cross</t>
  </si>
  <si>
    <t>www.formfree.com</t>
  </si>
  <si>
    <t>772840-90</t>
  </si>
  <si>
    <t>Formula Insight</t>
  </si>
  <si>
    <t>Developer of an investment research platform designed to help institutional investors efficiently manage, query and analyze complex financial models in Excel. The company's platform aims to optimize the financial analysis process through data-driven solutions and expedites investment research by analyzing financial models, SEC filings, estimates and earnings transcripts in minutes to gain an edge in the public markets, enabling hedge funds to make more informed investment decisions by tracking forecast changes and measuring projection accuracy.</t>
  </si>
  <si>
    <t>Nut VC, Transpose Platform Management, Y Combinator</t>
  </si>
  <si>
    <t>www.formulainsight.io</t>
  </si>
  <si>
    <t>962036-11</t>
  </si>
  <si>
    <t>Formulary Financial</t>
  </si>
  <si>
    <t>Developer of an AI-powered fund administration platform designed to support asset managers in data handling and operational workflows. The company offers services including fund accounting, reporting, investor services, compliance, and related technology solutions, enabling businesses to manage financial data and administrative processes across the investment lifecycle.</t>
  </si>
  <si>
    <t>Acrew Capital, Alumni Ventures, Company Ventures, Human Ventures, Khosla Ventures, Serena Ventures</t>
  </si>
  <si>
    <t>www.formulary.co</t>
  </si>
  <si>
    <t>894022-30</t>
  </si>
  <si>
    <t>Forta Solutions</t>
  </si>
  <si>
    <t>Developer of modular financial platforms designed for warehouse lending operations and liquidity management. The company's platform includes features such as automated decisioning engines, real-time dashboards, dynamic reporting tools, customizable user interfaces, seamless integration with internal and third-party systems, and compliance with industry security standards, enabling financial institutions and warehouse lenders to streamline funding processes, improve operational visibility, reduce manual intervention, and enhance overall efficiency in capital deployment.</t>
  </si>
  <si>
    <t>Calterra Capital</t>
  </si>
  <si>
    <t>www.fortasolutions.com</t>
  </si>
  <si>
    <t>436319-83</t>
  </si>
  <si>
    <t>Fortface</t>
  </si>
  <si>
    <t>Developer of a financial software platform designed to make payments using facial recognition technology. The company's platform offers to choose a payment method and complete the transaction by visiting any partner establishment, enabling people to make transactions without touching the screen.</t>
  </si>
  <si>
    <t>BRQ Solucoes em Informatica, BTG Pactual, CELTA., Confrapar Administração e Gestão de Recursos, Conrado Engel, Darwin Startups, Endeavor Promessas, HARDS, HBS Alumni Angels of Brazil, HiPartners Capital &amp; Work, Link Lab (ACATE), MasterCard, Oasis Ventures (São Paulo), OIKOS Wealth Management, Qatar FinTech Hub Wave</t>
  </si>
  <si>
    <t>www.fortface.ai</t>
  </si>
  <si>
    <t>1305097-84</t>
  </si>
  <si>
    <t>Forum (Financial Software)</t>
  </si>
  <si>
    <t>Developer of an attention trading platform designed for trading of assets linked to online engagement and cultural trends. The company offers engagement-based indices, regulated trading, and exposure management tools, enabling traders and companies to hedge cultural risk and trade based on popularity trends.</t>
  </si>
  <si>
    <t>Neer Venture Partners, Pioneer Fund, Y Combinator</t>
  </si>
  <si>
    <t>www.forum.market</t>
  </si>
  <si>
    <t>592509-16</t>
  </si>
  <si>
    <t>Forward (Financial Services)</t>
  </si>
  <si>
    <t>Developer of embedded payment technology designed to empower software-as-a-service companies to monetize payments efficiently. The company's platform offers payment facilitation, advisory reports, and merchant sales support, enabling software businesses to increase revenue, simplify operations, and maintain full control of merchant relationships.</t>
  </si>
  <si>
    <t>Commerce Ventures, Elefund, Fiserv</t>
  </si>
  <si>
    <t>www.getfwd.com</t>
  </si>
  <si>
    <t>225841-06</t>
  </si>
  <si>
    <t>Fount</t>
  </si>
  <si>
    <t>Provider of asset management services intended to offer customized financial portfolios. The company helps with a robo-advisor, which calculates the optimum combination of assets by utilizing artificial intelligence technology and asset allocation algorithms, enabling clients to monitor the financial markets by allocating assets based on market changes using their tools.</t>
  </si>
  <si>
    <t>ATP Ventures, Hana Financial Group, Hana Ventures, Industrial Bank of Korea, Innopolis Partners, InterValue Partners, Jim Rogers, Korea Development Bank, Korea Growth Investment Corporation, Korea Investment &amp; Securities, Korea Investment Partners, KT Investment, LB Investment, NICE Investment Partners, Shinhan Futures Lab, Shinhan Securities, Smilegate Investment, STIC Ventures, Tech Incubator Program for Startup, Wells Investment, Woori Bank</t>
  </si>
  <si>
    <t>www.fount.co</t>
  </si>
  <si>
    <t>168333-04</t>
  </si>
  <si>
    <t>Fourthline</t>
  </si>
  <si>
    <t>Developer of a next-generation fraud detection platform designed for banking, fintech, and insurance to authenticate customers. The company's AI-driven platform leverages proprietary fraud detection techniques to identify and prevent fraudulent activity with industry-leading accuracy and streamline compliance processes, automating manual tasks, with real-time risk insights, enabling businesses to onboard legitimate customers, enhance conversion rates, and reduce false positives and compliance costs.</t>
  </si>
  <si>
    <t>Finch Capital, Hedosophia, Invested., L Marks, Rudolf Booker</t>
  </si>
  <si>
    <t>www.fourthline.com</t>
  </si>
  <si>
    <t>431290-99</t>
  </si>
  <si>
    <t>Fox Capital (India)</t>
  </si>
  <si>
    <t>Developer of a digital credit platform designed to provide consumer credit facilities online. The company's platform uses a technology-centric credit model based on lending policies, and fast disbursement cycles and provides instant approval for personal loans, flexible repayments, and end-to-end digital applications, enabling customers to receive credit facilities online.</t>
  </si>
  <si>
    <t>www.foxcapital.in</t>
  </si>
  <si>
    <t>510314-77</t>
  </si>
  <si>
    <t>Fr33m3n</t>
  </si>
  <si>
    <t>Provider of financial services intended to serve underbanked families and young people. The company's application features include easy-to-open accounts, the option to issue pre-paid debit cards for family members, instant payment approvals, real-time notifications, card disabling functionality, and also offer financial education and literacy programs, enabling users to become financially independent and build financial freedom.</t>
  </si>
  <si>
    <t>fr33.app</t>
  </si>
  <si>
    <t>268176-79</t>
  </si>
  <si>
    <t>Fraction</t>
  </si>
  <si>
    <t>Developer of real estate financing software designed to help homeowners access home equity without selling their properties. The company offers a platform that provides home equity financing, mortgage refinancing solutions, lending workflows, and property-based financial products, enabling homeowners to unlock property value and access capital through digital financing processes. \</t>
  </si>
  <si>
    <t>Global Founders Capital, Impression Ventures, Panache Ventures, Primetime Partners, QED Investors</t>
  </si>
  <si>
    <t>www.fraction.com</t>
  </si>
  <si>
    <t>483372-37</t>
  </si>
  <si>
    <t>Fraction (Other Financial Services)</t>
  </si>
  <si>
    <t>Cryptocurrency/Blockchain, FinTech, Real Estate Technology, SaaS</t>
  </si>
  <si>
    <t>Developer of a fractional ownership platform designed to invest, sell, and manage fractional ownership of assets including real estate. The company's platform helps users to achieve fractional ownership objectives from the initial digitization and fractionalization of an asset to the initial offering of those fractions to investors, enabling companies, administrators, and promoters to manage ownership of co-investments, crowdfunding, and pooled capital.</t>
  </si>
  <si>
    <t>Assetwise, CertiK, Charn Issara Development, East Ventures, Elang Mahkota Teknologi, EV Station, Horangi Cyber Security, IP Payment Solution, Juzmatch, Polygon Labs, Singha Estate, Singha Ventures, Skystar Capital, Tanarra Capital, Thakral Corporation, V Ventures</t>
  </si>
  <si>
    <t>www.fraction.co</t>
  </si>
  <si>
    <t>561588-94</t>
  </si>
  <si>
    <t>Fraktion</t>
  </si>
  <si>
    <t>Developer of an investment platform designed for simplifying project launches. The company's platform automates compliance processes, digitalizes asset management, and integrates blockchain technology for secure transactions, enabling businesses to efficiently manage investment projects and engage with investors.</t>
  </si>
  <si>
    <t>Andréa Bensaid, Cabrit Capital, Guillaume Mayot, Olivier Huby, Tezos, Vox Capital</t>
  </si>
  <si>
    <t>www.fraktion.fr</t>
  </si>
  <si>
    <t>596966-59</t>
  </si>
  <si>
    <t>Frame</t>
  </si>
  <si>
    <t>Developer of a payment platform designed to help organizations manage compliant financial transactions. The company offers compliance-focused payment processing, regulatory controls, and transaction monitoring, enabling businesses operating in regulated industries to process payments while meeting regulatory requirements.</t>
  </si>
  <si>
    <t>Boro Capital, Deepwater Asset Management, Julie Hussey, Kindred Ventures, Palm Drive Capital, Techstars</t>
  </si>
  <si>
    <t>www.framepayments.com</t>
  </si>
  <si>
    <t>277405-66</t>
  </si>
  <si>
    <t>Franc</t>
  </si>
  <si>
    <t>Developer of a financial platform designed to simplify and democratize the process of investing. The company's platform provides flexible investment options, including cash or money markets that offer higher interest rate returns than a bank savings account and an equity fund that tracks the stock market, enabling users to take control of their financial future.</t>
  </si>
  <si>
    <t>4DX Ventures, Aions Ventures, ASISA Enterprise and Supplier Development, Bundesministerium für wirtschaftliche Zusammenarbeit und Entwicklung, DeveloPPP Ventures, FiTech Ventures, Google Accelerator, Grindstone (Private Equity), SAB Foundation, Visa Accelerator</t>
  </si>
  <si>
    <t>www.franc.app</t>
  </si>
  <si>
    <t>493840-63</t>
  </si>
  <si>
    <t>Francis (Financial Software)</t>
  </si>
  <si>
    <t>Developer of a spreadsheet software designed for businesses to do targeted advertising. The company's platform provides budgeting, forecast profit, and loss, scenario plans, collaboration, reports, analytics, comparing budgets to actuals, auto-generates reports based on one's financial model, enabling small and medium-sized businesses to confidently run their business.</t>
  </si>
  <si>
    <t>byFounders, Copenhagen Fintech Lab, GC Venture Fellows, InnoFounder, PSV (Denmark)</t>
  </si>
  <si>
    <t>www.francis.app</t>
  </si>
  <si>
    <t>521079-67</t>
  </si>
  <si>
    <t>Franklin</t>
  </si>
  <si>
    <t>Developer of a payroll tool designed to provide a modern payroll system for employee payments. The company's platform allows users to pay their workers in cash and crypto in an automated, tax-compliant way, HR management, make expense reimbursement payments and pay vendors, enabling employers to set up their organization and worker payments in an organized and easy manner.</t>
  </si>
  <si>
    <t>Arca (Asset Management), CMT Digital Holdings, gumi Cryptos Capital, Portage, Sfermion, Synergis Capital</t>
  </si>
  <si>
    <t>www.hellofranklin.co</t>
  </si>
  <si>
    <t>460125-73</t>
  </si>
  <si>
    <t>FRANQ</t>
  </si>
  <si>
    <t>Developer of a financial platform designed to connect people and companies to financial products through self-employed bankers and investment advisors. The company's platform guarantees the independence and autonomy of independent professionals working in the financial market, and brings freedom and transparency to consumers, enabling clients to access products and services from banks, fintech, and insurance companies, to select the ones that suit their needs, their customers, end consumers, or small and medium-sized enterprises.</t>
  </si>
  <si>
    <t>Adriano Carneiro, Broadhaven Capital Partners, Caravela Capital, Cassius Schymura, Catarinense Technology Association, Daniel Prianti, Donax Participations, Fabio Sandoval Peixoto, FJ Labs, Globo Ventures, Google Accelerator, Quona Capital, Spectra Investments, Valeria Camarero, Valor Capital Group</t>
  </si>
  <si>
    <t>www.franq.com.br</t>
  </si>
  <si>
    <t>1131631-21</t>
  </si>
  <si>
    <t>Freeport Markets</t>
  </si>
  <si>
    <t>Developer of a digital investment platform designed to provide access to public and private market assets through a unified interface. The company offers a non-custodial trading system with AI-based information analysis, tokenized assets, and access to opportunities such as pre-IPO equities, private credit, and digital assets, enabling traders to monitor market information and execute investment transactions through a single platform.</t>
  </si>
  <si>
    <t>Alliance (Other Capital Markets/Institutions), Inventum Ventures, Y Combinator</t>
  </si>
  <si>
    <t>www.freeportmarkets.com</t>
  </si>
  <si>
    <t>846771-22</t>
  </si>
  <si>
    <t>Frente</t>
  </si>
  <si>
    <t>Operator of a digital foreign exchange platform designed for international payment processing. The company's platform offers transaction capabilities, diverse payment methods, including regulatory compliance with white-label customization through the simple platform, and seamless API integration, enabling businesses and financial institutions to efficiently manage cross-border transactions and expand their global reach.</t>
  </si>
  <si>
    <t>www.frentecorretora.com.br</t>
  </si>
  <si>
    <t>1168858-90</t>
  </si>
  <si>
    <t>Frex</t>
  </si>
  <si>
    <t>Developer of a cross-border payments application designed for international money transfers. The company provides bank account funding, regulated settlement, and the use of regulated third-party financial service providers for funds movement, enabling individuals and global workers to send money across borders with settlement, transparent rates, and reduced transfer costs.</t>
  </si>
  <si>
    <t>Abhiraj Bhal, Amrish Rau, Jitendra Gupta, Kunal Shah, Pradeep Parameswaran, Raghav Chandra, Rishabh Goel, Varun Khaitan, White Venture Capital, Zeropearl</t>
  </si>
  <si>
    <t>www.frexpay.com</t>
  </si>
  <si>
    <t>279421-48</t>
  </si>
  <si>
    <t>Freyda</t>
  </si>
  <si>
    <t>Developer of an artificial intelligence-based content management platform designed to eradicate manual data entry for financial services. The company's platform recognizes, extracts, and normalizes data using machine learning and artificial intelligence, facilitating the automation of many time-consuming, repetitive data entry and retrieval tasks, enabling clients to extract, retrieve, and analyze data directly from the documents without manual intervention.</t>
  </si>
  <si>
    <t>www.freyda.io</t>
  </si>
  <si>
    <t>520601-23</t>
  </si>
  <si>
    <t>Frid</t>
  </si>
  <si>
    <t>Developer of a financial platform designed for managing the finances of individuals. The company's platform offers a full overview of all the accounts and transactions, regardless of the banks and credit cards the user has, and also sums up and sorts the financial data within the application, enabling customers and users with a personal financial assistant that provides tips and financial advice and manages the finances.</t>
  </si>
  <si>
    <t>North Venture, TheFactory</t>
  </si>
  <si>
    <t>www.frid.app</t>
  </si>
  <si>
    <t>130796-11</t>
  </si>
  <si>
    <t>FRISS</t>
  </si>
  <si>
    <t>Developer of fraud detection software designed to detect risk, eliminate fraud, and secure compliance. The company's software uses proprietary analytics and indexes to mitigate risk for any application, policy, and claim, and delivers the risk indication, enabling businesses to detect and eliminate fraudulence and insurance risks and improve decisions on quotations, policies, and claims across all private and commercial lines.</t>
  </si>
  <si>
    <t>Accel-KKR, Aquiline Capital Partners, Guidewire Software, L Marks, Lloyd's Lab, Plug and Play Tech Center, VentureClash</t>
  </si>
  <si>
    <t>www.friss.com</t>
  </si>
  <si>
    <t>528743-17</t>
  </si>
  <si>
    <t>Front Inversiones</t>
  </si>
  <si>
    <t>Developer of an online investment advisor platform designed to help users reach financial goals. The company's platform provides users with various features, including automated investment tools, personalized advice, and a community of investors, enabling users to organize savings based on personal goals and protect them from inflation.</t>
  </si>
  <si>
    <t>www.front.exchange</t>
  </si>
  <si>
    <t>503136-82</t>
  </si>
  <si>
    <t>FrontEdge</t>
  </si>
  <si>
    <t>Operator of a financial platform intended to provide working capital for businesses. The company provides access to cash, future exchange, and payments with minimal reporting obligations, cross-border payments, cargo insurance, logistics management, and document management, enabling exporters and importers to get access to working capital and software tools to facilitate their cross-border transactions.</t>
  </si>
  <si>
    <t>Flexport, J.P. Morgan, Phoenix Investment Club (San Francisco), Platform Capital, Providus Bank, TLG Capital</t>
  </si>
  <si>
    <t>www.frontedge.io</t>
  </si>
  <si>
    <t>497318-05</t>
  </si>
  <si>
    <t>Froots (Financial Services)</t>
  </si>
  <si>
    <t>Provider of personal investment services designed to actively manage portfolios. The company offers investment management, liquidity systems, and tax-advantaged funds for different objectives such as medium to long-term wealth accumulation and short-term liquidity optimization, enabling clients to invest wisely and maintain financial independence.</t>
  </si>
  <si>
    <t>Adam Lessing, Alan Morgan, Andreas Treichl, Georg Kapsch, Gina Goess, Greyhound Capital, Kiril Klaturov, Reinhold Baudisch, Ronald Holzmann</t>
  </si>
  <si>
    <t>www.froots.io</t>
  </si>
  <si>
    <t>694632-07</t>
  </si>
  <si>
    <t>Fubei Technology</t>
  </si>
  <si>
    <t>Developer of a financial technology platform designed to enhance and streamline digital payment experiences. The company offers advanced, customizable payment platforms and comprehensive technical expertise, enabling merchants, commercial enterprises, and service providers to optimize operational efficiency, elevate client satisfaction, and expand business growth.</t>
  </si>
  <si>
    <t>Stream Hill Angels</t>
  </si>
  <si>
    <t>465692-32</t>
  </si>
  <si>
    <t>FUEL (Financial Software)</t>
  </si>
  <si>
    <t>Developer of a financial platform designed to help founders cut burn rates and stop being hostages to investors. The company's tool aids small and medium businesses in managing cash gaps and bad cash flow management, chaotic and inaccurate financial reporting, poor financial planning and budgeting, and solves various other financial issues, enabling clients in developing a cloud-based financial system that can be used for entering new markets, launching new products, services, business units, growing revenue and improving margins and accelerate the growth.</t>
  </si>
  <si>
    <t>BADideas.fund, Google Accelerator, Hype Venture, Jale (Munich), Kim Johnson, Markus Villig, Stratminds VC</t>
  </si>
  <si>
    <t>www.fuelfinance.me</t>
  </si>
  <si>
    <t>520600-87</t>
  </si>
  <si>
    <t>Fuel Finance</t>
  </si>
  <si>
    <t>Provider of specialized consumer microfinance services intended to increase access to medical financing. The company specializes in micro-consumer funding, focusing on the medical and educational sectors, and lets users financially plan by determining the amount of finance they need through a financing calculator developed for personal funding, enabling businesses to meet their different financial needs easily.</t>
  </si>
  <si>
    <t>www.fuelfinance.sa</t>
  </si>
  <si>
    <t>454539-43</t>
  </si>
  <si>
    <t>FUGU</t>
  </si>
  <si>
    <t>Developer of a payment fraud detection platform designed to build trust between online merchants and their customers. The company's platform tracks online payments after checkout, gives more transparency to transactions, and detects fraud using the time available between the purchase and the actual assumption of risk, increasing conversions, and fighting chargebacks, enabling online merchants to enhance trust and security in their payment processes.</t>
  </si>
  <si>
    <t>365x, FinSec Innovation Lab, Intempo Ventures, Mamram Space, Samurai Incubate, SigmaLabs Accelerator</t>
  </si>
  <si>
    <t>www.fugu-it.com</t>
  </si>
  <si>
    <t>339950-08</t>
  </si>
  <si>
    <t>Fuiou</t>
  </si>
  <si>
    <t>Provider of electronic payment services intended to be the first cross-border e-commerce foreign exchange payment institution approved by the State Administration of Foreign Exchange in China. The company offers payment solutions in the fields of POS, online payment, prepaid cards, convenience store payment, money transfer and account products, serving both commercial and private clients including national and regional banks and payment providers.</t>
  </si>
  <si>
    <t>Ningbo Zhongzhe Investment, Tongling Jingda Special Magnet Wire</t>
  </si>
  <si>
    <t>www.fuiou.com</t>
  </si>
  <si>
    <t>453500-29</t>
  </si>
  <si>
    <t>fulfin</t>
  </si>
  <si>
    <t>Provider of goods financing services intended to revolutionize financing for online businesses across Europe. The company offers a range of collateralized and noncollateralized loans to online retailers and provides smart financing with technology, enabling small and midsize enterprises to increase by providing access to uncomplicated and flexible financing.</t>
  </si>
  <si>
    <t>Hevella Capital, Lakeside Invest &amp; Consult, Lakeside Wealth Management, TechQuartier, University of Toronto Entrepreneurship, Werk 1</t>
  </si>
  <si>
    <t>www.fulfin.com</t>
  </si>
  <si>
    <t>1317187-45</t>
  </si>
  <si>
    <t>FullSeam</t>
  </si>
  <si>
    <t>Developer of an artificial intelligence platform designed to automate repetitive finance and accounting workflows. The company offers AI agents that integrate with billing systems, customer relationship management software, and accounting tools, enabling businesses to process invoices, track revenue, manage payables, and reconcile accounts efficiently, reducing manual effort and errors.</t>
  </si>
  <si>
    <t>Kadan Capital, Palm Drive Capital, Pioneer Fund, Rebel Fund, Sunshine Lake Capital, Transpose Platform Management, Vento (Venture Capital), Y Combinator</t>
  </si>
  <si>
    <t>www.fullseam.com</t>
  </si>
  <si>
    <t>1239653-62</t>
  </si>
  <si>
    <t>Fund Fusion</t>
  </si>
  <si>
    <t>Operator of an online crowdfunding marketplace designed for business financing and investment opportunities. The company's platform facilitates debt and equity transactions by offering comprehensive project screening, automated loan calculation, detailed financial reporting, and rigorous monitoring of fund utilization, enabling small and medium enterprises to access alternative growth capital and private investors to diversify their portfolios with high-yield local ventures.</t>
  </si>
  <si>
    <t>White Hill Capital</t>
  </si>
  <si>
    <t>www.fundfusion.kz/en</t>
  </si>
  <si>
    <t>267141-79</t>
  </si>
  <si>
    <t>Fund2Market</t>
  </si>
  <si>
    <t>Operator of an online lending platform designed to help businesses secure working capital for growth, operations, and cash flow management. The company offers a range of short-term and medium-term financing options, fast credit evaluation, and a fully digital application and repayment experience to access ongoing credit facilities without reapplying, enabling small and medium enterprises across various sectors to access timely funding without complex paperwork or collateral requirements.</t>
  </si>
  <si>
    <t>www.banjoloans.com</t>
  </si>
  <si>
    <t>469684-63</t>
  </si>
  <si>
    <t>Funda (Seoul)</t>
  </si>
  <si>
    <t>Developer of a peer-to-peer lending platform designed to directly connect businesses with investors. The company's platform combines financial market experience and technology to eliminate the cost and complexity of traditional finance and provide a more efficient and streamlined funding process, helping small and medium enterprises access fast and affordable financing from financial institutions and investors without hassle.</t>
  </si>
  <si>
    <t>BC Card, Entels, Hyundai Technology Investment, IBK 1st Lab, IBK Capital, Industrial Bank of Korea, InterVest, Korea Investment Partners, Posco Investment, Seven Angels Holdings, SJ Investment Partners, UTC Investment, Won &amp; Partners</t>
  </si>
  <si>
    <t>www.funda.kr</t>
  </si>
  <si>
    <t>484265-44</t>
  </si>
  <si>
    <t>Fundably</t>
  </si>
  <si>
    <t>Developer of a lending platform designed to improve financial inclusion and de-risk lending to customers. The company's platform utilizes artificial intelligence-powered financial data APIs and machine learning to find trustworthy individuals to offer phone-based loans, enabling micro-entrepreneurs and small enterprises to access quick finance.</t>
  </si>
  <si>
    <t>Artha India Ventures, Barclays, Chandaria Capital, Foundervine, Full Circle Africa, Gluwa, Google Accelerator, Google Assistant Investment, JVH Ventures, Octerra Capital, Superangels, Thomas Blomfield, Venista Ventures</t>
  </si>
  <si>
    <t>www.fundably.com</t>
  </si>
  <si>
    <t>1366293-16</t>
  </si>
  <si>
    <t>Fundamental.ai</t>
  </si>
  <si>
    <t>Developer of a artificial intelligence platform intended to advance the state of the art in AI (artificial intelligence). The company offers advanced model architectures, training and evaluation capabilities, and research tooling, enabling researchers, developers and organizations improved ability to build and refine AI systems and better real world performance.</t>
  </si>
  <si>
    <t>www.fundamental.ai</t>
  </si>
  <si>
    <t>517871-98</t>
  </si>
  <si>
    <t>Fundbot</t>
  </si>
  <si>
    <t>Operator of a financial platform intended to automate corporate lending and payments between banks, buyers, and sellers. The company's platform offers a tool to assess, manage, and optimize relationships with other businesses by providing flexible payment options where purchases can be made and paid for later, enabling industries to deliver integrated financial services effectively.</t>
  </si>
  <si>
    <t>Aditum Investment Management, F6 Ventures, Hub71, Middle East Venture Partners, Oryx Fund, Plus Venture Capital, Salica Investments, Village Capital</t>
  </si>
  <si>
    <t>www.fundbot.co</t>
  </si>
  <si>
    <t>463624-66</t>
  </si>
  <si>
    <t>Fundiin</t>
  </si>
  <si>
    <t>Operator of a financial technology platform intended to offer a buy now, pay later service. The company's platform provides transparent and interest-free instalment payment technology for online and in-store purchases, enabling customers to make convenient payments for low-value orders with fast account approval and no hidden fees.</t>
  </si>
  <si>
    <t>1982 Ventures, CAC CAPITAL, Chase Vietnam, DMZ Vietnam, Do Thu Ngan, Eric Kobe, Genesia Ventures, Google Accelerator, JIF Capital, Michael Jarmuz, Pham Le Nhat Quang, SK Startup Fellowship, Taher Savliwala, ThinkZone Ventures, Trihill Capital, VinaCapital Ventures, Xffirmers</t>
  </si>
  <si>
    <t>fundiin.vn</t>
  </si>
  <si>
    <t>230956-21</t>
  </si>
  <si>
    <t>FundKite</t>
  </si>
  <si>
    <t>Developer of a revenue-based business financing platform designed to provide working capital to small businesses. The company's platform offers revenue-based financing, merchant funding, and flexible repayment based on a percentage of business sales, enabling businesses to access capital for operations, expansion, inventory, payroll, and other business expenses.</t>
  </si>
  <si>
    <t>www.fundkite.com</t>
  </si>
  <si>
    <t>572182-21</t>
  </si>
  <si>
    <t>Fundmates</t>
  </si>
  <si>
    <t>Developer of a funding platform designed to offer financing for content creators. The company's platform specializes in helping video content providers expand their channels and improve their brand value and reach, enabling creators to scale their businesses by making more videos, investing in quality equipment, developing their teams, and exploring new formats.</t>
  </si>
  <si>
    <t>Alexey Dovzhikov, Grigory Tkachenko, Hemma Group (Zurich)</t>
  </si>
  <si>
    <t>www.fundmates.com</t>
  </si>
  <si>
    <t>454562-83</t>
  </si>
  <si>
    <t>Fundr</t>
  </si>
  <si>
    <t>Developer of AI agents intended to build ready-to-use and custom agents for venture capital. The company's platform enables rapid data processing, delivering essential information that supports timely and knowledgeable investment choices, and verifies the AI outputs from both its own data and data used across the industry, providing clients with AI agents customized to mimic the venture capital due diligence, investment, and portfolio management process.</t>
  </si>
  <si>
    <t>Capital Factory, Sputnik ATX, Urban Capital Network</t>
  </si>
  <si>
    <t>www.fundr.ai</t>
  </si>
  <si>
    <t>62378-11</t>
  </si>
  <si>
    <t>Fundrise</t>
  </si>
  <si>
    <t>Developer of a real estate investment platform intended to offer a passive income opportunity. The company's platform allows one to invest directly in real estate without the middlemen to reduce costs and fees, and helps to target better and more stable returns, enabling investors to spread risk across different asset types.</t>
  </si>
  <si>
    <t>Berman Enterprises, Camber Creek, Christopher Rising, Connetic Ventures, Kindling Capital, Moatable, Silvertech Ventures, World Trade Ventures</t>
  </si>
  <si>
    <t>www.fundrise.com</t>
  </si>
  <si>
    <t>319063-69</t>
  </si>
  <si>
    <t>FundRite</t>
  </si>
  <si>
    <t>Developer of an online lending platform designed to provide direct financing to small businesses through its merchant cash advances and reverse consolidations. The company's platform leverages data generated through business activities such as accounting data, online sales, shipping, and other sources to understand performance and deliver funding, enabling clients to easily access capital and cash advances.</t>
  </si>
  <si>
    <t>www.fundrite.com</t>
  </si>
  <si>
    <t>435180-52</t>
  </si>
  <si>
    <t>Fundshare</t>
  </si>
  <si>
    <t>Operator of a financial platform designed to provide financial services to consumers and payment services for merchants. The company provides installment payment services to credit card users with reduced processing time, allowing users to purchase now and pay later.</t>
  </si>
  <si>
    <t>Heyuan Capital, Hundsun Technologies, Permanent Fund</t>
  </si>
  <si>
    <t>www.lfqpay.com</t>
  </si>
  <si>
    <t>438571-27</t>
  </si>
  <si>
    <t>FUNDtastic</t>
  </si>
  <si>
    <t>Operator of an investment and personal finance wealth-tech platform intended to offer financial products and services. The company's platform offers equal financial access to middle and lower-middle classes by providing certain strategies and specific financial planning for mutual funds, gold, and a peer-to-peer lending investment that suits their risk profile and financial goals and helps users to manage their investment risk and make sure they beat market performances over the long run, enabling customers to avail wealth planning services while making the investing process simple and increasing their capital in a hassle-free manner.</t>
  </si>
  <si>
    <t>Ascend Capital (Singapore), Indivara Group</t>
  </si>
  <si>
    <t>fundtastic.co.id</t>
  </si>
  <si>
    <t>109284-85</t>
  </si>
  <si>
    <t>FundThrough</t>
  </si>
  <si>
    <t>Operator of an invoice funding platform intended to get unlimited access to capital based on the value of their outstanding customer invoices. The company's platform connects business owners' accounting software and bank information to automatically assign a funding limit in a few hours, enabling small businesses to access working capital and get funded on their terms.</t>
  </si>
  <si>
    <t>Barlow Lane Holdings, C100 (Commercial Services), Canadian Business Growth Fund, Canadian Technology Accelerator, Daniel Debow, David Mirvish, Five Elements Environment Ventures, Hedgewood, Intercap, Jim Case, Klister Credit, Lionfish Capital, OnWave Ventures, Origin Merchant Partners, Peter Carrescia, Real Ventures, Rob Laidlaw, ScaleUP Ventures, Urbana</t>
  </si>
  <si>
    <t>fundthrough.com</t>
  </si>
  <si>
    <t>518342-32</t>
  </si>
  <si>
    <t>FunniFin</t>
  </si>
  <si>
    <t>Developer of an artificial intelligence-based financial wellness software intended for employee financial education and economic security. The company's platform incorporates a generative artificial intelligence assistant for answering financial queries, educational modules featuring gamified content, direct access to certified financial coaches for private consultations, and a digital portal for managing individual tax obligations and employment-related benefits, enabling enterprise organizations to mitigate employee financial anxiety while fostering a more productive and loyal workforce through increased economic stability.</t>
  </si>
  <si>
    <t>B4i - Bocconi for innovation, CDP Venture Capital (Rome), Hubble Acceleration Program, IKIGAI (Siena), L Marks, Personae Accelerator, Visa Innovation Program</t>
  </si>
  <si>
    <t>www.funnifin.com</t>
  </si>
  <si>
    <t>741142-99</t>
  </si>
  <si>
    <t>Furaha</t>
  </si>
  <si>
    <t>Operator of a financial services platform intended to distribute purposeful financing. The company offers a platform with a network of partners, including banks, telcos, and aggregators, enabling clients to access credit for education and to access growth opportunities.</t>
  </si>
  <si>
    <t>SC Ventures, Yabx</t>
  </si>
  <si>
    <t>www.furahafinancial.com</t>
  </si>
  <si>
    <t>472473-73</t>
  </si>
  <si>
    <t>Fursa Capital</t>
  </si>
  <si>
    <t>Operator of a crowdfunding and investment platform intended to bridge the gap between accredited retail investors and fundraisers. The company's platform provides custom-tailored interest-free and risk-balanced financing agreements for businesses seeking funding while making it easy for investors to find and fund those businesses on an online marketplace, enabling users to make equity as well as debt-financing investments.</t>
  </si>
  <si>
    <t>www.fursacapital.com</t>
  </si>
  <si>
    <t>266113-09</t>
  </si>
  <si>
    <t>Fuse (New York)</t>
  </si>
  <si>
    <t>Developer of a mobile payment application designed to manage bills. The company's application automatically splits and pays utility, phone, subscription, and restaurant bills from everyone's bank account, enabling users to get access to a new and safe way to pay utilities and other bills.</t>
  </si>
  <si>
    <t>Andrew Doe, BBQ Capital, Brad Flora, Chris Broad, Cyan Banister, Future Worlds, Goat Capital, James Beshara, Justin Kan, Kevin Moore, Lombardstreet Ventures, Luigi Bajetti, Massimo Sgrelli, Nick Lawton, Paul Buchheit, Sonja Lami, Twenty Two Ventures, Y Combinator</t>
  </si>
  <si>
    <t>www.letsfuse.com</t>
  </si>
  <si>
    <t>469456-66</t>
  </si>
  <si>
    <t>Fuse Capital (Private Equity)</t>
  </si>
  <si>
    <t>Operator of an investment firm intended to invest in early-stage technology companies. The company specializes in investing in blockchain and crypto firms in the form of both debt and equity, enabling startups to have access to capital.</t>
  </si>
  <si>
    <t>www.fuse.capital</t>
  </si>
  <si>
    <t>685839-97</t>
  </si>
  <si>
    <t>Fusepay</t>
  </si>
  <si>
    <t>Developer of a business finance platform intended to streamline payment processing, invoice management, order tracking, and accounting for enterprises. The company's platform features digital invoices and bill payments, order creation and fulfilment, real-time dashboards, digital receipts, fraud prevention tools, and compatibility with various devices, enabling retailers, wholesalers, and utility billers to manage financial operations and maintain control over cash flow and compliance.</t>
  </si>
  <si>
    <t>Everywhere Ventures, First Check Ventures, Hustle Fund, Ryan Nesbitt, Startup Istanbul</t>
  </si>
  <si>
    <t>www.fusepay.app</t>
  </si>
  <si>
    <t>903816-82</t>
  </si>
  <si>
    <t>Futubull</t>
  </si>
  <si>
    <t>Operator of a digital investment and trading platform designed to enable seamless access to global financial markets. The company offers stocks, A-shares, ETFs, margin trading, IPOs, derivatives, cryptocurrencies, real-time market data, financial news, community interaction, and educational resources, enabling retail investors to trade efficiently and make informed investment decisions.</t>
  </si>
  <si>
    <t>Hundreds Capital, Welight Capital</t>
  </si>
  <si>
    <t>www.futuhk.com</t>
  </si>
  <si>
    <t>894797-38</t>
  </si>
  <si>
    <t>Futureproof</t>
  </si>
  <si>
    <t>Artificial Intelligence &amp; Machine Learning, E-Commerce, SaaS</t>
  </si>
  <si>
    <t>Developer of an AI-powered bookkeeping and forecasting software designed to streamline financial operations. The company's software offers automated bookkeeping, real-time financial insights, and AI-powered forecasting, enabling startups and businesses to make informed decisions through advanced technology.</t>
  </si>
  <si>
    <t>Center For Entrepreneurial Development, Founder Capital, NC Tweener Fund</t>
  </si>
  <si>
    <t>www.runfutureproof.com</t>
  </si>
  <si>
    <t>42355-81</t>
  </si>
  <si>
    <t>FX Bridge</t>
  </si>
  <si>
    <t>Developer of a financial technology platform designed for trading purposes in the foreign exchange marketplace. The company's platform offers multi-bank liquidity and cross-asset margin trading for Forex, CFDs, and options, along with advanced pricing, risk management, and analytics tools, enabling dealers, brokers, traders, and institutional clients to optimize trading strategies and enhance operational efficiency.</t>
  </si>
  <si>
    <t>Raptor Digital</t>
  </si>
  <si>
    <t>www.fxbridge.com</t>
  </si>
  <si>
    <t>489241-81</t>
  </si>
  <si>
    <t>FX Expert</t>
  </si>
  <si>
    <t>Developer of a foreign exchange risk control management system intended to help companies establish their own foreign exchange management. The company's platform allows users to manage foreign exchange process and helps enterprises to realize real-time calculation of foreign exchange risk, enabling enterprise users to increase foreign exchange management efficiency.</t>
  </si>
  <si>
    <t>BAI Capital, Plug and Play Tech Center</t>
  </si>
  <si>
    <t>www.fxexpert.cn</t>
  </si>
  <si>
    <t>534463-84</t>
  </si>
  <si>
    <t>FX Replay</t>
  </si>
  <si>
    <t>Developer of a trading simulation platform designed to help traders backtest and refine their strategies in a realistic environment. The company offers real-time replay features, advanced indicators, and performance analytics, enabling retail and professional traders to practice decision-making and improve consistency without risking capital.</t>
  </si>
  <si>
    <t>Montage Capital</t>
  </si>
  <si>
    <t>www.fxreplay.com</t>
  </si>
  <si>
    <t>171277-57</t>
  </si>
  <si>
    <t>FX Wise Trading</t>
  </si>
  <si>
    <t>Developer of an automated financial technology tool designed to eliminate unwanted currency risk. The company's tool generates currency exposure and automates spot and forward order generation to maintain target hedge ratios via its hosted application, enabling clients to improve efficiency, and productivity and reduce risks through the elimination of manual processes.</t>
  </si>
  <si>
    <t>fxwiserisk.com</t>
  </si>
  <si>
    <t>471283-84</t>
  </si>
  <si>
    <t>FXKudi</t>
  </si>
  <si>
    <t>Operator of a fintech platform intended to simplify money transfer services across Africa. The company's platform helps to send, receive, transfer money, and exchange funds overseas to family and friends instantly using prepaid cards, enabling users to access borderless and unrestricted global payments and transfers via a mobile app and distributed agent network using unstructured supplementary service data (USSD).</t>
  </si>
  <si>
    <t>Baobab Network, Pan-African Fintech Accelerator, Startup Wise Guys</t>
  </si>
  <si>
    <t>www.fxkudi.com</t>
  </si>
  <si>
    <t>521153-02</t>
  </si>
  <si>
    <t>Fynancial</t>
  </si>
  <si>
    <t>Developer of a social financial platform designed for the wealth management industry. The company's platform features vault integration, investments, a net worth dashboard, and a snapshot of clients' financial accounts, enabling businesses to combine social engagement features with traditional wealth management tools.</t>
  </si>
  <si>
    <t>www.fynancial.com</t>
  </si>
  <si>
    <t>182237-95</t>
  </si>
  <si>
    <t>G2Lytics</t>
  </si>
  <si>
    <t>Artificial Intelligence &amp; Machine Learning, Big Data, FinTech, Mobile, SaaS, TMT</t>
  </si>
  <si>
    <t>Developer of a data preparation platform designed for detecting and collecting unremitted state sales tax. The company's platform uses machine learning-based data analytics and web data mining technology to detect and locate non-filers and under-filers, enabling companies to execute effective sales tax fraud identification and collections.</t>
  </si>
  <si>
    <t>de Anda Capital</t>
  </si>
  <si>
    <t>g2lytics.com</t>
  </si>
  <si>
    <t>482555-62</t>
  </si>
  <si>
    <t>Gadze Finance</t>
  </si>
  <si>
    <t>Operator of a hedge and DeFi crypto fund company intended to democratize finance by providing access to custom investment products. The company's platform offers intelligent asset management, provides access to safe crypto investing strategies, and uses a recipe of yield farming, liquidity provisioning, and arbitrage strategies, enabling investors to generate predictable returns and minimize risk.</t>
  </si>
  <si>
    <t>Golden Ventures, Michael Wilshire, Richard Hyatt, Som Seif, Version One Ventures</t>
  </si>
  <si>
    <t>www.gadze.finance</t>
  </si>
  <si>
    <t>639931-96</t>
  </si>
  <si>
    <t>Gaia Dynamics</t>
  </si>
  <si>
    <t>Developer of a regulatory platform designed to transform global trade compliance into an accurate and profitable experience. The company's platform leverages cutting-edge artificial intelligence tools for precise classification and real-time tariff calculations to navigate global trade confidently, enabling businesses to move goods and reduce costs, and eliminate regulatory risks.</t>
  </si>
  <si>
    <t>AI Fund, Zenda Capital</t>
  </si>
  <si>
    <t>www.gaiadynamics.ai</t>
  </si>
  <si>
    <t>1131474-34</t>
  </si>
  <si>
    <t>Gain (Financial Services)</t>
  </si>
  <si>
    <t>Developer of a white-labeled cashback engine designed to grow their business and deepen customer engagement through automated, merchant-funded rewards. The company offers a fully-managed, payment-method agnostic, and fully merchant-funded cashback engine that integrates seamlessly into existing digital experiences via API or low-code widgets, enabling customers to attract new users, create new revenue streams, and differentiate digitally without requiring card-linking or an upfront budget.</t>
  </si>
  <si>
    <t>Fåntell, Mastercard Lighthouse</t>
  </si>
  <si>
    <t>www.gain.technology</t>
  </si>
  <si>
    <t>819313-48</t>
  </si>
  <si>
    <t>Gainz</t>
  </si>
  <si>
    <t>Operator of a crowdfunding platform designed for facilitating short- and medium-term investment opportunities in small and medium-sized businesses. The company's platform offers curated fundraising campaigns, detailed financing memos and structured options with projected annualized returns, enabling investors to participate in alternative financing opportunities while supporting business growth and diversification of their capital portfolios.</t>
  </si>
  <si>
    <t>11 Invest, Antler, In5, Lithium Holdings</t>
  </si>
  <si>
    <t>www.gainz.co</t>
  </si>
  <si>
    <t>1366183-72</t>
  </si>
  <si>
    <t>Galdera Labs</t>
  </si>
  <si>
    <t>Developer of a financial modeling platform designed to enable continuous and reasoning-driven financial planning. The company's platform offers an agentic modeling system, automated forecasting, scenario simulation, and integrated data mapping, enabling finance teams to analyze business performance and make informed strategic decisions with traceable and continuously updated financial insights.</t>
  </si>
  <si>
    <t>Antler, DeepL, J12 Ventures, Klarna Group, Plata, Stripe</t>
  </si>
  <si>
    <t>www.galderalabs.com</t>
  </si>
  <si>
    <t>537390-64</t>
  </si>
  <si>
    <t>Gallop Growth</t>
  </si>
  <si>
    <t>Operator of a credit-providing platform intended to help businesses unlock their complete potential. The company's platform offers quick access to revolving lines of credit with varying amounts, enabling businesses from the e-commerce sector to have sufficient cash flow while paying minimal interest only for the amount they use.</t>
  </si>
  <si>
    <t>www.gallopgrowth.com</t>
  </si>
  <si>
    <t>608334-85</t>
  </si>
  <si>
    <t>Gamma Prime</t>
  </si>
  <si>
    <t>Operator of an investment platform intended to democratize advanced trading strategies. The company tokenizes structured product derivatives with unique opportunities, combined instruments, and defined risk parameters, enabling high net worth individuals to access portfolio diversification previously available only to institutional investors.</t>
  </si>
  <si>
    <t>TBV (Singapore)</t>
  </si>
  <si>
    <t>www.gammaprime.com</t>
  </si>
  <si>
    <t>231812-83</t>
  </si>
  <si>
    <t>Gateway Ventures</t>
  </si>
  <si>
    <t>Developer of a crowdfunding platform designed to help startups raise funding. The company's platform helps to raise equity from venture capital firms and angel investors, enabling startups to raise funding with ease and grow their businesses.</t>
  </si>
  <si>
    <t>Ali Mahlodji, BaseTech Ventures, Bernd Litzka, Buzzard Energy, Daniel Cronin, David Khassidov, Fedor Holz, Growth Ninjas, Günter Maier, Impact51, Johannes Cech, Johannes Christoph Martin, Kambis Vajargah, Konrad Kreid, Markus Ertler, QC VENTURES, Rainer Will</t>
  </si>
  <si>
    <t>www.gateway.ventures</t>
  </si>
  <si>
    <t>483910-30</t>
  </si>
  <si>
    <t>Gauss Money</t>
  </si>
  <si>
    <t>Developer of a financial software designed to provide low-interest credit lines to refinance expensive credit card debt. The company's software provides the facility to pay off any unsettled credit card balance to easily pay above required minimums, reduce balances fast and stay protected from late fees and overdrafts, enabling consumers to create assets out of liabilities without much disruption to their financial lives.</t>
  </si>
  <si>
    <t>271.vc, Alarko Ventures, D4 Ventures, DG Daiwa Ventures, Formus Capital, Goodwater Capital, Olive Tree Capital, Samsung NEXT Ventures, Soma Capital, Swiss Founders Fund, Y Combinator</t>
  </si>
  <si>
    <t>www.gauss.money</t>
  </si>
  <si>
    <t>1273246-66</t>
  </si>
  <si>
    <t>Gauss Quantitative Technology</t>
  </si>
  <si>
    <t>Developer of artificial intelligence-driven quantitative trading systems intended to enhance efficiency and accuracy in capital market investments. The company offers advanced algorithms, deep learning models, and multi-dimensional risk control frameworks, enabling A-share investors to achieve stable returns, strengthen portfolio management, and accelerate digital transformation.</t>
  </si>
  <si>
    <t>902559-88</t>
  </si>
  <si>
    <t>gemm</t>
  </si>
  <si>
    <t>Operator of influencer payment systems intended for managing creator earnings and brand deal transactions. The company's platform supports automated payments, centralized earnings tracking, split transaction management, tax form handling, including real-time brand deal monitoring, enabling influencer creators and brand teams to coordinate revenue flows securely, maintain transparent compensation records, and streamline financial interactions across campaigns and collaborators.</t>
  </si>
  <si>
    <t>VITALIZE Venture Capital</t>
  </si>
  <si>
    <t>gemm.app</t>
  </si>
  <si>
    <t>107593-48</t>
  </si>
  <si>
    <t>Generate (Capital Markets/Institutions)</t>
  </si>
  <si>
    <t>Provider of specialty finance services intended to develop, own, and operate sustainable infrastructure across energy, mobility, water, waste, and urban systems. The company partners with project developers and technology manufacturers globally to finance the resource revolution, building scalable businesses in the renewable energy, technology, finance, and sustainability sectors, enabling businesses, communities, and municipalities to access clean, reliable infrastructure while achieving their decarbonization and resilience goals.</t>
  </si>
  <si>
    <t>Activate Capital Partners, Alaska Permanent Fund, Andra AP-fonden, AustralianSuper, Aware Super, Broadscale Group, CBRE Caledon, CCM Energy, Ceniarth, Harbert Management, Impact Assets, Inherent Group, Jason Fish, QIC, Railpen, The RockCreek Group, ThirdStream Partners, Virgin (London), Wellcome Trust</t>
  </si>
  <si>
    <t>www.generatecapital.com</t>
  </si>
  <si>
    <t>265689-10</t>
  </si>
  <si>
    <t>Genus Tech</t>
  </si>
  <si>
    <t>Provider of algorithm trading strategy and quantitative investment services. The company owns a large algorithms library and quantitative models to provide trading strategy and quantitative investment plans for funds, wealth management companies, and brokers, enabling its clients to reduce operational risks, increase operational efficiency, and maximize profits.</t>
  </si>
  <si>
    <t>China Soft Investment Group, CreditEase, Lan Fund, Volcanics Venture, Yingdong Capital</t>
  </si>
  <si>
    <t>www.genus-finance.com</t>
  </si>
  <si>
    <t>327432-34</t>
  </si>
  <si>
    <t>GeoPagos</t>
  </si>
  <si>
    <t>Developer of a digital payment services application designed to focus on mobile point of sale. The company's application allows accepting payments with credit or debit cards on any smartphone or tablet with the help of a small reader that is connected to the device through the headphone jack, enabling companies to scale efficiently and access flexible, market-specific payment systems and accept payments simply and securely.</t>
  </si>
  <si>
    <t>Endeavor Catalyst, Riverwood Capital, Spectra Investments</t>
  </si>
  <si>
    <t>www.geopagos.com</t>
  </si>
  <si>
    <t>513324-82</t>
  </si>
  <si>
    <t>GetPaid</t>
  </si>
  <si>
    <t>Developer of a digital payment platform designed to monetize payments. The company's platform marketplaces gain value from payments across revenue potential, data, and business insights to streamline all B2B payments and invoices operations, enabling merchants to have customer experience and payment operations.</t>
  </si>
  <si>
    <t>Christian Grobe, Extension Fund, Felix Jahn Beteiligungen, Ilkka Paananen, Illusian Founder Office, Inventure, Jordane Giuly, Kai-Uwe Mokros, Matthias Knecht, Picus Capital</t>
  </si>
  <si>
    <t>www.getpaid.io</t>
  </si>
  <si>
    <t>500723-38</t>
  </si>
  <si>
    <t>Ghost Pass</t>
  </si>
  <si>
    <t>Provider of a decentralized biometric authentication and payment platform designed to secure personal data sovereignty and streamline identity verification for enterprises. The company utilizes on-device decentralized dual biometric authentication (DDBA) to safely store facial and fingerprint data exclusively on user smartphones, enabling fintech organizations, retail franchises, and public facilities to process seamless payments, manage access control, and eliminate the risk of centralized data breaches.</t>
  </si>
  <si>
    <t>ActnerLab, B. Gaon Holdings, IBK Changgong, Korea Technology Finance, Oracle Venture Investment, Small and Medium Business Corporation, Tech Incubator Program for Startup</t>
  </si>
  <si>
    <t>www.ghostpass.ai</t>
  </si>
  <si>
    <t>676748-53</t>
  </si>
  <si>
    <t>Gibb</t>
  </si>
  <si>
    <t>Developer of an on-demand pay platform designed to offer employees access to their earned wages anytime they need them. The company's platform offers secure payroll integration, flexible payment options, and advanced data analytics, enabling businesses to improve employee financial well-being, increase retention, and boost productivity.</t>
  </si>
  <si>
    <t>Crescera Capital, SRM Ventures, Triaxis Capital</t>
  </si>
  <si>
    <t>www.gibb.com.br</t>
  </si>
  <si>
    <t>510415-75</t>
  </si>
  <si>
    <t>Gigmile</t>
  </si>
  <si>
    <t>Developer of a mobility-fintech platform designed to make vehicle ownership accessible, allowing immediate use with the option to own in the future. The company's platform offers vehicle subscriptions and rent-to-own vehicle financing through partnerships with original equipment manufacturers and financial institutions, enabling gig workers to use vehicles for logistics and transportation even if they lack upfront capital.</t>
  </si>
  <si>
    <t>Andon Okapi, Ayodele Babaleye, Changelabs, Enza Capital, Gaingels, Launch Africa Ventures, Mercury Technologies, Norrsken Africa Seed, Proximity Ventures, Reflect Ventures, Rose Lake Ventures, Seedstars, Seedstars Africa Ventures, Seedstars International Ventures, Team Ignite Ventures, Techstars, Untapped Global, Yango Ventures</t>
  </si>
  <si>
    <t>www.gigmile.com</t>
  </si>
  <si>
    <t>596565-01</t>
  </si>
  <si>
    <t>Gigpay</t>
  </si>
  <si>
    <t>Developer of a B2C payment platform designed for businesses and organizations to send gig, royalty, interest, vendor, and other payments to people and businesses globally. The company's platform offers a streamlined dashboard, domestic and international wire transfers, custom payment alerts via email and SMS, cash pickup, and a traditional debit card option, enabling businesses to send payments to payees globally with a single wire transfer.</t>
  </si>
  <si>
    <t>www.gigpay.com</t>
  </si>
  <si>
    <t>512437-42</t>
  </si>
  <si>
    <t>Gigstack Pro</t>
  </si>
  <si>
    <t>Developer of a financial platform designed to manage the expenses and income of the businesses. The company's platform offers payment, billing options, a self-billing portal, monitoring and stamping invoices, enabling professionals, startups and small and medium enterprises with a simplified application programming interface that is enough to create an invoice, a payment link or a sales receipt.</t>
  </si>
  <si>
    <t>500 Global, 500 Startups LatAm</t>
  </si>
  <si>
    <t>www.gigstack.pro</t>
  </si>
  <si>
    <t>488989-72</t>
  </si>
  <si>
    <t>Gilion</t>
  </si>
  <si>
    <t>Operator of a precision financing company intended to empower technology businesses to grow fast based on predictions of the company's future revenue. The company uses artificial intelligence and machine learning to help enterprises grow smart through long-term loans while maintaining control for founders and reducing risk for investors, enabling entrepreneurs to precisely analyze the company's business health and design custom, dynamic loans with fair terms.</t>
  </si>
  <si>
    <t>Alliance Venture Capital, Annika Falkengren, Christer Holloman, Creandum, EQT Credit, Future Five, Göran Grosskopf, Hjalmar Winbladh, Ilkka Paananen, Jacob De Geer, John McCormick, Kima Ventures, Patrick Söderlund, Phoenix Court, Riccardo Zacconi, Sebastian Knutsson, SignUp Software, Steve Anavi, Timo Soininen, Upfin Management</t>
  </si>
  <si>
    <t>www.gilion.com</t>
  </si>
  <si>
    <t>178177-78</t>
  </si>
  <si>
    <t>Gini (Financial Software)</t>
  </si>
  <si>
    <t>Artificial Intelligence &amp; Machine Learning, FinTech, LOHAS &amp; Wellness, Mobile, SaaS</t>
  </si>
  <si>
    <t>Developer of an AI-powered financial planning and management application designed to simplify the process of managing money. The company's application connects all online banking accounts and views their spending data from multiple banks in one place and access personal money insights, timely reports, and graphs in a simple and convenient manner, and it also helps small businesses sync the spreadsheets, dashboards and analytics tools to all of their business systems in seconds, enabling its users to accelerate the financial planning and make better financial decisions.</t>
  </si>
  <si>
    <t>CitiBank HongKong, CV Ventures, Cyberport Hong Kong, Global Technology Alliance, Mountain Partners, OMVC, Pershing Ventures, Treuenburg Group, Vectr Ventures</t>
  </si>
  <si>
    <t>www.gini.co</t>
  </si>
  <si>
    <t>117290-98</t>
  </si>
  <si>
    <t>Ginmon</t>
  </si>
  <si>
    <t>Developer of a wealth management platform designed to help people invest money in a globally diversified exchange-traded fund (ETF) portfolio based on intelligent advisor technology. The company's platform offers a cheap alternative to conventional banking products and investment advisors and provides investment strategy assistance that is securely invested in a dynamic risk management approach, enabling private customers to invest in exchange-traded funds (ETF)-portfolios in a hassle-free manner.</t>
  </si>
  <si>
    <t>BCS Financial Group, Passion Capital</t>
  </si>
  <si>
    <t>www.ginmon.de</t>
  </si>
  <si>
    <t>510089-14</t>
  </si>
  <si>
    <t>Giro.Tech</t>
  </si>
  <si>
    <t>Developer of a finance credit operations platform designed to transform startups and non-financial companies into credit fintech. The company's platform offers customized financing options and finance credit operations in its ecosystem and tailored financing services, enabling users and customers to improve financial efficiency in the management of accounts reducing bureaucracy and simplifying transactions.</t>
  </si>
  <si>
    <t>4UM Investimentos, Darwin Startups, Esparta Tecnologia, Honey Island Capital, Monetiza Investimentos, Torq (Brazil), Urca Angels</t>
  </si>
  <si>
    <t>www.giro.tech</t>
  </si>
  <si>
    <t>530728-03</t>
  </si>
  <si>
    <t>GiveCard</t>
  </si>
  <si>
    <t>Developer of a financial platform designed to disburse and manage funds at scale easily, quickly, and securely. The company specializes in providing cards that promote education, fund housing, pay fees for families, issue and manage physical or virtual prepaid cards, send payments, and track funds at scale, enabling clients to onboard and verify recipients, automate bulk payments, and monitor transactions in real time, reducing administrative burden and increasing accountability.</t>
  </si>
  <si>
    <t>10vc, Infinity Ventures (San Francisco), Ludlow Ventures, SSC Venture Partners</t>
  </si>
  <si>
    <t>www.givecard.com</t>
  </si>
  <si>
    <t>588975-67</t>
  </si>
  <si>
    <t>Givefront</t>
  </si>
  <si>
    <t>Developer of a financial management platform designed to simplify accounting for nonprofits. The company's platform streamlines bookkeeping, tax filings, and compliance with software to offer real-time insights, dedicated support from financial experts, and flat-rate pricing for tax preparation and reporting, enabling nonprofit organizations to maintain control over their finances and stay within budget.</t>
  </si>
  <si>
    <t>Adam Nash, C3 Ventures (VC), Phoenix Investment Club (San Francisco), Script Capital (United States), Y Combinator</t>
  </si>
  <si>
    <t>givefront.com</t>
  </si>
  <si>
    <t>688312-45</t>
  </si>
  <si>
    <t>Giving Credit</t>
  </si>
  <si>
    <t>Operator of a credit reporting platform designed to assess creditworthiness using social and character-based data. The company offers social underwriting, peer-based credit insights, and character-focused reporting frameworks, enabling financial institutions to evaluate underserved borrowers and extend access to credit.</t>
  </si>
  <si>
    <t>CAFE Fintech Accelerator, Camelback Ventures, Fairbridge Park Management, MIT Solve, Symphonic Capital, Unorthodox Philanthropy, Village Capital, Visible Hands, Volunteers of America</t>
  </si>
  <si>
    <t>www.givingcredit.org</t>
  </si>
  <si>
    <t>522976-24</t>
  </si>
  <si>
    <t>Glider (Financial Software)</t>
  </si>
  <si>
    <t>Developer of a fintech software designed to simplify the payment and collection process. The company's platform offers configurable web applications and APIs, integrated bank-based payment flows, secure gateway-agnostic processing, real-time reporting and automated payment reminders, increasing payment capture and reducing friction for their customers, enabling enterprises and service providers to improve how they handle billing, contact centre interactions and collections.</t>
  </si>
  <si>
    <t>Resolution Ventures, TEN13</t>
  </si>
  <si>
    <t>www.gliderpay.com</t>
  </si>
  <si>
    <t>1152933-67</t>
  </si>
  <si>
    <t>Glimpse (Financial Software)</t>
  </si>
  <si>
    <t>Developer of a forecasting and prediction platform designed for users to make and trade probabilistic predictions about future events. The company's platform offers features such as aggregation of crowd forecasts, automated market making to price contract outcomes, trading until the resolution event, and immediate payouts for correct forecasts, enabling the Bitcoin markets community to leverage collective insight and monetize accurate predictions.</t>
  </si>
  <si>
    <t>Concentric Team, Stillmark</t>
  </si>
  <si>
    <t>www.glimpse.trading</t>
  </si>
  <si>
    <t>56616-40</t>
  </si>
  <si>
    <t>GLMX</t>
  </si>
  <si>
    <t>Developer of a securities financing and trading platform designed to maximize trade life-cycle efficiency and improve access to liquidity. The company's platform is built to enhance the relationship between buy-side and sell-side counterparties and addresses the need for an efficient repo trading infrastructure, in light of increasing regulatory reporting requirements, enabling authorized institutional participants to have a comprehensive capture of all system interactions distributed digitally and in real-time.</t>
  </si>
  <si>
    <t>www.glmx.com</t>
  </si>
  <si>
    <t>496503-91</t>
  </si>
  <si>
    <t>Global DTT</t>
  </si>
  <si>
    <t>Developer of a financial trading platform designed for global market participants. The company's platform offers access to multiple asset classes, including forex, stocks, commodities, and indices, with institutional-grade execution, risk management tools, market analytics, and regulatory compliance features, enabling traders to efficiently manage investments, optimize trading strategies, and navigate international financial markets.</t>
  </si>
  <si>
    <t>www.globaldtt.com</t>
  </si>
  <si>
    <t>434170-09</t>
  </si>
  <si>
    <t>Global Mortgage Group</t>
  </si>
  <si>
    <t>Operaotr of a retail mortgage platform intended to source international mortgage loan programs from a network of diverse investors globally. The company provides direct mortgage loans for different regions across the world and reduces the processing time of a typical loan over the standard time while providing a value-added service for lenders globally, enabling overseas ex-pats and foreign nationals to get a mortgage to purchase an investment home overseas.</t>
  </si>
  <si>
    <t>Mirae Asset Venture Investment, SparkLabs Group</t>
  </si>
  <si>
    <t>www.bridgingloanssingapore.sg</t>
  </si>
  <si>
    <t>431290-09</t>
  </si>
  <si>
    <t>Global66</t>
  </si>
  <si>
    <t>Developer of an online payment platform designed to manage international transfers and channel remittances. The company's platform offers services that include money transfer services, a multicurrency wallet, peer-to-peer payments, a zero cross-border fee, foreign money orders, and fast remittances, enabling users and their businesses based in Latin American countries to send money abroad.</t>
  </si>
  <si>
    <t>Accel, Accion, Anand Joshi, Andrew MacKay, Cibersons, Clocktower Ventures, Eric Sager, Fabrizio Copano, Magma Partners, Mario Solari, Menlo Ventures, MGV Capital Group, Nicholas Hinrichsen, Quona Capital, Venrex Investment Management, William Armitage, Y Combinator</t>
  </si>
  <si>
    <t>www.global66.com</t>
  </si>
  <si>
    <t>509390-20</t>
  </si>
  <si>
    <t>Gobbill</t>
  </si>
  <si>
    <t>Developer of a mobile payment application designed to provide automated bill management. The company's platform features include bill storage, notifications, fraud detection, payments, biller comparisons, and more, enabling clients with valuable time and money while protecting against fraud and scams.</t>
  </si>
  <si>
    <t>Hall &amp; Wilcox, Microsoft for Startups, Royal Bank of Scotland, Stone &amp; Chalk</t>
  </si>
  <si>
    <t>www.gobbill.com</t>
  </si>
  <si>
    <t>601768-90</t>
  </si>
  <si>
    <t>GoDutch</t>
  </si>
  <si>
    <t>Developer of an online banking platform designed for fairness and transparency. The company's platform facilitates a real-time overview of transactions, instant money transfers, virtual and recycled physical payment cards, and setting spending limits per card, enabling clients to streamline their banking experience and access global payments with fast and affordable transfers.</t>
  </si>
  <si>
    <t>Bart Wesselink, Luxembourg Finance House, Mike de Boer, Quantum Leap Asset Management, Quantum Leap Capital, René Frijters</t>
  </si>
  <si>
    <t>www.godutch.com</t>
  </si>
  <si>
    <t>1241928-19</t>
  </si>
  <si>
    <t>Goldbridge Technologies</t>
  </si>
  <si>
    <t>Developer of a financial platform designed to connect FDIC-insured business accounts with sub-ledgers to separate and track funds for each asset. The company's platform supports transaction monitoring, account reconciliation, and allocation of income and expenses across portfolios, offers smart card functionality to control spending and route charges back to the correct property entities, enabling users to segregate and manage deposits automatically.</t>
  </si>
  <si>
    <t>Era Ventures, Palm Drive Capital, Singularity Capital, SoGal Ventures, Team Ignite Ventures, Y Combinator</t>
  </si>
  <si>
    <t>www.trygoldbridge.com</t>
  </si>
  <si>
    <t>515403-82</t>
  </si>
  <si>
    <t>Gopass (Financial Software)</t>
  </si>
  <si>
    <t>Developer of a financial software application designed for contactless payments of car parking and Toll charges. The company's platform gives security for making transactions without having cash or direct contact with cards, enabling customers to make digital payments for parking lot and toll services.</t>
  </si>
  <si>
    <t>Actyus, Kaszek, KFund, Qualcomm Ventures, Solid Ventures</t>
  </si>
  <si>
    <t>landing.gopass.com.co</t>
  </si>
  <si>
    <t>431217-46</t>
  </si>
  <si>
    <t>goPeer (Specialized Finance)</t>
  </si>
  <si>
    <t>Developer of an online lending platform intended to connect investors with people looking for a loan. The company connects borrowers with investors seeking higher-yield opportunities, enabling customers to offer investments with low correlation to other asset classes and good accessibility.</t>
  </si>
  <si>
    <t>Bulldog Capital Partners, Intuit Canada, Ontario Centre of Innovation, Plug and Play Tech Center, Random Occurrence</t>
  </si>
  <si>
    <t>www.gopeer.ca</t>
  </si>
  <si>
    <t>294486-58</t>
  </si>
  <si>
    <t>Gorila</t>
  </si>
  <si>
    <t>Developer of an investment management platform designed to consolidate all personal investments in one place. The company's platform automatically updates the profitability, quotations, prices and corporate events of all applications and monitors detailed reports on a monthly basis, enabling investors to organize their investments in a secure manner.</t>
  </si>
  <si>
    <t>Canary (Brazil), Google Accelerator, Iporanga Ventures, Mercado Bitcoin, Monashees, Ribbit Capital, Spectra Investments</t>
  </si>
  <si>
    <t>www.gorila.com.br</t>
  </si>
  <si>
    <t>265725-82</t>
  </si>
  <si>
    <t>Gotten</t>
  </si>
  <si>
    <t>Operator of a financial technology platform intended to serve the financial sector in china. The company's platform uses bank acceptance bills as an entry point to provide full-process services for enterprises, banks and bill intermediaries, enabling clients to transact in a safe and secure way.</t>
  </si>
  <si>
    <t>Albatross Venture, Chenhai Capital, Huashan Capital, K2VC, Tiantu Capital, Tripod Capital International, Unity Asset Management</t>
  </si>
  <si>
    <t>www.17got.com</t>
  </si>
  <si>
    <t>454413-70</t>
  </si>
  <si>
    <t>Gove</t>
  </si>
  <si>
    <t>Developer of a public finance management platform designed to transform the public sector and improve the decision-making process. The company's platform consolidates, organizes and makes necessary data and information available for governments, enabling municipalities to make decisions to positively impact the lives of people.</t>
  </si>
  <si>
    <t>Artemisia, Astella Investimentos, Google Accelerator, Spectra Investments, Torq (Brazil)</t>
  </si>
  <si>
    <t>www.gove.digital</t>
  </si>
  <si>
    <t>548370-55</t>
  </si>
  <si>
    <t>Goya Health</t>
  </si>
  <si>
    <t>Developer of a digital billing platform designed for healthcare financial management purposes. The company's platform offers automated invoice processing, real-time payment tracking, and customizable financing options, enabling healthcare providers to streamline administrative tasks, enhance financial transparency, and improve patient satisfaction.</t>
  </si>
  <si>
    <t>468 Capital, Blackwood Ventures (Denmark), Blue Lion Global, Concentric Team, Expedite Capital, Interface Capital, Kinled Holding, LEA Partners, Springboard Health Angels, Wormhole Capital</t>
  </si>
  <si>
    <t>www.health.goya.finance</t>
  </si>
  <si>
    <t>484211-53</t>
  </si>
  <si>
    <t>Gparency</t>
  </si>
  <si>
    <t>FinTech, Industrials, Real Estate Technology</t>
  </si>
  <si>
    <t>Operator of a commercial mortgage brokerage company intended to create equitable access to opportunities for commercial real estate owners everywhere. The company offers a comprehensive suite of tools to find, finance, underwrite, and track deals in minutes, and also provides access to a concierge who serves as an acquisition representative and delivers updated listing data for assets nationwide, enabling commercial real estate owners to have access to a directory of national listings through an interactive digital map.</t>
  </si>
  <si>
    <t>www.gparency.com</t>
  </si>
  <si>
    <t>459111-52</t>
  </si>
  <si>
    <t>Gpay</t>
  </si>
  <si>
    <t>Developer of an electronic payment gateway designed to offer a safe online payment system for customers. The company's payment gateway helps in the payment of financial bills, electricity, and water, buying phone cards, and offers the security of user information, enabling users to change their habits of shopping and consumption with traditional cash.</t>
  </si>
  <si>
    <t>G-Group Technology, KB Investment</t>
  </si>
  <si>
    <t>g-pay.vn</t>
  </si>
  <si>
    <t>442523-53</t>
  </si>
  <si>
    <t>Gracie Point</t>
  </si>
  <si>
    <t>Provider of specialty financing services intended to finance the payment of life insurance premiums. The company's services include premium finance loan programs and renewal commissions lending programs that fit financial, estate, business and philanthropic situations, enabling high net-worth clients with the ability to align their leveraged life insurance strategy with those they use in their family and business planning.</t>
  </si>
  <si>
    <t>Hudson Structured Capital Management, Jon Baker, Kuvare, Searchlight (Asset Management)</t>
  </si>
  <si>
    <t>www.graciepoint.com</t>
  </si>
  <si>
    <t>1366176-07</t>
  </si>
  <si>
    <t>Grand</t>
  </si>
  <si>
    <t>Operator of AI-powered financial infrastructure and trade partnership decision-making platform designed for managing and evaluating business-to-business commerce interactions. The company's offers analysis of transactional data, assesses risk, detects potential fraud, identifies trade opportunities, and provides automated alerts and decision support across payment flows, partnerships, and financial activities, enabling businesses in the trade economy to make informed decisions, reduce uncertainty in payments and partnerships, and manage risk while maintaining continuity in commercial operations.</t>
  </si>
  <si>
    <t>20VC, Firedrop (St Albans), NAP (Berlin)</t>
  </si>
  <si>
    <t>www.heygrand.com</t>
  </si>
  <si>
    <t>628123-15</t>
  </si>
  <si>
    <t>Granter</t>
  </si>
  <si>
    <t>Operator of an artificial intelligence-powered grant discovery and application platform intended to simplify access to funding opportunities for organizations. The company's platform analyzes user profiles, identifies relevant grant programs, generates structured application drafts, and manages documents and submissions, enabling businesses and startups to identify and apply for funding opportunities more efficiently.</t>
  </si>
  <si>
    <t>Angel Ways, Instituto Pedro Nunes, Mission (Spain), Plug and Play Tech Center, Tec Labs, Techstars, Unicorn Factory Lisboa, UPTEC</t>
  </si>
  <si>
    <t>www.granter.ai</t>
  </si>
  <si>
    <t>551694-16</t>
  </si>
  <si>
    <t>Granter (Financial Software)</t>
  </si>
  <si>
    <t>Developer of an AI-powered financial accounting platform designed to automate corporate accounting and tax management. The company provides AI-based bookkeeping, transaction categorization, financial reporting, tax filing, payroll, expense management, and financial data integration through APIs, enabling businesses to automate accounting workflows and manage financial operations.</t>
  </si>
  <si>
    <t>COMEUP STARS, Octagon Venture Partners, Orange Planet Foundation, Primer (South Korea), Strong Ventures, Tech Incubator Program for Startup</t>
  </si>
  <si>
    <t>www.granter.biz</t>
  </si>
  <si>
    <t>658921-33</t>
  </si>
  <si>
    <t>Graphene</t>
  </si>
  <si>
    <t>Developer of a digital infrastructure product designed for wealth management firms. The company's platform unifies disparate data sources, offers full platform ownership and customisation, and provides automation capabilities, enabling wealth managers to reduce operational inefficiencies, lower costs, scale their business infrastructure, and make more informed decisions through real-time insights and enhanced control over their technology stack.</t>
  </si>
  <si>
    <t>www.grapheneplatforms.com</t>
  </si>
  <si>
    <t>483519-43</t>
  </si>
  <si>
    <t>Gratify Pay</t>
  </si>
  <si>
    <t>Developer of a financial technology platform designed to integrate all payments for the merchant. The company's platform brings buy now pay later (BNPL) service to a merchant's payment provider in an integration that helps payment service providers keep up with merchant demand for BNPL and innovation, enabling businesses to avail a consolidated, simple payments stack.</t>
  </si>
  <si>
    <t>C2 Ventures</t>
  </si>
  <si>
    <t>www.gratifypay.com</t>
  </si>
  <si>
    <t>676841-59</t>
  </si>
  <si>
    <t>Gratis Intelligence</t>
  </si>
  <si>
    <t>Operator of a consumer sampling and engagement platform intended to provide a one-stop option for revenue growth. The company's platform combines point-of-sale integrations, payment technology, and industry expertise to help brands connect with consumers in more meaningful and compliant ways, enabling businesses to drive growth within venues while enhancing customer engagement.</t>
  </si>
  <si>
    <t>AlphaLab, Forum Ventures, Hilltop Venture Partners, Innovation Works, Right Side Capital Management, Unlock Capital (New York)</t>
  </si>
  <si>
    <t>www.gratisiq.com</t>
  </si>
  <si>
    <t>791560-45</t>
  </si>
  <si>
    <t>Gravy</t>
  </si>
  <si>
    <t>Developer of a mobile application designed to build a rewards program for sports. The company's application connects various other applications, saves money, and gives cashback, allowing merchants to pay directly to transform their standard discounts into fun gamified cashbacks, and users can secure savings from shopping at their favorite brands, enabling users to do shopping from their desired brands and get cashbacks and rewards.</t>
  </si>
  <si>
    <t>Mischief</t>
  </si>
  <si>
    <t>www.gravyapp.com</t>
  </si>
  <si>
    <t>502746-49</t>
  </si>
  <si>
    <t>Green Impact Exchange</t>
  </si>
  <si>
    <t>Operator of a national stock exchange intended to create an ecosystem for green-minded public companies and investors. The company uses listing standards that require public companies to commit to green values and provide accountability mechanisms, enabling investors to analyze a company's progress toward green goals using transparent, verifiable, and auditable metrics.</t>
  </si>
  <si>
    <t>www.tradegix.com</t>
  </si>
  <si>
    <t>718514-65</t>
  </si>
  <si>
    <t>Greenbaq</t>
  </si>
  <si>
    <t>Developer of an artificial intelligence-driven financing platform designed to facilitate access to sustainable funding and impact management. The company's platform streamlines loan application processes, generates automated impact reports, supports data-driven decision making, and incorporates security-focused infrastructure with strict access controls and privacy compliance, enabling small and medium-sized enterprises seeking sustainable financing to access workflows, improved reporting capabilities, and enhanced credibility with financial stakeholders.</t>
  </si>
  <si>
    <t>Nubia Capital</t>
  </si>
  <si>
    <t>www.greenbaq.ai</t>
  </si>
  <si>
    <t>490782-88</t>
  </si>
  <si>
    <t>GreenPortfolio</t>
  </si>
  <si>
    <t>Climate Tech, FinTech, Impact Investing, SaaS</t>
  </si>
  <si>
    <t>Developer of a digital investment advisory platform designed to support individuals in climate-smart investing. The company's platform offers algorithmic matching to climate-focused investment advisors and climate scoring of investor portfolios, providing individuals with informed decision-making, personalized investment strategies, and sustainability-focused financial planning.</t>
  </si>
  <si>
    <t>1 Hotels, Clean Energy Venture Group, Columbia Lab-to-Market Accelerator Network, Company Ventures, Environmental Entrepreneurs Management, For ClimateTech, Future Climate, International Business Machines, MassChallenge, NYSERDA, R/GA Ventures</t>
  </si>
  <si>
    <t>www.greenportfolio.com</t>
  </si>
  <si>
    <t>864662-50</t>
  </si>
  <si>
    <t>Greenway (Financial Software)</t>
  </si>
  <si>
    <t>Developer of a smart payment card platform designed to simplify corporate expense management while promoting social and environmental impact. The company offers a centralized, multi-functional smartcard that integrates mobility, meal, gift and travel expenses into a single customizable payment system, enabling customers to streamline operational efficiency, reduce costs and contribute to sustainable development through every transaction.</t>
  </si>
  <si>
    <t>Emmanuel Macron, Étienne Portais, Philippe Englebert, platform58, Socadif</t>
  </si>
  <si>
    <t>www.greenway.care</t>
  </si>
  <si>
    <t>595996-30</t>
  </si>
  <si>
    <t>Greg Pay</t>
  </si>
  <si>
    <t>Developer of a payment platform designed to simplify the taxation process through technology. The company's platform manages income and expenses, issues invoices, digitally signs documents, provides tax planning, payment splitting, automatic tax issuance, cashback, and smart modules, enabling businesses to take care of all the technology, regulation, operation, and reconciliation.</t>
  </si>
  <si>
    <t>Hiker Ventures, Previsa Contabilidade</t>
  </si>
  <si>
    <t>www.gregpay.com.br</t>
  </si>
  <si>
    <t>483644-62</t>
  </si>
  <si>
    <t>Grey</t>
  </si>
  <si>
    <t>Developer of a web-based banking platform designed to provide foreign exchange services. The company's platform allows users to open a virtual global bank account to receive and make foreign payments or convert currencies, enabling customers to exchange currency and perform cross-border transactions in a hassle-free manner.</t>
  </si>
  <si>
    <t>Abdulhamid Hassan, Aidi Ventures, Alan Rutledge, Heirloom Investment Management, Ingressive (Nigeria), Karthik Ramakrishnan, Samvit Ramadurgam, Soma Capital, Vastly Valuable Ventures, Velocity Digital, Y Combinator</t>
  </si>
  <si>
    <t>www.grey.co</t>
  </si>
  <si>
    <t>471308-68</t>
  </si>
  <si>
    <t>Gridline</t>
  </si>
  <si>
    <t>Developer of an alternative management platform designed to streamline private market investment management. The company's platform offers a ledger-native system of record, transaction-level investment lifecycle tracking, centralised data management, and private market administration capabilities, enabling wealth managers, registered investment advisors, family offices, and private banks to manage private market investments through a unified platform.</t>
  </si>
  <si>
    <t>Aaron Stone, Ardent Venture Partners, BLH Venture Partners, David Cummings, David Dorman, Edwin Marcial, FINTOP (US), Garrett Langley, GC&amp;H Investments, Jonathan Hallett, Knoll Ventures, Kyle Porter, Mark Shoberg, Sacha Labourey, Tech Square Ventures, Tim Kopp</t>
  </si>
  <si>
    <t>www.gridline.co</t>
  </si>
  <si>
    <t>469008-37</t>
  </si>
  <si>
    <t>GrowthPal</t>
  </si>
  <si>
    <t>Operator of a data-driven technology platform intended to assist startups and investors. The company helps identify suitable deals, offers best-matched suggestions, and scans the entire universe of early-stage startups through a comprehensive database and market signals, assisting buyers in acquiring small to mid-size companies globally to add to their products, revenues, teams, and markets, providing businesses with information, recommendations, and conversions in the industry.</t>
  </si>
  <si>
    <t>Anand Deshpande, Darshan Rathod, Ideaspring Capital, Mukul Kumar, NASSCOM DeepTech Club, Sachin Oswal</t>
  </si>
  <si>
    <t>www.growthpal.com</t>
  </si>
  <si>
    <t>231194-44</t>
  </si>
  <si>
    <t>Guangxin United (Beijing) Business Consulting Company</t>
  </si>
  <si>
    <t>Operator of an online peer-to-peer lending platform intended for invoice financing. The company offers invoice financing, peer-to-peer loans, and automated investment tools, thereby enabling small and medium-sized enterprises to obtain capital based on asset-based guarantees and individual investors to manage diversified investment plans.</t>
  </si>
  <si>
    <t>Bohai Pharmaceuticals Group, Shandong Oriental Ocean Group, Xianglong Enterprises, Xingbang Capital</t>
  </si>
  <si>
    <t>guangxindai.com</t>
  </si>
  <si>
    <t>522987-67</t>
  </si>
  <si>
    <t>Gumption</t>
  </si>
  <si>
    <t>Developer of a digital debt sourcing platform designed to connect commercial real estate borrowers with lenders. The company links borrowers to an extensive network of financing partners, providing tools for confidential deal submissions, in-depth term sheet evaluations, and guidance throughout the underwriting phase, enabling commercial property owners and developers to efficiently secure optimal funding terms and ensure timely deal completion.</t>
  </si>
  <si>
    <t>Accelerated Partners (Birmingham), Brickyard, Mark McDonald, Matt McGauley, Olumide Soyombo, Richard Rabbat, SBXi, Service Provider Capital, Stephen Vlahos, Team Ignite Ventures, Tiffanie Robinson</t>
  </si>
  <si>
    <t>www.gumption.dev</t>
  </si>
  <si>
    <t>469666-54</t>
  </si>
  <si>
    <t>Guru (Financial Software)</t>
  </si>
  <si>
    <t>Developer of a financial application designed to make investing simple, affordable, and intuitive. The company's application offers financial tools, including real-time profitability monitoring, quotes, graphs, news, and indicators, enabling customers to invest in various financial instruments easily.</t>
  </si>
  <si>
    <t>Airborne Ventures, Discovery Ventures (Berlin), FinTech Sandbox, Gilgamesh Ventures, Google Accelerator, MSA Capital, Norte Ventures, Picus Capital, Turim</t>
  </si>
  <si>
    <t>www.guru.com.vc</t>
  </si>
  <si>
    <t>454617-55</t>
  </si>
  <si>
    <t>Gyra+</t>
  </si>
  <si>
    <t>Developer of a SaaS based credit platform intended to help companies with working capital by providing real-time data analysis. The company's platform helps with an application for loans through online registration, background check, analyzing customers' integrations and documentation, enabling entrepreneurs to avail the desired amount of loan as per their need within a short time.</t>
  </si>
  <si>
    <t>BoostLAB, Crestone Venture Capital, Fenasbac Inovacao, Grupo PH</t>
  </si>
  <si>
    <t>www.gyramais.com.br</t>
  </si>
  <si>
    <t>530938-99</t>
  </si>
  <si>
    <t>Haball</t>
  </si>
  <si>
    <t>Developer of a business-to-business payment platform intended to provide an automated digital payment system. The company's platform provides services including open-loop, multi-channel, and context-driven payment, multiple payment options, real-time payment reports, and automatic reconciliation, helping value chain stakeholders to make payments and avail financing against invoices digitally.</t>
  </si>
  <si>
    <t>Majlis Advisory SPV, Zayn Venture Capital</t>
  </si>
  <si>
    <t>www.haball.pk</t>
  </si>
  <si>
    <t>534928-60</t>
  </si>
  <si>
    <t>Habits (Other Financial Services)</t>
  </si>
  <si>
    <t>Developer of an AI-powered client engagement and prospecting platform designed to help financial advisors find, engage, and retain clients. The company offers an engagement engine that provides sourced insights, live market data monitoring, and automated research tools, enabling financial professionals to personalize outreach, create relevant content, and identify qualified prospects.</t>
  </si>
  <si>
    <t>Atlanta Ventures, Elevate Ventures, Flywheel Fund, gener8tor</t>
  </si>
  <si>
    <t>www.usehabits.com</t>
  </si>
  <si>
    <t>1240013-26</t>
  </si>
  <si>
    <t>HabitTrade</t>
  </si>
  <si>
    <t>Developer of a multi-asset brokerage platform designed to provide unified access to global investment opportunities across traditional and digital assets. The company offers a single-account trading platform supporting stocks, cryptocurrencies, ETFs, options, and copy portfolios with fiat and crypto funding, enabling individual investors to diversify globally, manage portfolios efficiently, and invest across asset classes with simplicity and security.</t>
  </si>
  <si>
    <t>Bright Venture Capital (China), NewBornTown</t>
  </si>
  <si>
    <t>habittrade.com</t>
  </si>
  <si>
    <t>459559-18</t>
  </si>
  <si>
    <t>Haddock</t>
  </si>
  <si>
    <t>Artificial Intelligence &amp; Machine Learning, FinTech, FoodTech, Mobile, Restaurant Technology, SaaS</t>
  </si>
  <si>
    <t>Developer of a cost-management tool designed for restaurant financial operations. The company's platform digitizes invoices and delivery notes via OCR, tracks ingredient price changes in real time, builds dynamic recipe cost-sheets that update with live purchase prices, integrates with point-of-sale systems, and provides dashboards for expenses, margins, and supplier monitoring, enabling the restaurant market to maintain cost control and improve profitability through data-driven decision making.</t>
  </si>
  <si>
    <t>COREangels, Decelera Ventures, Delivery Hero Ventures, Extension Fund, Firstech Ventures, From Start-to-Table, JME Venture Capital, Lanzadera Accelerator, Pascual Innoventures, Sancus Capital Partners, Scaleup Spain Network, Wayra, Y Combinator</t>
  </si>
  <si>
    <t>www.haddock.app</t>
  </si>
  <si>
    <t>278283-07</t>
  </si>
  <si>
    <t>Haier Money</t>
  </si>
  <si>
    <t>Provider of small business loans to micro service enterprises and consumer financial services. The company works to support the real economy, using mobile Internet and big data analysis to provide high-end customized financial solutions for the production, supply and sales of enterprises.</t>
  </si>
  <si>
    <t>AMER International Group, China Merchants Capital, Founder Hesheng Investment, Haier Group, SDIC Innovation Investment Management</t>
  </si>
  <si>
    <t>www.haiermoney.com</t>
  </si>
  <si>
    <t>433781-56</t>
  </si>
  <si>
    <t>Haina Investment</t>
  </si>
  <si>
    <t>Developer of a financial technology platform designed to facilitate investment management and wealth allocation for individuals and institutions. The company offers digital asset management tools, portfolio tracking capabilities, and data-driven financial analytics, enabling investors and financial advisors, to make informed decisions and manage wealth with improved clarity and efficiency.</t>
  </si>
  <si>
    <t>www.hainaniuniu.com</t>
  </si>
  <si>
    <t>463094-11</t>
  </si>
  <si>
    <t>Hala</t>
  </si>
  <si>
    <t>Developer of a digital mobile payment platform intended towards building the future bank of small and medium enterprises. The company's platform offers point-of-sale services, digital wallets, and bank cards, helping firms with digital tools to accept payments, control cash, and monitor sales analytics.</t>
  </si>
  <si>
    <t>Arzan Venture Capital, Avra, BNVT Capital, Endeavor Catalyst, Impact46, Isometry Capital, Jahez Group, Kaltaire Investments, Khwarizmi Ventures, Mazen AlJubeir, Middle East Venture Partners, NOMD Holdings, Nour Nouf Ventures, Oqal Angel Investment Network, QED Investors, Raed Ventures, Sanabil Investments, TPG, Wamda Capital</t>
  </si>
  <si>
    <t>www.hala.com</t>
  </si>
  <si>
    <t>517341-88</t>
  </si>
  <si>
    <t>Halogen Capital</t>
  </si>
  <si>
    <t>Developer of a finance platform intended to help investors gain exposure safely to the new asset classes. The company specializes in digital assets and combines traditional capital market expertise with deep technology knowledge, enabling clients to access digital assets and help with private key management, tax uncertainties, and inconsistent fund reporting.</t>
  </si>
  <si>
    <t>500 Global, 500 Southeast Asia, DCG Expeditions, Digital Currency Group, Kenanga Investment Bank, Penjana Kapital, Sunway iLabs, The Hive Southeast Asia</t>
  </si>
  <si>
    <t>halogen.my</t>
  </si>
  <si>
    <t>535168-63</t>
  </si>
  <si>
    <t>Hande Credit</t>
  </si>
  <si>
    <t>Provider and developer of an online platform intended to provide information for corporates seek funding and investments. The company provides assistance to promote investments, enabling users to receive funding and investments.</t>
  </si>
  <si>
    <t>G Treasure Fund</t>
  </si>
  <si>
    <t>www.smefintech.com</t>
  </si>
  <si>
    <t>226962-01</t>
  </si>
  <si>
    <t>Handsome Financial Services</t>
  </si>
  <si>
    <t>Provider of an online platform intended to offer real estate mortgage management services. The company's platform is primarily engaged in personal real estate mortgage, bridge loan and non-performing loan disposal business, enabling its clients to receive online loan management services.</t>
  </si>
  <si>
    <t>Meridian Capital China, Tian Ge Interactive</t>
  </si>
  <si>
    <t>www.handsomecapital.com</t>
  </si>
  <si>
    <t>597782-62</t>
  </si>
  <si>
    <t>Handwave</t>
  </si>
  <si>
    <t>Developer of a biometric payment and identity platform designed to enable contactless authentication and in-store transactions through palm scanning technology. The company offers palm-based identity verification, payment card linking, loyalty integration, age verification capabilities, and privacy-focused biometric authentication, enabling merchants and consumers to complete secure transactions and identity checks without physical cards or mobile devices.</t>
  </si>
  <si>
    <t>FIRSTPICK, Inovo VC, Outlast Fund, Practica Capital, Ready2Scale</t>
  </si>
  <si>
    <t>www.handwave.com</t>
  </si>
  <si>
    <t>600734-44</t>
  </si>
  <si>
    <t>Hangzhou Enterprise Finance</t>
  </si>
  <si>
    <t>Provider and developer of artificial intelligence and data analysis services intended to serve the financial industry. The company is mainly focused on the research and development of cutting-edge technologies such as artificial intelligence, big data analysis, blockchain, and intelligent marketing, continues to explore innovative models of intelligent services, and provides customers with a full range of intelligent services.</t>
  </si>
  <si>
    <t>753145-57</t>
  </si>
  <si>
    <t>Hanover Park</t>
  </si>
  <si>
    <t>Developer of a fund administration and portfolio management platform designed to support finance and investment teams. The company offers an AI-native operating system that integrates fund administration, portfolio analytics, KPI tracking, investor reporting, and compliance workflows, enabling institutional asset managers and their stakeholders to streamline operations, gain real-time financial insights, and improve investment reporting efficiency.</t>
  </si>
  <si>
    <t>645 Ventures, Banana Capital, Charles Songhurst, Chris Zarou, Emergence Equity Management, Hiten Shah, Lux Capital, Sahil Bloom, Susa Ventures</t>
  </si>
  <si>
    <t>www.hanoverpark.com</t>
  </si>
  <si>
    <t>437199-49</t>
  </si>
  <si>
    <t>Haoshengyi</t>
  </si>
  <si>
    <t>Developer and operator of a payment and service platform intended to connect a variety of payment methods. The company's payment and service platform assists merchants to consolidate cash register and integrated billing functions, as well as to offer them store management and customer services, providing small merchants with a one-stop platform to manage payment functions and operations of the store.</t>
  </si>
  <si>
    <t>IVP, Nomura Asset Management, Openpos, RYK Capital Partners, SF Express, Shenzhen Leshouyun Technology, Yolo Investments</t>
  </si>
  <si>
    <t>www.fshaoshengyi.com</t>
  </si>
  <si>
    <t>537473-80</t>
  </si>
  <si>
    <t>happyhotel</t>
  </si>
  <si>
    <t>Developer of a revenue management software designed for the hospitality industry. The company's software calculates demand and gives price recommendations for hotels to enable professional revenue management for every hotel and fully automate the selling of hotel rooms, so hoteliers can focus entirely on their guests, enabling them to help generate more revenue and optimize revenue management.</t>
  </si>
  <si>
    <t>Fabian Silberer, Marco Beicht, Marco Reinbold, MBG Mittelständische Beteiligungsgesellschaft Baden-Württemberg, Reimann Investors, seed + speed Ventures, Start-up BW, Swen Laempe, Wecken &amp; Cie</t>
  </si>
  <si>
    <t>www.happyhotel.io</t>
  </si>
  <si>
    <t>562893-40</t>
  </si>
  <si>
    <t>HariWang</t>
  </si>
  <si>
    <t>Developer of a payroll management and employee benefits platform designed to empower the workforce and thrive the business. The company's platform offers salary advancement and employee benefits for employees and offers a reliable extended employee benefit, reducing operational costs and boosting staff productivity and engagement for employers, enabling employers and employees to enhance the social aspect of the company's ESG program and to have control over the wages they have earned.</t>
  </si>
  <si>
    <t>Growth Charger, Jati Growth, MYStartup</t>
  </si>
  <si>
    <t>www.hariwang.com.my</t>
  </si>
  <si>
    <t>184297-51</t>
  </si>
  <si>
    <t>Harvest Returns</t>
  </si>
  <si>
    <t>Operator of an online investment platform intended to connect investors with agricultural and agribusiness opportunities. The company's platform facilitates access to private deals in farmland, timber, and agribusiness, offers portfolio diversification through non-correlated agricultural assets that serve as a hedge against inflation, provides an alternative capital-raising route for farmers beyond traditional bank loans, and supports investments across sectors including agtech, sustainable livestock, specialty crops, and controlled environment agriculture, enabling individual investors and agricultural operators to generate passive income from tangible, naturally derived yields while contributing to food security and rural economic development.</t>
  </si>
  <si>
    <t>FoodFutureCo</t>
  </si>
  <si>
    <t>www.harvestreturns.com</t>
  </si>
  <si>
    <t>931744-09</t>
  </si>
  <si>
    <t>Hashfire</t>
  </si>
  <si>
    <t>Cryptocurrency/Blockchain, FinTech, Legal Tech, SaaS</t>
  </si>
  <si>
    <t>Developer of a blockchain-based contract platform designed to convert agreements into verifiable digital assets with embedded payment and financing capabilities. The company's platform offers smart contract generation, automated payment execution, receivables financing, and real-time on-chain verification, enabling enterprises, financial institutions, and public sector organizations to manage agreements, payments, and liquidity with transparency and efficiency.</t>
  </si>
  <si>
    <t>Blizzard Avalanche Fund, Plug and Play Tech Center</t>
  </si>
  <si>
    <t>hashfire.xyz</t>
  </si>
  <si>
    <t>597610-72</t>
  </si>
  <si>
    <t>Haven (Financial Software)</t>
  </si>
  <si>
    <t>Provider of accounting services intended to serve entrepreneurs and businesses. The company offers bookkeeping, taxes, tax credits, and other finance-related services, enabling businesses to save time and money and focus on their core business.</t>
  </si>
  <si>
    <t>Alumni Ventures, Andreessen Horowitz, Anthony Pompliano, B Capital Group, Charlie Feng, Eric Bahn, Fjor (US), Gilgamesh Ventures, Hari Raghavan, Hustle Fund, OpenSky Ventures, Ribbit Capital, Slow Ventures, Soma Capital</t>
  </si>
  <si>
    <t>www.usehaven.com</t>
  </si>
  <si>
    <t>1158843-52</t>
  </si>
  <si>
    <t>Hawala</t>
  </si>
  <si>
    <t>Operator of a digital cross-border financial infrastructure designed for global money transfers and multi-currency management. The company's platform allows users to send and receive funds with just a name and email, manage USD and EUR wallets, withdraw in over 40 currencies, access a USD credit card, and benefit from robust security and real-time transfer tracking, enabling customers to manage finances easily and securely.</t>
  </si>
  <si>
    <t>Alumni Ventures, Carl Lin, Hany Raswan, Lee Arnold, Naguib Sawiris, Pharsalus Capital</t>
  </si>
  <si>
    <t>www.usehawala.com</t>
  </si>
  <si>
    <t>438782-86</t>
  </si>
  <si>
    <t>Hay</t>
  </si>
  <si>
    <t>Developer of a digital payment platform designed to provide an alternative to traditional money management. The company's platform provides financial functionality, visualized insights, real-time notifications, and detailed transaction data, enabling individuals and businesses to manage their finances and make payments hassle-free.</t>
  </si>
  <si>
    <t>Regal Partners</t>
  </si>
  <si>
    <t>www.hellohay.co</t>
  </si>
  <si>
    <t>482120-92</t>
  </si>
  <si>
    <t>hBits</t>
  </si>
  <si>
    <t>Operator of a fractional ownership platform intended for commercial real estate. The company lets investors buy properties at a low-ticket price along with providing distinctive data insights of each commercial space, turnkey allotment, property maintenance, rent collection, and secure transactions, enabling clients to gain a high return on investment in commercial real estate.</t>
  </si>
  <si>
    <t>Aakrit Vaish, Amitabh Nagpal, Amith Aggarwal, Arjun Vaidya, Ashok Wadhwa's family office, Awdesh Krishna, Capricon Realty, Dhvanil Sheth, InCred Capital, Jayesh Parekh, Nirmal Jain, RAAY Global Investments, Raycon Group, Shree Naman Group, Snow Leopard Ventures, Tushar Mehendale</t>
  </si>
  <si>
    <t>www.hbits.co</t>
  </si>
  <si>
    <t>496612-36</t>
  </si>
  <si>
    <t>Headcount365</t>
  </si>
  <si>
    <t>Developer of a workforce management software designed to support headcount planning and connect finance and recruiting systems. The company provides real-time workforce insights, integrates with ATS, HRIS, and FP&amp;A tools, automates position management, and tracks hiring plans and financial data, enabling clients to manage headcount and make workforce decisions.</t>
  </si>
  <si>
    <t>Allen Gannett, Anabel Paksoy, Christian Federspiel, Christian Ibanez, Colin Lau, Dustin Dolginow, Feld Ventures, John Lemak, Matthew Heiser, Shane Feldberg, TIA Ventures, William Hapworth, Winter Mead</t>
  </si>
  <si>
    <t>www.headcount365.com</t>
  </si>
  <si>
    <t>179326-99</t>
  </si>
  <si>
    <t>HealthCor Management</t>
  </si>
  <si>
    <t>Operator of an investment management firm intended to focus on the global healthcare and life sciences sectors. The company uses deep scientific, medical, and regulatory research to identify undervalued or promising companies, aiming to invest money in healthcare-related businesses, enabling clients to generate strong financial returns through strategies like equity investing and hedge funds.</t>
  </si>
  <si>
    <t>Catalio Capital Management</t>
  </si>
  <si>
    <t>www.healthcormanagement.com</t>
  </si>
  <si>
    <t>503549-02</t>
  </si>
  <si>
    <t>Heartstocks</t>
  </si>
  <si>
    <t>Operator of a fintech platform intended to democratize exclusive asset classes and make them tradable as digital shares. The company's platform offers investment in assets that were previously not generally available on an open market to a large number of people via an open primary market, enabling investors to trade any type of asset using traditional market mechanisms and benefit from the increase in value of the assets and the proven market mechanisms.</t>
  </si>
  <si>
    <t>Blockchain Founders Group, Innovationsstarter, Vanagon Ventures Management</t>
  </si>
  <si>
    <t>www.heartstocks.com</t>
  </si>
  <si>
    <t>1257779-71</t>
  </si>
  <si>
    <t>Hecto Finance</t>
  </si>
  <si>
    <t>Developer of a tokenized pre-IPO company index designed to broaden access to private market opportunities before public listing.
The company offers on-chain index construction and regulated blockchain infrastructure, enabling public investors access to curated pre-IPO deals with greater transparency and fairness.</t>
  </si>
  <si>
    <t>Edessa Capital</t>
  </si>
  <si>
    <t>www.hecto.finance</t>
  </si>
  <si>
    <t>534948-94</t>
  </si>
  <si>
    <t>HEDG</t>
  </si>
  <si>
    <t>Developer of a savings management application designed to upgrade retirement planning for private workers in Egypt. The company's platform gives traditional retirement services through digital experiences and tailored retirement plans, enabling businesses, startups, and corporations to provide pension solutions for their employees.</t>
  </si>
  <si>
    <t>www.hedgapp.com</t>
  </si>
  <si>
    <t>229619-62</t>
  </si>
  <si>
    <t>Hedgewiz</t>
  </si>
  <si>
    <t>Developer of a payment platform designed to facilitate global transactions using local payment methods. The company offers multiple worldwide accounts, enterprise resource planning (ERP) integration, and smart payment intelligence, enabling businesses to streamline cross-border payments, reduce fees, and enhance financial efficiency.</t>
  </si>
  <si>
    <t>365x, Eyal Waldman, Sarona Ventures, Shabtai Adlersberg, Stella Handler, Yaakov Kotlitzky</t>
  </si>
  <si>
    <t>hedgewiz.co.uk</t>
  </si>
  <si>
    <t>732181-60</t>
  </si>
  <si>
    <t>Heimify</t>
  </si>
  <si>
    <t>Developer of a home equity financing software designed to modernize mortgage financing by merging fractional home equity investments with traditional home loans. The company's platform offers licensed hybrid loan products that help lenders reduce foreclosure risk, optimize loan performance and introduce dynamic solutions that adapt to homeowners' evolving needs, enabling investors to turn real estate into a liquid, tradable asset by creating a secondary market for fractional home equity shares.</t>
  </si>
  <si>
    <t>LvlUp Ventures</t>
  </si>
  <si>
    <t>www.heimify.com</t>
  </si>
  <si>
    <t>235187-74</t>
  </si>
  <si>
    <t>Helcim</t>
  </si>
  <si>
    <t>Developer of a payment platform designed for small businesses to thrive and enrich communities. The company's platform delivers an easier and affordable payment experience with a human touch, with features such as invoicing, an online store, a point of sale, recurring payment management, API integrations, credit card processing, card tokenization, and multi-currency processing, enabling businesses to accept credit card payments at affordable rates and accommodate the transaction needs of customers of all kinds.</t>
  </si>
  <si>
    <t>Accelerate Fund, Aquiline Capital Partners, Boris Wertz, Cathay Innovation, Clocktower Ventures, Generational Platform Partners, Gold House Ventures, Google Accelerator, Hanif Joshaghani, Headline, Information Venture Partners, Jason Smith, Kevin Sandhu, Scale Up Canada, SilverCircle, Vesey Ventures, Yaletown Partners</t>
  </si>
  <si>
    <t>www.helcim.com</t>
  </si>
  <si>
    <t>1365056-02</t>
  </si>
  <si>
    <t>Helios</t>
  </si>
  <si>
    <t>Developer of institutional-grade gold-backed token infrastructure designed for verifiable asset issuance and on-chain settlement. The company provides qualified custody, daily proof of reserves, Merkle attestation, deterministic settlement, and smart contract-enforced redemption, enabling financial institutions and digital asset markets to access transparent, fully backed tokenized gold with audit-ready accountability.</t>
  </si>
  <si>
    <t>3Commas Capital, BitcoinFi Accelerator, Draper Associates, Draper Dragon</t>
  </si>
  <si>
    <t>www.heliosreserve.xyz</t>
  </si>
  <si>
    <t>452799-46</t>
  </si>
  <si>
    <t>Helios (Paris)</t>
  </si>
  <si>
    <t>Operator of a financial services platform intended to offer alternative and sustainable banking options. The company's platform offers a transparent banking model as well as finances projects that make a concrete contribution to ecological transition, such as local production, plastic recycling, renewable energies, regenerative agriculture, circular economy, low-carbon transport, and more, enabling clients with a current account that allows sustainable management of money.</t>
  </si>
  <si>
    <t>www.helios.do</t>
  </si>
  <si>
    <t>234261-91</t>
  </si>
  <si>
    <t>Helium Loans</t>
  </si>
  <si>
    <t>Provider of direct online lending services intended for Canadians. The company offers personal, business loans, peer-backed loans, installment methods, and automotive credit, along with helping to pay overdue or unexpected bills quickly before services are cut off, enabling customers to qualify for loans quickly without any paperwork.</t>
  </si>
  <si>
    <t>www.heliumloans.com</t>
  </si>
  <si>
    <t>607120-21</t>
  </si>
  <si>
    <t>Hellgrün</t>
  </si>
  <si>
    <t>Developer of a climate fintech platform designed to make photovoltaics easy for businesses. The company's platform facilitates planning, financing, construction, and operation of green electricity for property owners and allows investors to invest in photovoltaic systems and secure attractive tax benefits, enabling clients to benefit from clean, sustainable energy production while reducing their reliance on traditional electricity sources.</t>
  </si>
  <si>
    <t>Florian Meyer-Delpho, Hans-Peter Villis, Impact Factory (A/I), Joan Dyckhoff-Schlieker, Philipp Waldstein, Saxovent Smart Eco Investments, Smartcity House, Stefan Balbierz, The House of Finance and Tech Berlin, Tobias Schütt, Xdeck Accelerator</t>
  </si>
  <si>
    <t>www.hellgruen.solar</t>
  </si>
  <si>
    <t>491303-80</t>
  </si>
  <si>
    <t>Hello Clever</t>
  </si>
  <si>
    <t>Developer of artificial intelligence-powered payment analytics technology designed to help businesses convert transaction data into actionable business insights. The company's technology offers transaction monitoring, predictive analytics, customer activity tracking, alternative data processing, and payment behavior forecasting, enabling merchants and digital businesses to optimize customer engagement, improve payment performance, and make informed operational decisions.</t>
  </si>
  <si>
    <t>Anthony Warren, Bosco Tan, Boson Ventures, CrossFund, Daniel Johnson, Kenneth Cheung, Kris Supavatanakul, Magnivia Ventures, Olivia Warren, OMVC, Son Tech Investment, Vectr Ventures, Ventek Ventures, Yolo Investments</t>
  </si>
  <si>
    <t>www.helloclever.co</t>
  </si>
  <si>
    <t>482556-97</t>
  </si>
  <si>
    <t>Helm (Financial Software)</t>
  </si>
  <si>
    <t>Developer of a short-term cash flow forecasting tool designed to deliver a simple, flexible and easy-to-interpret forecast to make crucial business decisions. The company's tool helps to predict future cash balance to manage cash flow with an automated short-term forecasting system, which analyses future receipts and payments using realistic assumptions from previous accounting data, enabling small businesses to access better cash management services.</t>
  </si>
  <si>
    <t>Alberta Innovates, Metiquity Merchant Group</t>
  </si>
  <si>
    <t>www.takethehelm.app</t>
  </si>
  <si>
    <t>687976-75</t>
  </si>
  <si>
    <t>Helo</t>
  </si>
  <si>
    <t>Developer of digital financial tools designed for personal money management. The company's platform includes features such as automated budgeting, spending categorization, savings tracking, and account aggregation with a user-friendly interface, enabling individuals seeking alternatives to traditional banking systems to gain visibility, control, and confidence in managing their financial activities and long-term financial planning.</t>
  </si>
  <si>
    <t>Cistern Capital, Peachscore</t>
  </si>
  <si>
    <t>www.gohelo.com</t>
  </si>
  <si>
    <t>484349-77</t>
  </si>
  <si>
    <t>HelpPay</t>
  </si>
  <si>
    <t>Developer of bill-sharing and splitting applications designed to help people share expenses. The company's platform turns bills into secure payment pages and links that can be shared with anyone via any messaging or social platform, enabling users to easily split bills or share their expenses with others for help.</t>
  </si>
  <si>
    <t>www.helppay.com.au</t>
  </si>
  <si>
    <t>407250-55</t>
  </si>
  <si>
    <t>Hengxin Yidai</t>
  </si>
  <si>
    <t>Operator of an online lending platform designed to provide car mortgage loans. The company's platform provides peer to peer (P2P) car mortgage loans and enables clients to access to financial support efficiently.</t>
  </si>
  <si>
    <t>Youchoose Capital</t>
  </si>
  <si>
    <t>www.p2phx.com</t>
  </si>
  <si>
    <t>338578-84</t>
  </si>
  <si>
    <t>Henon</t>
  </si>
  <si>
    <t>Developer of fintech software designed to accelerate the financial needs of businesses. The company specializes in generative AI predictions, financial planning, and analysis, balance sheet optimization, scenarios, and stress tests through their marketplace-certified outputs and data aggregations, enabling enterprises to manage their financial forecasting and analysis.</t>
  </si>
  <si>
    <t>Alset AI Ventures, Nachte Capital Group</t>
  </si>
  <si>
    <t>www.henon.ai</t>
  </si>
  <si>
    <t>721423-18</t>
  </si>
  <si>
    <t>Henry Labs</t>
  </si>
  <si>
    <t>Operator of a cashback rewards platform intended for online shopping. The company helps to earn cash on purchases made at partner stores by converting retailer payments into stablecoins and depositing them into yield protocols, and also offers a referral program to earn money from own purchases and a percentage of earnings from referred users, enabling online shoppers to receive additional savings and rewards.</t>
  </si>
  <si>
    <t>Taisu Ventures</t>
  </si>
  <si>
    <t>www.henrylabs.ai</t>
  </si>
  <si>
    <t>491353-30</t>
  </si>
  <si>
    <t>Here (Real Estate Services (B2C))</t>
  </si>
  <si>
    <t>Operator of a real estate investment marketplace intended to invest in vacation rentals online and earn passive income from the asset class in real estate. The company's marketplace offers a portfolio of available properties for real estate investing through fractional ownership of high-yielding vacation rentals, enabling investors to lower the cost of entry and minimize the time commitment for real estate investing.</t>
  </si>
  <si>
    <t>Adam Nash, Alumni Ventures, BaseCamp Ventures, Bragiel Brothers, Bruce Merrill, Catherine Lu, Contrarian Thinking Capital, Cooley, Dream Ventures, Eudaimonia Capital, Fiat Ventures, Gaingels, Greg Mushen, H.E.N.R.Y Collective, Jonathan Wasserstrum, Judd Schoenholtz, Knockout Capital, Liquid 2 Ventures, Michael Egziabher, Michael Judd, Mucker Capital, Nick Verity, Pallasite Ventures, Sprint VC, Stephen Sikes, Stripes39, Thorsten Jaeckel</t>
  </si>
  <si>
    <t>www.here.co</t>
  </si>
  <si>
    <t>895322-89</t>
  </si>
  <si>
    <t>Herita Technologies</t>
  </si>
  <si>
    <t>Artificial Intelligence &amp; Machine Learning, B2B Payments, FinTech, Manufacturing, SaaS, Supply Chain Tech</t>
  </si>
  <si>
    <t>Operator of a digital supply chain finance platform designed to unlock working capital without added cost. The company offers invoice-backed early payment capabilities, digital bill of exchange (BEX) infrastructure, global currency support, and seamless onboarding workflows, enabling enterprise buyers and suppliers to manage liquidity, extend payment terms, and strengthen trade relationships while avoiding bank dependency and traditional financing overhead.</t>
  </si>
  <si>
    <t>Angel Invest, Blockchain Founders Capital, Ernst &amp; Young Global, Prequel Ventures (Berlin)</t>
  </si>
  <si>
    <t>www.herita.tech</t>
  </si>
  <si>
    <t>720738-10</t>
  </si>
  <si>
    <t>Hexin Finance and Taxation Technology</t>
  </si>
  <si>
    <t>Provider of finance and taxation products and services for Chinese small and medium-sized enterprises. The company's products and services assist enterprises in optimizing financial management and tax planning, enabling clients with comprehensive and in-depth finance and taxation solutions, thereby improving the overall operating efficiency and market competitiveness of enterprises.</t>
  </si>
  <si>
    <t>472383-01</t>
  </si>
  <si>
    <t>Hezhong Qiyun</t>
  </si>
  <si>
    <t>Provider of digital working capital solutions intended to improve the the efficiency of capital transfers between enterprises. The company's solutions include digital infrastructure based on dynamic discount solutions that establish a transparent and efficient market-based working capital circulation mechanism for the upstream and downstream of the industrial chain in different industry ecosystems, enabling enterprises to improve the efficiency of capital flow while reducing costs and increasing profits.</t>
  </si>
  <si>
    <t>01VC, GSR Ventures</t>
  </si>
  <si>
    <t>www.hzqyun.com</t>
  </si>
  <si>
    <t>517950-01</t>
  </si>
  <si>
    <t>Hi-Five Lab</t>
  </si>
  <si>
    <t>Operator of a web-three platform intended for providing distributed secure vault and wallet services using blockchain technology. The company develops digital asset security, including a digital asset vault that leverages multi-party computation (MPC) technology to provide users stability, security, and reliability, enabling users to store digital assets securely and with greater peace of mind.</t>
  </si>
  <si>
    <t>ActnerLab, KB Innovation HUB, Tech Incubator Program for Startup</t>
  </si>
  <si>
    <t>www.hifivelab.io</t>
  </si>
  <si>
    <t>535179-97</t>
  </si>
  <si>
    <t>Higala</t>
  </si>
  <si>
    <t>Operator of an open payments platform intended to improve financial participation. The company's platform leverages the economic power of industry-leading local banks and financial institutions through synergistic partnerships, enabling financial institutions to move money and connect new market players in the digital economy, as well as allowing customers to send or receive payments across different banks and wallets instantly.</t>
  </si>
  <si>
    <t>1982 Ventures, Chemonics International, Kadan Capital, Talino Fintech Foundry, TENCO Capital</t>
  </si>
  <si>
    <t>www.higala.ph</t>
  </si>
  <si>
    <t>1162890-64</t>
  </si>
  <si>
    <t>High Five Benefits</t>
  </si>
  <si>
    <t>Developer of a payroll conversion platform designed to optimise employee compensation through tax-advantaged benefits. The company offers digital modules for meal and mobility allowances, automated receipt management, and streamlined payroll integration, enabling employers to increase net salaries for employees and reduce administrative and payroll costs.</t>
  </si>
  <si>
    <t>Allygatr</t>
  </si>
  <si>
    <t>paylo.de</t>
  </si>
  <si>
    <t>539170-57</t>
  </si>
  <si>
    <t>HighFi</t>
  </si>
  <si>
    <t>Developer of a finance platform designed to streamline lending operations for lenders. The company's platform leverages generative AI to automate tasks, improve efficiency, and connect lenders with capital partners, enabling the lending market to benefit from more efficient and innovative capital management processes.</t>
  </si>
  <si>
    <t>Abstract Ventures, Jeremy Solomon, Nyca Partners</t>
  </si>
  <si>
    <t>www.highfi.com</t>
  </si>
  <si>
    <t>1161193-78</t>
  </si>
  <si>
    <t>Hisobchi AI</t>
  </si>
  <si>
    <t>Developer of an AI-powered finance management application designed to track income and expenses through voice or text input, automatically categorize transactions, and improve personal financial literacy. The company's platform leverages natural language processing and automation to facilitate budgeting, generate spending insights, and promote effective money management, enabling individuals and households to gain control over their finances and make informed financial decisions.</t>
  </si>
  <si>
    <t>StartupBase (Uzbekistan), Yoshlar Ventures</t>
  </si>
  <si>
    <t>www.hisobchiai.uz</t>
  </si>
  <si>
    <t>494669-08</t>
  </si>
  <si>
    <t>Hive Wealth</t>
  </si>
  <si>
    <t>Developer of a community-first mobile application designed to help people grow their wealth and legacy. The company's platform helps people connect with communities of financial peers to discuss wealth, share trade insights, and break the money taboo, enabling users to set financial goals, analyze spending patterns, and become experts on their finances.</t>
  </si>
  <si>
    <t>Black Tech Nation Ventures, SVB Financial Group</t>
  </si>
  <si>
    <t>www.hivewealth.com</t>
  </si>
  <si>
    <t>512358-40</t>
  </si>
  <si>
    <t>Holacasa</t>
  </si>
  <si>
    <t>Developer of the end-to-end mortgage assistance platform designed for the real estate industry to prequalify and rank their leads instantly. The company's platform helps find online mortgage loans according to the individuals' needs, enabling real estate firms and developers clients to apply for their mortgage quickly and easily, comparing over other banks in one place.</t>
  </si>
  <si>
    <t>1517 Fund, Accel, Alan Rutledge, Cracks Fund, Goodwater Capital, Invariantes Fund, Investo Capital, Jonathan Wasserstrum, START Global, Y Combinator</t>
  </si>
  <si>
    <t>www.holacasa.mx</t>
  </si>
  <si>
    <t>268527-79</t>
  </si>
  <si>
    <t>Holding RPX</t>
  </si>
  <si>
    <t>Developer of a bank digitization platform designed to help companies deploy digital banking. The company's platform offers services like intrabank and interbank transfers, magnetic cards, creating a digital account, and consulting services, enabling global corporations, large retail companies, and franchisees to educational institutions with virtual account services, card management, and payment services.</t>
  </si>
  <si>
    <t>www.rpxcapital.com.br</t>
  </si>
  <si>
    <t>484169-86</t>
  </si>
  <si>
    <t>Hollydesk</t>
  </si>
  <si>
    <t>Operator of a fintech platform intended to manage and follow up on corporate expenses and accounts to obtain financing. The company provides technology to help SMEs monitor and control their daily expenses to replace manual tools and cover the spending process end to end, enabling businesses to manage their expenses and spending.</t>
  </si>
  <si>
    <t>www.hollydesk.com</t>
  </si>
  <si>
    <t>433311-67</t>
  </si>
  <si>
    <t>Home Lending Pal</t>
  </si>
  <si>
    <t>Artificial Intelligence &amp; Machine Learning, FinTech, Mobile, Mortgage Tech, Real Estate Technology</t>
  </si>
  <si>
    <t>Developer of lending software designed to create artificial intelligence mortgage advisors. The company's platform is an artificial intelligence-powered mortgage advisor that predicts the likelihood of mortgage approval along with hidden ownership costs during research and empowers consumers to make home-buying decisions, enabling clients to get affordable risk data that is usually only available to lenders.</t>
  </si>
  <si>
    <t>BlueWave Resource Partners, Brown Venture Group, Cogent Bancorp, Deepwork Capital, Financial Health Network, Financial Health Network., gener8tor, IA Seed Ventures, NC Idea, Northwestern Mutual Future Ventures, RevTech Labs Capital, Start Path, StarterStudio, Tampa Bay Wave, The Majira Project, TMC Emerging Technology Fund, TruStage Ventures, Village Capital</t>
  </si>
  <si>
    <t>www.pathfinderforbanks.ai</t>
  </si>
  <si>
    <t>1166535-01</t>
  </si>
  <si>
    <t>HomeStakes</t>
  </si>
  <si>
    <t>Developer of a fractional real estate investment platform designed to help individuals invest in high-quality residential properties with low minimums. The company offers curated properties, passive management, and access to a secondary marketplace, enabling individual investors to participate in property ownership and earn reliable returns without operational burdens.</t>
  </si>
  <si>
    <t>Makai VC</t>
  </si>
  <si>
    <t>www.homestakes.com</t>
  </si>
  <si>
    <t>235027-54</t>
  </si>
  <si>
    <t>HonestFund</t>
  </si>
  <si>
    <t>Artificial Intelligence &amp; Machine Learning, Big Data, FinTech, Mobile, Real Estate Technology, SaaS</t>
  </si>
  <si>
    <t>Developer of a financial platform designed for access to various investment opportunities across a broad range of asset classes. The company's platform offers personal credit loans to real estate, mortgage loans, nonperforming loan-secured loans, and bond investment products, enabling investors to attract large-scale investments from commercial banks and financial institutions.</t>
  </si>
  <si>
    <t>Asia Advisors Korea, Aton (Korea), Bass Investment, DS Asset Management, HB Investment, KB Investment, Meta Investment (South Korea), Murex Partners, Seoul Information Service, Shinhan Bank, Shinhan Financial Group, Shinhan Futures Lab, TL Asset Management, Union Investment Partners</t>
  </si>
  <si>
    <t>www.honestfund.kr</t>
  </si>
  <si>
    <t>1274650-48</t>
  </si>
  <si>
    <t>HoneyB</t>
  </si>
  <si>
    <t>Operator of a digital asset platform intended to provide users with tools for trading and managing cryptocurrencies. The company's platform offers digital asset services, including cryptocurrency trading, storage, and connectivity with external wallets and sensors, designed with a focus on transparency and risk disclosure, enabling customers to access decentralized finance</t>
  </si>
  <si>
    <t>PEER VC, Portal Ventures</t>
  </si>
  <si>
    <t>www.honeybtc.com</t>
  </si>
  <si>
    <t>170256-70</t>
  </si>
  <si>
    <t>HoneyBee Financial Wellness</t>
  </si>
  <si>
    <t>Developer of a financial wellness platform designed to help employees to manage their finances. The company's platform helps attract new talent and improve retention with a supplemental financial wellness program that meets the financial needs of the modern-day workforce as well as helps in student loans, savings and budgeting, debt management, and credit building, enabling clients to have a financially healthy workforce.</t>
  </si>
  <si>
    <t>Actions Capital, Afore Capital, Baron Davis, Correlation Ventures, ff Venture Capital, Financial Health Network., Kairos HQ, Rebalance Capital, Resolute Ventures, Restive Ventures</t>
  </si>
  <si>
    <t>www.meethoneybee.com</t>
  </si>
  <si>
    <t>756992-17</t>
  </si>
  <si>
    <t>Hongzhan Technology</t>
  </si>
  <si>
    <t>Developer a resource-sharing platform designed for different industries. The company's products mainly focus on developing a platform for resource sharing, mutual benefit and win-win results, which can be applied in the fields of bank card acquiring, Internet payment, payment SaaS systems, loan finance, wine industry, etc., providing customers with reliable products.</t>
  </si>
  <si>
    <t>www.hzjtzxpro.com</t>
  </si>
  <si>
    <t>172862-11</t>
  </si>
  <si>
    <t>Hop Pan Finance</t>
  </si>
  <si>
    <t>Provider of a peer-to-peer financial platform designed to provide operating capital to small businesses in the Shanghai area. The company's peer-to-peer financial platform is a real estate mortgage-backed platform which confidently controls risk and deals with collateral assets after default thereby providing diversified financial products enabling clients to meet their wealth growth demand.</t>
  </si>
  <si>
    <t>Shanghai High-tech, Zhongcheng Capital</t>
  </si>
  <si>
    <t>www.hepandai.com</t>
  </si>
  <si>
    <t>542272-06</t>
  </si>
  <si>
    <t>Hope Macy</t>
  </si>
  <si>
    <t>Provider of financial services intended to help manage the finances of people. The company's platform allows users to view bank transactions and get email alerts detailing their spending, view bank transactions without logging into their bank account, and view detailed information about all transactions, enabling users to discuss any unusual spending and keep a watch over account activity.</t>
  </si>
  <si>
    <t>Development Bank of Wales</t>
  </si>
  <si>
    <t>www.hopemacy.com</t>
  </si>
  <si>
    <t>481761-28</t>
  </si>
  <si>
    <t>Housetable</t>
  </si>
  <si>
    <t>Operator of a lending platform intended to provide customers with loans for real estate. The company's platform utilizes an artificial intelligence-powered system to approve home renovation loans and underwrite home equity loans by calculating the value of a home after renovation and charging a fraction of the closing fees charged by traditional banks, enabling customers to qualify for low-interest home renovation loans and modify them as per their requirements.</t>
  </si>
  <si>
    <t>365x, David Ring, Jacob Fund, Jumpspeed, Launch It Capital, REACH, Red Cedar Ventures, Sarona Ventures, Team Ignite Ventures, YADAY</t>
  </si>
  <si>
    <t>www.housetable.com</t>
  </si>
  <si>
    <t>223757-29</t>
  </si>
  <si>
    <t>Huanqing Information</t>
  </si>
  <si>
    <t>Developer of a Saas based interbank platform designed to break the communication restrictions and to allow traders to focus more on the transaction itself. The company's platform focuses on the bond market with the use of big data semantic analysis technology and artificial intelligence matching to enhance the efficiency of over-the-counter transactions.</t>
  </si>
  <si>
    <t>China Securities Credit Investment, DFJ DragonFund China</t>
  </si>
  <si>
    <t>www.innodealing.com</t>
  </si>
  <si>
    <t>343028-26</t>
  </si>
  <si>
    <t>HuiCaiShui</t>
  </si>
  <si>
    <t>Provider of intelligent enterprise finance and taxation management system. The company's main products include electronic documentation management, intelligent auditing and taxation management, helping small and medium-sized enterprise to save labor and time costs.</t>
  </si>
  <si>
    <t>www.huicaishui.net</t>
  </si>
  <si>
    <t>172402-48</t>
  </si>
  <si>
    <t>Huifenqi</t>
  </si>
  <si>
    <t>FinTech, Mobile, Real Estate Technology, SaaS, TMT</t>
  </si>
  <si>
    <t>Developer of professional-level management solutions specializing in rental industry designed to support long-term apartment rental operations through a comprehensive SaaS management platform. The platform's purpose is to streamline supply chain, legal affairs, human resources, and finance to enhance efficiency and reduce costs for the clients.</t>
  </si>
  <si>
    <t>Fortune Planet, JD Digits, Li Yuanfeng, Lianluo Interactive, Source Code Capital, Tencent Investment, Xiao Jun, Yan Zhifeng</t>
  </si>
  <si>
    <t>www.huifenqi.com</t>
  </si>
  <si>
    <t>469940-14</t>
  </si>
  <si>
    <t>Huiming APP</t>
  </si>
  <si>
    <t>Developer of a stock market financial software intended to close the information gap between institutional investors and retail investors. The platform is built on cloud computing, machine learning, and natural language process technology, providing robo-advisor and other AI-based forecasting features.</t>
  </si>
  <si>
    <t>5Y Capital, ABCI Securities, CapitalG, Eastern Bell Venture Capital, GL Ventures, Tencent Holdings, Ward Ferry Management</t>
  </si>
  <si>
    <t>600012-28</t>
  </si>
  <si>
    <t>Huros</t>
  </si>
  <si>
    <t>Developer of the tokenization platform designed to provide the foundational capabilities for asset tokens. The company offers a tool that helps with asset tokenization and meets the new-age demand for tokenized ownership with in-house technology and a bespoke fractional assets market, enabling clients to experience the future of alternative assets.</t>
  </si>
  <si>
    <t>www.huros.io</t>
  </si>
  <si>
    <t>458580-25</t>
  </si>
  <si>
    <t>Huspy</t>
  </si>
  <si>
    <t>Developer of online mortgage service platform intended to offer an easy home-buying and selling process. The company's platform simplifies the mortgage process and makes it cost-effective by solving a painful step in the home buying process, enabling home buyers to secure home loans through its web and mobile app, without any paperwork.</t>
  </si>
  <si>
    <t>Allied Investors Group, Amir Farha, Anyma, B&amp;Y Venture Partners, Balderton Capital, Breyer Capital, Chimera Capital, COTU Ventures, Dara Capital, Endeavor Catalyst, ExBorder Partners, Fifth Wall, Founders Fund, KE Partners, Noa Capital Partners, Peak XV Partners, Plug and Play Tech Center, Predictive Venture Partners, Sequoia Capital, T-Life Capital, Turmeric Capital, VentureFriends, VentureSouq</t>
  </si>
  <si>
    <t>www.huspy.com</t>
  </si>
  <si>
    <t>147777-13</t>
  </si>
  <si>
    <t>Huza HR</t>
  </si>
  <si>
    <t>HR Tech, Mobile</t>
  </si>
  <si>
    <t>Developer of human resources management software designed to manage employee data, payroll processes, and administrative workflows within organizations. The company's platform offers payroll processing, employee data management, attendance tracking, performance management, self-service modules, and salary advance services, enabling organizations and employees to access centralized records, manage workforce activities, and process financial requests through an integrated system.</t>
  </si>
  <si>
    <t>DeveloPPP Ventures, Google Accelerator, Norrsken Evolve</t>
  </si>
  <si>
    <t>huzahr.com</t>
  </si>
  <si>
    <t>467217-37</t>
  </si>
  <si>
    <t>Hyperface</t>
  </si>
  <si>
    <t>Provider of card issuance infrastructure designed to assist financial institutions and brands in launching and managing credit card programs. The company's platform features a cloud-native architecture that provides real-time transaction processing, automated lifecycle management, customizable rewards engines, and seamless integration with existing banking cores, enabling digital banks and retail enterprises to deploy branded credit cards with reduced technical complexity and time to market.</t>
  </si>
  <si>
    <t>3one4 Capital, Aalesh Avlani, Aaryaman Shah, Abhinay Peddisetty, Abhishek Gupta, Aldi Haryopratomo, Ashish Sharma, Astir Ventures, Better Capital (California), Binny Bansal, Chaitra Chidanand, Chinmay Chauhan, Deepti Sanghi, FinSight Ventures, Fintech Nation, Flipkart Ventures, Giri Malpani, Global Founders Capital, Groww, Harsh Jain, Jeyandran Venugopal, Kunal Shah, Manish Jain, Moses Lo, Prasanna Sankaranarayanan, Rebalance Accelerator, Rohit Bodas, Ryan Gilbert, Sanat Rao, Sayali Karanjkar, Vaibhav Domkundwar, Varun Mittal, White Venture Capital, WillowTree Investments, Xeed Ventures</t>
  </si>
  <si>
    <t>www.hyperface.co</t>
  </si>
  <si>
    <t>481400-65</t>
  </si>
  <si>
    <t>Hypernova Company</t>
  </si>
  <si>
    <t>E-Commerce, FinTech, Mobile Commerce, Real Estate Technology</t>
  </si>
  <si>
    <t>Developer of a payments and digital marketplace platform designed to provide financial and classified services. The company's platform allows users to list their products on the platform and provides a financial wallet for transactions, enabling users to buy, sell, and rent different products of their choice.</t>
  </si>
  <si>
    <t>4DX Ventures, EQ2 Ventures, Fawry, Musha Ventures, Rally Cap VC, Raptor Group</t>
  </si>
  <si>
    <t>www.alsoug.com</t>
  </si>
  <si>
    <t>58895-56</t>
  </si>
  <si>
    <t>HyperPay</t>
  </si>
  <si>
    <t>Developer of a digital financial platform designed to offer online payment processing services. The company's platform provides a payment hub interface as well as e-card distribution for monetizing both virtual goods companies and e-commerce websites securely, enabling internet businesses to accept and manage payments online, with flexibility, security and ease.</t>
  </si>
  <si>
    <t>AB Ventures, Accelerator Technology Holdings, Amwal Capital Partners, ATH Group, iNet (Riyadh), Mad'a Investment, MasterCard, Merak Capital, Saudi Venture Capital Company, Silicon Badia, Spade Ventures</t>
  </si>
  <si>
    <t>www.hyperpay.com</t>
  </si>
  <si>
    <t>497303-11</t>
  </si>
  <si>
    <t>Hyphen (Business/Productivity Software)</t>
  </si>
  <si>
    <t>Provider of API services intended to streamline corporate banking and payment operations for businesses. The company offers firm banking services, API integration, and prepaid e-wallet features, enabling companies to manage financial processes efficiently while focusing on core customer priorities.</t>
  </si>
  <si>
    <t>Accuserve Solutions, Caspian Capital-CTK Investment, HB Investment, Korea Omega Investment, Signite Partners, Stonebridge Capital</t>
  </si>
  <si>
    <t>www.hyphen.im</t>
  </si>
  <si>
    <t>62204-68</t>
  </si>
  <si>
    <t>iAngels</t>
  </si>
  <si>
    <t>Operator of an equity crowdfunding platform designed to assist investors in accessing early-stage technology deals. The company's crowdfunding platform leverages analytics, visibility and relationships with angels and entrepreneurs to open a closed network of professional investors to the investing public, enabling accredited investors worldwide to invest alongside Israel's top-performing angels and VCs.</t>
  </si>
  <si>
    <t>Alexander Waislitz, Boaz Weinstein, Eric Van Der Maten, European Investment Fund, Eyal Gura, Gigi Levy, Kobi Marenko, Marc Lasry, Marcy Simon, Moran Shohat, NFX, Rhodium, Star Farm Ventures, Talmon Marco, The Group Ventures, The Millhouse, Thorney Investment Group</t>
  </si>
  <si>
    <t>www.iangels.com</t>
  </si>
  <si>
    <t>399458-17</t>
  </si>
  <si>
    <t>ibanker</t>
  </si>
  <si>
    <t>Operator of financial online education company, dedicated to becoming the exclusive learning platform for Chinese financial and quasi-financial practitioners. The company's platform provides diverse and multi-tier Financial practice courses including investment banking, industry research, big asset management, financial analysis, etc, meeting the study needs of different users in various workplaces.</t>
  </si>
  <si>
    <t>Button Capital, Mindfulness Capital, Pioneer Angel</t>
  </si>
  <si>
    <t>www.ibker.cn</t>
  </si>
  <si>
    <t>442483-57</t>
  </si>
  <si>
    <t>iBookr</t>
  </si>
  <si>
    <t>Develooper of accounting software designed to fully automate the accounting process for e-commerce businesses. The company's software offers payroll accounting, casual employee filing, preparation of tax returns, data collection and recording, and individual tax advice, enabling accountants of small businesses to execute complex accounting tasks.</t>
  </si>
  <si>
    <t>Hiventures, Quantum Leap (Europe)</t>
  </si>
  <si>
    <t>www.ibookr.com</t>
  </si>
  <si>
    <t>55223-92</t>
  </si>
  <si>
    <t>iBoxChain</t>
  </si>
  <si>
    <t>FinTech, Marketing Tech, Mobile, Mobile Commerce, SaaS, TMT</t>
  </si>
  <si>
    <t>Provider of information technology services intended to help traditional merchants to digitalize their businesses. The company develops operational tools, management software, and online payment platforms, and live streaming marketing applications, enabling users to improve business performance.</t>
  </si>
  <si>
    <t>Atomico (UK) Partners, GSR Ventures China, Orchid Asia Group Management, SMiT (Application Specific Semiconductors)</t>
  </si>
  <si>
    <t>www.iboxpay.com</t>
  </si>
  <si>
    <t>139074-58</t>
  </si>
  <si>
    <t>IBSFINtech</t>
  </si>
  <si>
    <t>Provider of a treasury technology company intended to provide risk management resolutions to corporates. The company's platform resolves critical challenges such as cash and liquidity management, currency risk management, innovative trade finance, commodity management, borrowing management, software as a service supply chain finance and leveraging technology to drive digitization and automation, enabling corporations to manage exposures and mitigate market risks effectively.</t>
  </si>
  <si>
    <t>Praveen Praveen, Shailesh Haribhakti, Startup Réseau</t>
  </si>
  <si>
    <t>www.ibsfintech.com</t>
  </si>
  <si>
    <t>520490-80</t>
  </si>
  <si>
    <t>ICA Bank</t>
  </si>
  <si>
    <t>Operator of a digital bank intended to automate corporate payroll processing and integrate localized financial benefits for municipalities, corporate enterprises, and retail consumers. The company leverages a unified fintech infrastructure featuring automated salary disbursement modules, targeted reward engines, and telehealth partnerships to handle end-to-end treasury workflows and lifestyle perks, enabling clients to expand workforce compensation packages, stimulate regional economic development, and optimize municipal tax revenue generation.</t>
  </si>
  <si>
    <t>links.icamais.com</t>
  </si>
  <si>
    <t>459839-89</t>
  </si>
  <si>
    <t>ICO-LUX</t>
  </si>
  <si>
    <t>Developer of a fraud prevention technology intended to automate document authenticity verification. The company specializes in detecting fake receipts using document forensics, machine learning, smart vision algorithms, and cognitive automation and warns customers about counterfeits in real-time, helping large companies such as banks and insurance companies to distinguish fake receipts before initiating a payout or business process cost-efficiently.</t>
  </si>
  <si>
    <t>High-Tech Gründerfonds, Thuringian Ministry of Economics, Venpace</t>
  </si>
  <si>
    <t>www.ico-lux.de</t>
  </si>
  <si>
    <t>472582-90</t>
  </si>
  <si>
    <t>iCover (Financial Software)</t>
  </si>
  <si>
    <t>Developer of an automated digital platform designed to help insurers to sell, underwrite, issue, and administer life insurance at a fraction of the typical cost. The company's platform helps life insurers enhance online sales without having to own the technology, also it calculates a decision and project mortality using its proprietary scoring logic and design maximizes auto-acceptance, and minimizes drop-outs, enabling customers to get access to life insurance services in a simplified way.</t>
  </si>
  <si>
    <t>Kesan Parasuraman, Plug and Play Tech Center</t>
  </si>
  <si>
    <t>www.icoverinsure.com</t>
  </si>
  <si>
    <t>468897-49</t>
  </si>
  <si>
    <t>Idare</t>
  </si>
  <si>
    <t>Developer of a prepaid card and online payment service platform intended to allow contactless payment. The company's payment platform provides a public application programming interface with a savings feature that automatically rounds up daily payments so that one can keep the change, allowing customers to control their spending.</t>
  </si>
  <si>
    <t>Angel Bridge, ANOBAKA, Canal Ventures, DBJ Capital, DEEPCORE, DG Daiwa Ventures, DG Ventures, East Ventures, Monex Ventures, Nippon Venture Capital, Nissay Capital, Pola Orbis Holdings, SBI Investment, Shinsei Corporate Investment, SMBC Venture Capital, Sony Innovation Fund, Spiral Capital (Tokyo), Sumitomo Mitsui Banking, Sumitomo Mitsui Trust Bank</t>
  </si>
  <si>
    <t>idare.jp</t>
  </si>
  <si>
    <t>482751-64</t>
  </si>
  <si>
    <t>Identomat</t>
  </si>
  <si>
    <t>Developer of an artificial intelligence-powered KYC and identity verification platform designed to automate, view, manage, and export every user verification case and receive live video verification calls. The company's platform covers full identity proofing and a KYC compliance pipeline to prevent identity fraud, feasibly accept and verify online applications, and sign up and verify service subscribers remotely, enabling users to get an intelligent identity proofing workflow with a customizable resolution that fits their experience on every platform.</t>
  </si>
  <si>
    <t>InfinityVC</t>
  </si>
  <si>
    <t>www.identomat.com</t>
  </si>
  <si>
    <t>483300-55</t>
  </si>
  <si>
    <t>Idez</t>
  </si>
  <si>
    <t>Developer of a banking platform designed to provide customer access to financial services. The company's platform offers digital accounts, web banking applications, back-office add-ons, push and email notifications, sales management, cashback, and credit, enabling businesses to improve their customer's financial experiences and add revenue to their service chain.</t>
  </si>
  <si>
    <t>500 Global</t>
  </si>
  <si>
    <t>www.idez.com.br</t>
  </si>
  <si>
    <t>57974-32</t>
  </si>
  <si>
    <t>IDMission</t>
  </si>
  <si>
    <t>Developer of a know-your-customer platform designed to eliminate the need for paper documents for identity management in the banking industry. The company's platform offers ID and biometric identity validation using face, fingerprint, voice and iris biometrics, enabling financial institutions to enhance fraud detection capabilities and streamline the customer onboarding process.</t>
  </si>
  <si>
    <t>www.idmission.com</t>
  </si>
  <si>
    <t>503430-13</t>
  </si>
  <si>
    <t>IDWise</t>
  </si>
  <si>
    <t>Developer of an identity verification software designed to automate customer onboarding and compliance. The company's platform utilizes deep learning and pixel inconsistency inspection to detect digital manipulation and physical spoofing across thousands of document templates, enabling businesses in emerging markets to verify users and prevent fraud while maintaining data residency compliance.</t>
  </si>
  <si>
    <t>Claire and Amir's Angel Portfolio, Spade Ventures, Venture Notes</t>
  </si>
  <si>
    <t>www.idwise.com</t>
  </si>
  <si>
    <t>435328-39</t>
  </si>
  <si>
    <t>iFarmer</t>
  </si>
  <si>
    <t>AgTech, FinTech, Impact Investing</t>
  </si>
  <si>
    <t>Developer of a full-stack agricultural technology platform designed to integrate financing, input distribution, advisory services and market access across the agriculture value chain. The company offers digital underwriting, last-mile distribution, aggregation infrastructure, embedded financial services and digital platforms for input procurement and supplier connectivity, enabling smallholder farmers, agricultural retailers, suppliers, financial institutions and institutional buyers to improve productivity, streamline agricultural operations and strengthen commercial outcomes.</t>
  </si>
  <si>
    <t>Accelerating Asia, Biniyog Briddhi, Digital Bridge, Falcon Network, IDLC Finance, Impact Investment Exchange, Innovations Against Poverty, Millville Opportunities Management, NEXUS, Razor Capital, Rouge Ventures, SDG Impact Accelerator, Startup Bangladesh, Symbiotics (Other Financial Services), Visa Accelerator, Youth Co:Lab, Zayn Venture Capital</t>
  </si>
  <si>
    <t>www.ifarmer.asia</t>
  </si>
  <si>
    <t>504027-37</t>
  </si>
  <si>
    <t>Ifinity</t>
  </si>
  <si>
    <t>FinTech, Industrials</t>
  </si>
  <si>
    <t>Provider of technology services intended for the banking and financial sector. The company offers a lean-digital agile philosophy to allow financial service institutions to bring in digital transformation at an unprecedented scale, enabling banks to transform banking into a seamless lifestyle activity.</t>
  </si>
  <si>
    <t>BOV Capital, Digital Innovation Fund</t>
  </si>
  <si>
    <t>www.ifinityglobal.com</t>
  </si>
  <si>
    <t>1161165-97</t>
  </si>
  <si>
    <t>IKKB Global</t>
  </si>
  <si>
    <t>Developer of foreign exchange and treasury management software designed to support global financial operations. The company provides a multicurrency platform with tools for managing cash positions, FX exposure, and cross-border payments, enabling businesses and financial institutions to move funds internationally, manage currencies, and support global operations.</t>
  </si>
  <si>
    <t>Caravela Capital, LASP Capital, Latitud</t>
  </si>
  <si>
    <t>www.ikkbglobal.com</t>
  </si>
  <si>
    <t>533259-73</t>
  </si>
  <si>
    <t>IllumyFi</t>
  </si>
  <si>
    <t>Developer of a financial management platform designed to provide portfolio aggregation and tracking across institutions. The platform's platform offers artificial intelligence to offer financial personalization, portfolio monitoring, and curated news updates, enabling investors to make informed decisions and enhance financial management.</t>
  </si>
  <si>
    <t>Archangel AdVenture, Global Start Up Program, Peachscore, Peachscore + Gust Accelerator Program</t>
  </si>
  <si>
    <t>www.illumyfi.com</t>
  </si>
  <si>
    <t>462041-56</t>
  </si>
  <si>
    <t>ImaliPay</t>
  </si>
  <si>
    <t>Developer of a digital platform designed to offer customized financial products. The company specializes in an ecosystem that allows gig workers to create a safety net around their work through savings and transparent in-kind financing that drives their productivity and economic empowerment, enabling workers and freelancers to achieve financial health and empowerment.</t>
  </si>
  <si>
    <t>Ali Shaaban, Chandaria Capital, Change Com, Cliff Angels, FINCA Ventures, Jedar Capital, Keisuke Honda, KSK Angel Fund, Leonis Investissement, Logos Ventures, Mercy Corps, MyAsiaVC, Optimizer Foundation, Plug and Play Tech Center, Realm Capital Ventures, Sajid Rahman, TEN13, Uncovered Fund, Untapped Global</t>
  </si>
  <si>
    <t>www.imalipay.com</t>
  </si>
  <si>
    <t>492650-74</t>
  </si>
  <si>
    <t>IMAN</t>
  </si>
  <si>
    <t>Operator of a Shariah-compliant digital financial services platform intended to provide Islamic finance products in underserved markets. The company offers retail and e-commerce financing, Mudaraba-based investment deposits, vehicle leasing, marketplace financing, payment infrastructure, house and business financing, supported by data-driven underwriting and AAOIFI-compliant oversight, enabling Muslim individuals, merchants, and businesses in Uzbekistan to access faith-based financial services aligned with Islamic principles.</t>
  </si>
  <si>
    <t>500 Global, Battery Road Digital, Byzantine Marine, IT-Park Investments, Le Mercier's Capital, MyAsiaVC, Tesla Capital (), Vector Crypto Capital</t>
  </si>
  <si>
    <t>www.imanum.app</t>
  </si>
  <si>
    <t>328159-00</t>
  </si>
  <si>
    <t>IMIX</t>
  </si>
  <si>
    <t>Developer of a physical-digital inclusion platform intended to democratize access to financial services networks. The company's platform manages operational and technological processes along with providing consulting and digital payment services, enabling financial institutions to avail and interconnect payment and credit services.</t>
  </si>
  <si>
    <t>Brixton Ventures Lab, Seedstars International Ventures, Start Path, Village Capital, Wayra, Yunus Social Business</t>
  </si>
  <si>
    <t>www.imix.com.co</t>
  </si>
  <si>
    <t>535465-27</t>
  </si>
  <si>
    <t>Immix</t>
  </si>
  <si>
    <t>Developer of a decentralized platform intended to scale Web3 trading. The company's platform offers a non-custodial trading system for institutional investors and allows them to gain price improvement while trading at scale, enabling investors to trade around the clock easily on the blockchain platform.</t>
  </si>
  <si>
    <t>Crane Venture Partners, MassMutual Ventures, Ripple</t>
  </si>
  <si>
    <t>www.immix.xyz</t>
  </si>
  <si>
    <t>431711-92</t>
  </si>
  <si>
    <t>Impact Factoring</t>
  </si>
  <si>
    <t>Provider of capital financing services intended to support entrepreneurs to grow and expand their businesses. The company offers a range of services including pre-financing, providing loans, and insuring invoices as well as deal management, and debtor management, and provides other financial support as per requirement, enabling businesses to receive working capital financing and financial expertise to grow their business.</t>
  </si>
  <si>
    <t>www.impactfactoring.nl</t>
  </si>
  <si>
    <t>495611-92</t>
  </si>
  <si>
    <t>ImpactableX</t>
  </si>
  <si>
    <t>Developer of a prediction and analysis engine designed for comparability, benchmarking, and intelligence across the impact economy and up the capital stack. The company's platform uses artificial intelligence to define, quantify, forecast, and report on social and environmental impact and direct capital for investors, accelerators, and companies, enabling clients to quantify and forecast their social and environmental impact.</t>
  </si>
  <si>
    <t>Ben Franklin Technology Partners of Southeastern Pennsylvania, Expert DOJO, Juno Capital (United States), Techstars</t>
  </si>
  <si>
    <t>www.impactablex.com</t>
  </si>
  <si>
    <t>482553-37</t>
  </si>
  <si>
    <t>ImpactNexus</t>
  </si>
  <si>
    <t>CleanTech, SaaS</t>
  </si>
  <si>
    <t>Developer of a cloud-based sustainability management and intelligence platform designed to assess, manage, and improve sustainability performances. The company's platform helps to avoid environmental, social, and governance risks and maximize positive impacts, enabling startups and portfolio managers like investors, accelerators, incubators, and startup support programs to build impact startups that are good for profits, people, and the planet.</t>
  </si>
  <si>
    <t>Andrea Rösinger, Business Angels Club Berlin-Brandenburg, Centre for Entrepreneurship, Georg Rasinski, Impact Factory (A/I), Ina Schlie, Joerg Walden, Marcus Schaper, Olga Kaus, TechFounders, Vireo Ventures</t>
  </si>
  <si>
    <t>www.impactnexus.io</t>
  </si>
  <si>
    <t>481984-30</t>
  </si>
  <si>
    <t>IMX Health</t>
  </si>
  <si>
    <t>Operator of a futures and derivatives exchange intended to focus on healthcare. The company's platform creates a transparent, two-sided market for the pricing of healthcare assets and provides hedging opportunities for payers and other healthcare market participants, enabling healthcare stakeholders to compete for services and cushioning price shocks in the marketplace, leading to lower prices and premiums.</t>
  </si>
  <si>
    <t>www.imxhealth.com</t>
  </si>
  <si>
    <t>157416-31</t>
  </si>
  <si>
    <t>in/PACT</t>
  </si>
  <si>
    <t>Developer of a cloud-based charitable giving platform designed to connect companies, brands, and customers. The company's platform allows consumers to make charitable contributions as part of a consumer loyalty program or through an online banking experience, enabling brands to streamline processes and workflows related to charitable campaigns, while driving consumer choice and engagement.</t>
  </si>
  <si>
    <t>www.inpact.com</t>
  </si>
  <si>
    <t>516182-41</t>
  </si>
  <si>
    <t>Inbuild</t>
  </si>
  <si>
    <t>Artificial Intelligence &amp; Machine Learning, B2B Payments</t>
  </si>
  <si>
    <t>Developer of an accounts payable platform designed to automate financial management workflows. The company's platform utilizes artificial intelligence to identify all invoices from incoming emails and extract key data, leveraging machine learning, enabling clients to gain real-time system-wide visibility into the business's financial health.</t>
  </si>
  <si>
    <t>Hometeam Ventures, Howdy Partners, Pioneer Fund, Telluride Venture Network, Y Combinator</t>
  </si>
  <si>
    <t>www.inbuild.ai</t>
  </si>
  <si>
    <t>57063-70</t>
  </si>
  <si>
    <t>Incentify</t>
  </si>
  <si>
    <t>Developer of a tax credit and incentive platform designed to manage tax incentives efficiently. The company's platform provides secure cloud-based technology and white-label facilities for tax credit and incentive management, such as compliance, audit response, and unlocking portfolio strategic value, enabling clients to optimize and grow portfolios for organizations with significant tax considerations.</t>
  </si>
  <si>
    <t>Coffin Capital &amp; Ventures, Gary Gilbert, Innovent Capital Group, KPMG, Ryan (Dallas)</t>
  </si>
  <si>
    <t>www.incentify.com</t>
  </si>
  <si>
    <t>491725-18</t>
  </si>
  <si>
    <t>INCO</t>
  </si>
  <si>
    <t>Developer of a digital platform designed to facilitate and diversify investments in real estate projects. The company's platform offers information about real estate projects and their financial background, to invest in profitable projects with higher returns, enabling investors to transform and democratize real estate assets through liquidity and transparency.</t>
  </si>
  <si>
    <t>Andreessen Horowitz, Bossa Invest, Luxor Group</t>
  </si>
  <si>
    <t>www.inco.vc</t>
  </si>
  <si>
    <t>96214-87</t>
  </si>
  <si>
    <t>Increase</t>
  </si>
  <si>
    <t>Developer of an investment information platform designed to manage finances. The company's platform offers a calculator that calculates daily sales payments through debit and credit cards and a reconciliation tool that gives daily sales reports, enabling merchants to track, understand, and manage their credit card bills.</t>
  </si>
  <si>
    <t>Agrega Partners, Alaya Capital, ArFintech, Buenos Aires Emprende, Google Accelerator, Grupo Supervielle, Kaszek, Lucens Capital, Mercado Libre Fund, NXTP Ventures, Revolution (Washington DC), Start-Up Chile, Visa, Wayra</t>
  </si>
  <si>
    <t>www.increase.app</t>
  </si>
  <si>
    <t>233495-83</t>
  </si>
  <si>
    <t>Increase Alpha</t>
  </si>
  <si>
    <t>Developer of a predictive intelligence platform designed for hedge funds and institutional investors to extract signal from noise in modern markets. The company's platform offers data assessment and analytics assessment tools, like a proprietary equity predictive signal engine that is powered by proprietary deep learning models and validated through rigorous forward-testing and validated through third-party research, enabling hedge funds, data buyers, and portfolio managers to seek first-mover advantage in high-accuracy signal streams by getting access to AI-powered actionable insights tailored for institutional desks.</t>
  </si>
  <si>
    <t>Bartt Kellermann</t>
  </si>
  <si>
    <t>www.increasealpha.com</t>
  </si>
  <si>
    <t>563361-31</t>
  </si>
  <si>
    <t>IndiaBonds</t>
  </si>
  <si>
    <t>Operator of a fintech company intended to provide access to the fixed income market for individual investors. The company assists investors by providing them with opportunities to access a wide choice of bond investments in India that may provide consistent and good returns, thus helping them in generating predictable cash-flow and meeting their investment objectives, enabling investors to get access to the bond market in a low-cost, transparent and easy to use manner.</t>
  </si>
  <si>
    <t>QiCAP.Ai</t>
  </si>
  <si>
    <t>www.indiabonds.com</t>
  </si>
  <si>
    <t>519284-35</t>
  </si>
  <si>
    <t>Indicia Labs</t>
  </si>
  <si>
    <t>Developer of a crypto market analysis platform designed to provide insights and tools for investors to identify and capture value. The company's platform features analysis of cryptocurrency pricing, fundamental, social chatter data, and more, enabling users to make investment decisions in the crypto marketplace easily.</t>
  </si>
  <si>
    <t>Bronco Venture Accelerator, Gandel Invest</t>
  </si>
  <si>
    <t>indicialabs.ai</t>
  </si>
  <si>
    <t>503936-20</t>
  </si>
  <si>
    <t>Indium Finance</t>
  </si>
  <si>
    <t>Operator of a fintech lending platform intended to provide distribution finance and buy now pay later solutions. The company partners with corporates, and B2B e-commerce platforms, providing stockists, distributors, wholesalers, and retailers with distribution finance, buy now pay later, and online merchant finance services, enabling micro, small and medium enterprises to provide financing services.</t>
  </si>
  <si>
    <t>IAN Fund, Raman Roy, Sanjay Rishi, The Manipal Group</t>
  </si>
  <si>
    <t>www.indiumfinance.com</t>
  </si>
  <si>
    <t>343461-07</t>
  </si>
  <si>
    <t>IndyFint</t>
  </si>
  <si>
    <t>Developer of a fintech platform intended to provide white-label technology for mobile payments. The company offers a merchant platform for mobile and agent-based money transfers, enabling users to facilitate payment methods such as credit and debit cards, wallets, and bank transfers for corporate money resolutions.</t>
  </si>
  <si>
    <t>Saravanan Adiseshan</t>
  </si>
  <si>
    <t>www.indyfint.com</t>
  </si>
  <si>
    <t>481463-47</t>
  </si>
  <si>
    <t>Infibranches</t>
  </si>
  <si>
    <t>Operator of a fintech company intended to take financial inclusion and energy access to the last mile. The company's expertise includes business analysis, software development, project management and financial technology, enabling organizations to position themselves strategically in rapidly changing business environments.</t>
  </si>
  <si>
    <t>All On, Forbes8 Digital Startup Accelerator, Jobtech Alliance</t>
  </si>
  <si>
    <t>www.infibranches.com</t>
  </si>
  <si>
    <t>436858-84</t>
  </si>
  <si>
    <t>Infina (Financial Services)</t>
  </si>
  <si>
    <t>Developer of a digital investment application designed to make financial services accessible, frictionless, and safe. The company's platform helps people to invest small amounts and derive profits from various investment opportunities such as real estate and fund certificates, enabling clients to invest without the complexities of large capital requirements.</t>
  </si>
  <si>
    <t>1982 Ventures, 500 Global, Alex Tran, Alpha JWC Ventures, AppWorks, AVV (Ascend Vietnam Ventures), Ba Ha Truc, DG Daiwa Ventures, Dinh Anh Huan, Earlsfield Capital, FEBE Ventures, Goodwater Capital, JB Financial Group, Minh Cao, MyAsiaVC, Neil MacGregor, Nextrans, Saison Capital, Sequoia Capital, Starling Ventures, Surge (Accelerator), Venturra Capital, Y Combinator</t>
  </si>
  <si>
    <t>www.infina.vn</t>
  </si>
  <si>
    <t>515845-90</t>
  </si>
  <si>
    <t>Infinia Intermediate</t>
  </si>
  <si>
    <t>Developer of a payment platform designed to facilitate seamless and secure digital transactions for businesses and individuals. The company's platform offers streamlined and secure account-to-account payment services to simplify the process, reducing transaction fees and enhancing financial control, enabling users to make and receive payments directly from bank accounts without intermediaries.</t>
  </si>
  <si>
    <t>Bain Capital, Bain Capital Ventures, Broadhaven Capital Partners, Decacorn Capital, Flucas Ventures, G2 Momentum Capital, Invariantes Fund, Kube VC, Lattice Capital, Lattice Ventures, Microsoft for Startups, Realm Capital Ventures, Rebel Fund, Reverie (New York), Start Path, Tekton Ventures, Variant (Brooklyn), Varrock Ventures, Y Combinator</t>
  </si>
  <si>
    <t>www.infinia.xyz</t>
  </si>
  <si>
    <t>454837-51</t>
  </si>
  <si>
    <t>Infinisoft</t>
  </si>
  <si>
    <t>Developer of payment software designed to assist the e-commerce industry. The company's software offers smartphone-based online and offline payment services, payment gateway systems, online electronic payment systems, electronic card resolutions, and commerce support with necessary support information channels, enabling clients and businesses to settle and facilitate payments properly and safely.</t>
  </si>
  <si>
    <t>Primer (South Korea), Sazze Partners</t>
  </si>
  <si>
    <t>www.infinisoft.co.kr</t>
  </si>
  <si>
    <t>762768-64</t>
  </si>
  <si>
    <t>Infinite</t>
  </si>
  <si>
    <t>Developer of a compliance platform designed to streamline global account onboarding and transaction monitoring. The company platform offers AI-powered automation, real-time monitoring, and built-in compliance tools, enabling financial institutions to scale operations and meet global regulatory requirements with ease.</t>
  </si>
  <si>
    <t>468 Capital, Rebel Fund, Y Combinator</t>
  </si>
  <si>
    <t>www.infinite.dev</t>
  </si>
  <si>
    <t>495468-01</t>
  </si>
  <si>
    <t>Infinite Giving</t>
  </si>
  <si>
    <t>Developer of an asset management platform designed to help non-profit organizations grow their asset giving and amplify their work. The company's platform offers investment strategies, portfolio investment, capital campaigns, reserve funds investment, and financial sustainability strategies, enabling investors to invest in reserve funds, create and manage endowments, and receive stocks with software that automates their investment strategy.</t>
  </si>
  <si>
    <t>Alok Deshpande, Araya Mesfin, Ashish Thakur, Atlanta Tech Village, Atlanta Technology Angels, Atlanta Ventures, Cecil Wright, Craig Hyde, Crescent Ridge, Cubit Capital, David Cummings, David Lightburn, Eric Spett, James Berryhill, Jay Love, John Houghton, Kathryn O'Day, Kyle Porter, Morgan Stanley Inclusive &amp; Sustainable Ventures, Praxis (New York), Rachel Lockman, Robert Swarthout</t>
  </si>
  <si>
    <t>www.infinitegiving.com</t>
  </si>
  <si>
    <t>595891-63</t>
  </si>
  <si>
    <t>Infinity (Dum Dum)</t>
  </si>
  <si>
    <t>Developer of a business banking platform designed for cross-border startups and SMBs. The company's platform offers various financial services, including investment opportunities, multi-currency accounts and transaction tracking, enabling customers to manage their finances in one place.</t>
  </si>
  <si>
    <t>Alan Rutledge, Justin Hamilton, Liquid 2 Ventures, Samvit Ramadurgam, Script Capital (United States), Y Combinator</t>
  </si>
  <si>
    <t>www.infinityapp.in</t>
  </si>
  <si>
    <t>438205-78</t>
  </si>
  <si>
    <t>Infinity Asset</t>
  </si>
  <si>
    <t>Provider of investment advisory services intended for individual and institutional investors. The company helps clients to screen high-quality funds, build investment portfolios, push investment returns, and monitor investment risks by utilizing intelligent algorithm technologies, enabling individuals and enterprises to have secure and reliable financial services.</t>
  </si>
  <si>
    <t>Galileo Venture, Jinhuijia, PreAngel, South China Venture Capital, Supergravity Capital</t>
  </si>
  <si>
    <t>www.ooteco.com</t>
  </si>
  <si>
    <t>515854-99</t>
  </si>
  <si>
    <t>Infino Legal</t>
  </si>
  <si>
    <t>Operator of a law firm management platform intended to automate economic legal processes. The company's platform streamlines and simplifies work using various tools for setting up a company, negotiating contracts, cooperating on larger projects, restructuring, and controlling bankruptcy, enabling businesses and lawyers to access fast and efficient legal proceedings.</t>
  </si>
  <si>
    <t>FundingBox Deep Tech Fund, Pomerangels</t>
  </si>
  <si>
    <t>www.infino.legal</t>
  </si>
  <si>
    <t>744669-01</t>
  </si>
  <si>
    <t>Inflowpay</t>
  </si>
  <si>
    <t>Developer of a stablecoin-native payment infrastructure platform designed to simplify cross-border payment acceptance and fund management for digital businesses. The company's platform offers a single API for accepting payments, managing fraud, executing international payouts and earning yield on balances through stablecoin settlement rather than traditional banking networks, enabling e-commerce merchants, marketplaces, agencies and expatriate entrepreneurs to reduce cross-border fees, avoid settlement delays and operate without building dedicated payments teams.</t>
  </si>
  <si>
    <t>Alliance (Other Capital Markets/Institutions), Contribution Capital, Gnosis, Kima Ventures, Mathieu Guigues, Nicolas Bacca, Plug and Play Tech Center, Rockstart, Stake Capital, Stéphanie Lacroix, Visa Accelerator</t>
  </si>
  <si>
    <t>www.inflowpay.com</t>
  </si>
  <si>
    <t>500714-11</t>
  </si>
  <si>
    <t>Infoplus</t>
  </si>
  <si>
    <t>Operator of an automated financial API platform intended to connect with companies and individuals for better financing. The company's platform offers open API integration tools, cloud-based infrastructure management, accounting software, and cash flow management platforms, enabling financial institutions, enterprises, and operational teams to streamline financial processes and improve business operations through connected digital systems.</t>
  </si>
  <si>
    <t>Colopl Next, D-Camp, Douzone Bizon, DTN Investment (VC), ID Ventures (South Korea), Industrial Bank of Korea, KB Innovation HUB, KB Investment, Kiwoom Investment, Korea Technology Finance Corporation policy fund, Tech Incubator Program for Startup</t>
  </si>
  <si>
    <t>www.infoplusvn.com</t>
  </si>
  <si>
    <t>522790-12</t>
  </si>
  <si>
    <t>InGain</t>
  </si>
  <si>
    <t>Developer of a customizable no-code lending platform designed to automate the lending process for lenders, fintech, and banks. The company offers a lending tool that automates the full lending lifecycle, a lightweight product, and market testing, a no-code interface for real-time business intelligence data, limitless system customization, and no business continuity risks or vendor lock-in, enabling financial services companies to launch new products and markets quickly, and adapt lending rules.</t>
  </si>
  <si>
    <t>3ED Ventures, ABZ Ventures, ASP Asset Management, Expansion Capital (Latvia), Fiedler Capital, Gediminas Velicka, LatBan, Mastercard Lighthouse, Roberts Bernans, Santa Lemsa, Sergei Anikin, Trind Ventures</t>
  </si>
  <si>
    <t>www.ingain.com</t>
  </si>
  <si>
    <t>1165148-29</t>
  </si>
  <si>
    <t>Inheritly</t>
  </si>
  <si>
    <t>Developer of a digital estate and legacy planning platform designed to help advisers identify gaps in clients' plans, educate them on consequences, and facilitate proactive planning. The company's platform offers automated client assessments, Legacy Preparedness Scoring, co-branded reporting, and compliance-focused data management, enabling UK financial advisers to enhance client engagement, address planning gaps, and generate new advisory opportunities.</t>
  </si>
  <si>
    <t>www.inheritly.ai</t>
  </si>
  <si>
    <t>174069-10</t>
  </si>
  <si>
    <t>INI</t>
  </si>
  <si>
    <t>Developer of a white-label as-a-service platform designed to scale the payment network. The company's platform focuses on integrating cash and online payments in a single technology and promoting the adoption of fintech services through the creation of frictionless payment ecosystems to monitor and control the entire payment experience, enabling businesses to facilitate transactions in congested urban areas as well as in regions with limited or no connectivity.</t>
  </si>
  <si>
    <t>Facundo Garreton, Globant Ventures, Kamay Ventures, Newtopia VC, Overboost, Smart Growth Investments</t>
  </si>
  <si>
    <t>www.ini.live</t>
  </si>
  <si>
    <t>533198-35</t>
  </si>
  <si>
    <t>Iniciador</t>
  </si>
  <si>
    <t>Developer of a financial technology platform designed to assist with payment initiation offers. The company's platform simplifies payment initiators, regulates compliance and offers a white-label interface and integrates anti-fraud, enabling customers to have assistance with digital payment offers.</t>
  </si>
  <si>
    <t>Actyus, Alter (Lisbon), Alter Global, Andrés Bilbao, Big Bets, Edson Santos, Norte Ventures, Prosus Ventures, Valor Capital Group</t>
  </si>
  <si>
    <t>www.iniciador.com.br</t>
  </si>
  <si>
    <t>505063-09</t>
  </si>
  <si>
    <t>Initio Software</t>
  </si>
  <si>
    <t>Developer of private market valuation software designed to generate and analyze company valuation data for equity and portfolio assessment. The company offers a valuation software, a private market data platform, and equity scenario simulation tools that analyze startups and businesses, and give valuations as per financial performance, enabling founders, investors, and advisors to access valuation data, simulate outcomes, and generate valuation reports through a centralized platform.</t>
  </si>
  <si>
    <t>Alliance of Angels</t>
  </si>
  <si>
    <t>www.initio.software</t>
  </si>
  <si>
    <t>519644-62</t>
  </si>
  <si>
    <t>Inkoms</t>
  </si>
  <si>
    <t>Developer of an investment management platform designed to offer alternative investment opportunities to achieve their goals. The company's platform offers alternatives to traditional investing techniques and helps to monitor and receive information about various investment opportunities, enabling users to save and invest through a single platform.</t>
  </si>
  <si>
    <t>El Poblado</t>
  </si>
  <si>
    <t>www.inkoms.com</t>
  </si>
  <si>
    <t>593833-87</t>
  </si>
  <si>
    <t>Inncivio</t>
  </si>
  <si>
    <t>Artificial Intelligence &amp; Machine Learning, Cryptocurrency/Blockchain, FinTech, Gaming, SaaS</t>
  </si>
  <si>
    <t>Developer of an agentic layer intended to enhance transaction platforms by delivering contextual guidance that helps users make more informed financial and trading decisions. The company offers real-time analysis of user behavior and interpretation of platform context graphs, enabling traders, investors, lenders, and gaming participants to transact more effectively and with greater clarity.</t>
  </si>
  <si>
    <t>Antoine Maurice, Chinthe, Clive Swan, Entrepreneurs Roundtable Accelerator, Gabriel Bonnet, Kees Koolen, Pythia Ventures, Romain Maurice, zayex</t>
  </si>
  <si>
    <t>www.inncivio.com</t>
  </si>
  <si>
    <t>454455-37</t>
  </si>
  <si>
    <t>Inovat</t>
  </si>
  <si>
    <t>Developer of a tax management application designed to streamline international shopping. The company's application allows managing value-added tax refund status digitally by using a mobile phone camera to upload the receipt, enabling travelers to make their journey and purchase stress-free.</t>
  </si>
  <si>
    <t>AngelSpark, D-Camp, First Abu Dhabi Bank, Grow London, Hub71, Intelak Hub, KB Innovation HUB, Start Path, VentureSouq</t>
  </si>
  <si>
    <t>inovat.tax</t>
  </si>
  <si>
    <t>98366-50</t>
  </si>
  <si>
    <t>Inoxico</t>
  </si>
  <si>
    <t>Provider of information services intended to manage risk and make accurate credit limit decisions proactively. The company offers credit analytics and a decision tool that analyzes industry payment data to effectively mitigate and manage risk using technology and data to give insights that drive business decisions, enabling firms to increase their profitability by making quicker and improved credit decisions for current and new customers.</t>
  </si>
  <si>
    <t>Vumela</t>
  </si>
  <si>
    <t>www.inoxico.com</t>
  </si>
  <si>
    <t>535295-89</t>
  </si>
  <si>
    <t>Insidelook</t>
  </si>
  <si>
    <t>Construction Technology, FinTech</t>
  </si>
  <si>
    <t>Developer of financial service platform designed for the construction industry. The company's products mainly focus on the construction supply chain financial service business, which is supported by a digital platform to provide innovative design of financial products for both buyers and suppliers of the transaction and offer scenario operation services embedded in the transaction process, providing customers with efficient and accurate matching services for the demand side and supply side of funds.</t>
  </si>
  <si>
    <t>GuangJi Ventures</t>
  </si>
  <si>
    <t>insidelook.cn</t>
  </si>
  <si>
    <t>481769-29</t>
  </si>
  <si>
    <t>InSoil</t>
  </si>
  <si>
    <t>Operator of a climate finance company intended to facilitate the transition of farmers to regenerative farming practices. The company provides financial instruments like agri loans, green loans, and carbon farming initiatives, alongside expert agrotechnical guidance, and advanced soil and emissions monitoring technologies, enabling farmers to adopt sustainable practices and generate high-integrity carbon credits, creating new revenue streams while building climate resilience in agriculture.</t>
  </si>
  <si>
    <t>Adrian Watson, Black Pearls VC, bValue, European Investment Fund, Marius Krikštopaitis, Multitude Bank, Practica Capital, Startup Wise Guys, Valdemaras Rasciauskas</t>
  </si>
  <si>
    <t>www.insoil.com</t>
  </si>
  <si>
    <t>342103-69</t>
  </si>
  <si>
    <t>Inssent</t>
  </si>
  <si>
    <t>Developer of financing and equity incentive management software. The company's software helps startups track capital invested in their company, as well as setting up equity incentive plans and distribution systems for employees, enabling users to more efficiently track their capital and manage stock structure.</t>
  </si>
  <si>
    <t>Carta, Poly (Hengqin) Capital Management, Shunwei Capital, Source Code Capital, Tencent Investment</t>
  </si>
  <si>
    <t>www.inssent.com</t>
  </si>
  <si>
    <t>304304-59</t>
  </si>
  <si>
    <t>Instant Exchange</t>
  </si>
  <si>
    <t>Developer of a digital financial platform intended to provide specialized SME financing services. The company's platform provides investment and financing services for digital asset enthusiasts, enabling them to purchase/mine digital assets and invest in companies' equity using digital asset.</t>
  </si>
  <si>
    <t>www.ijikee.com</t>
  </si>
  <si>
    <t>234548-38</t>
  </si>
  <si>
    <t>Instant Factoring</t>
  </si>
  <si>
    <t>Operator of a fintech platform intended to provide digital financing to small and medium-sized enterprises. The company's platform gives an embedded modern financial institution, allowing clients to grow their business faster through access to flexible working capital financing through invoice financing, enabling companies to accelerate their growth without waiting for the payment deadline.</t>
  </si>
  <si>
    <t>Costantin Goulimis, Educativa, Micro Europe, Xenofon Vodorouglou</t>
  </si>
  <si>
    <t>www.instantfactoring.com</t>
  </si>
  <si>
    <t>154127-62</t>
  </si>
  <si>
    <t>Instant Financial</t>
  </si>
  <si>
    <t>Developer of a payment platform designed to improve employee retention and engagement by turning every shift into a payday. The company's platform reduces payroll administration and operational costs by replacing paychecks and direct deposits, enabling employees to have real-time access to their earned pay after every shift and control over their finances, providing employers with direct savings and increased employee retention.</t>
  </si>
  <si>
    <t>C100 (Commercial Services), InComm Payments, ITC Capital Partners, ITC Holdings, Kinetic Ventures, Lunch Pail Ventures, Real Ventures, Tech Square Ventures, TechFarms Capital Management, TTV Capital, VentureLabs</t>
  </si>
  <si>
    <t>www.instant.co</t>
  </si>
  <si>
    <t>512115-67</t>
  </si>
  <si>
    <t>Instapay (Financial Software)</t>
  </si>
  <si>
    <t>Developer of a revenue management and payment platform designed to manage receivables for small and medium-sized enterprises. The company's platform automates the processes of recurring and facilitates the collection of one-off payments, enabling businesses to reduce problems related to debt collection and facilitating the management of corporate finances.</t>
  </si>
  <si>
    <t>Space Bridge Fund, The Assay Group</t>
  </si>
  <si>
    <t>www.instapay.pl</t>
  </si>
  <si>
    <t>231589-36</t>
  </si>
  <si>
    <t>Instapay Technologies</t>
  </si>
  <si>
    <t>Developer of an online payment platform designed to make monetary transactions in Malaysia. The company's platform provides innovative payments and creates business requirements for e-wallet and remittance platforms, evaluates technology vendors and potential partners, and identifies cloud hosting options, enabling users to facilitate online payment transactions with ease and gather information about stock markets.</t>
  </si>
  <si>
    <t>Felicity Global Capital, Spiral Ventures</t>
  </si>
  <si>
    <t>www.instapaytech.com</t>
  </si>
  <si>
    <t>894764-98</t>
  </si>
  <si>
    <t>InstaSwitch</t>
  </si>
  <si>
    <t>Developer of a bank account management platform intended to help business banks supercharge deposit growth. The company's platform facilitates banks and fintech organizations to acquire new business users and activate dormant accounts, thus driving deposits and engagement, enabling banking institutions to eliminate switching friction, convert more users, and increase deposits effortlessly.</t>
  </si>
  <si>
    <t>8-Bit Capital, Better Tomorrow Ventures, Chicago Ventures, Panache Ventures</t>
  </si>
  <si>
    <t>www.instaswitch.co</t>
  </si>
  <si>
    <t>460244-53</t>
  </si>
  <si>
    <t>InsurePay</t>
  </si>
  <si>
    <t>Developer of a payment platform intended to assist insurance providers in offering billing alternatives for workers' compensation policyholders. The company's platform offers alternatives that calculate workers' compensation based on actual payroll data, rather than estimated annual payroll amounts, and streamlines the delivery, enabling clients to deliver beneficial payment options for carriers, agents, payroll providers, and policyholders.</t>
  </si>
  <si>
    <t>Aquiline Capital Partners, FINTOP (US)</t>
  </si>
  <si>
    <t>www.insurepay.com</t>
  </si>
  <si>
    <t>589926-34</t>
  </si>
  <si>
    <t>Intalk (Business/Productivity Software)</t>
  </si>
  <si>
    <t>Operator of a financial platform intended to solve general economic problems. The company's platform helps to analyze data and connect with both professional and AI consultants, enabling clients to create an environment to solve financial problems.</t>
  </si>
  <si>
    <t>Center for Creative Economy and Innovation, Orange Planet Foundation</t>
  </si>
  <si>
    <t>www.intalk.im</t>
  </si>
  <si>
    <t>531180-46</t>
  </si>
  <si>
    <t>Intanify</t>
  </si>
  <si>
    <t>Developer of an AI-powered fintech platform designed to help organizations identify, assess, and capitalize on intangible assets. The company offers proprietary knowledge graphs, automated valuation tools, and a unified platform for analyzing data, software, brand, intellectual property, and know-how, enabling enterprises, financial advisors, and investors to uncover hidden asset value and make informed strategic decisions.</t>
  </si>
  <si>
    <t>www.intanify.com</t>
  </si>
  <si>
    <t>749173-78</t>
  </si>
  <si>
    <t>Integral (Financial Software)</t>
  </si>
  <si>
    <t>Developer of an AI-powered platform designed to simplify tax, accounting, and payroll management for SMEs. The company's platform offers dedicated tax advisor support, direct integration with financial instruments, and AI tools that pairs with human expertise, is used in accounting, taxation, and financial consulting services for businesses across Europe, enabling small businesses, self-employed individuals, and freelancers to streamline tax processes and focus on their core activities.</t>
  </si>
  <si>
    <t>Cherry Ventures, General Catalyst, Puzzle Ventures (Berlin), The House of Finance and Tech Berlin</t>
  </si>
  <si>
    <t>www.integral.de</t>
  </si>
  <si>
    <t>437019-22</t>
  </si>
  <si>
    <t>Intelletic</t>
  </si>
  <si>
    <t>Developer of a trading platform designed to trade assets. The company's platform uses artificial intelligence that mimics the human neocortex to generate price movement predictions for trading financial assets, enabling traders to predict asset prices and trade their assets.</t>
  </si>
  <si>
    <t>intelletic.ca</t>
  </si>
  <si>
    <t>721490-23</t>
  </si>
  <si>
    <t>Intellilake</t>
  </si>
  <si>
    <t>Developer of a data orchestration system intended for investment management purposes. The company's platform consumes, aligns, and reconciles fragmented financial data across enterprise systems, providing automated workflows, unified reporting, AI enablement, cross-application reconciliation, and enhanced operational oversight, enabling investment management firms to improve efficiency, accelerate reporting times, optimize vendor relationships, and identify timely opportunities for alpha generation.</t>
  </si>
  <si>
    <t>Anthemis</t>
  </si>
  <si>
    <t>www.intellilake.com</t>
  </si>
  <si>
    <t>462857-77</t>
  </si>
  <si>
    <t>Intellimation.ai</t>
  </si>
  <si>
    <t>Developer of an artificial intelligence platform designed to address high-impact business challenges in the financial services sector. The company offers an in-house built, proprietary domain and contextual model, utilizing multi-agent systems to collaborate and solve complex problems, enabling financial institutions to automate operations, make high-level decisions, and continuously improve efficiency and effectiveness.</t>
  </si>
  <si>
    <t>www.intellimation.ai</t>
  </si>
  <si>
    <t>436182-76</t>
  </si>
  <si>
    <t>Intensel</t>
  </si>
  <si>
    <t>Provider of a climate risk software intended to measure portfolio and asset level risks related to climate change. The company uses AI, supercomputers, big data, and in-house PhD climate scientists and financial experts to develop a scalable fintech solution, enabling its clients to identify and understand the financial impacts of climate change now and under future climate scenarios so that they may build more climate-resilient portfolios and stay ahead of imminent climate regulations.</t>
  </si>
  <si>
    <t>ADB Ventures, Entrepreneurs First, FinTech Innovation Lab, HKAI LAB, HKUST Entrepreneurship Fund, Hong Kong Science &amp; Technology Parks, Planet Rise, Taronga Group</t>
  </si>
  <si>
    <t>intensel.net</t>
  </si>
  <si>
    <t>589267-90</t>
  </si>
  <si>
    <t>Intentx (Financial Software)</t>
  </si>
  <si>
    <t>Developer of an over-the-counter (OTC) derivatives exchange designed for perpetual futures trading. The company offers omnichannel deployment, lower fees, greater liquidity, enhanced capital efficiency, and improved scalability, providing traders with competitive quotes and minimal slippage.</t>
  </si>
  <si>
    <t>Agnostic Fund, Castle Capital (Europe), Contango Digital Assets, Kronos Research, Magnus Capital, Manifold Capital Partners, Mantle Network, Mirana Ventures, Ms2 Capital, Orbs, Prismatic Capital, Selini Capital, Thanefield Capital</t>
  </si>
  <si>
    <t>www.intentx.io</t>
  </si>
  <si>
    <t>1230623-56</t>
  </si>
  <si>
    <t>Interchange</t>
  </si>
  <si>
    <t>Developer of modern securities clearing and custody infrastructure intended to support the creation and operation of securities-based financial products. The company's platform provides direct connectivity to U.S. financial markets and offers infrastructure for correspondent clearing, used by broker-dealers, RIAs, banks, and trust companies. This enables market participants to build and manage securities-related workflows with improved operational efficiency and reliable market access.</t>
  </si>
  <si>
    <t>Ankur Nagpal, Avlok Kohli, BoxGroup, Clayton Gardner, Eric Glyman, Immad Akhund, Joseph Percoco, Karim Atiyeh, Liquid 2 Ventures, MS&amp;AD Ventures, Plug and Play Tech Center</t>
  </si>
  <si>
    <t>www.interchange.com</t>
  </si>
  <si>
    <t>277893-55</t>
  </si>
  <si>
    <t>Interlinkages Consultancy</t>
  </si>
  <si>
    <t>Operator of an online cloud-based financial platform intended to facilitate cross-border trading. The company's online marketplace makes cross-border trade finance cheaper, faster, and easier for corporates and small and medium-sized enterprises by giving them access to otherwise inaccessible banks. It offers banks borderless remedies for deal origination in international markets and enables them to finance deals that they would otherwise never find.</t>
  </si>
  <si>
    <t>Cyberport Hong Kong, FinTech Innovation Lab</t>
  </si>
  <si>
    <t>www.interlinkages.online</t>
  </si>
  <si>
    <t>156672-46</t>
  </si>
  <si>
    <t>InterNex Capital</t>
  </si>
  <si>
    <t>Provider of digital lending services intended for working capital financing. The company provides integrated technology, data analytics, and credit-scoring algorithms to optimize underwriting, monitoring, and funding, allowing lower middle-market businesses to access efficient and flexible financing tailored to their general working capital needs.</t>
  </si>
  <si>
    <t>Avnatar Capital, Red Orange Global, SenaHill Partners</t>
  </si>
  <si>
    <t>www.internexcapital.com</t>
  </si>
  <si>
    <t>544759-39</t>
  </si>
  <si>
    <t>Invector</t>
  </si>
  <si>
    <t>Developer of an accounting data preprocessing platform designed to automate accounting tasks. The company's platform offers a chatbot with artificial intelligence, multi-specialized in accounting and performing tasks such as optical character recognition, photo, portable document format file text recognition, document drafting, and searching appropriate standards and legal grounds for complex situations using technology learned from accounting standards and tax laws, enabling accountants to increase efficiency and accuracy of accounting.</t>
  </si>
  <si>
    <t>Bluepoint, Google Accelerator, KB Innovation HUB, Korea Credit Guarantee Fund, Orange Planet Foundation, Sazze Partners, Smilegate Investment, Startup Kaist, Tech Incubator Program for Startup, TheVentures Company</t>
  </si>
  <si>
    <t>www.invector.co</t>
  </si>
  <si>
    <t>819966-61</t>
  </si>
  <si>
    <t>Invela</t>
  </si>
  <si>
    <t>Developer of an open banking platform designed for the exchange of financial data while delivering system-wide data insights The company's platform protects the exchange of financial information and offers effective vetting and ongoing risk management of participants within the open banking ecosystem in near real-time with analytics to unlock across the open banking technology, enabling users and clients with a streamlined third-party risk management and deliver real results tailored to individual needs and risk profile.</t>
  </si>
  <si>
    <t>Fin Capital</t>
  </si>
  <si>
    <t>www.invela.com</t>
  </si>
  <si>
    <t>156491-47</t>
  </si>
  <si>
    <t>Inveniam Capital Partners</t>
  </si>
  <si>
    <t>Developer of a data operating platform intended to facilitate liquidity of private market assets with a focus on private equity and commercial real estate. The company's platform allows users to maintain privacy, organize, and control their data in a manner that informs price discovery and valuation by third-party experts as well as facilitates liquidity and valuation by preserving integrity and provenance or origin of asset data as a proof of no alteration, enabling asset owners, valuation firms and investors to be able to buy and sell private market assets.</t>
  </si>
  <si>
    <t>Apex Group, Blockchain Fond, Blue Bay Ventures, Cushman &amp; Wakefield, Dev.Pro, Draper Associates, Enabling Future, Evin Grano, Fourth Revolution Capital, Global Blockchain Ventures, Group 42 Holding, HIS Kingdom Resources Fund, Human Capital Development, K20 Fund, Nyca Partners, Plasma Ventures, SEED Innovations (Guernsey), Shake and Bake</t>
  </si>
  <si>
    <t>www.inveniam.io</t>
  </si>
  <si>
    <t>494784-19</t>
  </si>
  <si>
    <t>inVenture Capital iVC</t>
  </si>
  <si>
    <t>Operator of a BaFin-regulated venture capital fund of funds designed to provide individual investors with diversified access to European venture capital managers. The company's fund pools capital from individual and semi-professional investors and deploys it across a curated portfolio of invitation-only European venture capital funds, enabling investors to gain indirect exposure to European startups through an investment while receiving full LP status with real-time portfolio reporting and personal access to fund managers and investor events.</t>
  </si>
  <si>
    <t>Atlantis Ventures, Hightech Inkubator Oldenburg, Humboldt Innovation, Innovationsstarter</t>
  </si>
  <si>
    <t>www.inventure.capital</t>
  </si>
  <si>
    <t>517718-17</t>
  </si>
  <si>
    <t>Invest Direct</t>
  </si>
  <si>
    <t>Operator of a digital private equity platform intended to connect reliable companies with qualified investors. The company bridges the gap between professional investors and unlisted companies, enabling clients with simplified and secure fundraising through a transparent platform that provides direct access to investment opportunities, verified projects, and a community of long-term investors.</t>
  </si>
  <si>
    <t>N1 Investment Company, SGH Capital</t>
  </si>
  <si>
    <t>www.invest.direct</t>
  </si>
  <si>
    <t>522082-27</t>
  </si>
  <si>
    <t>Invest in Farming Co-operative</t>
  </si>
  <si>
    <t>Developer a software application designed to give farmers access to investments. The company's application offers a low-risk form of consumer-sourced equity capital and profit from farming without owning a farm, providing farmers with fresh capital to improve cash flow and risk management, and customers to earn returns.</t>
  </si>
  <si>
    <t>AgFunder, Agnition (New Zealand), GROW Accelerator, Investible, Thrive AgriFood, Value Create Ventures</t>
  </si>
  <si>
    <t>www.iif.today</t>
  </si>
  <si>
    <t>433442-71</t>
  </si>
  <si>
    <t>Investbanq</t>
  </si>
  <si>
    <t>Developer of an AI-powered wealth management platform designed to streamline digital investment processes for asset managers, banks, family offices, and high-net-worth individuals. The company offers unified portfolio management, intelligent advisory tools, and secure digital infrastructure, enabling financial institutions and affluent clients across Central Asia and Southeast Asia to manage their investments efficiently in one place.</t>
  </si>
  <si>
    <t>Big Sky Capital, Constructor Capital, EBRD Star Venture, First Rate Connect, Orvel Ventures, Tatishev Nureldayemovich</t>
  </si>
  <si>
    <t>investbanq.com</t>
  </si>
  <si>
    <t>232205-68</t>
  </si>
  <si>
    <t>InvestEd</t>
  </si>
  <si>
    <t>Provider of financial assistance services intended to make education loans accessible to everyone. The company offers a grace period to students who are unable to start payments immediately and manages specialized education loan funds on behalf of corporate foundations and employers, enabling students in all socio-economic classes to access loans to pursue higher education.</t>
  </si>
  <si>
    <t>AIM-Dado Banatao Incubator, AppWorks, Bank of Makati, Cartier Women's Initiative, Consistent Holdings, Credit Suisse, EduSpaze, Epic Angels, Expo City Dubai Foundation, Goodwater Capital, IdeaSpace Ventures, Johnson &amp; Johnson Impact Ventures, Jojo Malolos, Konrad Chan, Open Campus Accelerator, Romarcom Group, Scholten Family, SDG Venture Scaler, Shau-Uy Family, TENCO Capital, Tokumori Sasada, WISE (Doha)</t>
  </si>
  <si>
    <t>www.invested.ph</t>
  </si>
  <si>
    <t>365285-53</t>
  </si>
  <si>
    <t>InvestorFlow</t>
  </si>
  <si>
    <t>Developer of an investor and deal engagement platform designed to help asset and investment managers with sourcing, deal management, fundraising, and investor services. The company's platform offers to aggregate multiple asset classes such as equities, real estate, and alternative investments, manage investment summaries, report performance, and assist in wealth management, enabling finance professionals to scale distribution and simplify investor service functions.</t>
  </si>
  <si>
    <t>Ambina Partners</t>
  </si>
  <si>
    <t>www.investorflow.com</t>
  </si>
  <si>
    <t>519098-95</t>
  </si>
  <si>
    <t>InvestorLink</t>
  </si>
  <si>
    <t>Developer of an end-to-end workflow technology platform designed to connect investment banks and retail liquidity within the primary markets. The company's platform automates and manages many pre- and post-trade services, such as compliance and communications, which saves investment banks time, money and aggravation, enabling investment banks to source responsible retail liquidity for new issue offerings.</t>
  </si>
  <si>
    <t>Aviano Ventures</t>
  </si>
  <si>
    <t>www.investorlink.io</t>
  </si>
  <si>
    <t>530921-44</t>
  </si>
  <si>
    <t>InvestorsLounge.com</t>
  </si>
  <si>
    <t>Operator of an online learning platform intended for securities and trading data. The company features market news, daily stock market summary, investment opportunities, financial performance history, market insights, and offers tools for technical analysis, portfolio management, research, and analysis, enabling investors to make informed investment decisions.</t>
  </si>
  <si>
    <t>Arpatech Technology Ventures, Cordoba Logistics &amp; Ventures, Katalyst Lab, National Incubation Center Karachi, Seedstars</t>
  </si>
  <si>
    <t>www.investorslounge.com</t>
  </si>
  <si>
    <t>439833-70</t>
  </si>
  <si>
    <t>Investown</t>
  </si>
  <si>
    <t>Developer of an online investment application designed to invest in apartments and gain extra income. The company's application offers property management, rental income analysis, and portfolio building and features algorithms to track investments and access market trends, enabling investors to know their micro-investments and invest in real estate-secured loans.</t>
  </si>
  <si>
    <t>BCR Seed Starter, Česká Spořitelna, FINBUS</t>
  </si>
  <si>
    <t>www.investown.cz</t>
  </si>
  <si>
    <t>547546-33</t>
  </si>
  <si>
    <t>InvestPlay</t>
  </si>
  <si>
    <t>Developer of a fintech platform designed to offer hyper-personalized offers for customers. The company's platform helps to arrange all of the customer data in one place and generate personalized insights to offer products and services in the areas of credit, CRM, investment, cards, insurance, and others, enabling clients to get personal finance management and payment initiation.</t>
  </si>
  <si>
    <t>BRQ Solucoes em Informatica, Darwin Startups, FIEMG Lab, InovaBRA, Moove Hub Technology</t>
  </si>
  <si>
    <t>www.investplay.com.br</t>
  </si>
  <si>
    <t>518037-31</t>
  </si>
  <si>
    <t>InvestSky</t>
  </si>
  <si>
    <t>Developer of a financial platform designed to promote trading and investment activities. The company's platform facilitates investment services with the benefits of zero commission and no hidden charges through an international trading network, enabling traders to access investment information in a single place and secure transactions.</t>
  </si>
  <si>
    <t>Al-Romaizan Family office, Emkan Capital, Joa Capital, Mishal Mishari, Run Ventures</t>
  </si>
  <si>
    <t>www.investsky.com</t>
  </si>
  <si>
    <t>519939-10</t>
  </si>
  <si>
    <t>InvoiceMate</t>
  </si>
  <si>
    <t>Developer of a blockchain-based invoice management platform designed to connect conventional businesses with Web3 investors. The company's tool facilitates the complete invoicing process, from pre-invoice creation to post-invoice payment tracking, utilizing blockchain technology to verify its authenticity and creditworthiness, enabling businesses of all sizes to streamline their invoicing workflows and improve transparency, and on-chain investors to earn stable and secure yields on their tokens.</t>
  </si>
  <si>
    <t>Black Alpha Capital (Crypto), BRINC, Crypto Oasis Sentio, DFINITY, Diarmuid Maddock, DIFC Innovation Hub, Dubai International Finance Centre, Future100, Hub71, IOTA Foundation, Mohammed Bin Rashid Innovation Fund, Paul Taylor, Seventy7 Ventures, TDeFi, TELEC Electronics &amp; Machinery, Tenity</t>
  </si>
  <si>
    <t>www.invoicemate.tech</t>
  </si>
  <si>
    <t>494030-80</t>
  </si>
  <si>
    <t>InvoiceQ</t>
  </si>
  <si>
    <t>Operator of a fully electronic invoicing platform intended for e-invoicing and payment automation. The company's platform generates digital invoices and collects online payments from customers via multiple payment acceptance methods, increases business effectiveness, and offers enough resiliency against unforeseen circumstances, enabling businesses to track workflow whilst also providing detailed reports from invoice generation to payment acceptance.</t>
  </si>
  <si>
    <t>Ahli Fintech, Endeavor Jordan, F6 Ventures, iPARK Jordan, Natej Soft, Oasis500, Orange Ventures, Propeller (Amman)</t>
  </si>
  <si>
    <t>www.invoiceq.com</t>
  </si>
  <si>
    <t>112118-14</t>
  </si>
  <si>
    <t>Invstr</t>
  </si>
  <si>
    <t>Developer of a financial education and information platform designed to teach users about investment. The company's platform provides interactive lesson courses on investing written by field experts with no confusing explanations or jargon, enabling users to hone their investment skills and make predictions about the markets using financial information.</t>
  </si>
  <si>
    <t>Finberg, Jari Ovaskainen, PEAK6 Strategic Capital, Richard Haythornthwaite, Ventura Capital</t>
  </si>
  <si>
    <t>www.invstr.com</t>
  </si>
  <si>
    <t>495957-25</t>
  </si>
  <si>
    <t>iPiD</t>
  </si>
  <si>
    <t>Developer of a cross-border payments platform designed to make banking global using a single application programming interface. The company's platform helps make payments or receive funds globally based on a phone number or another alias like email, social media identification, or quick response code, enabling businesses to grow payment volumes and reduce operational costs.</t>
  </si>
  <si>
    <t>1982 Ventures, Jungle Ventures, Monk's Hill Ventures, QED Investors, Quona Capital, Rapyd Ventures, Resolution Ventures, Saison Capital, Visa Accelerator, Wing Vasiksiri, XA Network</t>
  </si>
  <si>
    <t>www.ipid.tech</t>
  </si>
  <si>
    <t>1319281-39</t>
  </si>
  <si>
    <t>IQ Finance</t>
  </si>
  <si>
    <t>Developer of a performance intelligence software designed for finance leaders to bridge the gap between backward-looking data and forward-looking strategic decisions. The company offers predictive analytics and industry-specific logic to transform fragmented financial data into real-time insights, enabling clients to quantify trade-offs and mitigate risks early.</t>
  </si>
  <si>
    <t>www.iqfinance.ai</t>
  </si>
  <si>
    <t>588598-66</t>
  </si>
  <si>
    <t>Iris (Financial Software)</t>
  </si>
  <si>
    <t>Developer of a finance and accounting data platform designed to provide real-time profit planning and financial insights. The company's platform features include real-time margin tracking, daily plan versus actual performance monitoring, cash flow forecasting with machine learning, cohort profitability analysis, automated financial modelling, and benchmarking, enabling consumer brands to access standardised metrics and optimise financial management with data-driven insights.</t>
  </si>
  <si>
    <t>Access Venture Partners, Barrel Ventures, Denver Ventures, Founder Collective, Glasswing Ventures, Hyde Park Angels, Revolution (Washington DC), Rosecliff Venture Partners, Service Provider Capital, SID Venture Partners</t>
  </si>
  <si>
    <t>www.irisfinance.co</t>
  </si>
  <si>
    <t>86715-37</t>
  </si>
  <si>
    <t>Itemize</t>
  </si>
  <si>
    <t>Developer of an AI-powered platform designed to automate purchasing, payment, and compliance processes. The company provides an end-to-end document processing system that converts unstructured and semi-structured data from purchase documents, such as invoices and receipts, into structured data for financial applications, enabling clients to automate data extraction, reconciliation, and compliance verification.</t>
  </si>
  <si>
    <t>Gabe Marans, Karen Macfarlane</t>
  </si>
  <si>
    <t>www.itemize.com</t>
  </si>
  <si>
    <t>540855-37</t>
  </si>
  <si>
    <t>Izifin</t>
  </si>
  <si>
    <t>Developer of business intelligence platform designed to empower clients to leverage their business data. The company's platform integrates artificial intelligence which helps in adapting various techniques with simple-to-use API Integration to any software or process, enabling clients to access their business software easily, smoothly, and efficiently.</t>
  </si>
  <si>
    <t>Google Accelerator, Voltron Capital</t>
  </si>
  <si>
    <t>www.izifin.com</t>
  </si>
  <si>
    <t>437102-65</t>
  </si>
  <si>
    <t>J4 Capital</t>
  </si>
  <si>
    <t>Developer of a predictive artificial intelligence technology platform designed for quick trading purposes. The company's platform seeks increased-accuracy trades based on rigorous AI-based research and testing with live trading and dynamically seeks to optimize current holdings by initiating intraday trading decisions based on market conditions, enabling traders to increase the returns on their portfolios and manage funding.</t>
  </si>
  <si>
    <t>www.j4.ai</t>
  </si>
  <si>
    <t>497453-77</t>
  </si>
  <si>
    <t>Jackfruit</t>
  </si>
  <si>
    <t>Provider of technology, capital and reward services intended to offer accessible, affordable funding to schools and families to improve education. The company's platform provides micro-loans to parents to finance their school fees, offers low-cost working capital loans to support school operating expenses and provides long-term project and asset loans, enabling children access to education and private schools.</t>
  </si>
  <si>
    <t>Atreyu Investments, Marula Square, Novidam, Optimizer Foundation, Plesion Capital, Sherpa Ventures, The Continent Venture Partners, VestedWorld, Voltron Capital</t>
  </si>
  <si>
    <t>www.finance.jackfruitnetwork.com</t>
  </si>
  <si>
    <t>539171-92</t>
  </si>
  <si>
    <t>Jahazii</t>
  </si>
  <si>
    <t>Operator of a lending platform intended to help lenders make accelerated lending decisions. The company offers a platform that digitises loan sourcing through bank statement analysis and due diligence processes, allowing lenders to analyse creditworthiness based on consolidated business data.</t>
  </si>
  <si>
    <t>Antler, DEG Impulse, DeveloPPP Ventures, Innovest Afrika, Jozi Angels</t>
  </si>
  <si>
    <t>www.jahazii.io</t>
  </si>
  <si>
    <t>802980-10</t>
  </si>
  <si>
    <t>Jaheshcrowd</t>
  </si>
  <si>
    <t>Developer of a crowdfunding platform designed to allow businesses to participate in business development projects. The company's platform offers services such as the possibility of investing in various projects and industries, accurate and transparent evaluation of projects, guidance from a professional and expert team, high-yield investment opportunities, enabling businesses to get financial support, and getting investments.</t>
  </si>
  <si>
    <t>BersamTech, Nano Fund</t>
  </si>
  <si>
    <t>www.jaheshcrowd.ir</t>
  </si>
  <si>
    <t>490343-68</t>
  </si>
  <si>
    <t>Jambo</t>
  </si>
  <si>
    <t>Cryptocurrency/Blockchain, FinTech, Gaming, Mobile</t>
  </si>
  <si>
    <t>Operator of an on-chain mobile network platform intended to provide an onboarding portal and an innovative Android smartphone. The company platform offers gaming smartphones with integrated blockchain technology and financial software to connect with the global ecosystem, enabling clients to earn through games, cryptocurrency trading, and decentralized finance.</t>
  </si>
  <si>
    <t>32-Bit Ventures, 99 Capital, Alliance (Other Capital Markets/Institutions), Aptos (Business/Productivity Software), Asymmetric Financial, Axia8 Ventures, Bitfinex, Bodhi Ventures, Brevan Howard Asset Management, Bybit, Coinbase Ventures, Cypher Capital (Dubai), DeFiance Capital, Delphi Digital Consulting, Delphi Ventures, Delphi Ventures (California), Do Kwon, Dominance Ventures, Edessa Capital, Ethereal Ventures, Flori Ventures, Folius Ventures, Gate Technology, Gemini Frontier Fund, Graticule Asset Management Asia, GSR, Hashed, HOF Capital, Hypersphere Capital, Impossible Finance, Karatage, King River Capital, Kronos Investment Group, LongHash Ventures, Maven Capital, MCE Group, Mirana Ventures, MoonPay, Morningstar Ventures, Noa Capital Partners, OKX Ventures, Origin (Clinics/Outpatient Services), PANONY, Pantera Capital, Paradigm, ParaFi Capital, Piers Kicks, Polygon Studios, QCP Trading, Ryan Selkis, Sandeep Nailwal, Santiago Santos, Sharding Capital, Shima Capital, Signum Capital, Sovrun, Synthetix, Tiger Global Management, Undefined Labs(Seoul), United Overseas Bank, Waterdrip Capital, Yield Guild Games, Yolo Investments, Zentry (Bangkok)</t>
  </si>
  <si>
    <t>www.jambo.technology</t>
  </si>
  <si>
    <t>442459-27</t>
  </si>
  <si>
    <t>jane7</t>
  </si>
  <si>
    <t>Developer of a financial information platform in China. The company is mainly engaged in offering financial and wealth management information and tips, providing users with high quality investor education at a low cost.</t>
  </si>
  <si>
    <t>Cambrian Venture Capital, Innospace (Shanghai), Mindfulness Capital</t>
  </si>
  <si>
    <t>www.jane7.com</t>
  </si>
  <si>
    <t>233309-26</t>
  </si>
  <si>
    <t>January (Financial Software)</t>
  </si>
  <si>
    <t>Developer of a data-driven financial platform intended to offer end-to-end resolution services for delinquent and charged-off consumer loans. The company's platform offers automated collections management, compliance monitoring, consumer engagement tools, repayment plan management, and digital self-service capabilities, enabling banks, credit unions, lenders, debt buyers, and financial institutions to recover outstanding balances while maintaining regulatory compliance and supporting positive consumer interactions.</t>
  </si>
  <si>
    <t>Ali Kashani, Bread Ventures, Brewer Lane Ventures, FJ Labs, Formation Bio, Gerson Lehrman Group, Greg Arrese, IA Ventures, Jason Shuman, Keith Hamlin, Positive Sum, Reciprocal Ventures, Ride Ventures, Shrug Capital, The Pay It Forward Company, Third Prime, Tribe Capital, Upper90 Capital Management, Valar Ventures</t>
  </si>
  <si>
    <t>www.january.com</t>
  </si>
  <si>
    <t>608305-87</t>
  </si>
  <si>
    <t>Jarsy</t>
  </si>
  <si>
    <t>Developer of a digital marketplace designed for private equity democratization. The company's platform offers fractional ownership tokens backed by private equity and on-chain verification, enabling retail investors to participate in pre-IPO investment opportunities using stable coins.</t>
  </si>
  <si>
    <t>Alan Curtis, Breyer Capital, Evan Cheng, Jeff Shouger, Karman Ventures, Nathan McCauley, Richard Liu, Xinshu Dong</t>
  </si>
  <si>
    <t>www.jarsy.com</t>
  </si>
  <si>
    <t>435493-63</t>
  </si>
  <si>
    <t>Jarvix Pay</t>
  </si>
  <si>
    <t>Developer of an intelligent store management and financial technology platform designed for businesses of every size. The company offers mobile and countertop payment interfaces, shareable payment links, QR-based acceptance, recurring charge functions, real-time reporting, and multi-channel transaction handling across online and in-person environments, enabling enterprises to manage their business and access payment, financial, and logistics services easily.</t>
  </si>
  <si>
    <t>Beyond Ventures, Cyberport Hong Kong, Headline, MindWorks Ventures, The Innovation and Technology Commission</t>
  </si>
  <si>
    <t>www.jarvixhk.com</t>
  </si>
  <si>
    <t>592529-32</t>
  </si>
  <si>
    <t>Jeel Pay</t>
  </si>
  <si>
    <t>Developer of a financial platform designed to streamline payment processes in educational institutions. The company specializes in partnering with schools to facilitate the division of tuition fees into installments, enabling parents to make timely digital payments and schools to reduce the burden of fee collection.</t>
  </si>
  <si>
    <t>AlJazira Capital, Joa Capital, RZM Investment</t>
  </si>
  <si>
    <t>www.jeel.co</t>
  </si>
  <si>
    <t>399623-77</t>
  </si>
  <si>
    <t>Jeff</t>
  </si>
  <si>
    <t>Developer of a financial marketplace platform designed to connect users with loan offers in the market. The company's platform helps users search, compare, and grab interest offers available in the market and also provides loan-related advice, enabling users to get loan quotes without any hassle.</t>
  </si>
  <si>
    <t>Alesco Ventures, BD Partners, Elevator Startups, Era Capital, EstBAN, Evaldas Remeikis, iSeed (India), J12 Ventures, James Berdigans, Jean-Pascal Duvieusart, Ladislav Bartonicek, LIAA's Business Incubator, Presto Ventures, Soininen Finance, Startup Wise Guys, Taavi Tamkivi, Tadas Langaitis</t>
  </si>
  <si>
    <t>www.jeff-app.com</t>
  </si>
  <si>
    <t>972375-85</t>
  </si>
  <si>
    <t>Jèko</t>
  </si>
  <si>
    <t>Developer of a mobile financial application designed for facilitating digital payments and collections. The company's platform offers unified payments, transparent historical records, simplifies digital adoption, and facilitates financial transparency and revenue tracking, enabling entrepreneurs to access credit, strengthen their businesses, and build long-term stability across Francophone Africa.</t>
  </si>
  <si>
    <t>Ring Capital</t>
  </si>
  <si>
    <t>www.jeko.africa</t>
  </si>
  <si>
    <t>470979-46</t>
  </si>
  <si>
    <t>Jelli Finance</t>
  </si>
  <si>
    <t>Developer of a personal finance management software designed for budgeting and savings purposes. The company connects to users' bank accounts via integrations such as Plaid, analyzes transaction history with an AI-based budgeting assistant to auto-create and refill customizable budget categories, allocates income to goals, mirrors account activity in real time, supports activity export for spreadsheet use, and provides gamified tracking features, enabling individual consumers to manage spending, maintain awareness of available funds, and work toward financial goals with reduced manual effort.</t>
  </si>
  <si>
    <t>Inv FinTech, Kinect Capital, TRNC Ventures</t>
  </si>
  <si>
    <t>www.jelli.us</t>
  </si>
  <si>
    <t>435732-76</t>
  </si>
  <si>
    <t>Jenova</t>
  </si>
  <si>
    <t>Developer of an AI agent platform designed to provide access to a wide range of expert agents and support rapid creation of custom agents. The company offers an extensive agent ecosystem and intuitive creation tools, enabling businesses and individuals to build, deploy, and benefit from advanced automated capabilities.</t>
  </si>
  <si>
    <t>1249 Partners</t>
  </si>
  <si>
    <t>www.jenova.ai</t>
  </si>
  <si>
    <t>1021516-57</t>
  </si>
  <si>
    <t>Jeolsehae</t>
  </si>
  <si>
    <t>Developer of a tax management software designed for individual and business tax compliance. The company's platform includes automated income tax return preparation, VAT reconciliation, card payment integration, and real-time tax data matching, enabling taxpayers and small enterprises to reduce manual processing, improve accuracy in filings, and streamline financial reporting through a centralized and accessible digital interface.</t>
  </si>
  <si>
    <t>Modoo Ventures</t>
  </si>
  <si>
    <t>taxdown.kr</t>
  </si>
  <si>
    <t>534465-46</t>
  </si>
  <si>
    <t>Jett</t>
  </si>
  <si>
    <t>Developer of an online trading platform designed for individuals to invest in the stock market. The company's platform offers online quotes, charts, research, graphical, and portfolio management tools to visually analyze the stocks and build portfolio returns with investor card services, enabling clients to invest easily and safely and track profit or loss based on the current share price.</t>
  </si>
  <si>
    <t>AloqaVentures, Plug and Play Tech Center, Semurg VC, StartupBase (Uzbekistan)</t>
  </si>
  <si>
    <t>www.jett.uz</t>
  </si>
  <si>
    <t>277652-53</t>
  </si>
  <si>
    <t>Jiangrongxin Technology</t>
  </si>
  <si>
    <t>Big Data, FinTech, Marketing Tech</t>
  </si>
  <si>
    <t>Developer of financial and marketing software for consumer financial services enterprises. The company's credit card core system helps card issuers manage cardholder's credit and incentives, while their marketing platform can make purchase recommendations to consumers and track user retention.</t>
  </si>
  <si>
    <t>HT CC, Hundsun Technologies, Legend Capital, Panda Capital Asia, Shenzhen Guozhong Venture Capital Management</t>
  </si>
  <si>
    <t>www.riveretech.com</t>
  </si>
  <si>
    <t>119175-76</t>
  </si>
  <si>
    <t>Jinfuzi</t>
  </si>
  <si>
    <t>Provider of a platform designed to offer wealth management services. The company's platform offer products like mutual funds, trust and asset management products ensuring they to invest in a variety of financial products, enabling investors to select the investment portfolio that suits their return-risk preference</t>
  </si>
  <si>
    <t>China Merchants Venture Capital, Chunxiao Capital, Decent Capital, Delta Capital, Green Pine Capital Partners, Hanking Family Office, Haokelai Investment, HSG (Hong Kong), iVision Ventures, Loyal Valley Capital, Moatable, Mobai Capital, Qicheng Capital, Shenzhen Bridge Capital, V-Capital, Waitouwang</t>
  </si>
  <si>
    <t>www.jfz.com</t>
  </si>
  <si>
    <t>438547-15</t>
  </si>
  <si>
    <t>Jingle Pay</t>
  </si>
  <si>
    <t>Developer of a social payment system designed to serve enterprise and individual accounts. The company's mobile payment platform offers financial services in partnership with established financial institutions and technology companies and provides multi-currency account and card, remittance, instant, and free money transfer services in addition to other value-added services, empowering users with easy access to bank accounts and financial services.</t>
  </si>
  <si>
    <t>500 Global, Arya Bolurfrushan, Bank Alfalah, Bolur Holdings, Hi2 Global, MoneyGram, Plug and Play Tech Center, Sanabil 500 MENA Seed Accelerator, Seedstars International Ventures</t>
  </si>
  <si>
    <t>www.jinglepay.com</t>
  </si>
  <si>
    <t>399039-76</t>
  </si>
  <si>
    <t>Jinma Pay</t>
  </si>
  <si>
    <t>Developer of facial recognition mobile and kiosk payment technology. The company provides facial recognition technology and payment aggregation services, enabling users to offer convenient and secure payment options to their customers.</t>
  </si>
  <si>
    <t>Hopson Capital</t>
  </si>
  <si>
    <t>596498-68</t>
  </si>
  <si>
    <t>Jinshefu Network</t>
  </si>
  <si>
    <t>Developer of mobile payment and consumer financial products serving merchants and consumers. The company's main product is the enjoy now, pay later system. Merchants can use the system to determine the customer's credit rating and authorize themselves to deduct the total amount of the order as agreed, enabling merchants to attract more customers, and customers can enjoy the product in advance.</t>
  </si>
  <si>
    <t>www.jinshefu.com</t>
  </si>
  <si>
    <t>498076-57</t>
  </si>
  <si>
    <t>Jiraaf</t>
  </si>
  <si>
    <t>Developer of an alternative investment platform designed to make investment opportunities accessible to retail investors. The company's platform offers a curated selection of alternative investment products, such as invoice discounting, asset-backed leasing, and venture debt, which typically offer higher returns than traditional investments, enabling customers to grow their wealth and achieve their financial goals.</t>
  </si>
  <si>
    <t>Accel, Alteria Capital, Anand Shah, Anuj Jhaveri, Aspire Family Office, Aspire Financial Services, Capital A Partners (Netherlands), Capital-A (Bengaluru), Dharmil Sheth, Harmony Partners, Hindustan Media Ventures, Mankekar family office, Ramakant Sharma, Ronak Morbia, Shantanu Garg, Siddharth Shah</t>
  </si>
  <si>
    <t>www.jiraaf.com</t>
  </si>
  <si>
    <t>510285-70</t>
  </si>
  <si>
    <t>Jit Techlabs</t>
  </si>
  <si>
    <t>Provider of growth finance services intended for small businesses to carry out their daily operations. The company's portal offers access to finance with the help of a contextual capital infusion program and helps to reduce purchase cycle times to fuel business growth and development, enabling businesses to bridge critical finance gaps and improve supply chain health with collateral-free loans.</t>
  </si>
  <si>
    <t>Sparkle Fund</t>
  </si>
  <si>
    <t>jitfin.co</t>
  </si>
  <si>
    <t>265432-78</t>
  </si>
  <si>
    <t>Jitta</t>
  </si>
  <si>
    <t>Developer of a financial analysis platform designed to assist investors in fetching returns through improved investment methods. The company uses intuitive tools to process and assess all data it receives and provides financial consultancy and stock analysis of stock markets, enabling investors to make investment decisions and generate returns efficiently.</t>
  </si>
  <si>
    <t>Beacon Venture Capital</t>
  </si>
  <si>
    <t>www.jitta.com</t>
  </si>
  <si>
    <t>862958-89</t>
  </si>
  <si>
    <t>Jiuyu Fengrui</t>
  </si>
  <si>
    <t>Developer of a financial technology platform designed to advance digital transformation through artificial intelligence and system integration. The company offers expertise in AI algorithm development, digital technology services, and information system integration, enabling financial institutions and enterprises to enhance operational efficiency and intelligent decision-making.</t>
  </si>
  <si>
    <t>454839-67</t>
  </si>
  <si>
    <t>Jobis</t>
  </si>
  <si>
    <t>Developer of an accounting and taxation platform designed to manage all of a company's financial information in one place. The company's platform uses artificial intelligence and offers features such as daily balance, sales and expense reporting, accounting statuses and reports, and tax filing, enabling clients to reduce their efforts and costs for administrative work and focus on their businesses.</t>
  </si>
  <si>
    <t>Atinum Investment, BM Ventures, Capstone Partners Korea, D-Camp, DSC Investment, HB Investment, Korea AI Startup 100, Korea Omega Investment, Meta Investment (South Korea), Mobirix Partners, Pearl Abyss Capital, Premier Partners, Series Ventures, We Ventures (Korea)</t>
  </si>
  <si>
    <t>www.jobis.co</t>
  </si>
  <si>
    <t>436511-71</t>
  </si>
  <si>
    <t>JoinQuant</t>
  </si>
  <si>
    <t>Developer of an online quantitative trading platform. The company allows users to purchase or develop quantitative trading algorithms to facilitate their trading, enabling more efficient market competition better trading strategies.</t>
  </si>
  <si>
    <t>Baidu, Fangxin Capital, Liuhe Ventures, Shengshan Asset Management, TusStar Incubator</t>
  </si>
  <si>
    <t>www.joinquant.com</t>
  </si>
  <si>
    <t>979834-96</t>
  </si>
  <si>
    <t>Joint Venture Card Holdings</t>
  </si>
  <si>
    <t>Operator of private payment network infrastructure intended for alternative medicine retailers. The company's platform offers instant credit approval with flexible payment options including pay-now, installment, and revolving credit, and provides employee referral rewards and lower transaction fees, enabling high-risk retail merchants to reduce compliance burdens and improve customer retention.</t>
  </si>
  <si>
    <t>www.jvcpayments.com</t>
  </si>
  <si>
    <t>680295-25</t>
  </si>
  <si>
    <t>Jompstart</t>
  </si>
  <si>
    <t>Operator of a financial technology platform intended to simplify the discovery and payment of essential services. The company provides access to services like auto repairs, healthcare, and housing, offering flexible payment options, including installment plans, enabling customers to manage and pay for services with ease while supporting businesses with upfront payments and streamlined service provision.</t>
  </si>
  <si>
    <t>Alpha Gaps, Kaleo Ventures</t>
  </si>
  <si>
    <t>www.jompstart.com</t>
  </si>
  <si>
    <t>517380-94</t>
  </si>
  <si>
    <t>Juicyway</t>
  </si>
  <si>
    <t>Developer of a payment network platform intended for businesses and individuals to participate freely in the global economy. The company's platform facilitates financial transactions between parties regardless of location, enabling enterprises to participate in international trade and the exchange of goods and services.</t>
  </si>
  <si>
    <t>Adjacent (New York), Andrew Alli, Future Africa, Gbenga Oyebode, Magic Fund, Metis Capital Partners, Microtraction, P1 Ventures, The 23 Fund, The Continent Venture Partners, Tunde Folawiyo, Ventures Platform</t>
  </si>
  <si>
    <t>www.juicyway.com</t>
  </si>
  <si>
    <t>1319536-99</t>
  </si>
  <si>
    <t>JuniorGo</t>
  </si>
  <si>
    <t>Developer of an edtech platform designed for students to access personalized financial literacy resources. The company unites curriculum-based personal development content with foundational financial literacy training, enabling students to bridge the gap between academic theory and practical life management.</t>
  </si>
  <si>
    <t>MBT Ventures</t>
  </si>
  <si>
    <t>www.juniorgo.in</t>
  </si>
  <si>
    <t>267496-84</t>
  </si>
  <si>
    <t>Juno (Financial Services)</t>
  </si>
  <si>
    <t>Operator of a loan negotiation platform designed to increase access to and reduce the financial burden of higher education. The company's platform allows for negotiation and evaluation of loan rates for large groups of students and regularly sends updates to members, providing context on negotiations, enabling students to get access to education loans at lower and fairer rates.</t>
  </si>
  <si>
    <t>Global Founders Capital, Harvard Innovation Launch Lab, Louis Beryl, NFX, Pear (California)</t>
  </si>
  <si>
    <t>www.joinjuno.com</t>
  </si>
  <si>
    <t>749257-84</t>
  </si>
  <si>
    <t>Jupid Tax</t>
  </si>
  <si>
    <t>Developer of an AI-powered accounting and financial management platform designed to automate bookkeeping, tax filing, company formation, and compliance for small businesses. The company's AI-native system integrates directly into digital banking platforms, delivering real-time financial insights, conversational support, and end-to-end financial automation, enabling banks, fintechs, and entrepreneurs to streamline operations and maintain regulatory compliance efficiently.</t>
  </si>
  <si>
    <t>AltaIR Capital, Circuit (Boise), I2BF Global Ventures, MDC Accelerator, Michigan State University Research Foundation, Pre-Seed to Succeed, Smart Partnership Capital, Yellow Rocks!</t>
  </si>
  <si>
    <t>www.jupid.com</t>
  </si>
  <si>
    <t>512226-73</t>
  </si>
  <si>
    <t>JustPaid</t>
  </si>
  <si>
    <t>Developer of business payment and accounting software designed to help small and large businesses to make payments more manageable. The company's platform offers cash flow management, contract tracking, accounting approval, and payments with enabled blockchain, helping startups and companies save time and manage their accounting tasks efficiently.</t>
  </si>
  <si>
    <t>10X Capital, Arash Ferdowsi, Christina Brodbeck, Civilization Ventures, Davidovs Venture Collective, Decacorn Capital, Dropbox Ventures, Gaingels, Goodwater Capital, Jack Abraham, Joshua Buckley, Kleiner Perkins, Leah Culver, Matt Cutts, Oasis Capital (United States), Orange Collective, Pioneer Fund, Punch Capital, Rebel Fund, The Lab Capital Advisors, TRAC VC, Y Combinator</t>
  </si>
  <si>
    <t>justpaid.ai</t>
  </si>
  <si>
    <t>532508-50</t>
  </si>
  <si>
    <t>Justtip</t>
  </si>
  <si>
    <t>Developer of a cashless tipping system intended to tip employees directly without the need for cash, separate from the business. The company's platform helps create an environment where tips are paid fairly while saving them the burden of distributing tips directly to employee bank accounts, enabling businesses to provide a safe and transparent way for customers to leave a contactless tip.</t>
  </si>
  <si>
    <t>ComOp, DataOp, Enterprise Ireland, SFC Capital</t>
  </si>
  <si>
    <t>www.justtip.net</t>
  </si>
  <si>
    <t>96270-76</t>
  </si>
  <si>
    <t>Juxinli.com</t>
  </si>
  <si>
    <t>Developer of an online self-service credit assessment platform intended to provide big data intelligent solutions. The company's platform uses the available information on the internet and analyzes them to issue certificates for users which can justify their real identity, consumption power, wealth and income, hobbies and personal reputation, enabling users to get credit-related information, which helps them to assess financial risk.</t>
  </si>
  <si>
    <t>Empower Investment, FountainVest Partners, Granview Investment, Hardy Farm Ventures, JD Digits, Lingfeng Capital, Newsion Venture Capital</t>
  </si>
  <si>
    <t>www.juxinli.com</t>
  </si>
  <si>
    <t>469978-84</t>
  </si>
  <si>
    <t>K. M. Global Credit</t>
  </si>
  <si>
    <t>CleanTech, FinTech, Mobile</t>
  </si>
  <si>
    <t>Project Financing</t>
  </si>
  <si>
    <t>Operator of a solar financing platform intended to build a sustainable future together. The company's platform offers a rooftop solar loan by providing financial support through loans or a payment plan, spreading the cost of their solar system over time while enjoying the immediate benefits of lower electricity bills and contributing to a greener planet, allowing individuals, businesses, and institutions to install solar systems without the burden of upfront costs.</t>
  </si>
  <si>
    <t>Alok Agarwal, Anand Ladsariya, Capital-A (Bengaluru), LC Nueva AIF, Neeraj Goenka, Nikhil Gupta, Nitesh Damani, Rushil Dedhia, Sattva Ventures, SN Damani, Texport, The Sustainability Mafia</t>
  </si>
  <si>
    <t>www.creditfair.in</t>
  </si>
  <si>
    <t>541028-98</t>
  </si>
  <si>
    <t>Kaaj</t>
  </si>
  <si>
    <t>Developer of an Agentic AI credit intelligence platform designed to automate small business loan underwriting from application through decision-ready analysis. The company offers integration with existing loan origination systems and automated assessment capabilities, enabling lenders and brokers to increase operational efficiency, maintain consistent evaluations, and expand access to affordable capital for small enterprises.</t>
  </si>
  <si>
    <t>Aadik Shekhar, Adam Jackson, Better Tomorrow Ventures, CAFE Fintech Accelerator, Coughdrop Capital, Karman Ventures, Kindred Ventures, Pythia Ventures, Rahul Ramesh, Remy Carole, Siphelele Jiyane, Soups Ranjan, Steven Ma, The Fintech Meetup</t>
  </si>
  <si>
    <t>kaaj.ai</t>
  </si>
  <si>
    <t>1158740-83</t>
  </si>
  <si>
    <t>Kabilio</t>
  </si>
  <si>
    <t>Developer of an automated financial workflow software designed for streamlining accounting operations and improving year-end processes. The company's software integrates reconciliation tools, real-time data validation, customizable reporting modules, and intuitive dashboards that reduce manual effort and error rates, enabling accounting professionals, finance teams and companies to achieve greater operational control, accuracy, and efficiency in closing books and managing compliance.</t>
  </si>
  <si>
    <t>Picus Capital, Visionaries Club</t>
  </si>
  <si>
    <t>www.kabilio.es</t>
  </si>
  <si>
    <t>535118-59</t>
  </si>
  <si>
    <t>Kacha (Financial Software)</t>
  </si>
  <si>
    <t>Developer of a digital financial service platform designed to serve unbanked communities. The company's platform facilitates services such as remittances, bill payments, airtime purchases, and merchant payments through its eponymous mobile application, enabling clients to connect with banks, microfinance institutions, savings and credit cooperatives, and mobile wallet services.</t>
  </si>
  <si>
    <t>Visa Accelerator</t>
  </si>
  <si>
    <t>www.kacha.et</t>
  </si>
  <si>
    <t>443087-29</t>
  </si>
  <si>
    <t>Kachinga</t>
  </si>
  <si>
    <t>Artificial Intelligence &amp; Machine Learning, FinTech, LOHAS &amp; Wellness, Mobile</t>
  </si>
  <si>
    <t>Developer of a digital savings and prepaid debit card program designed to help parents teach kids to be financially independent. The company offers data-driven insight and guidance with features to reinforce learning and drive measurable results for kids to learn the values of earning money, saving money, and maintaining expenditure, enabling parents with tools like automated money transfer, expense notification, and expert guidance to teach kids how to manage money.</t>
  </si>
  <si>
    <t>Thynk Ventures</t>
  </si>
  <si>
    <t>www.kachinga.com</t>
  </si>
  <si>
    <t>753203-89</t>
  </si>
  <si>
    <t>Kairos (Palo Alto)</t>
  </si>
  <si>
    <t>Developer of a prediction market trading platform designed for financial market participants operating in the financial technology industry. The company offers a digital trading platform for event-based and outcome-driven markets with structured trading mechanisms and market access tools, enabling individual and institutional users to participate in prediction markets using standardized infrastructure and data-driven trading capabilities.</t>
  </si>
  <si>
    <t>Andreessen Horowitz, DB News, Geneva Trading, Stanford Blockchain Accelerator, University of Illinois Urbana-Champaign</t>
  </si>
  <si>
    <t>www.kairos.trade</t>
  </si>
  <si>
    <t>172366-57</t>
  </si>
  <si>
    <t>Kaixindai</t>
  </si>
  <si>
    <t>Provider of digital infrastructure solutions intended for financial and data asset management. The company offers technologies such as blockchain, cloud computing, big data analytics, and IoT to support digital financial operations, supply chain asset activation, and risk control modeling, serving enterprises in industrial and financial sectors to improve operational efficiency, manage data-driven financial products, and access structured financing tools through a unified system.</t>
  </si>
  <si>
    <t>Jian Ye State-owned Assets Group, Jiangsu International Trust Company, Jiangsu Provincial Credit Re-guarantee Group, ShareLink Capital, Wuxi Capital Group, Yang Zi Investment Group</t>
  </si>
  <si>
    <t>www.kxkj.com</t>
  </si>
  <si>
    <t>110319-13</t>
  </si>
  <si>
    <t>Kaizhuo</t>
  </si>
  <si>
    <t>Provider of third-party payment services and derivative financial services. The company provides payment solutions including prepaid card and mobile payments, as well as derivative financial services and precision marketing services.</t>
  </si>
  <si>
    <t>Suzhou Dade Hongqiang Investment Management, Tiantu Capital</t>
  </si>
  <si>
    <t>www.firstcard.com.cn</t>
  </si>
  <si>
    <t>494748-82</t>
  </si>
  <si>
    <t>Kala</t>
  </si>
  <si>
    <t>Developer of a fintech infrastructure intended to offer lending products. The company's platform work with lender, from banks to credit unions to company that sells through a credit program, it increases financial inclusion by providing a seamless and fully digital credit process for both people and companies in LatAm, enabling clients with a smooth and hassle-free experience that aids to maximize revenue generation per customer.</t>
  </si>
  <si>
    <t>99 Startups, Acrew Capital, Canary (Brazil), Clocktower Ventures, Cometa (Mexico)</t>
  </si>
  <si>
    <t>www.kalacredito.com</t>
  </si>
  <si>
    <t>513047-89</t>
  </si>
  <si>
    <t>Kalder</t>
  </si>
  <si>
    <t>Developer of a network platform intended to offer co-branded cards and loyalty rewards for leading brands, sports teams, and retailers. The company's platform provides customer relationship management to power collaborations, launch advocacy campaigns to turn customers into influencers, create exclusive tiers, track in-person and online engagement data, and reward customers on-chain, enabling businesses to increase customer engagement and growth efficiently.</t>
  </si>
  <si>
    <t>getkalder.com</t>
  </si>
  <si>
    <t>489931-66</t>
  </si>
  <si>
    <t>KalPay (Consumer Finance)</t>
  </si>
  <si>
    <t>Developer of a credit facility platform designed to provide flexible, interest-free installment payment options to under-banked populations. The company's platform offers a credit facility, installment facility, user account management, and data protection, enabling customers to pay later while shopping online, through the option of paying in three equal monthly installments.</t>
  </si>
  <si>
    <t>BANSEA, COMEUP STARS, GreenHouse Capital, ODF, Orbit Ventures (Venture Capital), Sabr Capital, SOSV, Super Capital, Yaser Alghamdi</t>
  </si>
  <si>
    <t>www.kalpayfinancials.com</t>
  </si>
  <si>
    <t>493561-72</t>
  </si>
  <si>
    <t>Kamel Pay</t>
  </si>
  <si>
    <t>Operator of a digital financial platform intended to empower businesses and their employees through digital access. The company's platform offers digital payroll management, prepaid card-based salary disbursement, expense tracking tools, and a mobile application for transactions and account monitoring, enabling businesses and employees to handle payments, access funds, and manage financial activities with improved control and accessibility.</t>
  </si>
  <si>
    <t>4DX Ventures, Asif Keshodia, Funders, Hussain Qemzi, JAM Fund, Middle East Venture Partners</t>
  </si>
  <si>
    <t>www.kamelpay.com</t>
  </si>
  <si>
    <t>541544-59</t>
  </si>
  <si>
    <t>Kamina</t>
  </si>
  <si>
    <t>Developer of a fintech platform designed to offer a comprehensive financial evaluation. The company's solutions include monitoring and personalized advice, a voice-to-budget tool to update personal budgets using voice commands and daily check-ins, enabling users to achieve financial stability and accompanying them every step of their journey toward financial well-being.</t>
  </si>
  <si>
    <t>Start Path</t>
  </si>
  <si>
    <t>www.kamina.ai</t>
  </si>
  <si>
    <t>493681-78</t>
  </si>
  <si>
    <t>Kamino (Sao Paulo)</t>
  </si>
  <si>
    <t>Developer of financial management software designed to help medium-sized service companies in Brazil manage operations efficiently. The company offers automated tools for payables, receivables, and reconciliation, along with integrated banking, corporate credit cards, and connections to major local banks and enterprise systems, enabling these businesses to improve control, visibility, and cost management.</t>
  </si>
  <si>
    <t>Ariel Patschiki, Clocktower Ventures, David Arana, Endeavor Catalyst, Flourish Ventures, Gilgamesh Ventures, Global Founders Capital, HOTMILK. PUCPR, Inspired Capital (New York), Norte Ventures, Picus Capital, Propel Venture Partners, QED Investors, Quona Capital, Sergio Fogel Kaplan, Sergio Furio</t>
  </si>
  <si>
    <t>www.kamino.com.br</t>
  </si>
  <si>
    <t>500583-52</t>
  </si>
  <si>
    <t>Kanastra</t>
  </si>
  <si>
    <t>Developer of an asset management platform designed to solve the friction in the securitization market. The company's platform offers bank services, debt issuance, bookkeeping, distribution, passive management, and mirroring, and gives access to real-time analytics and structured data, enabling investors and originators to invest with freedom and minimize the time spent.</t>
  </si>
  <si>
    <t>Actyus, Atlantico Partners, BetaVentures, Clocktower Ventures, Collaborative Fund, Crestone Venture Capital, F-Prime Capital, Grão (São Paulo), International Finance Corporation, Itaú Unibanco Holding, Kaszek, Kinea Investimentos, Latitud, Norte Ventures, Proximity Angels, QED Investors, Quona Capital, Rohati Capital, ScaleUP Ventures, Spectra Investments, Valor Capital Group, WME Group</t>
  </si>
  <si>
    <t>www.kanastra.com.br</t>
  </si>
  <si>
    <t>340850-35</t>
  </si>
  <si>
    <t>KanDian Technology</t>
  </si>
  <si>
    <t>Provider of financial technology services for intelligence investment. The company's services rely on historical data, mathematical statistical models and programmatic transactions to help users reduce investment risks.</t>
  </si>
  <si>
    <t>Milestone VC</t>
  </si>
  <si>
    <t>www.seek-data.com</t>
  </si>
  <si>
    <t>433213-30</t>
  </si>
  <si>
    <t>Kaoshi</t>
  </si>
  <si>
    <t>Provider of cross-border services intended to cater to immigrants with their required financial needs. The company's platform offers international money transfers such as remittance, investment, bill payment, merchandise financing, cash advances and mortgages while upholding data security and transparency, enabling users to access financial services easily.</t>
  </si>
  <si>
    <t>Africa Prize for Engineering Innovation, African Diaspora Network, Dorm Room Fund, Plaid, Plug and Play Tech Center, Polsky Center for Entrepreneurship and Innovation at the University of Chicago, Royal Academy of Engineering, Start Path, TechRise, Zedcrest Group</t>
  </si>
  <si>
    <t>www.kaoshifi.com</t>
  </si>
  <si>
    <t>552648-88</t>
  </si>
  <si>
    <t>Kapnative</t>
  </si>
  <si>
    <t>Developer of an alternative asset investment and management platform designed to advise clients on procuring investments from the private markets. The company's platform provides a curated network of issuers in various asset classes, such as private equity, venture capital, infrastructure, and private debt, and also helps wealth managers comply with regulations and reduce liability risks, enabling advisors to provide higher returns for their clients.</t>
  </si>
  <si>
    <t>First Rate (Software Company), Tenity, The Founders Arena</t>
  </si>
  <si>
    <t>www.kapnative.com</t>
  </si>
  <si>
    <t>433031-32</t>
  </si>
  <si>
    <t>Karbon Business</t>
  </si>
  <si>
    <t>Developer of a financial platform designed to offer corporate cards for corporate spending and international payments, with tools and rewards for startups. The company's platform provides interest-free corporate credit cards with unlimited benefits, no personal liability, and no fixed deposit, enabling startups to improve their cash flow and credit needs.</t>
  </si>
  <si>
    <t>10x Value Partners, 2 a.m. Ventures, ACE Ventures (Geneva), Amino Capital, Amrish Rau, Astir Ventures, Avenir Growth Capital, Browder Capital, CapitalX, DG Daiwa Ventures, Emles Venture Partners, Erik Peterson, FinSight Ventures, Halo Labs (United States), Harmony Partners, January Bromberger, Jean-Claude Tring, Jitendra Gupta, Kevin McIntosh, Kevin Moore, Kunal Shah, Mercury Partners (Recruiting), Michael Jarmuz, Michael Melikian, MyAsiaVC, Nurture Ventures, Olive Tree Capital, Orios Venture Partners, PV Seed Fund, Rainfall Ventures, Ramp, Rashad Haque, Regional Accelerator &amp; Mentoring Program, Roka Works, Roman Fuchs, Russell Smith, Side Door Ventures, Soma Capital, Sommet, Venture Gurukool, VentureSouq, Whiteboard Capital, Y Combinator</t>
  </si>
  <si>
    <t>www.karboncard.com</t>
  </si>
  <si>
    <t>490691-98</t>
  </si>
  <si>
    <t>Karmen</t>
  </si>
  <si>
    <t>Developer of a financial platform intended to help accelerate the growth of companies. The company's platform offers short-term loans for growth projects, inventory, marketing budget, and supplier payments, all in just a few clicks into the bank account, enabling enterprises to sustain and scale their businesses.</t>
  </si>
  <si>
    <t>Bpifrance, Fasanara Capital, Noa Capital Partners, One Green (Paris), Pareto Holdings, platform58, Samaipata, Seventure, Takara Investments Management</t>
  </si>
  <si>
    <t>www.karmen.io</t>
  </si>
  <si>
    <t>739930-15</t>
  </si>
  <si>
    <t>Karoo (Commercial Banks)</t>
  </si>
  <si>
    <t>Provider of digital lending services intended to streamline the loan application process. The company provides fully digital personal loans with an automated pre-approval process, online application, and identity verification, transparent pricing without hidden or early repayment fees, and bank-grade encryption for data security, enabling consumers to access unsecured personal credit from a mobile or web interface within hours of approval.</t>
  </si>
  <si>
    <t>Batch Ventures (California), Litquidity Capital, Neer Venture Partners, Singularity Capital, SurgePoint Capital, Y Combinator</t>
  </si>
  <si>
    <t>www.karoo.ca</t>
  </si>
  <si>
    <t>739925-83</t>
  </si>
  <si>
    <t>Karsa (Specialized Finance)</t>
  </si>
  <si>
    <t>Provider of digital wallet services, ridesigned for secure, borderless transactions. The company offers users verified accounts, secure escrow services through smart contracts, and full control over their funds, enabling businesses to manage digital assets fast and easily without the risk of frozen accounts or scams.</t>
  </si>
  <si>
    <t>1Confirmation, The Raba Partnership, Y Combinator</t>
  </si>
  <si>
    <t>www.gokarsa.com</t>
  </si>
  <si>
    <t>498053-53</t>
  </si>
  <si>
    <t>Kartera</t>
  </si>
  <si>
    <t>Developer of a payments platform designed to offer a cost-effective alternative to traditional card payments. The company's platform provides features such as bank-level encryption, fraud prevention, real-time risk assessment, instant payouts, customizable payment options, and tools for monitoring payments, managing refunds, and seamless reconciliation, enabling merchants and businesses to reduce transaction costs, enhance customer loyalty, and boost revenue growth by offering a secure and frictionless payment experience.</t>
  </si>
  <si>
    <t>AAF Management, Apple Core Holdings, DayDream Ventures, DEBA GROUP., DeBa Ventures, Green Egg Ventures, Humbition, Impellent Ventures, irrvrntVC, Mana Ventures, N49P, Panache Ventures, Plug and Play Tech Center, Samsung NEXT Ventures, SeaChange Fund, Simplex Ventures, The Supporters Fund, Tribe Capital</t>
  </si>
  <si>
    <t>www.kartera.com</t>
  </si>
  <si>
    <t>500938-75</t>
  </si>
  <si>
    <t>Karty</t>
  </si>
  <si>
    <t>Developer of a financial management platform designed to spend, save, and manage all their finances from one application. The company's platform provides banking-level security, real-time notifications, transaction alerts and requests, interactive charts, automatic categorization, and peer-to-peer payments, enabling customers to see daily balance records, track spending, and benefit from the tailored financial experience.</t>
  </si>
  <si>
    <t>AlRayan Bank, Digital Incubation Center, Qatar Development Bank, Qatar FinTech Hub Wave, Qatar Foundation Endowment, Qatar Science &amp; Technology Park, Visa</t>
  </si>
  <si>
    <t>www.karty.qa</t>
  </si>
  <si>
    <t>482319-64</t>
  </si>
  <si>
    <t>Kasheesh</t>
  </si>
  <si>
    <t>Developer of a digital payment platform intended to enhance consumer purchasing flexibility. The company's platform allows users to split transactions across multiple credit and debit cards, creating a virtual card that facilitates payments at any location accepting Mastercard, enabling individuals to manage their budgets more effectively while avoiding traditional credit pitfalls and hidden fees.</t>
  </si>
  <si>
    <t>Adapt Ventures, Ajay Sangha, Anthemis, Courtside Ventures, Damson Idris, Flucas Ventures, Harlo Equity Partners, John Terizans, Lil Baby, Michael Rubin, Odell Beckham, Olive Capital, Robin Wright, Sahil Bloom, Tribe Capital</t>
  </si>
  <si>
    <t>www.kasheesh.co</t>
  </si>
  <si>
    <t>469538-20</t>
  </si>
  <si>
    <t>Kashet</t>
  </si>
  <si>
    <t>Provider of digital banking services intended to integrate traditional and digital financial services into a unified user experience. The company's platform offers multi-currency accounts, foreign exchange capabilities, domestic and international payment features, and access to digital currencies through an application interface, enabling individuals and private banking partners to manage cross-border finances and interact with both conventional and digital assets with improved control and accessibility.</t>
  </si>
  <si>
    <t>Christopher Jones, Inacta, Neil Kirk, Trifork</t>
  </si>
  <si>
    <t>www.kashet.com</t>
  </si>
  <si>
    <t>501489-64</t>
  </si>
  <si>
    <t>Kata Software</t>
  </si>
  <si>
    <t>Developer of a financial software platform designed to support lending operations for microfinance institutions. The company's platform offers tools for loan origination and collection management, enabling microfinance institutions in Latin America to manage lending processes and improve operational efficiency.</t>
  </si>
  <si>
    <t>RW Capital and Strategy</t>
  </si>
  <si>
    <t>www.kata-software.com</t>
  </si>
  <si>
    <t>721155-88</t>
  </si>
  <si>
    <t>Kato (Financial Software)</t>
  </si>
  <si>
    <t>Developer of a compliance-first voice AI platform designed to automate routine servicing calls for modern lending institutions and improve recovery performance. The company offers outbound and inbound voice agents with deep loan system integrations, configurable scripts, granular call analytics, and real-time human handoff, enabling consumer and commercial lenders to cut call center costs, maintain regulatory compliance, and increase payment rates across current and delinquent borrowers.</t>
  </si>
  <si>
    <t>DayDream Ventures, Pear (California)</t>
  </si>
  <si>
    <t>www.katohq.com</t>
  </si>
  <si>
    <t>1158203-35</t>
  </si>
  <si>
    <t>Katsby</t>
  </si>
  <si>
    <t>Developer of a finance management platform intended to help build smart habits that increase money. The company's platform offers an application to facilitate learning challenging finances with fun quizzes and build knowledge and confidence regarding money management, enabling users to learn finance and 
build assets.</t>
  </si>
  <si>
    <t>Double Capital, InfoBank, KAIST ITVC, Konkuk University Technology Holdings, Kyobo Life Insurance, Riverstone (Korea), Smilegate Investment, Toss, V/Ventures</t>
  </si>
  <si>
    <t>katsby.io</t>
  </si>
  <si>
    <t>166571-56</t>
  </si>
  <si>
    <t>Kavout</t>
  </si>
  <si>
    <t>Operator of an investment platform intended to utilize big data and machine learning to make investment decisions. The company's platform uses advanced machine learning technology and quantitative analysis, which processes unstructured data in real-time and identifies valuable patterns forming in the financial markets, enabling users to make smart financial decisions in stock selection, technical analysis, and real-time market trends.</t>
  </si>
  <si>
    <t>FinCon (Media and Information Services)</t>
  </si>
  <si>
    <t>www.kavout.com</t>
  </si>
  <si>
    <t>565143-67</t>
  </si>
  <si>
    <t>Kayko</t>
  </si>
  <si>
    <t>Developer of a business management platform designed to simplify operations for small and medium-sized businesses. The company's platform features real-time inventory tracking, multi-channel payment acceptance, instant sales recording, and expense management tools, enabling users to avoid stock shortages, streamline financial operations, and gain instant insights into business performance.</t>
  </si>
  <si>
    <t>Burrow Global, Co-Creation Hub, DeveloPPP Ventures, Hanga Pitchfest, Luxembourg Development Agency</t>
  </si>
  <si>
    <t>www.kaykoapp.com</t>
  </si>
  <si>
    <t>509781-79</t>
  </si>
  <si>
    <t>Keennovation</t>
  </si>
  <si>
    <t>Operator of a personal finance management application intended to prevent overspending and be in control of finances. The company's platform offers features like managing financial data, and an overview of income and expenses at a glance, tracking cashback earnings, and auto-forwarding financial statements, enabling users to see where their money is going and make informed decisions about the best ways to save and invest.</t>
  </si>
  <si>
    <t>1337 Ventures, FWD Start-Up Studio</t>
  </si>
  <si>
    <t>finory.tech</t>
  </si>
  <si>
    <t>491016-70</t>
  </si>
  <si>
    <t>Keep (Financial Software)</t>
  </si>
  <si>
    <t>Operator of a credit card and payment platform intended to simplify financial management. The company's platform offers a checking account and credit card to get better cashback rewards on card spending, lower domestic and international wire fees, currency conversion, and increased credit limits for working capital, enabling businesses to pay and get rewards on the phone without visiting the bank.</t>
  </si>
  <si>
    <t>305 Ventures, Aito Capital, Arash Ferdowsi, Assurant Ventures, Base Ventures, BBQ Capital, Brainstorm Ventures, Cambrian Fintech, Data Tech Fund, Dhuna Ventures, Evolution (Venture Capital), Koro Capital, Laura Spiekerman, Liquid 2 Ventures, Marc Bhargava, Pareto Holdings, Rebel Fund, Thomas Nicholas, Treville Capital Group, Tribe Capital, Vlad Magdalin</t>
  </si>
  <si>
    <t>www.trykeep.com</t>
  </si>
  <si>
    <t>537292-36</t>
  </si>
  <si>
    <t>Kema</t>
  </si>
  <si>
    <t>Developer of a B2B accounts receivable automation platform designed to help small and medium enterprises in the Middle East and North Africa manage, collect, and finance invoices. The company's platform offers automated receivables management, embedded payments, and invoice financing, enabling SMEs to digitize collections, improve on-time payments, and unlock working capital.</t>
  </si>
  <si>
    <t>Dubai Future District Fund, Speedinvest</t>
  </si>
  <si>
    <t>www.kema.co</t>
  </si>
  <si>
    <t>469650-34</t>
  </si>
  <si>
    <t>Kernel Wealth</t>
  </si>
  <si>
    <t>Developer of a wealth management platform designed to empower users to make the best investment choices for their goals. The company's online platform uses technology to lower the cost of investing, giving users more control over their money, enabling them to manage their investment portfolio from anywhere and grow their long-term wealth.</t>
  </si>
  <si>
    <t>Huljich Family Office, Zino Ventures</t>
  </si>
  <si>
    <t>www.kernelwealth.co.nz</t>
  </si>
  <si>
    <t>481464-10</t>
  </si>
  <si>
    <t>Kernolab</t>
  </si>
  <si>
    <t>Developer of a fintech platform designed to improve end-user retention. The company's platform offers to integrate fintech services, including payments, accounts, cards, lending, and insurance, which are adaptable to customer needs, effortless, intuitive, secure, and easy to use, enabling businesses to grow revenue and embed finance and better fintech products.</t>
  </si>
  <si>
    <t>Lighthouse Ventures (Prague), Mastercard Lighthouse, Startup Wise Guys</t>
  </si>
  <si>
    <t>www.kernolab.com</t>
  </si>
  <si>
    <t>323132-23</t>
  </si>
  <si>
    <t>Keto Software</t>
  </si>
  <si>
    <t>Developer of portfolio management software designed to empower organizations to manage their strategic programs and projects more effectively. The company's software specializes in strategic initiative road mapping, dependency mapping, portfolio view, evaluation matrix, resource optimization, and risk analysis, helping users to automate their development processes, gain efficiency, and speed up their time-to-cash.</t>
  </si>
  <si>
    <t>Emerald Technology Ventures, GreenCode Ventures, Sinituote</t>
  </si>
  <si>
    <t>www.ketosoftware.com</t>
  </si>
  <si>
    <t>268451-38</t>
  </si>
  <si>
    <t>Keyike</t>
  </si>
  <si>
    <t>Developer of a financial services platform that connects consumers and account managers to financial institutions. The company's platform offers financial information, loan products and credit card products to consumers in a secure manner, improving information transparency within the financial markets.</t>
  </si>
  <si>
    <t>AVIC United Innovation Technology, Feima (Pegasus) Financial Holdings</t>
  </si>
  <si>
    <t>www.keyike.com</t>
  </si>
  <si>
    <t>170712-10</t>
  </si>
  <si>
    <t>Keyo</t>
  </si>
  <si>
    <t>Developer of biometric identification software and hardware platform designed to unlock access and make in-store payments through encrypted contactless palm scanning. The company offers patented hardware and software that can map the patterns of the palm and encrypt data at enrollment, with the power to open doors, pay at stores, redeem tickets, and more without phones, cards, or keys, enabling people to enjoy and experience the convenience of biometrics without compromising privacy and providing customers.</t>
  </si>
  <si>
    <t>Compass Digital Ventures, Cristian Raygoza, Fairhill Ventures, Gaingels, gener8tor, Hard Yaka, iGrow Venture Capital, Iluminar Ventures, Liil Ventures, Marc Randolph, Matt Hunsucker, Nathaniel Turner, Plug and Play Tech Center, Rajeev Krishnan, SquareOne Capital, Vye Ventures</t>
  </si>
  <si>
    <t>www.keyo.com</t>
  </si>
  <si>
    <t>433145-80</t>
  </si>
  <si>
    <t>Khazna</t>
  </si>
  <si>
    <t>Operator of a mobile application platform intended to build the workforce bank of the Middle East starting in Egypt and Saudi Arabia. The company's platform includes payments, savings, and insurance, permits employers to offer cash advances to their employees to cover unforeseen emergencies, transfer and receive between users of the application as well and offers cash withdrawals and deposits without any transaction fees, enabling users to get access to convenient, effective and secure smartphone-based financial services.</t>
  </si>
  <si>
    <t>AB Xelerate, Accion, Algebra Ventures, AlJazira Capital, ANB Capital, Beltone Venture Capital, Development Partners International, DisrupTech Ventures, Fawry, ICU Ventures, Khwarizmi Ventures, MetLife Foundation, Nclude, Quona Capital, SANAD Fund, Speedinvest, TIBAS Ventures, UNIQA Ventures, Village Capital</t>
  </si>
  <si>
    <t>khazna.app</t>
  </si>
  <si>
    <t>481409-11</t>
  </si>
  <si>
    <t>Kick</t>
  </si>
  <si>
    <t>Developer of an accounting platform designed to crowdsource tax deductions and cashback. The company's platform helps to start online businesses with a modern bank account, cashback, and affiliate links, and organizes personal expenses, properly identifying expenses such as software and subscriptions, meals, travel, and home office costs, enabling companies to turn their expenses into revenue.</t>
  </si>
  <si>
    <t>Ankur Nagpal, Austen Allred, BBQ Capital, Bossa Invest, Coughdrop Capital, Creator Rising, Dan Becker, Davidovs Venture Collective, Emily Kramer, Eric Glyman, Felicis, General Catalyst, Greenpoint Capital, GTMfund, Hugo Amsellem, Joshua Browder, Karim Atiyeh, Kathleen Estreich, Lachy Groom, Ligature (Colorado), Marina Davydova, Michael Vaughan, MKT1, Nick Davidov, OpenAI Startup Fund, Sahil Lavingia, Scott Belsky, Seguin Ventures, Soleio Cuervo, Terrence Rohan, Tikhon Berstram, Uncommon Capital, Witz Ventures, Youcef Es-skouri</t>
  </si>
  <si>
    <t>www.kick.co</t>
  </si>
  <si>
    <t>521306-92</t>
  </si>
  <si>
    <t>Kidvestors</t>
  </si>
  <si>
    <t>Developer of a financial literacy and investing platform designed for kids and teens. The company uses game-based learning, gamification, interactive simulations, and an Earn While You Learn rewards model to teach money management, investing, entrepreneurship, and real-world financial skills, enabling students to earn real cash and stock for completing financial milestones, while parents, schools, and financial institutions gain tools to track progress, improve engagement, and expand social impact and serves families, homeschool networks, schools, and financial institutional partners focused on long-term financial empowerment and inclusion.</t>
  </si>
  <si>
    <t>Andreessen Horowitz, Blacks In Technology, Churchill Downs, Delaware Prosperity Partnership, Derby Diversity, DivInc, EnrichHER, gener8tor, Girls in Tech (San Francisco), Keyhorse Capital, MassChallenge, NAACP, The Vogt Awards, TiE Women</t>
  </si>
  <si>
    <t>www.kidvestors.co</t>
  </si>
  <si>
    <t>528312-25</t>
  </si>
  <si>
    <t>Kigo</t>
  </si>
  <si>
    <t>Developer of an open loyalty platform designed to support enterprise engagement and loyalty technologies, fostering connections. The company's platform elevates engagement and strengthens relationships for clients through its workplace engagement, experiential marketing, customer loyalty, and crypto loyalty solutions, enabling clients to boost lifetime customer value.</t>
  </si>
  <si>
    <t>Augeo, Valor Equity Partners</t>
  </si>
  <si>
    <t>kigo.io</t>
  </si>
  <si>
    <t>1210573-09</t>
  </si>
  <si>
    <t>Kiip.app</t>
  </si>
  <si>
    <t>Developer of a creator payout infrastructure platform designed to streamline global payments for online talent and partners. The company's platform provides an API-first and dashboard-based environment to issue instant payouts to creators worldwide, embeds individual wallets for end users, supports tax form collection for multiple jurisdictions, generates accountant-ready transaction documentation and payout audit trails, and allows low minimum withdrawal thresholds, enabling digital platforms, agencies and brands to manage high-volume creator payments while reducing operational complexity, compliance effort and transaction costs.</t>
  </si>
  <si>
    <t>Klein Group (Norway)</t>
  </si>
  <si>
    <t>www.kiip.app</t>
  </si>
  <si>
    <t>232589-26</t>
  </si>
  <si>
    <t>Kilo Capital</t>
  </si>
  <si>
    <t>Provider of financial services intended for businesses that utilize precious metals, offering financing and risk management. The company's services include credit lines, lease options, and a physical supply of gold, silver, and platinum group metals, enabling companies to manage their working capital, streamline their operations, and reduce financial risks.</t>
  </si>
  <si>
    <t>www.kilocapital.com</t>
  </si>
  <si>
    <t>530155-81</t>
  </si>
  <si>
    <t>Kilpi Technology and Services</t>
  </si>
  <si>
    <t>Developer of a financial platform intended to transform the electric vehicle lending business. The company uses artificial intelligence-based loan applications to help original equipment manufacturers and their dealers process the customer application and receive quick approval, and provides tailored financing options for electric vehicle buyers, depending on their selection of vehicle and credit history, enabling consumers to avail of a host of loan offers with just the scan of a QR code, and businesses to have an asset management rule engine.</t>
  </si>
  <si>
    <t>CFPl, Dhvija Finance, iAngels Network, India Accelerator, Startup Haryana</t>
  </si>
  <si>
    <t>finayo.tech</t>
  </si>
  <si>
    <t>770520-88</t>
  </si>
  <si>
    <t>Kina</t>
  </si>
  <si>
    <t>Developer of a loyalty program designed to reward for paying tuition and daycare costs. The company's platform helps to accumulate points from tuition payments for daycare, preschool, or K-12 schools that can be redeemed for various products and services like fitness classes, spas, and children's brands, enabling parents to earn rewards on everyday parenting-related expenses and transfer points to top airline and hotel programs.</t>
  </si>
  <si>
    <t>Data Tech Fund, Halogen Ventures, Mother Ventures</t>
  </si>
  <si>
    <t>www.kina.co</t>
  </si>
  <si>
    <t>549916-48</t>
  </si>
  <si>
    <t>Kindo (Auckland)</t>
  </si>
  <si>
    <t>Developer of a school payment and fundraising management platform designed to streamline financial transactions and administrative processes. The company's platform features a one-stop shop for payments, easy mobile and web interfaces, flexible payment options, seamless integration with student management systems, instant financial reporting, automated reminders, lunch ordering with a give-back program, and fundraising tools, enabling school staff and families to save administrative time, improve donation outcomes, and simplify financial management.</t>
  </si>
  <si>
    <t>Movac</t>
  </si>
  <si>
    <t>www.kindo.co.nz</t>
  </si>
  <si>
    <t>707573-62</t>
  </si>
  <si>
    <t>KIOS</t>
  </si>
  <si>
    <t>Cryptocurrency/Blockchain, FinTech, Internet of Things</t>
  </si>
  <si>
    <t>Developer of a blockchain-based platform designed to offer blockchain payment capabilities. The company offers a secure and valuable collateral system and provides seamless and efficient transactions, enabling businesses to streamline payments and offer traditional payment alternatives to their customers.</t>
  </si>
  <si>
    <t>0x0 Venture, Dubai Blockchain Lab</t>
  </si>
  <si>
    <t>www.kios9.com</t>
  </si>
  <si>
    <t>462574-09</t>
  </si>
  <si>
    <t>Kipp Financial Technologies</t>
  </si>
  <si>
    <t>Developer of a banking service and licensing platform designed to optimize the user experience and operational efficiency of financial institutions. The company's platform offers functions such as wallet, remittance, settlement, charge, AML, credit, and credit management, allows financial service providers to concentrate on application development while offering modern APIs for various financial functions, enabling clients to boost overall productivity.</t>
  </si>
  <si>
    <t>AG Capital (Tokyo), FFG Venture Business Partners, Itochu, Seven Bank, TISI ( IT Consulting and Outsourcing)</t>
  </si>
  <si>
    <t>kipp-corp.com</t>
  </si>
  <si>
    <t>894548-98</t>
  </si>
  <si>
    <t>Kira (Miami)</t>
  </si>
  <si>
    <t>Developer of an API-based financial technology platform designed to help non-fintech businesses launch AI-driven, stablecoin-based financial products. The company's platform integrates remittances, payroll, digital wallets, and cross-border payments, enabling non-financial enterprises to offer embedded finance services and manage digital transactions for their customers.</t>
  </si>
  <si>
    <t>Blockchange Ventures, Credibly Neutral Ventures, Grit Ventures, Michael Seibel, Oswaldo Trava, Palm Drive Capital, Stellar (Financial Software), VamosVentures</t>
  </si>
  <si>
    <t>www.kirafin.ai</t>
  </si>
  <si>
    <t>118158-04</t>
  </si>
  <si>
    <t>Kitabisa</t>
  </si>
  <si>
    <t>Developer of an online fundraising and donation platform intended to facilitate crowdfunding. The company's platform connects fundraisers with donors and offers transparent and accountable fundraising, enabling users to launch crowdfunding campaigns or donate to social causes online.</t>
  </si>
  <si>
    <t>500 Global, 500 Southeast Asia, ANGIN, Ango Ventures, Argor, ATM Capital, Ciputra GEPI Incubator (CGI), Endeavor Catalyst, International Finance Corporation, Northstar (Singapore), The Malaysian Global Innovation and Creativity Centre</t>
  </si>
  <si>
    <t>www.kitabisa.com</t>
  </si>
  <si>
    <t>462645-01</t>
  </si>
  <si>
    <t>Kiwe</t>
  </si>
  <si>
    <t>Developer of a mobile payment application intended to facilitate instant money transfers. The company's application offers features such as seamless transactions, user-friendly interfaces, and financial management tools, enabling individuals and small businesses to manage their finances effectively while promoting accessibility and convenience in financial services.</t>
  </si>
  <si>
    <t>Cairo Capital, Digital Finance Holding, EFG Holding, Falak Startups, Marakez, PCI Security Standards Council, ValU</t>
  </si>
  <si>
    <t>www.kiweapp.com</t>
  </si>
  <si>
    <t>482719-42</t>
  </si>
  <si>
    <t>Kiwi Financial</t>
  </si>
  <si>
    <t>Operator of a financial application designed to promote financial inclusion by providing access to affordable capital. The company's application helps to create an account in minutes with identity verification and report loan payment behavior to major credit bureaus to help build a credit score, enabling users to access personal loans and benefit from flexible installment payments.</t>
  </si>
  <si>
    <t>Advent-Morro Equity Partners, Altio Capital, Independent Capital Group, Invariantes Fund, LIP Ventures, Morro Ventures, Neer Venture Partners, Parallel18</t>
  </si>
  <si>
    <t>www.kiwicredito.com</t>
  </si>
  <si>
    <t>818651-71</t>
  </si>
  <si>
    <t>KiwiPay</t>
  </si>
  <si>
    <t>Developer of a healthcare financial platform designed to simplify payment for medical treatment. The company's platform helps to register basic information and medical category with the health center and choose a payment plan to sign the contract, enabling users to easily apply for a medical loan without any guarantor.</t>
  </si>
  <si>
    <t>Beau Woodward, Jacob Panero, Tyler Johnson</t>
  </si>
  <si>
    <t>www.pagaconkiwi.com</t>
  </si>
  <si>
    <t>436708-45</t>
  </si>
  <si>
    <t>KlariVis</t>
  </si>
  <si>
    <t>Developer of a cloud-based analytics platform designed to combine actionable data across the organization. The company's platform offers improved and timely insight into the factors that drive loan, deposit, and revenue growth, thereby giving better transparency into the results of sales and marketing efforts, enabling organizations to perform strategic decision-making and cross-sell the most profitable products.</t>
  </si>
  <si>
    <t>Blueprint Equity, FVCBank, George Coffman, James S. Frantz, The Venture Center, VTC Ventures</t>
  </si>
  <si>
    <t>www.klarivis.com</t>
  </si>
  <si>
    <t>172304-65</t>
  </si>
  <si>
    <t>Klear (Consumer Finance)</t>
  </si>
  <si>
    <t>Operator of a peer-to-peer lending marketplace intended to provide individuals the opportunity to lend loans and others to borrow at reasonable interest rates. The company's marketplace connects borrowers in need of personal loans with investors who are looking for a return on investment for their excess capital, enabling both customers and borrowers to enjoy better deals and a set of online tools for financial education, debt management tips, and social lending services.</t>
  </si>
  <si>
    <t>Ascory Bank, New Vision 3, The Spot Booster</t>
  </si>
  <si>
    <t>www.klearlending.com</t>
  </si>
  <si>
    <t>756525-88</t>
  </si>
  <si>
    <t>Klear(Financial Software)</t>
  </si>
  <si>
    <t>Developer of a digital wealth management platform designed for personal financial management. The company's platform integrates accounts, investments and goals into a single interface, featuring AI-driven assistance for expense tracking, personalized profiling, investment monitoring, goal setting and detailed reporting, enabling individuals and clients to manage their finances consciously and make informed decisions about their financial future.</t>
  </si>
  <si>
    <t>www.klearfinance.com</t>
  </si>
  <si>
    <t>515236-78</t>
  </si>
  <si>
    <t>Klearly</t>
  </si>
  <si>
    <t>Developer of a financial platform intended to simplify payment acceptance for small and medium-sized European businesses. The company's platform transforms smartphones and tablets into secure payment processing devices to provide all-in-one digital payment technology with no start-up costs, complex contracts, and fees, enabling firms to accept payments anywhere, anytime.</t>
  </si>
  <si>
    <t>Acurio Ventures Partners, Antler, Gaston Aussems, Global PayTech Ventures, Italian Founders Fund, PayPal Ventures, Robert Kraal, Shapers</t>
  </si>
  <si>
    <t>www.klearly.nl</t>
  </si>
  <si>
    <t>156529-81</t>
  </si>
  <si>
    <t>Kleer</t>
  </si>
  <si>
    <t>Advanced Manufacturing, FinTech, SaaS, TMT</t>
  </si>
  <si>
    <t>Developer of financial management software designed to automate and simplify a firm's accounting management. The company's system integrates various reporting, such as payroll and expense management, among others, in a single place to digitize the traditional accounting processes, enabling corporates to have financial clarity and have the ability to make faster, well-informed decisions for sustainable growth</t>
  </si>
  <si>
    <t>Alfvén &amp; Didrikson, Skandinaviska Enskilda Banken</t>
  </si>
  <si>
    <t>www.kleer.se</t>
  </si>
  <si>
    <t>327452-14</t>
  </si>
  <si>
    <t>Klub</t>
  </si>
  <si>
    <t>Operator of a revenue-based financing platform intended to provide flexible funding to digital businesses and small and medium enterprises with recurring revenues. The company offers various capital structures for businesses across all stages, including recurring marketing, inventory, and capital expenditure (capex) expenses, as well as partnerships with leading non-banking financial institutions, high-net-worth individuals, and its own Securities and Exchange Board of India-registered fund, enabling businesses to access capital for growth and expansion.</t>
  </si>
  <si>
    <t>100Unicorns, Aaryaman Shah, Abhijit Gupta, Abhishek Nag, Alter Global, Amit Gupta, Amit Ranjan, Amiya Pathak, Arjun Bansal, Astir Ventures, Better Capital (California), Bhuvan Srinivasan, Chandaria Capital, Dhruv Agarwala, Dilipkumar Khandelwal, Earlsfield Capital, Emphasis Ventures (EMVC), GMO Venture Partners, Graycell Ventures, Harsh Shah, Karumbaiah BK, Kishore Ganji, Kunal Shah, Lalit Kumar, Melissa Frakman, Naveen Tewari, Nipun Mehra, Nishant Verman, Nitin Sharma, Peak XV Partners, Piyush Shah, Rahul Todkar, Rajesh Yabaji, Ram Sahasranam, Ramakant Sharma, Raveen Sastry, S.V. Mahadevan, Sachin Maheshwari, Sajid Rahman, Shailendra Singh, Shradha Sharma, Shubhankar Bhattacharya, Subhankar Bhattacharya, Surge (Accelerator), The Factory (France), Tracxn Labs, Venture Catalysts (Capital Markets/Institutions)</t>
  </si>
  <si>
    <t>klub.ai</t>
  </si>
  <si>
    <t>482133-43</t>
  </si>
  <si>
    <t>klubi</t>
  </si>
  <si>
    <t>Provider of consortium services intended to help individuals plan purchases and access credit with predictable payments. The company offers an intuitive app, transparent fee structures, AI-driven insurance matching, and streamlined contracting processes, enabling consumers, easier credit acquisition and confident long-term financial planning.</t>
  </si>
  <si>
    <t>Ariel Lambrecht, Cyrela, Cyrela Ventures, Guilherme Bonifácio, Homeland Investments, Igah Ventures, L4 Venture Builder, Parallax Ventures, Paulo Veras, Renato Freitas, Vivo Ventures, Wayra Brazil</t>
  </si>
  <si>
    <t>www.klubi.com.br</t>
  </si>
  <si>
    <t>493346-80</t>
  </si>
  <si>
    <t>Klump</t>
  </si>
  <si>
    <t>Developer of a digital buy now, pay later payment platform designed to support flexible instalment-based purchases. The company's platform enables consumers to complete purchases with an initial payment and spread the remaining balance across scheduled instalments while integrating with participating merchants and lenders at checkout, enabling consumers to manage payments over time and merchants to offer alternative payment options without extending direct credit.</t>
  </si>
  <si>
    <t>Abdulhamid Hassan, Assembly Investors, Babatunde Ogundeyi, First Circle Capital, HoaQ, Kickoff Africa, Magic Fund, Michael Pennington, Olugbenga Agboola, Opeyemi Awoyemi, Resilience17, Richmond Bassey, Seedcamp, Selma Ribica, Voltron Capital, William Neale, Yellowwood</t>
  </si>
  <si>
    <t>www.useklump.com</t>
  </si>
  <si>
    <t>227485-18</t>
  </si>
  <si>
    <t>Knight FinTech</t>
  </si>
  <si>
    <t>Developer of a financial advisory platform designed to provide a treasury network to banks, corporates, and SMEs. The company's platform uses artificial intelligence-based algorithms to analyze data points and considers several metrics to give the right portfolio mix, offering sophisticated investment tools for automated rebalancing, pattern recognition, and research, enabling businesses to drive their wealth and reach their individual and long-term financial goals.</t>
  </si>
  <si>
    <t>3one4 Capital, Accel, AIC-NMIMS Incubation Centre, Commerce Ventures, FinTech Innovation Lab, IIFL Finance, Prime Venture Partners, ProfitBoard Ventures, Prosus Ventures, Randev Ventures, Rocket Capital, Trifecta Capital</t>
  </si>
  <si>
    <t>www.knightfintech.com</t>
  </si>
  <si>
    <t>500589-91</t>
  </si>
  <si>
    <t>Kobakus Payment Services</t>
  </si>
  <si>
    <t>Developer of a banking platform intended to provide cash management software that maximizes the automation of high-volume financial transactions. The company's open banking platform provides efficiency, cost savings, and competitive advantage, creating value for organizations in every field, from Industry and distribution to finance, from telecommunication to the public, enabling clients to develop more intelligent, automated, and feature-rich financial operations.</t>
  </si>
  <si>
    <t>Arz Portfoy, Boost the Future, İTÜ Çekirdek, Visa Innovation Program</t>
  </si>
  <si>
    <t>www.kobakus.com</t>
  </si>
  <si>
    <t>495664-39</t>
  </si>
  <si>
    <t>Koggi</t>
  </si>
  <si>
    <t>Developer of a housing finance platform designed for simplifying mortgage credit applications. The company's platform connects banks, builders, and buyers for credit application tracking, financial profiling, and document management, enabling homebuyers and construction companies to access streamlined, transparent, and efficient financing options while making informed decisions about mortgages.</t>
  </si>
  <si>
    <t>Buildtech Ventures, Endeavor Colombia, Google Accelerator, HubBOG, Kalonia, REACH, Second Century Ventures</t>
  </si>
  <si>
    <t>www.koggi.co</t>
  </si>
  <si>
    <t>592818-22</t>
  </si>
  <si>
    <t>Koi Platforms</t>
  </si>
  <si>
    <t>Developer of a digital secondary platform designed to buy and sell Community Reinvestment Act (CRA) loans. The company's platform offers a seller list on a balance sheet to gain liquidity and allows for the discovery of loans based on buyers' needs with a simplified transaction to streamline the process with a virtual deal room functionality, enabling financial institutions to provide loans to the people.</t>
  </si>
  <si>
    <t>Neo (Consulting Services (B2B)), Nyca Partners</t>
  </si>
  <si>
    <t>www.usekoi.com</t>
  </si>
  <si>
    <t>564591-61</t>
  </si>
  <si>
    <t>KOIOS (Business/Productivity Software)</t>
  </si>
  <si>
    <t>Developer of a financial data analysis platform designed to detect online stock manipulation and other threats. The company's platform leverages artificial intelligence to offer real-time, actionable insights into the financial threats and manipulation campaigns against publicly traded companies, enabling businesses to protect against stock manipulation schemes and optimize their communication strategy.</t>
  </si>
  <si>
    <t>koiostech.ai</t>
  </si>
  <si>
    <t>292870-99</t>
  </si>
  <si>
    <t>Konfidis</t>
  </si>
  <si>
    <t>Provider of realtor brokerage and technology services intended to offer long-term rental housing plans. The company offers AI-powered property discovery, proprietary rental data, predictive rental analytics, due diligence support, and white-labeled investment tools, enabling residential real estate investors, brokerages, and investor networks to make informed investment decisions and streamline property acquisitions.</t>
  </si>
  <si>
    <t>Feld Ventures, FirePower Capital</t>
  </si>
  <si>
    <t>www.konfidis.com</t>
  </si>
  <si>
    <t>497462-41</t>
  </si>
  <si>
    <t>Konnect (Financial Software)</t>
  </si>
  <si>
    <t>Operator of an online cross-border payment platform intended to simplify complex financial flows. The company's platform allows users with email addresses to send and receive payments online in a practical, secure, and low-cost way, enabling businesses of all sizes and scales to grow using different payment methods.</t>
  </si>
  <si>
    <t>Attijariwafa Ventures, Digital Africa Ventures, F6 Ventures, Founders Factory Africa, Fuze (Africa), HiiL Justice Accelerator, Plug and Play Tech Center, Renew Capital, Startup Tunisia, Sunny Side Venture Partners, The DOT, Utopia Capital Management, Visa, Visa Accelerator</t>
  </si>
  <si>
    <t>www.konnect.network</t>
  </si>
  <si>
    <t>527123-71</t>
  </si>
  <si>
    <t>Konsi</t>
  </si>
  <si>
    <t>Developer of a fintech platform intended to offer a transparent way to secure loans. The company's platform analyzes the conditions offered by banks for new credit and portability and provides price comparisons from different banks across the country, facilitating the choice of offers and conditions that fit requirements. enabling users to search and compare credit opportunities and make smart decisions as on their suitability.</t>
  </si>
  <si>
    <t>ACT Investimentos, Lighthouse Invest, Valutia</t>
  </si>
  <si>
    <t>www.konsi.com.br</t>
  </si>
  <si>
    <t>481412-44</t>
  </si>
  <si>
    <t>Konta</t>
  </si>
  <si>
    <t>Developer of a financial management software designed to help micro and small businesses file tax returns. The company's software allows the generation of invoices and helps in maintaining accounting records and it also supports e-tax filing, enabling businesses to easily manage their accounts and business money.</t>
  </si>
  <si>
    <t>99 Startups, Blue Zone Ventures, Harvard Management Company, Investo (San Francisco), Liquid 2 Ventures, Michael Sidgmore, Olive Tree Capital, Soma Capital, Streamlined Ventures Management, Wayfinder Ventures, Y Combinator</t>
  </si>
  <si>
    <t>www.konta.com</t>
  </si>
  <si>
    <t>541424-44</t>
  </si>
  <si>
    <t>Kontigo (Financial Software)</t>
  </si>
  <si>
    <t>Developer of an AI chat model platform designed to offer instant credit money. The company offers immediate capital without interest or paperwork and group savings for loans, enabling users to save, pay, and access group credit with secure sources.</t>
  </si>
  <si>
    <t>Alumni Ventures, Bayhouse Capital, Buildspace, Coinbase Ventures, DST Global, Evan Cheng, Founders, Inc, FoundersX Ventures, Goodwater Capital, Hacker Fellowship Zero, Hi Ventures, Hi2 Global, Matteo Franceschetti, Multimodal Ventures, Neer Venture Partners, Oliver Jung, Orange Collective, Orange DAO, Philippe da Mota, Pioneer Fund, Soma Capital, Tom Brown, Transpose Platform Management, UF Venture, Y Combinator, Zone II Ventures</t>
  </si>
  <si>
    <t>www.kontigo.com/en</t>
  </si>
  <si>
    <t>821258-11</t>
  </si>
  <si>
    <t>Kontofy</t>
  </si>
  <si>
    <t>Developer of banking software designed for small businesses to automate accounting tasks. The company's platform uses artificial intelligence and open banking technology to automate routine accounting tasks. Automated bookkeeping also uses bank integration to connect bank accounts for automatic transaction imports and reconciliation, enabling businesses to save time and reduce errors.</t>
  </si>
  <si>
    <t>UpNorth Ventures</t>
  </si>
  <si>
    <t>www.kontofy.com</t>
  </si>
  <si>
    <t>107140-15</t>
  </si>
  <si>
    <t>Kontomatik</t>
  </si>
  <si>
    <t>Developer of a financial management platform designed to deliver banking data to boost the business and manage personal expenses. The company's platform offers secure banking data import via open banking APIs, machine-driven transaction categorization, identity verification, income and spending analysis, and risk metrics, enabling banks and finance-driven firms to enhance customer identification, assess credit risk, and clearly understand financial behavior.</t>
  </si>
  <si>
    <t>Amadeus Capital Partners, Runa Capital</t>
  </si>
  <si>
    <t>www.kontomatik.com</t>
  </si>
  <si>
    <t>489659-41</t>
  </si>
  <si>
    <t>Konvi</t>
  </si>
  <si>
    <t>Operator of a fractional investment platform intended to give people the ability to gain partial ownership of alternative assets. The company's platform offers stronger value appreciation of luxury goods than other mainstream asset classes, portfolio diversification of rare assets, enabling users and investors to access lucrative assets, and connecting users with industry experts and luxury funds around the world.</t>
  </si>
  <si>
    <t>Christoph Roettele, Claire Valoti, Esalen Ventures, GIMIC Ventures, Heartfelt (Private Equity), Invest Northern Ireland, Invest Northern Island, T0 Ventures</t>
  </si>
  <si>
    <t>www.konvi.app</t>
  </si>
  <si>
    <t>135198-19</t>
  </si>
  <si>
    <t>Kooltra</t>
  </si>
  <si>
    <t>Developer of end-to-end cloud-based software designed to digitize and automate post-trade operations across capital markets. The company's software offers cash management, customer relationship management, transaction processing, risk management, and business intelligence, enabling businesses to manage foreign exchange brokerage and reduce human error effectively.</t>
  </si>
  <si>
    <t>Hyde Park Venture Partners, Real Ventures, Round13 Capital, Salesforce Ventures</t>
  </si>
  <si>
    <t>www.kooltra.com</t>
  </si>
  <si>
    <t>498233-08</t>
  </si>
  <si>
    <t>KOR Financial</t>
  </si>
  <si>
    <t>Operator of a fintech company intended to develop future-minded technology tailored specifically for derivatives markets. The company's platform offers a commodity futures trading commission-licensed and swap data repository and provides a reporting-as-a-service to complement its swap data repository, which together replaces many standard reporting functions and solves numerous systemic reporting challenges, enabling market participants to meet reporting mandates for over-the-counter derivative trades and lifecycle events.</t>
  </si>
  <si>
    <t>Macquarie Capital, Mosaik Partners</t>
  </si>
  <si>
    <t>www.korfinancial.com</t>
  </si>
  <si>
    <t>506888-56</t>
  </si>
  <si>
    <t>Korea Digital Asset Custody</t>
  </si>
  <si>
    <t>Developer of an air-gapped wallet designed to store digital assets. The company provides advanced multi-signature technology that eliminates the security risks associated with a single-key system, enabling customers with safe custody services for digital assets.</t>
  </si>
  <si>
    <t>Heungkuk Life Insurance, Korea Information Certification, NH Investment &amp; Securities, NongHyup Bank, Shinhan Bank, Shinhan Financial Group, Shinhan Venture Investment, Taekwang Industrial, Tsis</t>
  </si>
  <si>
    <t>www.kdac.io</t>
  </si>
  <si>
    <t>459763-75</t>
  </si>
  <si>
    <t>Korea Securities Lending</t>
  </si>
  <si>
    <t>Developer of securities finance software products designed to provide innovative technology that removes barriers in the market. The company offers transaction workflow automation, inventory management, borrower and lender coordination, compliance monitoring, reporting, and application programming interface integration, enabling financial institutions, broker-dealers, custodians, and asset managers to streamline securities lending operations, improve operational transparency, and reduce manual processing.</t>
  </si>
  <si>
    <t>Fintech cube, Hana Financial Group, Hanwha Investment &amp; Securities Company, iAccel (Seongnam-si), InfoBank, KB Investment, Kiwoom Investment, Korea Growth Investment Corporation, Seedstars, Shinhan Capital, Stonebridge Ventures (Seoul), Tech Incubator Program for Startup</t>
  </si>
  <si>
    <t>www.kslnetwork.com</t>
  </si>
  <si>
    <t>523433-98</t>
  </si>
  <si>
    <t>Koree</t>
  </si>
  <si>
    <t>Developer of a financial application designed to offer cashback rewards. The company allows the creation of digital loyalty cards which can collect spare change digitally and earn cashback on their change, enabling users to use the balance of their loyalty cards to pay for their subsequent purchases.</t>
  </si>
  <si>
    <t>Aidi Ventures, Cameroon Angel Network, Digital Africa, Digital Africa (Paris), Fuze (Africa), Google Accelerator, Tunde Akinnuwa</t>
  </si>
  <si>
    <t>www.koree.africa</t>
  </si>
  <si>
    <t>230056-03</t>
  </si>
  <si>
    <t>Kort Payments</t>
  </si>
  <si>
    <t>Developer of a omnichannel payment platform designed to help businesses connect and transact seamlessly. The company's tool leverages a full-stack, enterprise-grade system curated for modern commerce integrated across channels to streamline payments operations along with offering compliance, risk management, and unique business requirements systems, enabling organization to simplify their financial management and operations while meeting unique processing needs.</t>
  </si>
  <si>
    <t>Hardy Capital Partners</t>
  </si>
  <si>
    <t>www.kortpayments.com</t>
  </si>
  <si>
    <t>495809-92</t>
  </si>
  <si>
    <t>Kotani Pay</t>
  </si>
  <si>
    <t>Developer of a payroll management platform designed to help blockchain companies integrate local payment channels in Africa. The company's platform provides a reliable on-ramp and off-ramp service to reach a wide customer base that operates primarily on mobile money services, enabling businesses to focus on local payment channels through mobile money services.</t>
  </si>
  <si>
    <t>Adaverse, Asymmetry Ventures, Celo Foundation, DCG Expeditions, Digital Currency Group, Fabled Silver Gold, First Rudder LLC, Flori Ventures, Innove (USA), LAVA (Africa), Lunar Expedition, P1 Ventures, Pear (California), PEER VC, Random Canon Investment, RCA Ventures, Seedstars, Stellar (Financial Software), Tether Investments, UNICEF Venture Fund, Village Capital, Wuri Ventures</t>
  </si>
  <si>
    <t>www.kotanipay.com</t>
  </si>
  <si>
    <t>509377-87</t>
  </si>
  <si>
    <t>KPay Merchant Service</t>
  </si>
  <si>
    <t>Operator of a payment platform designed to streamline merchant operations and financial transactions. The company offers payment processing, fraud-prevention tools, and customer relationship management features, with integrated sales and customer analytics, enabling merchants to optimise operations and make informed business decisions.</t>
  </si>
  <si>
    <t>Apis Partners, Hub71</t>
  </si>
  <si>
    <t>www.kpay-group.com</t>
  </si>
  <si>
    <t>512303-59</t>
  </si>
  <si>
    <t>Kravata</t>
  </si>
  <si>
    <t>Developer of a crypto platform designed to safely buy and sell cryptocurrencies. The company's platform infrastructure helps users to integrate businesses that will be able to increase their income, attract more users, and take advantage of the potential of the blockchain, enabling businesses to get a single platform to trade crypto instantly.</t>
  </si>
  <si>
    <t>Alliance (Other Capital Markets/Institutions), Circle Ventures, Framework Ventures, INVX, IOSG Ventures, Iporanga Ventures, Koyamaki, Magma Partners, Nonce Classic, SIMMA Capital, Volt Capital, WAGMI Ventures (Texas)</t>
  </si>
  <si>
    <t>www.kravata.co</t>
  </si>
  <si>
    <t>490793-50</t>
  </si>
  <si>
    <t>KredFeed</t>
  </si>
  <si>
    <t>Developer of a financial platform designed to liquidate accounts receivable. The company's platform allows business owners to receive money from their sales without having to wait for payment deadlines and generate an immediate cash flow in their operation, enabling entrepreneurs to solve their working capital needs and increase liquidity.</t>
  </si>
  <si>
    <t>2045 Ventures, Alec Randall, Angel Hub, Angel Ventures Mexico, Cacao Capital, Carabela, Gain (Practice Management), Guadalajara Angel Investor Network, Jeremy Brown, Newlin, Sahari Cabello, Techstars, The Pitch Fund &amp; Syndicate, Village Capital</t>
  </si>
  <si>
    <t>www.kredfeed.com</t>
  </si>
  <si>
    <t>510041-71</t>
  </si>
  <si>
    <t>Kredi (Financial Software)</t>
  </si>
  <si>
    <t>Operator of an online banking platform intended to provide digital banking services. The company provides savings, loans, payments, investments and insurance services via one integrated online space without the need to visit bank branches, enabling clients and customers to get convenient access to credit and saving instruments.</t>
  </si>
  <si>
    <t>Founders Committee, Hatcher+, Launch Africa Ventures, ODF, Plug and Play Tech Center, Proximity Ventures, Realm Capital Ventures, SOSV</t>
  </si>
  <si>
    <t>www.thekredibank.com</t>
  </si>
  <si>
    <t>697818-52</t>
  </si>
  <si>
    <t>Kredit Africa</t>
  </si>
  <si>
    <t>Developer of financial software designed to empower people in Africa. The company offers services like alternative credit intelligence, fraud prevention, precision risk assessment, and compliance expertise, enabling customers to make financial decisions effectively.</t>
  </si>
  <si>
    <t>Kaleo Ventures</t>
  </si>
  <si>
    <t>www.kreditafrica.com</t>
  </si>
  <si>
    <t>466633-45</t>
  </si>
  <si>
    <t>Kredito</t>
  </si>
  <si>
    <t>Developer of an AI-based financial platform intended to democratize working capital for businesses. The company's platform leverages technology to develop various loan products at attractive rates and debit card products, enabling small and medium businesses to improve utilization of working capital.</t>
  </si>
  <si>
    <t>Agustin Solari, Alvaro Jalaff, Amarena, Catalina del Río, Daniel Undurraga, Empresas Penta, Genesis Ventures, Juan Spiniak, Karim Fjardin, Link Capital Partners, Maurice Khamis, Oskar Hjertonsson, Patio Group partner, Roberto Abumohor</t>
  </si>
  <si>
    <t>www.kredito.cl</t>
  </si>
  <si>
    <t>516045-88</t>
  </si>
  <si>
    <t>Kredmint</t>
  </si>
  <si>
    <t>Developer of an artificial intelligence-powered financial platform designed to simplify business finance, operations, and growth management. The company's platform offers embedded finance tools, enterprise automation, and integrated payment and credit management, enabling enterprises and merchants to manage cash flow, streamline operations, and maintain stronger financial control.</t>
  </si>
  <si>
    <t>Adith Podhar, Aditya Kumar, Ajay Sharma, Amit Lakhotia, Amit Sinha, Amit Veer, Ankit Gera, Ankur Warikoo, Arathi Krishna, Ashneer Grover, Bhushan Patil, Chander Sawhney, Gemba Capital, Jaskaran Kapany, Kunal Shah, Manish Amin, Manu Sharma, Mayank Chawla, Renu Satti, Sachin Seth, Senu Sam, Shankar Nath, Sudhanshu Gupta, Varun Gupta, Vineeta Kaul</t>
  </si>
  <si>
    <t>www.kredmint.com</t>
  </si>
  <si>
    <t>756748-72</t>
  </si>
  <si>
    <t>Kredo</t>
  </si>
  <si>
    <t>Provider of digital SME financing services intended to connect Swiss small and medium-sized enterprises with credit offerings through an online intermediary platform. The company offers financing offer generation, credit negotiation intermediation, tailored debt advisory, investment fund credit facilitation, and loan structuring support, enabling Swiss SMEs to access structured financing opportunities and streamlined credit facilitation.</t>
  </si>
  <si>
    <t>www.kredo.swiss</t>
  </si>
  <si>
    <t>462628-90</t>
  </si>
  <si>
    <t>Kronos Research</t>
  </si>
  <si>
    <t>Developer of a trading platform designed to apply automated strategies. The company offers advanced machine learning techniques to predict the market trend, thereby enabling clients to earn extra profits.</t>
  </si>
  <si>
    <t>AKG Ventures, Axia8 Ventures, Chain Capital (Shanghai), Dragonfly Capital (San Francisco), Evernew Capital, Fenbushi Capital, Genesis Block (Hong Kong), Hashkey Capital, IOSG Ventures, Krypital Group, ODIG, One Boat Capital, QCP Soteria, SNZ Holding, Tensor Investment, Vector-Hyperspace (Beijing) Capital Management Co.</t>
  </si>
  <si>
    <t>www.kronosresearch.com</t>
  </si>
  <si>
    <t>466108-66</t>
  </si>
  <si>
    <t>KROSS Finance Korea</t>
  </si>
  <si>
    <t>Operator of an online finance brokerage platform designed to help companies and individuals to discover and share hidden values. The company's platform specializes in online investment and loan brokerage, enabling clients to discount bills electronically within a reasonable period of time.</t>
  </si>
  <si>
    <t>Korea Growth Finance, Korea Investment Partners, Koscom</t>
  </si>
  <si>
    <t>kross-finance.vercel.app</t>
  </si>
  <si>
    <t>685224-19</t>
  </si>
  <si>
    <t>krti</t>
  </si>
  <si>
    <t>Developer of a cashback rewards application designed to enhance shopping experiences with rewards. The company offers personalized deals, discount codes, and smart budgeting tools, enabling shoppers to maximize their savings while supporting environmental initiatives with every purchase.</t>
  </si>
  <si>
    <t>www.krti.com</t>
  </si>
  <si>
    <t>658984-42</t>
  </si>
  <si>
    <t>Kruncher</t>
  </si>
  <si>
    <t>Developer of a private market intelligence platform designed to support investment evaluation and portfolio monitoring. The company's platform offers a unified data layer that combines internal documents, external market signals, portfolio activity, and AI-driven analysis tools, enabling venture capital and private equity firms to assess companies against investment criteria and track portfolio performance.</t>
  </si>
  <si>
    <t>5i Ventures, Republic Venture Fund</t>
  </si>
  <si>
    <t>www.kruncher.ai</t>
  </si>
  <si>
    <t>233848-09</t>
  </si>
  <si>
    <t>Ksher</t>
  </si>
  <si>
    <t>Developer of a mobile payment platform designed to provide cross-border travel-related financial services. The company offers aggregated payment processing with multiple payment options like WeChat Pay, Visa and MasterCard for overseas merchants, enabling local vendors to attract Chinese travellers and increase both online conversions and in-store customer traffic.</t>
  </si>
  <si>
    <t>Hong Kong Science &amp; Technology Parks, HSG (Hong Kong), MindWorks Ventures, The Innovation and Technology Commission</t>
  </si>
  <si>
    <t>www.ksher.net</t>
  </si>
  <si>
    <t>483577-48</t>
  </si>
  <si>
    <t>Ksher (Financial Software)</t>
  </si>
  <si>
    <t>Deveopler of a payment gateway platform designed to make cross-border transactions as convenient as local payments. The company's platform provides merchants with a wide range of payment solutions, including credit card, prompt payment, and e-wallet, enabling businesses to provide a seamless payment experience for customers.</t>
  </si>
  <si>
    <t>ECG-Research, Headline, HSG (Hong Kong), Infinity Venture, MindWorks Ventures, Silverhorn Investment Advisors, TH Capital (Malaysia)</t>
  </si>
  <si>
    <t>www.ksher.cn</t>
  </si>
  <si>
    <t>593382-34</t>
  </si>
  <si>
    <t>Kudwa</t>
  </si>
  <si>
    <t>Developer of a financial management platform designed to provide financial clarity to run a business. The company's platform offers integrated financial systems, forecasting capabilities, real-time dashboards, collaboration features, and actionable insights derived from scenario planning and machine learning, enabling small and medium enterprises to make financial decisions, cut decision-making time, and boost profitability.</t>
  </si>
  <si>
    <t>1818 Venture Capital, Berytech, F6 Ventures, IM Fndg, I'M Ventures, Iraq Venture Partners, IVP, Plug and Play Tech Center, Sparked VC, Stryde71</t>
  </si>
  <si>
    <t>www.kudwa.co</t>
  </si>
  <si>
    <t>91503-46</t>
  </si>
  <si>
    <t>Kueski</t>
  </si>
  <si>
    <t>Developer of an online lending platform designed to offer unsecured loans through direct deposits to the client's bank account or purchases through their tool. The company's platform leverages several data points to build credit risk and fraud risk machine learning models that will approve or reject loan applications quickly, enabling clients to cover their short-term cash or purchase needs anywhere, including in-store, in case of the BNPL model.</t>
  </si>
  <si>
    <t>A.GAIN, Actions Capital, Altos Ventures, Angel Ventures Mexico, Anna Raptis, Ariel Poler, Attom Capital, Auria Capital, Broadway Angels, C Entrepreneurs, Calmin SA de CV, Capria Ventures, Cathay Innovation, Cometa (Mexico), Core Ventures Group, Endeavor Catalyst, FJ Labs, Flex Capital, Francisco Orozco, G Squared, Glisco Partners, Guadalajara Angel Investor Network, Hard Yaka, KBW Ventures, Mirai Creation Capital, Nimble Partners, OnePrime Capital, Poligono Capital, PROOF, Richmond Global Ventures, Rise Capital, Seven Hound Ventures, StepStone Group, The Sobrato Organization, Tuesday Capital, VARIV, Victory Park Capital Advisors</t>
  </si>
  <si>
    <t>www.kueski.com</t>
  </si>
  <si>
    <t>492977-89</t>
  </si>
  <si>
    <t>Kuhoo</t>
  </si>
  <si>
    <t>Developer of an online student loan platform intended to provide online loans to students aspiring to study in universities both in India and abroad. The company's platform aspires to democratize education for all, especially for households that belong to humble socio-economic backgrounds, by providing customized loans to individuals, enabling students to get digital student loans for their education, and permitting them to take their own responsibility instead of putting a financial burden on their parents.</t>
  </si>
  <si>
    <t>Konark Trust, MMPL Trust, WestBridge Capital (San Mateo)</t>
  </si>
  <si>
    <t>www.kuhoo.com</t>
  </si>
  <si>
    <t>163717-93</t>
  </si>
  <si>
    <t>Kuma.capital</t>
  </si>
  <si>
    <t>Developer of a financial platform designed to provide quantitative analytics and systematic trading strategies in foreign exchange (FX) derivatives and digital asset markets. The company's platform is a data-driven insight, analytics and strategy alerts platform that systematically monitors dozens of foreign exchange volatility surfaces in real-time, enabling FX derivatives traders to access powerful pre-trade analytics and actionable data.</t>
  </si>
  <si>
    <t>Relevance Ventures</t>
  </si>
  <si>
    <t>www.kuma.capital</t>
  </si>
  <si>
    <t>538273-54</t>
  </si>
  <si>
    <t>KUMO (Specialized Finance)</t>
  </si>
  <si>
    <t>Artificial Intelligence &amp; Machine Learning, CleanTech, FinTech, Impact Investing</t>
  </si>
  <si>
    <t>Operator of a lending marketplace platform intended to deliver loans backed by carbon credits. The company provides funding, receives financial yield, deposits carbon credits, and draws loans against supported natural assets used as collateral, and loans are paid out in collateralized stablecoin, enabling borrowers in carbon project development to access faster, lower-risk funding.</t>
  </si>
  <si>
    <t>Earth (Berlin), Fuse Incubator, G-Force, Remove (Netherlands), Tech Nation Group, Techstars</t>
  </si>
  <si>
    <t>www.kumo.earth</t>
  </si>
  <si>
    <t>533136-16</t>
  </si>
  <si>
    <t>Kura</t>
  </si>
  <si>
    <t>Developer of a cross-border payments platform designed to make cross-border money move locally securely without the hardware. The company's platform helps to make international payments, track transactions, and ensure funds are utilized for the intended purpose, enabling people to provide support for relatives living abroad.</t>
  </si>
  <si>
    <t>Allston Venture Fund, BAMco Enterprises, Dorm Room Fund, Harvard Innovation Launch Lab, SBXi, Techstars</t>
  </si>
  <si>
    <t>www.kuratek.com</t>
  </si>
  <si>
    <t>52653-70</t>
  </si>
  <si>
    <t>Kurensē</t>
  </si>
  <si>
    <t>Developer of a prepaid payment and disbursement platform designed to improve existing payment processes. The company offers paycard programs, nationwide reload access, payroll and disbursement integration, and financial education initiatives, enabling employers, workforce administrators, educational institutions, and program sponsors to distribute payments reliably, reduce administrative effort, and help recipients manage their money more effectively.</t>
  </si>
  <si>
    <t>Cincinnati Business Excellerator, CincyTech, Keiretsu Forum, Paycor</t>
  </si>
  <si>
    <t>www.kurense.com</t>
  </si>
  <si>
    <t>463042-99</t>
  </si>
  <si>
    <t>Kuto</t>
  </si>
  <si>
    <t>Developer of a rewards application designed to provide instant rewards and exclusive updates. The company aims to provide an easy and fun way to pay without extra charges, enabling businesses to receive payments while allowing customers to receive early updates and earn rewards for their next purchase.</t>
  </si>
  <si>
    <t>Founder Collective, Founders First</t>
  </si>
  <si>
    <t>www.kuto.app</t>
  </si>
  <si>
    <t>442725-22</t>
  </si>
  <si>
    <t>Kwaba</t>
  </si>
  <si>
    <t>Operator of a digital rent payment platform designed to facilitate flexible housing finance. The company's platform offers rent financing and automated savings tools, enabling renters to split annual rent into monthly installments and access emergency loans to maintain housing security.</t>
  </si>
  <si>
    <t>ARM Labs, Co-Creation Hub, Ingressive (Nigeria)</t>
  </si>
  <si>
    <t>www.kwaba.africa</t>
  </si>
  <si>
    <t>468048-16</t>
  </si>
  <si>
    <t>Kyshi.co</t>
  </si>
  <si>
    <t>Developer of a digital banking platform designed to send money to and from Africa. The company's proprietary platform offers a global multi-currency wallet that can create, fund, hold, and exchange currencies with other users at their own desired or negotiated rates and helps to transact across borders, enabling users to save time and provide comfort by easing money transfers anywhere, anytime.</t>
  </si>
  <si>
    <t>Edmund Olotu, Expert DOJO, Google Accelerator, Harry Davies, Healthcap Africa, HoaQ, Ingressive (Nigeria), Jason Njoku, Lagos Angel Network, LoftyInc Capital Management, Mercury Technologies, Midlothian Angel Network, MountainPeak Capital, Niche Capital, Rose Lake Ventures, Team Ignite Ventures, Techstars, TVC Labs, Westwood Holdings Group</t>
  </si>
  <si>
    <t>www.kyshi.co</t>
  </si>
  <si>
    <t>712129-33</t>
  </si>
  <si>
    <t>KYXStart</t>
  </si>
  <si>
    <t>Artificial Intelligence &amp; Machine Learning, B2B Payments, Cybersecurity, FinTech</t>
  </si>
  <si>
    <t>Provider of identity verification services designed to improve security, compliance, and operations for businesses globally. The company offers customizable KYC and KYB verification services that analyze device, IP, and behavioral data from multiple sources, providing risk mitigation and fraud prevention through an AI-driven system, enabling enterprises to streamline onboarding and regulatory compliance, reducing costs and enhancing performance while allowing clients to make data-driven decisions through enriched verification insights.</t>
  </si>
  <si>
    <t>kyxstart.com</t>
  </si>
  <si>
    <t>222064-30</t>
  </si>
  <si>
    <t>Lagniappe Labs</t>
  </si>
  <si>
    <t>Provider of a financial valuation benchmark intended for tracking the volatility of United States venture-backed companies. The company offers a modified market cap price return index that measures the share price performance of private companies and tracks daily share price performance utilizing both primary finance investment rounds and secondary trading data, enabling businesses to compare the performance of companies to other investments.</t>
  </si>
  <si>
    <t>BRF(Shreveport), Eagle Capital (Shreveport), Entrepreneurial Accelerator Program, Lightning Capital</t>
  </si>
  <si>
    <t>www.primeunicornindex.com</t>
  </si>
  <si>
    <t>435269-53</t>
  </si>
  <si>
    <t>LaiCunBa</t>
  </si>
  <si>
    <t>Developer of financial service platform designed for bank notes management. The company's platform integrates bank notes assets of various banks, state-owned enterprises and public companies, and realizes investment and financing value-added for investors through data analysis.</t>
  </si>
  <si>
    <t>www.laicunba.com</t>
  </si>
  <si>
    <t>510225-94</t>
  </si>
  <si>
    <t>Lama AI</t>
  </si>
  <si>
    <t>Developer of a cloud-native lending technology platform designed to help launch and scale new lending products. The company's platform utilizes pre-built AI models and data connectivity, making the application process fast and ensuring data validity, while offering features such as smart applications, pre-built data integrations, automated underwriting, exchange, and embedded lending, enabling bank lenders to distribute capital throughout the small business ecosystem efficiently.</t>
  </si>
  <si>
    <t>1st &amp; Main Growth Partners, EJF Ventures, Elad Tsur, Fin Capital, FIS Fintech Accelerator, Foundation Capital, Hetz Ventures, Nathaniel Harley, Shai Stern, SixThirty Ventures, The Venture Center, Viola Ventures</t>
  </si>
  <si>
    <t>www.lama.ai</t>
  </si>
  <si>
    <t>875235-88</t>
  </si>
  <si>
    <t>Lana Ecosystems</t>
  </si>
  <si>
    <t>Artificial Intelligence &amp; Machine Learning, CleanTech, Climate Tech, FinTech, SaaS</t>
  </si>
  <si>
    <t>Operator of a finance platform intended for corporate decarbonization. The company's platform focuses on rising energy costs and looming carbon taxes that threaten corporate margins as the region transitions to new energy models and offers a capital infrastructure with an integrated platform combining blended finance with advanced risk modelling, enabling corporations and businesses with a decarbonization financing faster and more affordably.</t>
  </si>
  <si>
    <t>Liminal (VC)</t>
  </si>
  <si>
    <t>www.lana.eco</t>
  </si>
  <si>
    <t>164153-44</t>
  </si>
  <si>
    <t>Lancai</t>
  </si>
  <si>
    <t>Developer of fintech platform designed to provide users with asset allocation and wealth management services. The company uses big data and artificial intelligence technologies to realize automated asset allocation and wealth management services, enabling users to obtain safe and efficient financial services.</t>
  </si>
  <si>
    <t>Antong Holdings, Changchun Sinoenergy, Hunan Silver, JIC Capital Management, Legend Capital, LeTV, Netposa Technologies, Tianyu Digital Technology Group, Zhonglu Capital</t>
  </si>
  <si>
    <t>www.lancai.cn</t>
  </si>
  <si>
    <t>832188-88</t>
  </si>
  <si>
    <t>Lancetier</t>
  </si>
  <si>
    <t>Artificial Intelligence &amp; Machine Learning, Big Data, CloudTech &amp; DevOps, SaaS</t>
  </si>
  <si>
    <t>Operator of cloud-based business management platforms designed to streamline operations for small and medium-sized enterprises. The company's platform integrates sales management, inventory control, order processing, and accounting into a single interface, enabling SMEs to efficiently manage daily operations, reduce administrative workload, and improve overall operational transparency and productivity.</t>
  </si>
  <si>
    <t>basepartners</t>
  </si>
  <si>
    <t>www.lancetier.co.jp</t>
  </si>
  <si>
    <t>498098-08</t>
  </si>
  <si>
    <t>Landlord Studio</t>
  </si>
  <si>
    <t>Developer of a property management software intended to simplify rental accounting and management for landlords. The company's platform automates rental property accounting and makes income and expense tracking fast, easy, and more accurate, enabling clients to receive hassle-free tax and accounting services.</t>
  </si>
  <si>
    <t>Icehouse Ventures, Startmate</t>
  </si>
  <si>
    <t>www.landlordstudio.com</t>
  </si>
  <si>
    <t>895736-80</t>
  </si>
  <si>
    <t>Lapisan</t>
  </si>
  <si>
    <t>The company is currently operating in Stealth Mode.</t>
  </si>
  <si>
    <t>www.lapisan.xyz</t>
  </si>
  <si>
    <t>221547-43</t>
  </si>
  <si>
    <t>Laqus</t>
  </si>
  <si>
    <t>Provider of risk management services intended to make decision-making in financial relationships safe, fast and convenient. The company's risk management services are based on cloud-based software and include operations such as treasury outsourcing and treasury services, enabling clients to efficiently manage their operations by assisting them with market, credit and liquidity risk management reports.</t>
  </si>
  <si>
    <t>Flávio Jansen, KPTL Arbitrage Management, Mantiqueira Participações, Parallax Ventures</t>
  </si>
  <si>
    <t>www.laqus.com.br</t>
  </si>
  <si>
    <t>734748-76</t>
  </si>
  <si>
    <t>LastWish</t>
  </si>
  <si>
    <t>Operator of a digital succession planning and legacy management system intended for the structured organization and posthumous distribution of personal assets and personal communications. The company's platform features encrypted storage for legal and financial documents, the scheduling of delayed video and text messages to be released to specific beneficiaries after a verified passing, administrative tools for managing digital identities or social media access, and modules for organizing pet care or asset instructions, enabling companies and individuals to manage estate transitions and digital legacies through centralized technological oversight.</t>
  </si>
  <si>
    <t>Bossa Invest, Founders Club, SRM Ventures</t>
  </si>
  <si>
    <t>www.lastwish.com.br</t>
  </si>
  <si>
    <t>175114-54</t>
  </si>
  <si>
    <t>Laudex</t>
  </si>
  <si>
    <t>Operator of a student-lending platform intended to grant financial flexibility to university and postgraduate students. The company's platform assists in granting loans for educational purposes to finance tuition fees at top universities worldwide, enabling students to receive a better education.</t>
  </si>
  <si>
    <t>Blue Earth Capital, Impact Ventures PSM, Oikocredit, Promotora Social México, Triodos Investment Management</t>
  </si>
  <si>
    <t>www.laudex.mx</t>
  </si>
  <si>
    <t>439146-46</t>
  </si>
  <si>
    <t>LauraMac</t>
  </si>
  <si>
    <t>Developer of an enterprise due diligence platform designed to assist the secondary mortgage market. The company's platform offers AI-driven document recognition and data extraction, configurable and rules-based workflows, collateral and trailing document management, integrated loan clearing and acquisition tools, centralized data hubs, and real-time, permissioned collaboration across counterparties, enabling mortgage originators, aggregators, investors, correspondents, and third-party reviewers to execute secondary-market loan trades faster and more accurately.</t>
  </si>
  <si>
    <t>Calterra Capital, Working Knowledge</t>
  </si>
  <si>
    <t>www.lauramac.com</t>
  </si>
  <si>
    <t>906517-99</t>
  </si>
  <si>
    <t>Lava</t>
  </si>
  <si>
    <t>Developer of digital transaction infrastructure designed for autonomous agent-based commerce. The company's platform introduces a usage credit system that integrates across multiple merchants and AI service providers, supports pay-as-you-go functionality, enabling developers, merchants, and AI platforms to automate transactions, reduce manual processes, and support usage-based billing across a decentralized digital ecosystem.</t>
  </si>
  <si>
    <t>Harlem Capital, Lerer Hippeau, Streamlined Ventures Management, Westbound Equity Partners</t>
  </si>
  <si>
    <t>www.lava.so</t>
  </si>
  <si>
    <t>544805-20</t>
  </si>
  <si>
    <t>LawFi</t>
  </si>
  <si>
    <t>Developer of a financial technology platform designed for legal fee financing and digital payment management. The company's platform integrates an automated decision engine and open banking technology to offer point-of-service installment loans, income-based financing, and deferred payment options for attorney retainers or invoices, enabling legal service seekers to access immediate representation through structured credit and allowing law firms to secure upfront funding and automate accounts receivable collections without traditional credit risks.</t>
  </si>
  <si>
    <t>www.lawfi.com</t>
  </si>
  <si>
    <t>504046-90</t>
  </si>
  <si>
    <t>LAZO (Business/Productivity Software)</t>
  </si>
  <si>
    <t>Developer of back-office management platform designed for startup financial, operational, and compliance workflows. The company's platform offers services such as tax filing, bookkeeping with artificial intelligence support, document organization, investor data room creation, financial forecasting, and access to investor databases, enabling early-stage startups to manage incorporation, maintain compliance, streamline fundraising, and oversee financial operations through a centralized and guided digital environment.</t>
  </si>
  <si>
    <t>AlleyCorp, Alphabet, AWS, AWS Startups, Epakon Capital, Google Accelerator, Tampa Bay Wave</t>
  </si>
  <si>
    <t>www.lazo.us</t>
  </si>
  <si>
    <t>565806-34</t>
  </si>
  <si>
    <t>LDUN</t>
  </si>
  <si>
    <t>Provider of fintech financial services intended to facilitate trade credit and factoring for micro, small, and medium enterprises. The company offers Sharia-compliant financial products, including buy now pay later, trade credit, factoring, and reverse factoring, enabling wholesale and retail merchants to manage payments, improve supplier cash flows, and enhance purchasing power through flexible financial options tailored to support SME growth and digital transaction efficiency.</t>
  </si>
  <si>
    <t>Numu Angels, Sadu Capital, Suhail Ventures</t>
  </si>
  <si>
    <t>www.ldun.com.sa</t>
  </si>
  <si>
    <t>180919-81</t>
  </si>
  <si>
    <t>Leal Colombia</t>
  </si>
  <si>
    <t>Developer of a consumer rewards platform designed to help retailers identify, engage, and reward their customers. The company's platform connects through an application programming interface to the billing and POS payment terminals and also captures important data and consumer habits, enabling retailers and traditional businesses to get access to the necessary technology to understand who their customers are and increase their revenues.</t>
  </si>
  <si>
    <t>1200 MGMT, A.GAIN, Arrebol Capital, Aspira Capital Management, Axon Partners Group, Berch Capital, Centre Street Partners, Copenhagen Infrastructure Partners, FoundersX Ventures, Fuel Venture Capital, Inca Ventures, LEAP Global Partners, Morro Ventures, Nucleus Emerging Markets Ventures, Rakuten Capital, Salkantay Ventures, Start Path, Vertical Partners</t>
  </si>
  <si>
    <t>www.leal.co</t>
  </si>
  <si>
    <t>431327-44</t>
  </si>
  <si>
    <t>Lean</t>
  </si>
  <si>
    <t>Developer of a fintech platform designed to abstract developers from the fragmentation of the financial infrastructure. The company's platform makes it easy for developers to connect to the user's bank accounts and provides financial institutions with a plug-and-play integration layer to scalably connect with emerging fintech companies without relinquishing control, enabling businesses to seamlessly access their customers' financial data and initiate instant bank transfers.</t>
  </si>
  <si>
    <t>500 Global, Alturki Ventures, Arbor Ventures, Avra, Bain Capital Ventures, Duquesne Family Office, Fatima Gobi Ventures, General Catalyst, Global Founders Capital, HOF Capital, Hub71, Jacob Seid, Jameel Investment Management Company, Mazen AlJubeir, NOMD Holdings, Olive Tree Capital, Outliers Venture Capital, Peak XV Partners, Raed Ventures, Salt Ventures (Dubai), Samih Toukan, Sequoia Capital, Shorooq Partners, Takamol Ventures</t>
  </si>
  <si>
    <t>www.leantech.me</t>
  </si>
  <si>
    <t>519206-05</t>
  </si>
  <si>
    <t>Ledge</t>
  </si>
  <si>
    <t>Developer of financial software designed to automate and simplify finance operations. The company's platform offers end-to-end automated reconciliation, cash flow management, exception management, lingering and reporting modules that provide finance professionals with total control and continuous audit readiness., offering unparalleled visibility into cash positions and cash flows, detailed transaction journey insights and instant reporting for informed real-time decisions, enabling finance teams to adjust workflows as business evolves.</t>
  </si>
  <si>
    <t>FJ Labs, Fundbox Capital, Jonathan Golden, Melio, Mesh (San Francisco), Money20/20, New Enterprise Associates, NJ Fast, Papaya Global, Payoneer, Picus Capital, Vertex Ventures Israel, Ziv Paz</t>
  </si>
  <si>
    <t>www.ledge.co</t>
  </si>
  <si>
    <t>895893-58</t>
  </si>
  <si>
    <t>Ledger Rocket</t>
  </si>
  <si>
    <t>Developer of an accounting automation platform designed to streamline financial operations. The company offers a platform featuring bookkeeping automation, financial reporting, general ledger management, transaction reconciliation, accounts payable automation, integrations, and analytics, enabling businesses to improve accounting accuracy and manage financial workflows.</t>
  </si>
  <si>
    <t>Endurance Ventures (UK), Portfolio Ventures, Twin Path Ventures</t>
  </si>
  <si>
    <t>www.ledgerrocket.com</t>
  </si>
  <si>
    <t>520750-81</t>
  </si>
  <si>
    <t>Ledgerowl</t>
  </si>
  <si>
    <t>Developer of AI-based financial platform designed for business finance management and business decisions. The company's platform offers features such as bookkeeping, classification of transactions, bank and debt/receivable reconciliation, cash flow report, balance sheet report, and asset depreciation schedule, enabling businesses to streamline their financial processes, reduce costs, and make informed decisions.</t>
  </si>
  <si>
    <t>BLOCK71, Incubate Fund Asia, Init 6, Investible, Scale Up by Endeavor, Skystar Capital</t>
  </si>
  <si>
    <t>ledgerowl.com</t>
  </si>
  <si>
    <t>169993-27</t>
  </si>
  <si>
    <t>Lefang</t>
  </si>
  <si>
    <t>Developer of financial technology software designed for institutional and commercial application. The company's rent payment platform helps improve traditional rent process by transforming modes of paying rent, enabling tenants to pay rent in installments and at the same time helping landlords to collect total rent.</t>
  </si>
  <si>
    <t>9C Capital, 9F Group, 9fonecard, Baidu, Beijing Weilie Capital Management Consulting, Beijing Woai Wojia Real Estate Agency, BlackHole Capital, China Renaissance Capital Investment, Chuanke Computer System, Mingdaojinkong, Phoenix Finance, Plum Ventures, Shuangliang Capital, WS Capital</t>
  </si>
  <si>
    <t>www.58fangdai.com</t>
  </si>
  <si>
    <t>472581-19</t>
  </si>
  <si>
    <t>Lefen Buy</t>
  </si>
  <si>
    <t>Developer of a digital payment platform that integrates multiple banks. The company provides users with a consumption method with no down payment, zero interest rate, and no handling fee by integrates different banks, enabling users to use installment payments in more stores.</t>
  </si>
  <si>
    <t>www.lefenbuy.com</t>
  </si>
  <si>
    <t>343435-78</t>
  </si>
  <si>
    <t>Legacy Knight</t>
  </si>
  <si>
    <t>Operator of a financial platform designed to provide investment access to ultra-high-net-worth families and family offices. The company's platform offers consulting services, investment opportunities, and comprehensive asset management, enabling families and family offices to achieve financial growth and management through tailored investment strategies.</t>
  </si>
  <si>
    <t>www.legacyknight.com</t>
  </si>
  <si>
    <t>533183-77</t>
  </si>
  <si>
    <t>Leilong Technology</t>
  </si>
  <si>
    <t>Developer of insurance payment and supply chain software intended for the insurance industry. The company provides insurance payment and supply chain software products and services for domestic insurance companies and data business, enabling companies in the insurance industry with technology tools.</t>
  </si>
  <si>
    <t>CICC Capital, Enjoyor Investment, Hubei Provincial High-tech Industry Investment, Jointown Pharmaceutical Group, Minmetals Capital</t>
  </si>
  <si>
    <t>www.leilong.vip</t>
  </si>
  <si>
    <t>279673-12</t>
  </si>
  <si>
    <t>Leja ( Financial Software)</t>
  </si>
  <si>
    <t>Operator of a mobile payment platform intended to help African micro-entrepreneurs digitize their business. The company's platform digitizes all business transactions and manages all finances in one place, enabling business owners to create cash-based accounting records and keep a ledger of outstanding debits and credits.</t>
  </si>
  <si>
    <t>3Ventures, Born Capital (California), Bpifrance, France FinTech, Francis Family Fund, Fredrik Jung-Abbou, Globivest, Google Accelerator, GreenTec Capital Partners, Innovation Summit, Investbridge Capital, Make-IT in Africa, Mastercard Lighthouse, Norrsken Evolve, Pareto Holdings, RevTech Labs, Startupbootcamp AfriTech, Station F, Unicorn Group (Ebene)</t>
  </si>
  <si>
    <t>leja.co.ke</t>
  </si>
  <si>
    <t>483307-21</t>
  </si>
  <si>
    <t>Lemon Tree</t>
  </si>
  <si>
    <t>Developer of a financial education and pocket money management platform designed for money control for children. The company's platform provides selected content and customized programs on economic topics and also allows children to set and reach savings goals for themselves, enabling parents to help their children develop an understanding of basic finance, savings, and investment.</t>
  </si>
  <si>
    <t>Bass Investment, Capstone Partners, Capstone Partners Korea, D-Camp, Fast Ventures, Kakao Investment, KB Innovation HUB, KB Investment, MMS Ventures, Signite Partners, Spring Camp, TBT Partners, Thanks Ventures</t>
  </si>
  <si>
    <t>www.firfin.family</t>
  </si>
  <si>
    <t>465608-71</t>
  </si>
  <si>
    <t>Lemonero</t>
  </si>
  <si>
    <t>Developer of a digital lending platform designed to provide fast and flexible financing for e-commerce businesses and online merchants. The company's platform offers AI-driven credit assessment, instant loan approval, and automated repayment through payment gateways, enabling small and medium-sized online retailers to access working capital quickly, manage cash flow efficiently, and fund growth without traditional banking delays.</t>
  </si>
  <si>
    <t>Komerční Banka, Societe Generale Ventures, Start Path, Visa Innovation Program</t>
  </si>
  <si>
    <t>www.lemonero.cz</t>
  </si>
  <si>
    <t>1364897-62</t>
  </si>
  <si>
    <t>Lendasat</t>
  </si>
  <si>
    <t>Developer of a Bitcoin-backed lending platform designed to help cryptocurrency holders unlock liquidity without selling their assets or triggering taxable events. The company offers a peer-to-peer loan platform powered by secure multi-signature escrow and smart contracts, enabling customers to borrow cash or stablecoins instantly while keeping full ownership and upside potential of their Bitcoin.</t>
  </si>
  <si>
    <t>Ark Labs, Fulgur Ventures, Initial Capital</t>
  </si>
  <si>
    <t>www.lendasat.com</t>
  </si>
  <si>
    <t>517039-21</t>
  </si>
  <si>
    <t>LendCRM</t>
  </si>
  <si>
    <t>Developer of a cloud-based platform designed to streamline loan origination, underwriting, and servicing workflows. The company's platform offers customizable lending workflows, integrated CRM capabilities, automated loan pricing tools, and end-to-end servicing functions, enabling lenders, brokers, and financial teams to manage applications, assess borrower profiles, maintain loan records, and improve operational efficiency.</t>
  </si>
  <si>
    <t>www.lendcrm.com</t>
  </si>
  <si>
    <t>53940-52</t>
  </si>
  <si>
    <t>LenddoEFL</t>
  </si>
  <si>
    <t>Developer of a credit scoring and online identity verification platform designed to economically empower middle-class families. The company's platform uses machine learning techniques to build predictive algorithms and non-traditional data to compute people's credit scores, enabling companies to access and serve new and underserved markets and people to build their creditworthiness and gain access to local financial services.</t>
  </si>
  <si>
    <t>Accel, Alpine Meridian, Alt Option Return, AT Capital Group, Barry Silbert, Braid (Financial Services), Compound (New York), FinTech Innovation Lab, Flourish Ventures, Geoffrey Judge, Hard Yaka, Inovia Capital, Key Compton, Kickstart Ventures, Lumia Capital, Omidyar Network, Scott Heiferman, Toivo Annus, Western Technology Investment</t>
  </si>
  <si>
    <t>www.lenddoefl.com</t>
  </si>
  <si>
    <t>756521-92</t>
  </si>
  <si>
    <t>LenderLink</t>
  </si>
  <si>
    <t>Developer of an application programming interface-based credit information platform designed to provide digital lender credit data exchange. The company's platform offers seamless access, connection and synchronization of borrowers across online lenders, collection agencies and bureaus through APIs with round-the-clock data quality monitoring, enabling clients to access consumer credit and ensure data reliability.</t>
  </si>
  <si>
    <t>Amand Ventures, Founders Launchpad, Iterative Accelerator, Kaya Founders, Manila Angel Investors Network, Seaborne Capital</t>
  </si>
  <si>
    <t>www.lenderlink.ph</t>
  </si>
  <si>
    <t>503540-20</t>
  </si>
  <si>
    <t>Lendha</t>
  </si>
  <si>
    <t>Operator of a money lending platform intended for small and medium enterprises to have seamless access to finance. The company offers quick loans at low interest rates, short-time approval, no paperwork, and easy repayment, enabling clients to access business loans and tools to grow operations.</t>
  </si>
  <si>
    <t>Alchemist Accelerator, Baobab Network</t>
  </si>
  <si>
    <t>www.lendha.com</t>
  </si>
  <si>
    <t>82428-04</t>
  </si>
  <si>
    <t>Lendi (Consumer Finance)</t>
  </si>
  <si>
    <t>Developer of an online home loan platform designed to make loan processes fast and simple. The company's solution brings together smart technology and home loan specialist advice on its platform and offers renovation loans, home equity loans, and refinancing services, enabling borrowers to compare and select loans according to their financing needs.</t>
  </si>
  <si>
    <t>www.lendi.com.au</t>
  </si>
  <si>
    <t>118457-56</t>
  </si>
  <si>
    <t>Lending Loop</t>
  </si>
  <si>
    <t>Developer of a peer-to-peer lending platform designed to connect Canadians with small businesses in need of capital. The company's platform offers an online marketplace with automated credit assessments, direct access to unsecured business loans, and integrated banking features, enabling individual and institutional lenders to support Canadian entrepreneurs while earning fixed-income returns.</t>
  </si>
  <si>
    <t>Aurum Holdings, Conconi Growth Partners, Good News Ventures, Graphite Ventures, Kirsh Group, Laurier Startup Fund, Luge Capital, MaRS Investment Accelerator Fund, Mistral Venture Partners, Rogue Insight Capital, Vladimir Gidirim, Wedbush Ventures</t>
  </si>
  <si>
    <t>www.lendingloop.ca</t>
  </si>
  <si>
    <t>222969-07</t>
  </si>
  <si>
    <t>LendingUSA</t>
  </si>
  <si>
    <t>Developer of a lending platform intended to offer point-of-need financing services to merchants. The company's platform facilitates point-of-need consumer financing using a proprietary lending technology that leverages fraud detection techniques to pre-approve loans quickly, enabling customers of specialty markets to access the tools and training they need to easily and efficiently maximize financing approvals.</t>
  </si>
  <si>
    <t>www.lendingusa.com</t>
  </si>
  <si>
    <t>483769-99</t>
  </si>
  <si>
    <t>Lendiron</t>
  </si>
  <si>
    <t>Developer of a fintech platform designed to provide firms with enterprise-grade security, reliability, and performance. The company's platform offers a buy now pay later feature, connects e-commerce merchants with credit and channel partners at the point of sale, offers loan portfolio management, financial regulations, invoicing, smart payments, and back-office support functions, enabling merchants to finance, manage, and automate transactions.</t>
  </si>
  <si>
    <t>Founders' Edge, Qatar FinTech Hub Wave</t>
  </si>
  <si>
    <t>www.lendiron.com</t>
  </si>
  <si>
    <t>434181-88</t>
  </si>
  <si>
    <t>Lendo (Specialized Finance)</t>
  </si>
  <si>
    <t>Provider of peer-to-peer lending services intended to help small and medium enterprises pre-finance their invoices. The company offers an alternative to regular short-term finance by borrowing money against outstanding invoices and individual lending through individuals as well as provides investment tracking services through an application, enabling businesses and individuals to meet short-term and working capital needs.</t>
  </si>
  <si>
    <t>500 Global, AB Ventures, Derayah Ventures, Google Accelerator, Sanabil Investments, Seedra Ventures, Sharaka Capital, Shorooq Partners</t>
  </si>
  <si>
    <t>www.lendo.sa</t>
  </si>
  <si>
    <t>517052-98</t>
  </si>
  <si>
    <t>LendView</t>
  </si>
  <si>
    <t>Developer of a SaaS lending management platform designed to simplify loan processing. The company's platform provides digital onboarding, unified data from different banks, analytics, and automated artificial intelligence underwriting, processes more loans in less time, and gains powerful insights across the portfolio, enabling lenders' end-to-end systems for construction.</t>
  </si>
  <si>
    <t>Forum Ventures, Right Side Capital Management</t>
  </si>
  <si>
    <t>www.lendview.com</t>
  </si>
  <si>
    <t>707379-67</t>
  </si>
  <si>
    <t>lerian</t>
  </si>
  <si>
    <t>Developer of a financial platform designed to enable secure, scalable, and robust management of high-volume transactions. The company offers cutting-edge software architecture, extensive technical expertise, and a commitment to open-source development, enabling companies and developers to optimize infrastructure within the financial services sector.</t>
  </si>
  <si>
    <t>BluStone, BoostLAB, Crivo, Kevin Efrusy, Maya Capital (Brazil), Norte Ventures, Quartz (Brazil), Supera Capital</t>
  </si>
  <si>
    <t>www.lerian.studio</t>
  </si>
  <si>
    <t>234499-51</t>
  </si>
  <si>
    <t>Let's Grant</t>
  </si>
  <si>
    <t>Developer of a money lending platform designed to simplify applying for and receiving a loan. The company's platform provides an online marketplace to offer personal loans, enabling borrowers to access credit in a fast and flexible way and lenders to get an additional source of income with minimal operational expenses.</t>
  </si>
  <si>
    <t>www.letsgrant.com</t>
  </si>
  <si>
    <t>88984-72</t>
  </si>
  <si>
    <t>letus</t>
  </si>
  <si>
    <t>FinTech, Mobile, Real Estate Technology, TMT</t>
  </si>
  <si>
    <t>Developer of a cloud platform designed to simplify rent payments. The company's platform makes rent payment simple with recurring or one-time payments, keeps track of payment history, and offers reward points on credit card payments, enabling property managers and owners to make their tenants pay rent and condominium fees using a credit card, debit card or direct debit from any location and increase efficiency.</t>
  </si>
  <si>
    <t>Ayrshire Group, C100 (Commercial Services), Canadian Technology Accelerator, Conservice, Matthew Carlson, Praveen Varshney, REACH, Rob Zwick, Ruby Ventures, Rudi Airisto, Second Century Ventures, Tribune Capital (Asset Management), TriView Capital</t>
  </si>
  <si>
    <t>www.let.us</t>
  </si>
  <si>
    <t>185139-82</t>
  </si>
  <si>
    <t>Leva</t>
  </si>
  <si>
    <t>Developer of a digital private markets syndication platform designed to facilitate co-investment structuring and portfolio administration. The company's platform offers investment vehicle setup, digital onboarding, commitment collection, deal execution tools, and portfolio tracking features, enabling venture capitalists, angel networks, private equity firms, family offices, and asset managers to manage syndicated investments with streamlined administration and structured governance.</t>
  </si>
  <si>
    <t>K Capital Ventures</t>
  </si>
  <si>
    <t>www.leva.pe</t>
  </si>
  <si>
    <t>512977-96</t>
  </si>
  <si>
    <t>Levannta</t>
  </si>
  <si>
    <t>Provider of digital financing and revenue-based lending services intended for businesses with recurring revenue operations. The company's platform converts future revenues and payment flows into upfront capital, supports digital onboarding and credit evaluation, and offers flexible repayment structures linked to business performance, enabling startups and SMEs to access working capital without traditional lending processes.</t>
  </si>
  <si>
    <t>Endeavor Chile, Manutara Ventures, Option Venture Studio, Pablo Cisternas, Pablo Verdugo, Start-Up Chile</t>
  </si>
  <si>
    <t>www.levannta.com</t>
  </si>
  <si>
    <t>565568-38</t>
  </si>
  <si>
    <t>Level (Kampala)</t>
  </si>
  <si>
    <t>Developer of a digital investment platform intended to empower people worldwide to invest confidently in Africa. The company's platform offers a wide range of investing options, such as treasury bonds for stable return, unit trusts to invest in a professionally managed portfolio of stocks, bonds, and other assets, fixed-income assets like corporate bonds, asset-backed securities, and more, enabling investors to build a portfolio and secure, high-return investments.</t>
  </si>
  <si>
    <t>Renew Capital</t>
  </si>
  <si>
    <t>www.level.africa</t>
  </si>
  <si>
    <t>462725-65</t>
  </si>
  <si>
    <t>LevelFields</t>
  </si>
  <si>
    <t>Operator of the research automation platform intended to help investors make more informed investment decisions. The company's artificial intelligence-based platform provides event extraction from unstructured data and then pairs that with real-time market pricing and company financials to enable rapid discovery of information, uses statistical analysis and machine learning derivations of incoming and past market events without relying on technical chart indicators, enabling individuals and professional investors to have consistent returns with reduced risk.</t>
  </si>
  <si>
    <t>Charleston Angel Partners, GP Ventures+, New Dominion Angels, Virginia Innovation Partnership Corporation, Virginia Venture Partners, Witz Ventures</t>
  </si>
  <si>
    <t>www.levelfields.ai</t>
  </si>
  <si>
    <t>489958-93</t>
  </si>
  <si>
    <t>Levenue</t>
  </si>
  <si>
    <t>Developer of a revenue-based financing platform designed to allow businesses to request and receive funding. The company's platform allows one to request and quickly get funds, invest in short-term fixed income, and also provides growth insights related to the company's metrics, enabling clients to get an alternative to finance business growth without compromising control.</t>
  </si>
  <si>
    <t>Freshmen, Seeder Fund, Truffle Capital</t>
  </si>
  <si>
    <t>www.levenue.com</t>
  </si>
  <si>
    <t>493727-05</t>
  </si>
  <si>
    <t>Leverest</t>
  </si>
  <si>
    <t>Developer of a software-as-a-service platform designed to connect investors, lenders, and advisors. The company's platform helps investors in finance acquisitions and leveraged buyouts and manages the entire, complex process from lender selection and approach through due diligence and questions and answers to term negotiation and documentation, enabling clients to access the debt financing process and digitizing investment banking services.</t>
  </si>
  <si>
    <t>BMH Beteiligungs-Managementgesellschaft Hessen, Lakeside Invest &amp; Consult, TechQuartier</t>
  </si>
  <si>
    <t>leverest.net</t>
  </si>
  <si>
    <t>1153718-65</t>
  </si>
  <si>
    <t>Levery</t>
  </si>
  <si>
    <t>Developer of a compliant decentralized finance infrastructure designed for institutional digital asset exchange and management purposes. The company's platform offers on-chain transaction execution, automated market making, real-time compliance checks, including identity and anti-money laundering verification, dynamic fee optimization, integration with decentralized oracles, multisignature wallet support, audit-ready reporting, and financial-grade application programming interfaces, enabling regulated financial institutions and banks to securely manage, trade, and settle digital assets while maintaining operational transparency and regulatory compliance.</t>
  </si>
  <si>
    <t>Atrium Academy, Loyal VC</t>
  </si>
  <si>
    <t>www.levery.io</t>
  </si>
  <si>
    <t>664564-78</t>
  </si>
  <si>
    <t>Levl (Financial Services)</t>
  </si>
  <si>
    <t>Developer of a payment platform designed to build an efficient money transfer infrastructure. The company offers storage and conversion of currencies and a payment transfer facility, enabling businesses to send and receive payments instantly across the globe.</t>
  </si>
  <si>
    <t>Blockchain Builders Fund, CMCC Global, Deus X Capital, FalconX Delta, Galaxy Digital (New York), Galaxy Ventures, OpenFX, Protagonist Management, Stanford Blockchain Accelerator, Titan Fund, Variant (Brooklyn)</t>
  </si>
  <si>
    <t>www.levl.ch</t>
  </si>
  <si>
    <t>510137-02</t>
  </si>
  <si>
    <t>Levr.ai</t>
  </si>
  <si>
    <t>Developer of an online financial software designed to simplify, accelerate and manage the process of applying for a business loan. The company's software offers built-in templates and directories that support businesses in finding or creating the information requested to fund a loan and stores sensitive financial and business documents securely and privately with the ability to add, limit and revoke as needed, enabling businesses to upload, organize, track and discuss all the documentation required to obtain a business loan in one place and get the funding they need.</t>
  </si>
  <si>
    <t>AC100 Ventures, Colopl Next, Emily Davies, Mavan Capital Partners, Paul Podolny, Plug and Play Tech Center, Red Thread Ventures, Ripple Ventures, Sprout Fund, Teal Linde, Weave VC, WUTIF Capital</t>
  </si>
  <si>
    <t>www.levr.ai</t>
  </si>
  <si>
    <t>266624-65</t>
  </si>
  <si>
    <t>Lianyin Technology</t>
  </si>
  <si>
    <t>Developer of credit, risk management software designed to serve enterprises and the financial services industry. The company's software enables lenders to track their micro-financing and automobile loans, and manage risk throughout the entire borrowing horizon.</t>
  </si>
  <si>
    <t>V Star Capital, Zhejiang Huarui Holdings</t>
  </si>
  <si>
    <t>www.lianyinkeji.cn</t>
  </si>
  <si>
    <t>121877-83</t>
  </si>
  <si>
    <t>LifeHub (Educational Software)</t>
  </si>
  <si>
    <t>Artificial Intelligence &amp; Machine Learning, EdTech, FinTech, Mobile, SaaS, TMT</t>
  </si>
  <si>
    <t>Operator of a financial literacy and education platform intended to create measurable value and impact in the lives of children. The company's platform focuses on experiential learning techniques to build positive, lifelong behaviors and skills around financial, entrepreneurship, and career development education to analyze and measure children's learning progress and performance, and all that is displayed on easy-to-read and visually appealing dashboards for children, parents, educators, and mentors, enabling children to build earning and income generation skills and grow into responsible and independent adults.</t>
  </si>
  <si>
    <t>Embarc Collective, Plug and Play Tech Center, Vellano Investment</t>
  </si>
  <si>
    <t>www.lifehubeducation.com</t>
  </si>
  <si>
    <t>256618-18</t>
  </si>
  <si>
    <t>LightFi India</t>
  </si>
  <si>
    <t>Developer of a digital lending platform designed to disburse loans smoothly. The company's platform provides seamless and scalable integration and automates the process and furnishes configurable workflow management, enabling borrowers to increase operational efficiency.</t>
  </si>
  <si>
    <t>Anicut Capital, Kube VC, Magendra Negi, Mohan Karuppiah, Ramanathan RV, Upekkha, Vel Tech Technology Incubator</t>
  </si>
  <si>
    <t>www.cloudbankin.com</t>
  </si>
  <si>
    <t>230611-69</t>
  </si>
  <si>
    <t>Likvido</t>
  </si>
  <si>
    <t>Developer of a receivables management platform designed to automate invoicing, payment tracking, and debt collection processes. The company's platform offers automatic payment posting, personalized payment reminders across multiple channels, real-time debtor insights, and integrated debt collection features, enabling small and medium businesses to manage outstanding payments efficiently and improve cash flow visibility.</t>
  </si>
  <si>
    <t>Accelerace, Canute, Danny Malkowski, Denmark's Export and Investment Fund, Lars Neupart, Nicolaj Nielsen, PSV (Denmark), SEED Capital (Copenhagen), Syddansk Innovation</t>
  </si>
  <si>
    <t>www.likvido.com</t>
  </si>
  <si>
    <t>222572-98</t>
  </si>
  <si>
    <t>Lillio</t>
  </si>
  <si>
    <t>EdTech, LOHAS &amp; Wellness, Mobile, SaaS</t>
  </si>
  <si>
    <t>Developer of a childcare technology platform designed to inform and engage parents about their children's well-being, learning, and development. The company's software provides alternatives for childcare programs to plan lessons, document children's development, share updates with families, and accept tuition payments, enabling parents to stay updated about their children via real-time emails and updates using the mobile application.</t>
  </si>
  <si>
    <t>Bain Capital Double Impact, BDC Capital, C100 (Commercial Services), MaRS Discovery District, Round13 Capital, The Lazaridis Institute, Westhaver Partners</t>
  </si>
  <si>
    <t>www.lillio.com</t>
  </si>
  <si>
    <t>172209-43</t>
  </si>
  <si>
    <t>Lime Financials</t>
  </si>
  <si>
    <t>Developer of a trading tool designed to combine brokerage services and modern technologies from various industries. The company's tool features a fully customizable application programming interface, as well as a corporate development page that alerts traders to any news from the business they have invested in, enabling traders to transmit and modify orders seamlessly while using all the features of the US stock exchanges.</t>
  </si>
  <si>
    <t>FinSight Ventures</t>
  </si>
  <si>
    <t>www.lime.co</t>
  </si>
  <si>
    <t>551727-55</t>
  </si>
  <si>
    <t>Lina (Financial Software)</t>
  </si>
  <si>
    <t>Developer of a financial infrastructure designed for open banking, finance, and insurance data. The company focuses on the secure and intelligent sharing of data and services across different segments and industries through its technology, enabling clients to transform their digital journey and boost their development.</t>
  </si>
  <si>
    <t>MSW Capital, RTM (IT Consulting and Outsourcing)</t>
  </si>
  <si>
    <t>www.linaopenx.com.br</t>
  </si>
  <si>
    <t>597498-22</t>
  </si>
  <si>
    <t>Linc Payments</t>
  </si>
  <si>
    <t>Developer of a fintech startup based in New Castle, Delaware. The company focuses on payments in underserved verticals, providing flexible and dynamic payment products and terms, enabling businesses to optimize cash flow, profitability, and growth.</t>
  </si>
  <si>
    <t>1121.vc, Amplify.LA, RedBlue Capital, The Fintech Fund</t>
  </si>
  <si>
    <t>www.lincfi.com</t>
  </si>
  <si>
    <t>608446-54</t>
  </si>
  <si>
    <t>Linguard Labs</t>
  </si>
  <si>
    <t>Developer of a B2B payments platform intended to meet the demands of the modern financial system. The company's platform offers modular payment solutions and products that simplify payment orchestration, automate and accelerate payouts and deliver financial autonomy, enabling institutions to unlock trapped value, streamline operations, and embed trust at the core of every transaction.</t>
  </si>
  <si>
    <t>www.linguardlabs.com</t>
  </si>
  <si>
    <t>515314-00</t>
  </si>
  <si>
    <t>Lingyu Technology</t>
  </si>
  <si>
    <t>Developer of an online financing analysis platform designed for governments and banks. The company uses cloud computing, artificial intelligence and other big data technologies, enabling financial institutions to better control default risk.</t>
  </si>
  <si>
    <t>GP Capital (Shanghai)</t>
  </si>
  <si>
    <t>www.lingyudt.com</t>
  </si>
  <si>
    <t>443004-67</t>
  </si>
  <si>
    <t>Link Investment Management</t>
  </si>
  <si>
    <t>Developer of investment management software designed to prepare financial wellness benefit plans. The company's cloud-based software assists in the administration, execution, and reporting of defined contribution pension plans, group retirement savings plans, employee share purchase plans, multi-employer pension plans, group tax-free savings accounts, and employee stock option plans, enabling employers to establish, manage, and maintain a financial wellness program for their employees.</t>
  </si>
  <si>
    <t>Adventure Capital (Canada), BMO Financial Group, Canaccord Genuity</t>
  </si>
  <si>
    <t>www.link-plans.com</t>
  </si>
  <si>
    <t>279523-99</t>
  </si>
  <si>
    <t>LinkAja</t>
  </si>
  <si>
    <t>Operator of a mobile payment platform designed to facilitate smoother financial transactions. The company's platform is an integrated e-wallet service focusing on meeting people's essential needs, enabling users to get online transactions, and governments to encourage increased financial inclusion and the success of the national non-cash movement.</t>
  </si>
  <si>
    <t>Asuransi Jiwasraya, Bank Negara Indonesia, BRI Ventures, Danareksa, Gojek, Grab Holdings, Jasa Marga (Persero), Mandiri Capital Indonesia, Mitsui &amp; Co, PT Kereta Api Indonesia, Telkomsel</t>
  </si>
  <si>
    <t>www.linkaja.id</t>
  </si>
  <si>
    <t>155827-00</t>
  </si>
  <si>
    <t>Linkapital</t>
  </si>
  <si>
    <t>Provider of financial credit services intended to mitigate investment risk. The company specializes in contributing financial liquidity by subsiding capital pressure to contribute in a subordinated quota through a credit analysis process, enabling small and medium-sized companies to improve their operational capacity with minimal risk.</t>
  </si>
  <si>
    <t>Augme Capital Resource Management, Darwin Startups, SRM Ventures, Torq (Brazil)</t>
  </si>
  <si>
    <t>www.linkapital.com.br</t>
  </si>
  <si>
    <t>277465-78</t>
  </si>
  <si>
    <t>Linkfin Technology</t>
  </si>
  <si>
    <t>Provider of credit risk management services intended to assist financial institutions with data processing. The company's platform integrates intelligent risk control, precision marketing and technology operations, enabling financial institutions and banks to automate retail loan processes and manage automotive finance portfolios through secure data processing and automated credit approval systems.</t>
  </si>
  <si>
    <t>BAI Capital, JD Digits, Tencent Investment</t>
  </si>
  <si>
    <t>www.linkfin-tech.com</t>
  </si>
  <si>
    <t>433147-24</t>
  </si>
  <si>
    <t>Linxe</t>
  </si>
  <si>
    <t>Developer of a financial service platform designed to provide funding to small businesses. The company's platform offers the option to sign up and select the amount of funding required by signing a virtual contract and then receiving money, enabling unbanked individuals to gather funds for their small businesses.</t>
  </si>
  <si>
    <t>Arrebol Capital, Expert DOJO, Founder Institute, Loyal VC, Techstars</t>
  </si>
  <si>
    <t>www.linxe.com</t>
  </si>
  <si>
    <t>431197-39</t>
  </si>
  <si>
    <t>Linxfour</t>
  </si>
  <si>
    <t>Cryptocurrency/Blockchain, FinTech, Internet of Things, SaaS</t>
  </si>
  <si>
    <t>Developer of a financing platform designed to provide data integrity for manufacturing projects across the internal and external production chain. The company's platform offers an equipment-as-a-service business model that helps its customers to increase their sales. measures the productivity, and current progress on all production lines for each product and component through the entire supply and chain between all participants, enabling companies to gain insights and increase machine sales.</t>
  </si>
  <si>
    <t>Accent Gründerservice, CCAP Investments &amp; Advisory, Kinled Holding, Klaus Kleinfeld, Markus Buncsak, Patrick Aisher, Rolf Steffens, SICTIC</t>
  </si>
  <si>
    <t>www.linxfour.com</t>
  </si>
  <si>
    <t>223029-01</t>
  </si>
  <si>
    <t>Lion Rock FinTech</t>
  </si>
  <si>
    <t>Provider of a financial service platform intended to offer personalized professional financial services in Hong Kong. The company's financial service platform engages in a wide variety of financial products, financial news, robo-advisory services and asset allocation services, enabling investors receive comprehensive information on wealth management products.</t>
  </si>
  <si>
    <t>9F Group, Marathon Venture Partners, Yirendai</t>
  </si>
  <si>
    <t>519708-34</t>
  </si>
  <si>
    <t>Liqi (Financial Software)</t>
  </si>
  <si>
    <t>Operator of a financial services platform designed for small and medium-sized businesses. The company's platform provides funding services to SMB companies in a very short period with no applications and a fast check, enabling businesses to pay according to the performance of their revenues.</t>
  </si>
  <si>
    <t>www.liqi.it</t>
  </si>
  <si>
    <t>158366-71</t>
  </si>
  <si>
    <t>LIQUID eKYC</t>
  </si>
  <si>
    <t>Artificial Intelligence &amp; Machine Learning, Big Data, FinTech, Internet of Things, Real Estate Technology</t>
  </si>
  <si>
    <t>Developer of a digital identity verification platform designed to provide secure online identity verification using phones and computer cameras. The company offers an online identity verification service that utilizes biometrics, image analysis and machine learning technologies, enabling government, financial, retail, real estate, theme parks and hospitals with speed authentication through an original biometric search engine.</t>
  </si>
  <si>
    <t>www.liquidinc.asia</t>
  </si>
  <si>
    <t>326888-65</t>
  </si>
  <si>
    <t>LiquidFi</t>
  </si>
  <si>
    <t>Developer of a blockchain technology platform intended to create and manage digital assets backed by traditional loans. The company's platform connects the current loan ecosystem to a new type of information infrastructure, enabling users to enhance transparency and efficiency by creating a collaborative system of record for all data, documents, and payment information securely written to a blockchain.</t>
  </si>
  <si>
    <t>RWT Horizons</t>
  </si>
  <si>
    <t>www.liquidfi.io</t>
  </si>
  <si>
    <t>431280-91</t>
  </si>
  <si>
    <t>Liquidity Digital</t>
  </si>
  <si>
    <t>Operator of a digital ecosystem intended for private capital markets. The company's platform is blockchain agnostic, supporting the issuance and lifecycle management of programmable digital securities, offering features such as smart contracts, deal syndication, and global distribution, enabling institutional investors to access enhanced liquidity and streamlined due diligence processes.</t>
  </si>
  <si>
    <t>Transform Investments</t>
  </si>
  <si>
    <t>www.liquidity.digital</t>
  </si>
  <si>
    <t>1257862-15</t>
  </si>
  <si>
    <t>Lira AI</t>
  </si>
  <si>
    <t>Developer of artificial intelligence workforce technology designed to improve operational efficiency in financial advisory practices. The company's platform automates research, client inquiries, meeting preparation, financial plan execution, and administrative management, enabling financial advisors to reduce overhead, scale their practices more effectively, and enhance planning outcomes within the broader wealth management industry.</t>
  </si>
  <si>
    <t>Maccabee Ventures, Work-Bench</t>
  </si>
  <si>
    <t>www.getlira.ai</t>
  </si>
  <si>
    <t>607981-33</t>
  </si>
  <si>
    <t>LitFinancial</t>
  </si>
  <si>
    <t>Operator of a mortgage lending platform intended to offer various loan options, including brokered rates, refinancing options, and different loan types. The company lets borrowers navigate the loans for home lending and provides broker-enhanced mortgages, enabling borrowers to choose the loan that suits their needs.</t>
  </si>
  <si>
    <t>Draper Goren Blockchain</t>
  </si>
  <si>
    <t>www.litfinancial.com</t>
  </si>
  <si>
    <t>470444-77</t>
  </si>
  <si>
    <t>Liti Capital</t>
  </si>
  <si>
    <t>Operator of an investment firm intended to provide litigation funding services that operate on the blockchain. The company buys litigation assets to fund lawsuits and then assists the plaintiff in winning the case by tokenizing shares and lowering the barrier of entry for retail investors, enabling investors to engage in the litigation finance market in a simplified way.</t>
  </si>
  <si>
    <t>GDA Capital, GDA Investments</t>
  </si>
  <si>
    <t>www.liticapital.com</t>
  </si>
  <si>
    <t>490690-90</t>
  </si>
  <si>
    <t>Littio</t>
  </si>
  <si>
    <t>Developer of a financial application designed to protect money without any hidden costs. The company's application manages its finances in a stable currency, sends and receives international payments seamlessly, and potentially grows its wealth through dollar-denominated investments, mitigating the risks associated with currency devaluation, enabling users to generate returns in digital dollars.</t>
  </si>
  <si>
    <t>166 2nd Financial Services, 1Confirmation, Adam Neumann, Circle Ventures (Boston), First Check Ventures, Global Founders Capital, Goodwater Capital, JAM Fund, Justin Mateen, Koyamaki, Kube VC, Kukua Ventures, Liquid 2 Ventures, Orange DAO, Singularity Capital, Social Graph Ventures, Strong Ventures, Taisu Ventures, Y Combinator</t>
  </si>
  <si>
    <t>www.littio.co</t>
  </si>
  <si>
    <t>533159-83</t>
  </si>
  <si>
    <t>Little Buffet</t>
  </si>
  <si>
    <t>Operator of the investment portfolio management platform intended to help individuals create and manage their investment portfolios. The company's platform provides a variety of features to help individuals make informed investment decisions, enabling individuals to create and manage their investment portfolios more effectively, regardless of their investment experience or knowledge.</t>
  </si>
  <si>
    <t>COMEUP STARS, Sopoong, Tech Incubator Program for Startup, The Next Unicorn Investment Association, TheVentures Company</t>
  </si>
  <si>
    <t>www.littlebuffett.com</t>
  </si>
  <si>
    <t>522477-10</t>
  </si>
  <si>
    <t>Little Wallet</t>
  </si>
  <si>
    <t>Developer of a financial application designed for money management. The company's application offers multi-currency debit cards for overseas usage, money fundamentals like budget, save, spend, earn, give and virtual currency experience or rewards, enabling children to learn about financial concepts and parents with flexible control through security monitoring and parental controls.</t>
  </si>
  <si>
    <t>Tech in Asia, Tikaani Partners</t>
  </si>
  <si>
    <t>www.littlewallet.co</t>
  </si>
  <si>
    <t>557004-52</t>
  </si>
  <si>
    <t>LittleFish</t>
  </si>
  <si>
    <t>Developer of a fintech infrastructure platform designed to support merchant services and payment operations for financial institutions. The company's platform offers payment processing, digital onboarding, compliance checks, workflow automation, and merchant engagement tools, enabling banks to manage merchant acquisition and expand financial services.</t>
  </si>
  <si>
    <t>Flourish Ventures, GSB Solution Space, Partech, Proparco, TLcom Capital</t>
  </si>
  <si>
    <t>www.littlefishapp.com</t>
  </si>
  <si>
    <t>471103-75</t>
  </si>
  <si>
    <t>Livegage</t>
  </si>
  <si>
    <t>Developer of a mortgage management platform intended to simplify mortgages for homeowners. The company's platform offers an artificial intelligence portal and mobile app that significantly increases borrower engagement, reduces incoming call volume, and improves recapture and patent-pending natural language processing based document analyzer innovates compliance management and regulatory guideline management through the power of AI, enabling mortgage service providers to streamline operations and homeowners to build financial security and a strong financial foundation.</t>
  </si>
  <si>
    <t>Cedar Street Ventures</t>
  </si>
  <si>
    <t>www.livegage.ai</t>
  </si>
  <si>
    <t>267503-14</t>
  </si>
  <si>
    <t>LivFin</t>
  </si>
  <si>
    <t>Developer of a loan management platform designed to provide invoice financial services for SME businesses through short-term business loans. The company's platform offers various services that include small business loans, supply chain finance, purchase invoice finance, sales invoice finance, and collateral-free credit, enabling clients to easily procure working capital for critical operations.</t>
  </si>
  <si>
    <t>Ncubate Capital Partners, RM Secured Direct Lending</t>
  </si>
  <si>
    <t>www.livfin.com</t>
  </si>
  <si>
    <t>110997-10</t>
  </si>
  <si>
    <t>liwwa</t>
  </si>
  <si>
    <t>Operator of a peer-to-peer lending platform intended to build substantial opportunities for people in the MENA region and beyond. The company's platform connects borrowers to investors and facilitates capital access for small businesses, enabling owners to raise money to buy assets and helping investors to lend money for a profit.</t>
  </si>
  <si>
    <t>500 Global, Bank al Etihad, BeyondCapital, Chris Larsen, DASH Ventures, DEG, Edgo VC, Engineering &amp; Development Group, FMO Entrepreneurial Development Bank, Harvard Innovation Launch Lab, Hermes and Egypt Ventures, SANAD Fund, Silicon Badia, Wamda Capital</t>
  </si>
  <si>
    <t>liwwa.com</t>
  </si>
  <si>
    <t>433845-91</t>
  </si>
  <si>
    <t>Lizza</t>
  </si>
  <si>
    <t>Artificial Intelligence &amp; Machine Learning, E-Commerce, Marketing Tech, Mobile</t>
  </si>
  <si>
    <t>Developer of a digital marketplace and collaboration tool designed for marketing and commercial purposes. The company's platform integrates an automated system to connect e-commerce brands with social media influencers and has features such as a searchable creator database, campaign management dashboards, performance tracking analytics, and specialized digital storefronts, enabling direct-to-consumer businesses to scale their advertising efforts through user-generated content and creators with streamlined tools to monetize their online presence and audience engagement.</t>
  </si>
  <si>
    <t>4Founders Capital, Iluminar Ventures, Kima Ventures, Michael Pennington, Nut VC, Speedinvest, The Ark Fund, Werk 1, Y Combinator</t>
  </si>
  <si>
    <t>www.lizza.link</t>
  </si>
  <si>
    <t>484189-93</t>
  </si>
  <si>
    <t>LNDDO</t>
  </si>
  <si>
    <t>Developer of a digital lending platform designed to provide working capital to small and medium-sized enterprises. The company's platform offers a tailor-made financial product that is ideal for merchants with consistent card settlements and short-term funding requirements, enabling businesses to streamline the process of getting business loans.</t>
  </si>
  <si>
    <t>H.H Sheikh Tahnoon Al Nahayan, Venture Garage</t>
  </si>
  <si>
    <t>www.lnddo.com</t>
  </si>
  <si>
    <t>227667-88</t>
  </si>
  <si>
    <t>Loan Ecosystem Online</t>
  </si>
  <si>
    <t>Developer of a loan syndication platform designed to streamline the process of loan sales. The company's tool provides access to loan listings, facilitates browsing of non-confidential loan details, requests access to the loan, processes and analyzes loan and company information, and helps in purchasing loans, enabling domestic institutional lenders to easily discover deals and timely share information.</t>
  </si>
  <si>
    <t>www.loaneco.net</t>
  </si>
  <si>
    <t>1325112-13</t>
  </si>
  <si>
    <t>Loan Engine</t>
  </si>
  <si>
    <t>Developer of online business financing brokerage services designed for connecting small and medium-sized enterprises with lending institutions. The company's platform collects applicant financial data through digital forms, applies automated eligibility assessments and credit profiling tools, matches borrowers with a panel of institutional and alternative lenders, facilitates document submission and verification workflows, and supports offer comparison and communication processes, enabling small and medium-sized enterprises to identify suitable funding options, compare terms, and secure working capital or growth financing through a centralized digital process.</t>
  </si>
  <si>
    <t>NZ Fintech Fund</t>
  </si>
  <si>
    <t>www.loanengine.co</t>
  </si>
  <si>
    <t>442960-57</t>
  </si>
  <si>
    <t>Loan Kuber</t>
  </si>
  <si>
    <t>Operator of a digital platform intended to simplify and democratize business financing. The company's platform offers unsecured loans, working capital, loans against property, structured loans, and real-time information, enabling users to get loans against property for a better financial future.</t>
  </si>
  <si>
    <t>Aashish Pitale, Abhinav Maheshwari, AngelList India, Auxano, Inflection Point Ventures (India), LVX, MAVUCA Capital Advisors, Monika Rawat, Nitin Jain, Pankaj Vermani, Pransh Capital Partners, Prashant Tandon, Rajiv Goel, Ruchi Deepak, Sprint VC, TRTL Ventures, Venture Garage, Vinarchy, Vishal Gupta</t>
  </si>
  <si>
    <t>www.loankuber.com</t>
  </si>
  <si>
    <t>531130-15</t>
  </si>
  <si>
    <t>LoanChamp</t>
  </si>
  <si>
    <t>Operator of an online lending platform intended to provide financial services to customers. The company's platform specializes in offering credit facilities, seafarer loans, and other loans with real-time processing through big data-driven technology, enabling customers to provide affordable and convenient loans and helping them overcome cash flow problems.</t>
  </si>
  <si>
    <t>Astra Tech (Business/Productivity Software)</t>
  </si>
  <si>
    <t>www.loanchamp.ph</t>
  </si>
  <si>
    <t>459116-92</t>
  </si>
  <si>
    <t>LoanCloud</t>
  </si>
  <si>
    <t>Developer of a financial service platform designed to serve credit loan corporates. The company is mainly engaged in offering small and medium financial institutions a financial service platform that provides risk management tools, enabling credit loan corporates to operate their loan business more efficiently.</t>
  </si>
  <si>
    <t>www.loancloud.cn</t>
  </si>
  <si>
    <t>469973-44</t>
  </si>
  <si>
    <t>LoanSense</t>
  </si>
  <si>
    <t>Operator of a debt management platform intended to help borrowers reduce debt and achieve the dream of homeownership. The company's platform guides to set up goals and personalize plans to improve the debt-to-income ratio through advisory and monthly payment calculations, enabling borrowers to access financial planning, student loan servicing, and closing mortgages.</t>
  </si>
  <si>
    <t>Ann Arbor SPARK, Avalanche VC, BAMco Enterprises, Rethink Capital Partners, The American Family Insurance Institute for Corporate and Social Impact, Village Capital</t>
  </si>
  <si>
    <t>www.myloansense.com</t>
  </si>
  <si>
    <t>226632-16</t>
  </si>
  <si>
    <t>LoanWell</t>
  </si>
  <si>
    <t>Developer of an end-to-end platform designed for intake, origination, underwriting, closing, servicing, and reporting. The company's platform enables automated email follow-up to guide the borrower to application completion with a branded frontend and customizable origination process, enabling lenders to manage accounts and gather applicant information and required documents securely.</t>
  </si>
  <si>
    <t>2ndF, Audaz Capital, Collab Capital, Google Accelerator, Hunt Companies, Impact America Fund, Level Up Ventures, NC Idea, NC Tweener Fund, Open Opportunity Fund, Praxis (New York), Resilient Ventures</t>
  </si>
  <si>
    <t>www.loanwell.com</t>
  </si>
  <si>
    <t>154367-29</t>
  </si>
  <si>
    <t>Loanzen</t>
  </si>
  <si>
    <t>Provider of business financing services intended to offer loans to small companies in the logistics sector. The company's services include offering working capital loans, loans against vehicle insurance, vehicle maintenance loans and family health insurance through their platform, enabling borrowers to have access to seed capital at affordable rates and thereby acquire a commercial vehicle for their captive transportation or business.</t>
  </si>
  <si>
    <t>Guneet Singh, Kae Capital, Mahesh Parasuraman, Sachin Bhatia, Tracxn Labs, Zephyr Peacock</t>
  </si>
  <si>
    <t>www.loanzen.in</t>
  </si>
  <si>
    <t>471100-33</t>
  </si>
  <si>
    <t>Localvest</t>
  </si>
  <si>
    <t>Operator of a fundraising platform intended to provide easy access to funding for military entrepreneurs. The company helps in discovering various investment opportunities and capital to hire and build enterprises, enabling veteran-led businesses to connect with investors.</t>
  </si>
  <si>
    <t>Old Line Capital Partners, Stony Lonesome Group</t>
  </si>
  <si>
    <t>www.localvest.com</t>
  </si>
  <si>
    <t>537422-23</t>
  </si>
  <si>
    <t>Lockon</t>
  </si>
  <si>
    <t>Operator of a decentralized finance platform intended to provide low-risk, high-return investments by leveraging on-chain analysis. The company's platform offers options to suit different risk tolerances and select wallet addresses that have secured profits over the medium to long term, and build an index based on those addresses, enabling users to find profitable wallet addresses and reproduce their transactions to make a profit.</t>
  </si>
  <si>
    <t>Arisa Toyosaki, Arriba Studio, FLICKSHOT, FOUR SIS &amp; CO., Global Brain, Hyperithm, Kota Ozawa, KSK Angel Fund, Mitsui Sumitomo Kaijo Capital, Shunsuke Oyu, Xlimit, YT Venture Partners</t>
  </si>
  <si>
    <t>www.lockon.finance</t>
  </si>
  <si>
    <t>1159318-18</t>
  </si>
  <si>
    <t>Locus Technologies (Financial Software)</t>
  </si>
  <si>
    <t>Developer of an AI-payment infrastructure intended to secure financial transactions for autonomous agents. The company builds technology that connects AI agents to funds with programmable permissions, spending limits, and auditable payment tracking, enabling businesses and developers to manage agent-driven transactions safely and participate in the emerging machine economy.</t>
  </si>
  <si>
    <t>Spot VC, Y Combinator</t>
  </si>
  <si>
    <t>paywithlocus.com</t>
  </si>
  <si>
    <t>437932-36</t>
  </si>
  <si>
    <t>LogBank</t>
  </si>
  <si>
    <t>Developer of an electronic transaction platform designed for businesses to facilitate digital payments. The company offers payment arrangements, digital accounts, payment machines, credit, debit cards, and develops the White Label model for services in partnership with companies that already have an established financial ecosystem, enabling firms to increase their profitability through a fully digital interface at every stage.</t>
  </si>
  <si>
    <t>www.logbank.com.br</t>
  </si>
  <si>
    <t>1365919-48</t>
  </si>
  <si>
    <t>Lonav</t>
  </si>
  <si>
    <t>Developer of a mortgage lending platform designed to simplify, scale and power lending operations through standardized workflows. The company offers a lending ecosystem featuring an AI-powered mortgage framework and dynamic real-time forms, enabling customers to streamline the full lending lifecycle, reduce manual errors and deliver a transparent, quality experience for borrowers.</t>
  </si>
  <si>
    <t>Western Skies Partners</t>
  </si>
  <si>
    <t>lonavsolutions.com</t>
  </si>
  <si>
    <t>442887-22</t>
  </si>
  <si>
    <t>LongBridge Security</t>
  </si>
  <si>
    <t>Provider of social securities brokerage services designed for financial services. The company's businesses mainly include securities, wealth and content community, it has developed security application which integrates the Internet thinking and advanced technology with financial services, enabling the users to conduct safe and transparent securities transactions.</t>
  </si>
  <si>
    <t>Gang Wang, Lingfeng Capital, Ma Changwei, Phillip Capital, Vision Plus Capital, Zhaoxi Lu</t>
  </si>
  <si>
    <t>www.longportapp.com</t>
  </si>
  <si>
    <t>437264-11</t>
  </si>
  <si>
    <t>LonLink</t>
  </si>
  <si>
    <t>Developer of mobile payment technologies. The company is engaged in the research and development of mobile payment solutions and industry software intended to provide retail businesses with ash register system integration payment interface, member marketing, data collection, data operation and other technical services, providing a one-stop platform for retail payment.</t>
  </si>
  <si>
    <t>Suixingpay</t>
  </si>
  <si>
    <t>www.jlmss.com</t>
  </si>
  <si>
    <t>1156365-19</t>
  </si>
  <si>
    <t>Loon (Financial Software)</t>
  </si>
  <si>
    <t>Developer of a Canadian dollar-backed stablecoin platform designed to provide secure, compliant and accessible digital currency services for Canadians. The company offers CADC, a fully reserved Canadian dollar stablecoin available across multiple blockchain networks, enabling customers to transact, exchange and store digital Canadian dollars with 24/7 access, low fees and full regulatory compliance.</t>
  </si>
  <si>
    <t>Garage Capital, Version One Ventures</t>
  </si>
  <si>
    <t>www.loon.finance</t>
  </si>
  <si>
    <t>499927-24</t>
  </si>
  <si>
    <t>Loopay</t>
  </si>
  <si>
    <t>Developer of an API-based payments and collections platform designed to streamline treasury operations for companies with high transaction volumes. The company's platform centralizes domestic and cross-border payouts and collections, supports large-scale scheduled payments from a single interface, and offers multiple collection channels with automated reconciliation, enabling fintech's, logistics operators, importers, exporters, and service providers to reduce manual work, better manage FX risk, and execute faster, more transparent payments.</t>
  </si>
  <si>
    <t>500 Global, 500 Startups LatAm, GG Capital (Santiago), MGV Capital Group, Pygma</t>
  </si>
  <si>
    <t>www.loopay.com</t>
  </si>
  <si>
    <t>498094-30</t>
  </si>
  <si>
    <t>LoopingOne</t>
  </si>
  <si>
    <t>Operator of a payment platform intended to serve marketplaces for their KYC needs. The company's tool offers ID verification, initiates payouts, and helps in choosing a preferred payment provider, along with customized data to adapt as per client needs, enabling businesses to manage all of their payment partners and sellers in one place.</t>
  </si>
  <si>
    <t>Ebury, Venturerock</t>
  </si>
  <si>
    <t>www.loopingone.com</t>
  </si>
  <si>
    <t>518961-97</t>
  </si>
  <si>
    <t>Lopay</t>
  </si>
  <si>
    <t>Developer a fintech platform designed to build payment tools to empower small businesses worldwide. The company's platform specializes in payment applications to accept payments via their own mobile device, a payment sticker, or a card reader, enabling independent and small businesses to have faster and cheaper cashless transactions and receive funds instantly.</t>
  </si>
  <si>
    <t>Adfisco, ATIS Group, Backed, BCF Solutions, Exxeta Ventures, InVance Capital, Kinled Holding, Material Ventures, MGFO, Mountain Labs, Payment Loyalty, Portage, Redbus Ventures, The Venture Collective</t>
  </si>
  <si>
    <t>www.lopay.com</t>
  </si>
  <si>
    <t>742455-82</t>
  </si>
  <si>
    <t>Loto</t>
  </si>
  <si>
    <t>Developer of a centralized expense and employee incentive management platform designed to provide transparency and control over business spending. The company's platform offers artificial intelligence-powered receipt capture, customizable approval workflows, accounting system integration, corporate cards, fraud detection, and analytics, enabling companies to manage expenses and incentives efficiently, ensure policy compliance, and support operational focus.</t>
  </si>
  <si>
    <t>Crestone Venture Capital, Desygn Capital, Fen Ventures, QAPU Ventures</t>
  </si>
  <si>
    <t>lotolatam.com</t>
  </si>
  <si>
    <t>469596-70</t>
  </si>
  <si>
    <t>Lotus( Financial Software)</t>
  </si>
  <si>
    <t>Developer of a savings platform designed to help users save more money easily with a hassle-free, goal-based interface, and earn higher returns. The company's platform lets users create savings goals and set how much they want to save every month, week, or day, and features a dashboard where users can monitor their current savings and investments, enabling users to save and invest their money in local mutual funds.</t>
  </si>
  <si>
    <t>Andon Okapi, Berrywood Capital, Calm Ventures, Catalyst Fund, DFS Lab, Gaingels, Kickoff Africa, Kima Ventures, Magic Fund, MFG Invest, Resilience17, Sherpa Ventures, The Chrysalis Capital</t>
  </si>
  <si>
    <t>www.withlotus.com</t>
  </si>
  <si>
    <t>470031-04</t>
  </si>
  <si>
    <t>Low Tide Private Lending</t>
  </si>
  <si>
    <t>Provider of private lending services intended for real estate financing. The company offers short-term loans for property acquisition, renovation, and refinancing, featuring fast approvals, flexible terms, and streamlined processing, enabling builders and developers to secure capital, manage project costs, and optimize investment opportunities without the restrictions of traditional banking systems.</t>
  </si>
  <si>
    <t>www.lowtidelending.com</t>
  </si>
  <si>
    <t>243311-32</t>
  </si>
  <si>
    <t>Lower</t>
  </si>
  <si>
    <t>Developer of a home finance platform designed to help people build wealth through homeownership. The company's platform allows customers to deposit money and save for a home, get a mortgage to buy a home, refinance an existing mortgage and obtain insurance to protect their home, enabling customers to streamline the home-buying process.</t>
  </si>
  <si>
    <t>Accel, American Family Ventures, TriplePoint Capital</t>
  </si>
  <si>
    <t>www.lower.com</t>
  </si>
  <si>
    <t>551185-84</t>
  </si>
  <si>
    <t>Loyyo</t>
  </si>
  <si>
    <t>Developer of a payment-linked software designed to enhance customer lifetime value through transaction-based insights. The company platform offers automated loyalty tracking, customer identification, and digital wallet integration, enabling retailers and merchants to gain deeper customer insights, improve engagement, and drive repeat purchases.</t>
  </si>
  <si>
    <t>Startupbootcamp Holding</t>
  </si>
  <si>
    <t>www.loyyo.com</t>
  </si>
  <si>
    <t>133112-26</t>
  </si>
  <si>
    <t>LQD Business Finance</t>
  </si>
  <si>
    <t>Developer of an alternative lending software designed to offer a wider range of loans to a wider range of borrowers. The company's platform offers a financing option that exceeds the limitations of the current small business lending market, develops structured loans that can be made available to small businesses through a quick and convenient process, and approves loans through the proprietary risk management platform, enabling small businesses to get credit in a hassle-free manner.</t>
  </si>
  <si>
    <t>FinTech Ventures Fund, Route 66 Ventures</t>
  </si>
  <si>
    <t>www.lqdfinance.com</t>
  </si>
  <si>
    <t>232097-14</t>
  </si>
  <si>
    <t>LQN</t>
  </si>
  <si>
    <t>Developer of a property search engine designed to choose housing credit options. The company's platform accompanies and advises the buyer and seller throughout the search and negotiation process, provides a list of property details, and accompanies buyers in the process of acquiring credit and reducing the time from the request to its disbursement, enabling buyers and sellers to save time and money and increase the effectiveness of closing businesses.</t>
  </si>
  <si>
    <t>500 Global, 500 Startups LatAm, AVP Ventures, BlueBox Ventures, Grupo Pegasus, HubBOG, Innogen Capital Ventures, MANA Tech, Pegasus Group, Spinnaker Venture Partners, View Capital</t>
  </si>
  <si>
    <t>www.loquenecesito.co</t>
  </si>
  <si>
    <t>493553-80</t>
  </si>
  <si>
    <t>Lucent Block</t>
  </si>
  <si>
    <t>Developer of a blockchain-based digital security token platform designed to trade real estate securities. The company's platform helps to indirectly invest in small and medium-sized commercial real estate, enabling retail investors to have an opportunity for real estate ownership.</t>
  </si>
  <si>
    <t>1Q Agile Lab, BNK fintech lab, Capstone Partners Korea, ETRI Holdings, Hana Bank, Hana Financial Group, Hana Securities, Hana Ventures, IBK Changgong, Joshua Partners, KB Innovation HUB, Korea Development Bank, Korea Investment &amp; Securities, K-Run Ventures, Kumpul, Kyobo Securities, Philosophia Ventures, Quad Asset Management, Rowe Partners, Seoul National University Technology Holdings, SKTCH, SOOP (Media and Information Services), SparkLabs Group, Tech Incubator Program for Startup</t>
  </si>
  <si>
    <t>www.sou.place</t>
  </si>
  <si>
    <t>552642-22</t>
  </si>
  <si>
    <t>Lucite</t>
  </si>
  <si>
    <t>Developer of AI-powered group benefits insurance software designed to automate workflows by customizing key presentation slides to meet client needs. The company offers tools that transform insurance carrier documents into client-ready insights and presentations in seconds, enabling group benefits advisors and brokers to streamline operations by reducing manual tasks and focusing on analysis and client engagement.</t>
  </si>
  <si>
    <t>Outbound Capital, Y Combinator</t>
  </si>
  <si>
    <t>www.lucite.ai</t>
  </si>
  <si>
    <t>458670-97</t>
  </si>
  <si>
    <t>Lucky One (Financial Software)</t>
  </si>
  <si>
    <t>Developer of financial applications intended to offer credit products, sale offers, and cashback rewards. The company's application provides access to a range of credit services, discounts, and cashback rewards that can be used in person and virtually with partnered local and global brands, enabling customers to have easy access to credit and pay less for purchases.</t>
  </si>
  <si>
    <t>Algebra Ventures, Arzan Venture Capital, Banque du Caire, Banque Misr, Development Partners International, DisrupTech Ventures, Endeavor Catalyst, Global Ventures (Private Equity), Kem, Lorax Capital Partners, National Bank of Egypt, Nclude, Nour Nouf Ventures, Oman Technology Fund, One Stop Capital, PayU, Suez Canal Bank, Tofino Capital, VentureSouq</t>
  </si>
  <si>
    <t>thelucky.app</t>
  </si>
  <si>
    <t>117744-58</t>
  </si>
  <si>
    <t>Lula</t>
  </si>
  <si>
    <t>Developer of an online lending platform designed to simplify the lending process and remove cash flow stress. The company's platform offers productive funding to small and medium enterprises by leveraging technology and a proprietary algorithm to evaluate applicants and provide funding, enabling small business entrepreneurs to have access to the funds they need to grow.</t>
  </si>
  <si>
    <t>Accion, AlphaCode (South Africa), DEG, Hallmann Holding, International Finance Corporation, Lightrock, Norfund, Quona Capital, S-Quad Handels- und Beteiligungs, Team Africa Ventures, Triodos Investment Management, Umkhathi Wethu Ventures, Women's World Banking</t>
  </si>
  <si>
    <t>www.lula.co.za</t>
  </si>
  <si>
    <t>232381-54</t>
  </si>
  <si>
    <t>Luma Financial Technologies</t>
  </si>
  <si>
    <t>Developer of a financial technology platform designed to help financial advisors learn, buy, create, and track structured products and annuities. The company's platform offers automated tracking and performance reports, management of custom structures, order-entry systems, selling resources, and learning tools, catering to both corporates and their advisors, enabling clients to manage and sell structured products efficiently.</t>
  </si>
  <si>
    <t>Bank of America, BofA Securities, Morgan Stanley, Navian Capital, Sixth Street Partners, TD Bank, UBS Group</t>
  </si>
  <si>
    <t>www.lumafintech.com</t>
  </si>
  <si>
    <t>437274-82</t>
  </si>
  <si>
    <t>Lumi (Specialized Finance)</t>
  </si>
  <si>
    <t>Operator of an online financial platform intended to offer small business loans for enterprises. The company's platform uses augmenting traditional credit data to combine API accessibility with rich data sources for both loans and lines of credit, enabling applicants to avail transparent business funding.</t>
  </si>
  <si>
    <t>Alexander Funds Management, Arbel Finance, Follow [the] Seed, GUTS, Harel Insurance Investments &amp; Financial Services, Imprint Capital Partners, Josh Liberman Investment Group, Perennial Partners (Funds and Trusts), Stellan Capital</t>
  </si>
  <si>
    <t>www.lumi.com.au</t>
  </si>
  <si>
    <t>145184-32</t>
  </si>
  <si>
    <t>Lumio (Financial Software)</t>
  </si>
  <si>
    <t>Developer of risk intelligence and intuitive performance management platform designed to inform and support banking executives and boards continuously. The company helps financial services companies with enterprise risk management, credit risk management, stress testing, acquisition due diligence, governance, strategy, regulatory, and risk services, enabling companies to navigate risk and drive growth.</t>
  </si>
  <si>
    <t>Atlantic Union Bank, Decathlon Capital Partners, EJF Ventures, FINTOP (US), JAM FINTOP</t>
  </si>
  <si>
    <t>lumiosolutions.io</t>
  </si>
  <si>
    <t>435361-78</t>
  </si>
  <si>
    <t>Luna POS</t>
  </si>
  <si>
    <t>Developer of a cloud-based cashier platform designed to streamline business operations and manage sales and accounting systems. The company's platform offers features such as business analytics, inventory management, accounting system, database management, staff attendance, multi-franchise system, and financial application, enabling businesses to manage sales, finances, and customer relations efficiently while boosting productivity.</t>
  </si>
  <si>
    <t>1982 Ventures, Century Oak Ventures, Fintech Nation, Grab Ventures, Prasetia Dwidharma, Seedstars International Ventures, TNB Aura</t>
  </si>
  <si>
    <t>lunapos.id</t>
  </si>
  <si>
    <t>589734-01</t>
  </si>
  <si>
    <t>Lunash</t>
  </si>
  <si>
    <t>Developer of debt collection tools intended to serve big and small financial institutions. The company's platform uses artificial intelligence to analyze borrower data and generate personalized communication strategies and tailored insights, enabling lenders to streamline debt collection and improve recovery rates.</t>
  </si>
  <si>
    <t>Antler, Artificial Intelligence Institute for Progress, Astra Digital International, Tenity</t>
  </si>
  <si>
    <t>www.lunash.id</t>
  </si>
  <si>
    <t>442184-14</t>
  </si>
  <si>
    <t>Lune</t>
  </si>
  <si>
    <t>Developer of a financial data analytics platform designed to turn transaction data into actionable insights. The company's platform simplifies financial data and makes it easy to analyze users' spending habits better, provides carbon footprint estimates, and extracts and categorizes third-party resources, enabling clients to boost user engagement and cross-selling through personalized and timely interactions.</t>
  </si>
  <si>
    <t>Dubai Future District Fund, F6 Ventures, Future100, GrowthX Accelerator, Hub71, Mohammed Bin Rashid Innovation Fund, Plus Venture Capital, Sandooq Al-Watan, Sharjah Entrepreneurship Center</t>
  </si>
  <si>
    <t>www.lunedata.io</t>
  </si>
  <si>
    <t>1083651-67</t>
  </si>
  <si>
    <t>Lunos</t>
  </si>
  <si>
    <t>Developer of automated receivables management software designed for streamlining finance operations. The company's platform integrates with ERP and CRM systems, automates outreach and follow-ups, simplifies b2b payments, adapts communication tone and timing, consolidates accounts receivable data into a unified view, and manages customer conversations, enabling finance teams to reduce manual workload and improve collection efficiency at scale.</t>
  </si>
  <si>
    <t>Cherry Ventures, General Catalyst</t>
  </si>
  <si>
    <t>www.lunos.ai</t>
  </si>
  <si>
    <t>518233-33</t>
  </si>
  <si>
    <t>Lunr</t>
  </si>
  <si>
    <t>Operator of a trade finance platform intended to tap the full potential of a brand. The company offers a proprietary analytics dashboard and retail expertise, strategic financing, and key insights to fine-tune retail growth strategies, enabling differentiated consumer brands to set optimal funding goals and maximize financial performance.</t>
  </si>
  <si>
    <t>Mairs &amp; Power Venture Capital, NewBound Venture Capital</t>
  </si>
  <si>
    <t>www.lunrcapital.com</t>
  </si>
  <si>
    <t>711462-07</t>
  </si>
  <si>
    <t>Luo</t>
  </si>
  <si>
    <t>Developer of an overseas payment platform designed to provide fast and secure international payments. The company's platform offers real-time transaction rates, local customer support, and a focus on data security, enabling businesses to pay suppliers abroad with guaranteed proof of payment quickly.</t>
  </si>
  <si>
    <t>DFS Lab, Entrepreneurs First, MaC Venture Capital, Protagonist Management, Samos Investments, Transpose Platform Management</t>
  </si>
  <si>
    <t>www.luopay.co</t>
  </si>
  <si>
    <t>182873-35</t>
  </si>
  <si>
    <t>Luoding</t>
  </si>
  <si>
    <t>Provider of an online asset management platform for private equity firms. The company's online asset management platform covers system maintenance, customer service, operation and maintenance outsourcing, enabling clients to avail innovative product technology and quality IT services.</t>
  </si>
  <si>
    <t>Yi Capital</t>
  </si>
  <si>
    <t>www.ldtrader.com</t>
  </si>
  <si>
    <t>233359-75</t>
  </si>
  <si>
    <t>Lupu Investment</t>
  </si>
  <si>
    <t>Developer of a wealth management platform intended to optimized wealth management services. The company's platform offers services such as asset allocation optimization, asset allocation analysis, wealth advisory, risk analysis and other related services, enabling high-net-worth individuals and clients to manage and grow their wealth successfully.</t>
  </si>
  <si>
    <t>Qiming Venture Partners</t>
  </si>
  <si>
    <t>www.lupuamc.com</t>
  </si>
  <si>
    <t>606990-70</t>
  </si>
  <si>
    <t>LXME</t>
  </si>
  <si>
    <t>Operator of a fintech platform intended to promote financial freedom for women. The company's platform offers financial products, plans, and resources to assist women in taking charge of their finances, enabling female customers to have improved access to the financial products and resources required.</t>
  </si>
  <si>
    <t>Aditi Desai, Amaya Ventures, Amit Khanna, Capri Holdings, CXXO, Google Accelerator, Kalaari Capital, Yash Kela</t>
  </si>
  <si>
    <t>www.lxme.in</t>
  </si>
  <si>
    <t>494296-12</t>
  </si>
  <si>
    <t>Lynk Markets</t>
  </si>
  <si>
    <t>Developer of an investment platform designed to securitize investment funds and portfolios and connect with global investors. The company's platform streamlines and automates portfolio strategies and alternative investments processes by reducing the go-to-market lead time and increasing the efficiency of investment strategy management, enabling broker-dealers, asset managers, and investment advisors to create and distribute portfolios globally through euro-clearable securities.</t>
  </si>
  <si>
    <t>Institutional Capital Network, SaaSholic</t>
  </si>
  <si>
    <t>www.lynkcm.com</t>
  </si>
  <si>
    <t>539756-20</t>
  </si>
  <si>
    <t>Lynx Tech</t>
  </si>
  <si>
    <t>Developer of artificial intelligence-based anti-fraud and anti-money laundering products designed to predict, detect, and prevent fraud across all channels. The company's products offer various features such as behavioral monitoring, accurate scores, comprehensive protection, support and maintenance, real-time tracking, device fingerprinting, and interaction analysis-ready systems, enabling clients to fight fraud and financial crime with seamless low-risk transactions to flow through.</t>
  </si>
  <si>
    <t>Arben Ventures, Banco Santander, Forgepoint Capital</t>
  </si>
  <si>
    <t>www.lynxtech.com</t>
  </si>
  <si>
    <t>515615-77</t>
  </si>
  <si>
    <t>Lyzi</t>
  </si>
  <si>
    <t>Developer of a cryptocurrency payment application designed for facilitating transactions between crypto holders and businesses. The company's application engages in offering a tool for an innovative and intelligent loyalty program for merchants and franchises, allowing accumulate, exchange, give, and store loyalty points, trade loyalty points with their family and friends, enabling customers to take advantage of exclusive offers at their favorite retailers.</t>
  </si>
  <si>
    <t>Algorand Europe Accelerator, Christopher Grilhault des Fontaines, Jean-Luc Bernard, NYX Ventures (Los Altos), Tezos</t>
  </si>
  <si>
    <t>www.lyzi.io</t>
  </si>
  <si>
    <t>1366154-83</t>
  </si>
  <si>
    <t>M1X Global</t>
  </si>
  <si>
    <t>Developer of blockchain-based capital markets infrastructure designed to support sovereign and institutional use of digital assets. The company partners with public sector institutions to design on-chain financial instruments and coordinate legal, operational, and technological frameworks, enabling governments and institutions to issue and manage digital securities within regulated environments.</t>
  </si>
  <si>
    <t>Anatoly Yakovenko, Balaji Srinivasan, Breed VC, Daniel Robichaud, FJ Labs, Jerry Archer, Leon Marshall, Paradigm (Brokerage), Peter Dittus, Richard Gorelick, Robert Stavis, Sallie Mae, Stellar (Financial Software), Tama Churchouse</t>
  </si>
  <si>
    <t>www.m1xglobal.com</t>
  </si>
  <si>
    <t>538242-67</t>
  </si>
  <si>
    <t>M2M Capital</t>
  </si>
  <si>
    <t>Operator of a financial platform intended to meet valuations with modern transaction infrastructure. The company combines artificial intelligence-powered daily valuations with tokenized infrastructure to unlock liquidity in private markets, enabling companies that need employee and investor liquidity with institutional buyers seeking efficient private-market access.</t>
  </si>
  <si>
    <t>www.m2mcapital.com</t>
  </si>
  <si>
    <t>1161173-98</t>
  </si>
  <si>
    <t>M2Square</t>
  </si>
  <si>
    <t>Developer of a stablecoin-native financial platform designed to enable compliant, instant, and borderless payments and liquidity management for businesses. The company's platform connects stablecoin liquidity directly with local payment methods, supports global pay-in and payout in multiple currencies, provides scalable on-chain liquidity pools, and incorporates enterprise-grade compliance and KYC processes, enabling businesses to conduct cross-border transactions, optimize treasury operations, and access reliable, transparent, and cost-effective financial infrastructure for digital commerce.</t>
  </si>
  <si>
    <t>Impa Ventures</t>
  </si>
  <si>
    <t>www.m2square.xyz</t>
  </si>
  <si>
    <t>565634-62</t>
  </si>
  <si>
    <t>M3 Lending</t>
  </si>
  <si>
    <t>Developer of a fintech platform designed to connect companies and investors for funding. The company's platform offers investment and loan services to businesses searching for credit by connecting them with investors offering low-interest rates, enabling investors and companies with returns and finance respectively.</t>
  </si>
  <si>
    <t>www.m3lending.com.br</t>
  </si>
  <si>
    <t>462315-34</t>
  </si>
  <si>
    <t>Mach33</t>
  </si>
  <si>
    <t>Operator of a public space investment portal intended to provide investors with an avenue to invest in growing space startups. The company's platform reviews all the startups on the platform and gives direct access to investment deals, enabling users to invest in emerging startups and earn returns.</t>
  </si>
  <si>
    <t>Alex Fisher, Eidetic Ventures, Helios Capital (New York), Morgan Brook Capital, Stratosphere Capital, WorldQuant Ventures</t>
  </si>
  <si>
    <t>www.33fg.com</t>
  </si>
  <si>
    <t>553098-16</t>
  </si>
  <si>
    <t>MachineTrader</t>
  </si>
  <si>
    <t>Developer of an automated trading platform designed to develop strategies using low-code software. The company provides prebuilt widgets for importing real-time financial data from multiple sources, advanced charting with technical indicators, access to company reports, daily inflation metrics, and sentiment analysis from business publications and forums, enabling investors to automate processes while maintaining control over their proprietary methods.</t>
  </si>
  <si>
    <t>www.machinetrader.io</t>
  </si>
  <si>
    <t>1234148-86</t>
  </si>
  <si>
    <t>Macrocosm Group</t>
  </si>
  <si>
    <t>Developer of an advanced economic simulation technology platform designed to offer a full-scale, agent-based digital twin of the global economy. The company's platform offers a comprehensive agent-based simulation of the global economy that integrates firms, industries, markets, and risk factors within a dynamic digital twin environment, enabling clients to test scenarios, streamline operations, and get access to advanced computational techniques for the simulation of economic systems.</t>
  </si>
  <si>
    <t>Aioi Nissay Dowa Insurance, Oxford University Innovation</t>
  </si>
  <si>
    <t>www.macrocosm.group</t>
  </si>
  <si>
    <t>1325861-65</t>
  </si>
  <si>
    <t>Macropod</t>
  </si>
  <si>
    <t>Developer of a licensed stablecoin platform designed to provide a secure, transparent and regulated digital version of the Australian dollar for real-world payments and value transfer. The company offers the AUDM token, which is an Australian dollar-pegged stablecoin issued under an AFSL license and backed by physical reserves held in major Australian banks, enabling customers to settle payments in real-time, streamline treasury management and conduct 24/7 cross-border transfers with the efficiency of blockchain technology and the security of a fully regulated financial product.</t>
  </si>
  <si>
    <t>BetaShares, Digital Asset Capital Management, Flowdesk, Galaxy Digital (New York), Primal Capital</t>
  </si>
  <si>
    <t>www.macropod.com</t>
  </si>
  <si>
    <t>550943-83</t>
  </si>
  <si>
    <t>Mad Rewards</t>
  </si>
  <si>
    <t>Developer of a global rewards platform designed to engage and monetize customers' everyday shopping. The company offers rewards from global and local merchants to enhance enterprise loyalty programs and turn them from cost centers to profit-generating programs, enabling customers to earn cashback every day when shopping on thousands of the world's top online stores.</t>
  </si>
  <si>
    <t>B&amp;Y Venture Partners</t>
  </si>
  <si>
    <t>www.madrewards.com</t>
  </si>
  <si>
    <t>1081565-02</t>
  </si>
  <si>
    <t>Mada (Financial Software)</t>
  </si>
  <si>
    <t>Developer of a buy-now-pay-later platform designed to make shopping more accessible and flexible for consumers in Jordan through secure, interest-free installment payments. The company offers a seamless BNPL service that allows shoppers to pay in four interest-free installments at participating merchants, enabling customers to enjoy immediate purchases while managing their budgets more effectively without hidden fees or financial strain.</t>
  </si>
  <si>
    <t>Vision Ventures (Saudi Arabia)</t>
  </si>
  <si>
    <t>mada-bnpl.com/en</t>
  </si>
  <si>
    <t>521719-93</t>
  </si>
  <si>
    <t>MADCash</t>
  </si>
  <si>
    <t>Operator of a finance platform intended to provide micro-funding for unbanked and underbanked female micro-entrepreneurs. The company provides small loans to entrepreneurs and provides an alternative credit scoring program to enhance their future bankability, enabling customers to access the micro-funding they need to grow their businesses and improve their income and credit standing.</t>
  </si>
  <si>
    <t>Abu Dhabi Islamic Bank, Artem Ventures, BLOCK71, Endeavor Global, MSW Ventures, Plug and Play Tech Center, ScaleUp Malaysia, Seedstars, Women's Business Accelerator Programme</t>
  </si>
  <si>
    <t>www.getmadcash.com</t>
  </si>
  <si>
    <t>625944-52</t>
  </si>
  <si>
    <t>Made Card</t>
  </si>
  <si>
    <t>Provider of financial technology intended for homeowners' financial needs. The company's platform integrates a household focused credit card and mobile app with rewards on mortgage payments, home improvement, groceries, gas, EV charging and utilities, instant virtual card issuance with physical delivery, secured bank-account linking, tiered earning rates, flexible redemption options including statement credit, gift cards, cashback toward mortgage, APR buydown, built-in purchase protections, warranty extensions, price and return safeguards, and travel assistance, enabling homeowners to manage expenses, build rewards, and protect purchases through a unified homeowner centric financial tool.</t>
  </si>
  <si>
    <t>Jump Capital, Recharge Capital, Soma Capital, Village Global</t>
  </si>
  <si>
    <t>www.madecard.com</t>
  </si>
  <si>
    <t>528587-74</t>
  </si>
  <si>
    <t>Madfu</t>
  </si>
  <si>
    <t>Developer of a financial platform designed to offer buy now, pay later (BNPL) services. The company's platform provides cashback offers on selected stores with BNPL options in three installments without interest and fees, enabling customers to get the products and services of their choice in an affordable way.</t>
  </si>
  <si>
    <t>Afaq Capital</t>
  </si>
  <si>
    <t>www.madfu.com.sa</t>
  </si>
  <si>
    <t>615395-80</t>
  </si>
  <si>
    <t>Madkhol</t>
  </si>
  <si>
    <t>Developer of a robo-advisory and wealth management platform designed to optimize investments while following an investment strategy designed to maximize returns while preserving investor capital for each risk profile. The company's platform allows users to put data and information to set financial goals, build and recommend the most suitable portfolio to achieve financial goals, and execute, monitor, and manage the portfolio, enabling people to plan a secure financial future.</t>
  </si>
  <si>
    <t>Numu Angels, Seize Consulting &amp; Business Solutions Institute</t>
  </si>
  <si>
    <t>www.madkhol.com</t>
  </si>
  <si>
    <t>539923-42</t>
  </si>
  <si>
    <t>Mafhoom</t>
  </si>
  <si>
    <t>Developer of a personal finance app intended to focus on practical ways to improve financial standing. The company platform provides insight into one's spending habits, sets financial goals, and sends tailored advice to support financial decision-making, enabling users to understand their personal finances and securely plan, track their income and expenses in real time, and reach their goals.</t>
  </si>
  <si>
    <t>www.mafhoom.app</t>
  </si>
  <si>
    <t>530632-27</t>
  </si>
  <si>
    <t>Magic (Financial Software)</t>
  </si>
  <si>
    <t>Developer of a US-focused pay-by-bank platform designed to eliminate credit card fees, churn, and chargebacks. The company's platform allows customers to pay directly from their bank account through a seamless checkout experience, enabling merchants to collect low-cost, guaranteed payments while cutting out churn from card declines and preventing chargebacks.</t>
  </si>
  <si>
    <t>Alumni Ventures, General Catalyst, Goodwater Capital, Hummingbird Ventures, Orange DAO, Soma Capital, Y Combinator</t>
  </si>
  <si>
    <t>www.joinmagic.com</t>
  </si>
  <si>
    <t>803017-54</t>
  </si>
  <si>
    <t>Magic Circle (Hong Kong)</t>
  </si>
  <si>
    <t>Provider of a digital asset infrastructure platform intended to enhance global access to regulated security token offerings. The company offers compliant tokenisation platforms, integrated identity verification, and a cross-border investor network, enabling asset issuers and investors to achieve streamlined capital formation and improved financial inclusivity.</t>
  </si>
  <si>
    <t>ProDigital Future, Waterdrip Capital</t>
  </si>
  <si>
    <t>www.magic.exchange</t>
  </si>
  <si>
    <t>519718-78</t>
  </si>
  <si>
    <t>Magic Engine</t>
  </si>
  <si>
    <t>Developer of an AI decision-making platform designed for advanced analytics. The company's platform can be applied to various business scenarios such as intelligent risk control, precision marketing, customer relationship management and data operation, assisting customers to make scientific business decisions with high efficiency.</t>
  </si>
  <si>
    <t>Lixiang Capital</t>
  </si>
  <si>
    <t>www.magicengine.com.cn</t>
  </si>
  <si>
    <t>791875-45</t>
  </si>
  <si>
    <t>MagicPay</t>
  </si>
  <si>
    <t>Provider of an AI-powered integration payment service intended to simplify and unify management across multiple providers. The company offers a unified API, no-code dashboard, modular payment components such as virtual POS and digital wallets, and AI-based transaction routing and fraud detection, enabling financial institutions and e-commerce platforms to reduce complexity, enhance compliance, and operate under their own brand with scalable multi-market capabilities.</t>
  </si>
  <si>
    <t>ENA Venture Capital, TEB Girisim Evi, Visa Innovation Program, Yapı Kredi FRWRD</t>
  </si>
  <si>
    <t>www.magicpay.ai</t>
  </si>
  <si>
    <t>597022-30</t>
  </si>
  <si>
    <t>Magie</t>
  </si>
  <si>
    <t>Developer of a financial application designed to pay bills through WhatsApp. The company's artificial intelligence-powered application offers a digital bank that uses language models and manages invoices and scheduled payments through instructions and data sent via audio, image, and forwarded text messages, enabling customers to access and manage the transactions paid and received.</t>
  </si>
  <si>
    <t>AWS Startups, Canary (Brazil), Lux Capital</t>
  </si>
  <si>
    <t>www.magie.com.br</t>
  </si>
  <si>
    <t>167287-60</t>
  </si>
  <si>
    <t>Magnet Finance</t>
  </si>
  <si>
    <t>Provider of micro-finance banking services that's intended to connect clients with small enterprises looking for funding and financial services. The company's internet banking platform focuses on supplying small enterprises with loans through their supply chain finance model. Their solutions include helping financial institutions acquire customers, screen clients through due diligence and risk assessment, while also providing post-lending management.</t>
  </si>
  <si>
    <t>China Broadband Capital Partners, InnoVen Capital, MPC (Beijing), Source Code Capital, SVB Financial Group, Yunqi Partners</t>
  </si>
  <si>
    <t>www.magfin.cn</t>
  </si>
  <si>
    <t>172883-35</t>
  </si>
  <si>
    <t>MAGNiTT</t>
  </si>
  <si>
    <t>Developer of an online financial data platform designed to offer investment-related information on a subscription-based model. The company's platform helps startups seeking funding, talent, and services by leveraging its database and analytics, enabling investors, entrepreneurs, and corporates to connect and make informed investment decisions.</t>
  </si>
  <si>
    <t>500 Global, Merak Capital</t>
  </si>
  <si>
    <t>magnitt.com</t>
  </si>
  <si>
    <t>469736-02</t>
  </si>
  <si>
    <t>Magnus</t>
  </si>
  <si>
    <t>Developer of an AI-native portfolio management platform designed to support investment portfolio analysis and management. The company offers AI-driven portfolio monitoring, investment analytics, and decision-support capabilities, enabling investors and wealth management professionals to manage portfolios and make informed investment decisions.</t>
  </si>
  <si>
    <t>Accelerate Izmir, Alima Ventures BV, Bilgiyi Ticarileştirme Merkezi, HackZone Scale Up, IstCapital, Lima Ventures, Lonca Entrepreneurship Center, Mindvest VC, Nevcap, Qatar Development Bank, Qatar FinTech Hub Wave, Techventure VC, Tenity, Workup (Turkey), Yapay Zeka Fabrikasi, YFYI</t>
  </si>
  <si>
    <t>getmagnus.com</t>
  </si>
  <si>
    <t>503920-72</t>
  </si>
  <si>
    <t>Mahaana</t>
  </si>
  <si>
    <t>Operator of a wealth management platform intended for asset management. The company's platform offers money management services for retirement, education and tax savings goals by investing in various investment vehicles, enabling clients to achieve saving and investment goals.</t>
  </si>
  <si>
    <t>IGI Holdings, Mattias Martinsson, SparkLabs Group, tahir masud, VEF, Y Combinator</t>
  </si>
  <si>
    <t>www.mahaana.com</t>
  </si>
  <si>
    <t>525408-40</t>
  </si>
  <si>
    <t>Maholla</t>
  </si>
  <si>
    <t>Marketing Tech, Mobile</t>
  </si>
  <si>
    <t>Developer of a consumer rewards application intended to reward users for scanning any receipt from any store, allowing users to earn rewards. The company's application aims at rewarding shoppers in Africa for any purchase from any store and thus building a consumer rewards experience that is completely agnostic of any specific brand, retailer, and payment mechanism, enabling shoppers in Africa to earn rewards on all their spending.</t>
  </si>
  <si>
    <t>Buffet Crampon, Castleton Capital, GalloProvincialis, Mark Bowman, Praesidium Capital Management</t>
  </si>
  <si>
    <t>www.maholla.com</t>
  </si>
  <si>
    <t>1233854-11</t>
  </si>
  <si>
    <t>Mainhedge</t>
  </si>
  <si>
    <t>Developer and operator of financial technology products designed to reshape how consumers and businesses in emerging markets interact with money. The company offers bitcoin- and stablecoin-based payment rails and real-time cross-border payments infrastructure, enabling individuals, merchants, and financial institutions in emerging economies to move value globally with greater speed, lower cost, and improved accessibility.</t>
  </si>
  <si>
    <t>ego death capital, Recursive Capital (Bitcoin)</t>
  </si>
  <si>
    <t>mainhedge.com</t>
  </si>
  <si>
    <t>221826-16</t>
  </si>
  <si>
    <t>MakeCents</t>
  </si>
  <si>
    <t>Developer of a blockchain platform designed to facilitate high-volume payment transactions with little to no intermediary. The company's platform deploys the versatility of distributed ledger technology and defines several digital assets at each layer which using modern cryptographic methods, power different aspects of the platform and produce utility and provable security across the entire ecosystem, enabling clients to access their platform to send payments quickly, securely and with transparency, all at a fraction of the cost of the existing payment systems.</t>
  </si>
  <si>
    <t>DCU FinTech Innovation Center</t>
  </si>
  <si>
    <t>www.mymakecents.com</t>
  </si>
  <si>
    <t>458041-87</t>
  </si>
  <si>
    <t>Makila</t>
  </si>
  <si>
    <t>Artificial Intelligence &amp; Machine Learning, Big Data, FinTech, HR Tech</t>
  </si>
  <si>
    <t>Developer of simulation and predictive analytics platform designed to help leverage data. The company uses artificial intelligence to offer a range of services such as variable compensation, workforce, payroll management, and data management to help with finance, human resources, diversity index, and other areas, enabling clients to make informed decisions.</t>
  </si>
  <si>
    <t>Crédit Mutuel Equity</t>
  </si>
  <si>
    <t>www.makila.ai</t>
  </si>
  <si>
    <t>452712-16</t>
  </si>
  <si>
    <t>Mako Fintech</t>
  </si>
  <si>
    <t>Developer of a cloud-based financial platform designed to democratize the digitalization of wealth management. The company's platform provides each firm with an automation solution adapted to its unique workflow processes and delivers it at a lower cost, enabling issuers to reduce the risks, costs, and reliance on external proxy voting and reporting services.</t>
  </si>
  <si>
    <t>Desjardins Capital, Station FinTech Montreal, Stephen Bronfman</t>
  </si>
  <si>
    <t>www.makofintech.com</t>
  </si>
  <si>
    <t>1241113-24</t>
  </si>
  <si>
    <t>Mal (Abu Dhabi)</t>
  </si>
  <si>
    <t>Developer of a digital platform designed to streamline banking operations. The company's platform understands the goals, anticipates the needs, and helps users move through the financial world, enabling users to get an AI-native Islamic banking platform to manage their assets.</t>
  </si>
  <si>
    <t>BlueFive Capital</t>
  </si>
  <si>
    <t>www.mal.ai</t>
  </si>
  <si>
    <t>697027-24</t>
  </si>
  <si>
    <t>Mala (Business Productivity Software)</t>
  </si>
  <si>
    <t>Developer of a credit platform designed to empower businesses to access essential goods without straining their cash flow. The company offers immediate payments for suppliers, customized credit terms for buyers, data-driven insights, streamlined procurement processes, robust security measures, and support across multiple purchasing channels, enabling SMEs to enhance their operations and contribute to economic growth.</t>
  </si>
  <si>
    <t>Access Bridge Ventures, BECO Capital, D Global Ventures, M Capital(Riyadh), Nuwa Capital, Palm Ventures (Saudi Arabia), Shorooq Partners, VentureSouq, Waad Investment</t>
  </si>
  <si>
    <t>www.trymala.com</t>
  </si>
  <si>
    <t>482516-29</t>
  </si>
  <si>
    <t>Malaa</t>
  </si>
  <si>
    <t>Developer of a financial platform designed to enable personal finance management. The company's platform allows users to track expenses, monitor credit scores, connect directly with multiple bank accounts, and invest savings, enabling users to manage their finances and make informed financial decisions.</t>
  </si>
  <si>
    <t>Access Bridge Ventures, Derayah Financial, Flat6labs, Impact46, Khwarizmi Ventures, Saudi National Bank, VentureSouq, WKN</t>
  </si>
  <si>
    <t>www.malaa.tech</t>
  </si>
  <si>
    <t>482178-52</t>
  </si>
  <si>
    <t>Malcom</t>
  </si>
  <si>
    <t>Provider of invoice brokerage and bill discounting services intended to facilitate financing services in the market to underserved businesses in logistics. The company offers trucking financing by allowing users to send their invoices with other supporting documents, and also offers users access to their portfolios in time, enabling clients to get cash immediately after their invoicing and focus on leading a growing business.</t>
  </si>
  <si>
    <t>Advance Global Capital, Alesco Ventures, Atmos Ventures, Lighthouse Ventures (Prague), Tera Ventures, Zero One Hundred</t>
  </si>
  <si>
    <t>www.malcomfinance.com</t>
  </si>
  <si>
    <t>222924-70</t>
  </si>
  <si>
    <t>Mall IQ</t>
  </si>
  <si>
    <t>Developer of an indoor location-based engagement platform designed to provide actionable insights. The company's platform contains features like indoor location tracking, detailed analytics, improved setup, and behaviour-based campaigns, enabling banks, credit unions, fintech, loyalty platforms, and retailers to digitize real-time purchase intent in the physical world.</t>
  </si>
  <si>
    <t>212, 500 Global, AJI Capital, Alchemist Accelerator, e2vc, Fidelity National Information Services, Firat Isbecer, Founder Institute, Garanti BBVA Partners, Holt Xchange, INVEST ISTANBUL, Koray Kaya, Rise (London), Startupbootcamp Holding, StartX (US), The Venture Center, Visa Innovation Program</t>
  </si>
  <si>
    <t>www.malliq.com</t>
  </si>
  <si>
    <t>762594-40</t>
  </si>
  <si>
    <t>Maloca</t>
  </si>
  <si>
    <t>Developer of financial management tools designed to help individuals improve personal financial decision-making. The company offers loan simulators, savings calculators, tax planning resources, pension guidance, and personalized consulting services, enabling individuals seeking financial planning support to organize finances and make informed monetary decisions.</t>
  </si>
  <si>
    <t>Cube Ventures (Colombia)</t>
  </si>
  <si>
    <t>www.maloca.com.co</t>
  </si>
  <si>
    <t>534699-46</t>
  </si>
  <si>
    <t>Maly</t>
  </si>
  <si>
    <t>Developer of a fintech infrastructure platform designed to enable digital financial services, payments, and credit access. The company's platform offers AI-driven credit scoring, smart accounts with multi-account management, social savings tools, payment enablers, digital marketplaces, and personalized financial guidance, enabling consumers and businesses to manage money, access financial services, and participate in digital economies efficiently.</t>
  </si>
  <si>
    <t>www.maly.ai</t>
  </si>
  <si>
    <t>533267-47</t>
  </si>
  <si>
    <t>Mammoth Technology</t>
  </si>
  <si>
    <t>Developer of a fund administration platform designed to streamline the creation and management of alternative investment vehicles. The company's platform offers digital subscription workflows, investor verification tools, branded portals, and integrated data rooms, enabling fund managers, financial advisors, and founders to manage investor onboarding, compliance, and communication with better efficiency and transparency.</t>
  </si>
  <si>
    <t>The Founders Arena</t>
  </si>
  <si>
    <t>www.mammothtechnology.com</t>
  </si>
  <si>
    <t>229431-25</t>
  </si>
  <si>
    <t>Manafa</t>
  </si>
  <si>
    <t>Operator of a crowdfunding platform intended to help investors and entrepreneurs connect. The company's platform offers both equity and debt crowdfunding and helps to invest in early-stage companies, and also provides industry data, enabling investors to get access to direct investment opportunities and helping them to diversify their portfolios.</t>
  </si>
  <si>
    <t>Oqal Angel Investment Network, RZM Investment, Saudi Venture Capital Company, STV, Wa'ed Ventures</t>
  </si>
  <si>
    <t>manafa.sa</t>
  </si>
  <si>
    <t>534580-21</t>
  </si>
  <si>
    <t>Mandel AI</t>
  </si>
  <si>
    <t>Developer of an AI-powered supply chain coordination platform designed to automate procurement communication and order tracking. The company provides software that extracts supplier updates from emails and communication channels, automates quote collection and comparison, reconciles supply chain documents, and proactively monitors supplier activity, enabling businesses to improve supply chain visibility, prevent disruptions, and streamline procurement operations.</t>
  </si>
  <si>
    <t>Category Ventures, e2vc, Ritual Capital, Singularity Capital, Y Combinator</t>
  </si>
  <si>
    <t>www.mandel.ai</t>
  </si>
  <si>
    <t>226307-17</t>
  </si>
  <si>
    <t>Maneo</t>
  </si>
  <si>
    <t>Developer of an online social lending platform designed to offer peer-to-peer lending services. The company's platform allows users to avail themselves of a highly secured, user-friendly online community for people to borrow and lend money through an online auction system, enabling users to create a dense communication infrastructure through money.</t>
  </si>
  <si>
    <t>Carta Holdings, Carta Ventures (Japan), GMO Financial Holdings, IBIS Capital, iSigma Capital, J-Seed Ventures, Marubeni, Mobile Internet Capital, Neostella Capital, SMBC Venture Capital, Spiral Ventures, SV Frontier, SV-FINTECH Fund, The Senshu Ikeda Bank, Yasuda Enterprise Development</t>
  </si>
  <si>
    <t>www.maneo.jp</t>
  </si>
  <si>
    <t>1324816-12</t>
  </si>
  <si>
    <t>Manif.ai</t>
  </si>
  <si>
    <t>Developer of financial infrastructure and control plane designed for agentic commerce. The company is currently operating in Stealth mode.</t>
  </si>
  <si>
    <t>Infinity Ventures (San Francisco), Restive Ventures</t>
  </si>
  <si>
    <t>www.manif.ai</t>
  </si>
  <si>
    <t>264823-39</t>
  </si>
  <si>
    <t>Manifest (Financial Software)</t>
  </si>
  <si>
    <t>Developer of a retirement account transfer platform intended for employers, retirement providers, and plan participants to make transfers efficiently. The company's platform engages participants through employers and retirement providers so they can keep their accounts consolidated as they switch jobs, enabling pensioners to get optimized retirement outcomes easily.</t>
  </si>
  <si>
    <t>AgeTech Collaborative from AARP, Dorm Room Fund, Financial Health Network., FinTech Sandbox, gener8tor, GingerBread Capital, GSV Ventures, InsurTech NY, Kristine Ross, Plug and Play Tech Center, Polsky Center for Entrepreneurship and Innovation at the University of Chicago, Pritzker Group Venture Capital, PSP Partners, Right Side Capital Management, Siddharth Mehta, The Founders Arena, University of Chicago Booth School of Business, Village Capital</t>
  </si>
  <si>
    <t>www.usemanifest.com</t>
  </si>
  <si>
    <t>528617-98</t>
  </si>
  <si>
    <t>Mannjal</t>
  </si>
  <si>
    <t>Operator of a financial technology platform intended to provide services to businesses. The company's platform specializes in delivering on-demand credit facilities for small businesses, customized supply chain financing programs for B2B companies, and co-lending programs for NBFCS and banks, enabling enterprises to grow and access de-risked lending and co-lending programs.</t>
  </si>
  <si>
    <t>All In Capital, Arali Ventures, Aureolis Ventures, B Capital Group, Dexter Ventures, Gemba Capital, Indian Silicon Valley, Sparrow Capital, Sprint VC, Stanford Angels &amp; Entrepreneurs India</t>
  </si>
  <si>
    <t>www.mannjal.com</t>
  </si>
  <si>
    <t>416681-92</t>
  </si>
  <si>
    <t>Mansa Group</t>
  </si>
  <si>
    <t>Developer of an online lending platform designed to provide freelancers with bank credit. The company's platform aids in borrowing money at fair interest rates with instant identity verification and online signing of loan contracts, enabling freelancers to receive credit financing for their projects.</t>
  </si>
  <si>
    <t>Anthemis, Didier Valet, Founders Future, Lambda Alpha, Laurent Ritter, Luca Ascani, Mathieu Laine, Nicolas d'Audiffret, Serena, Serge Alleyne, YADAY, Yannick Bollore, Yelloo</t>
  </si>
  <si>
    <t>www.getmansa.com</t>
  </si>
  <si>
    <t>702644-05</t>
  </si>
  <si>
    <t>ManyBond Finance</t>
  </si>
  <si>
    <t>Operator of a financial platform for fractional municipal bond investment intended to facilitate local governments' access to adaptable capital and empower residents to invest directly in community projects. The company offers a platform that removes capital barriers and fosters economic resilience, enabling clients to strengthen their connection by collaboratively funding pivotal investments and deriving both direct and financial benefits.</t>
  </si>
  <si>
    <t>Govtech Ventures</t>
  </si>
  <si>
    <t>www.manybond.com</t>
  </si>
  <si>
    <t>161888-05</t>
  </si>
  <si>
    <t>Mark Labs</t>
  </si>
  <si>
    <t>Developer of a data analytics platform designed to improve decision-making and predictive forecasting for impact investment. The company's platform analyzes available, private, and alternative data sets to enhance transparency and accountability, enabling investors to assess, manage, and optimize the return on investment.</t>
  </si>
  <si>
    <t>Dcode, FinTech Innovation Lab, gener8tor, MassChallenge, radius vc, Right Side Capital Management, SDG Impact Accelerator, Startupbootcamp Holding, Techstars</t>
  </si>
  <si>
    <t>www.marklabs.co</t>
  </si>
  <si>
    <t>433173-52</t>
  </si>
  <si>
    <t>Mark Sign</t>
  </si>
  <si>
    <t>Developer of an identity verification technology designed to offer the customer identification process. The company's technology uses machine learning and e-signature gateway for the baltic states and beyond, it also includes liveness detection, biometric authentication, OCR, document scanning, face, object, and pattern recognition technologies, enabling companies to fight against fraud, reduce costs and meet KYC, GDPR, and AML compliance and regulation requirements.</t>
  </si>
  <si>
    <t>Aneli Capital, Crosspring, Era Capital, Kestas Pavlidi, Lithuanian Business Angel Network, Verslo Angelų Fondas</t>
  </si>
  <si>
    <t>www.marksign.eu</t>
  </si>
  <si>
    <t>268478-47</t>
  </si>
  <si>
    <t>MarketCipher Partners</t>
  </si>
  <si>
    <t>Operator of a fintech investment management platform designed to fuse traditional analysis with cutting-edge technology. The company provides technology-enabled investment management solutions that combine conventional research with advanced tools, offering institutional and individual investors strategies intended to deliver a competitive edge and superior risk-adjusted returns.</t>
  </si>
  <si>
    <t>Mercury Marketing Capital</t>
  </si>
  <si>
    <t>www.market-cipher.com</t>
  </si>
  <si>
    <t>161169-13</t>
  </si>
  <si>
    <t>Marketlend</t>
  </si>
  <si>
    <t>Operator of a trade credit platform intended to offer working capital facilities to small and medium-sized enterprises (SMEs) globally. The company's platform facilitates lending in a secure environment and specializes in providing funding technologies to SME borrowers, including supply chain finance, debtor finance, and secured lines of credit, enabling businesses to borrow at competitive rates and giving investors quality returns in a conservative secured investment regime.</t>
  </si>
  <si>
    <t>Jonathan Barlow, Mateusz Szeszkowski</t>
  </si>
  <si>
    <t>www.marketlend.com.au</t>
  </si>
  <si>
    <t>501881-59</t>
  </si>
  <si>
    <t>MarketReader</t>
  </si>
  <si>
    <t>Developer of a market intelligence software designed to empower investors in understanding why and how the market is moving in real-time. The company's software offers clear, objective explanations of asset price movement in a way that is accessible to different types of investors, from retail to institutional, enabling investors to get a tool to understand the market in real-time and arrive at data-driven explanations of asset price movement and invest accordingly.</t>
  </si>
  <si>
    <t>Dasein Capital, DealBench, Hersir Ventures, Likeminded.vc</t>
  </si>
  <si>
    <t>www.marketreader.com</t>
  </si>
  <si>
    <t>435025-18</t>
  </si>
  <si>
    <t>MarketWolf</t>
  </si>
  <si>
    <t>Developer of a digital trading platform designed to simplify short-term trades with intraday options. The company's platform offers built-in risk management features like practice mode, price movement analysis, and only on-profit brokerage payments, enabling traders to make informed decisions and trade across various indices, stocks, and commodities, fostering disciplined and strategic trading.</t>
  </si>
  <si>
    <t>100Unicorns, Anil Thadani, Anuj Srivastava, Ashutosh Sinha, Auxano, CE-Ventures, Dream Capital, iSeed (India), Jungle Ventures, Option, Ramakant Sharma, Riverwalk Holdings (India), Roy van Leeuwen, Tomas Urbanec</t>
  </si>
  <si>
    <t>www.marketwolf.com</t>
  </si>
  <si>
    <t>117658-18</t>
  </si>
  <si>
    <t>MarketX</t>
  </si>
  <si>
    <t>Developer of an online investment platform designed to democratize private investments and offer pre-IPO investment opportunities. The company's online investment platform is a cross-border marketplace that provides transparency, connectivity and a blockchain for sharing and authentication, enabling investors to access the pre-IPO shares of high-growth startups.</t>
  </si>
  <si>
    <t>Boquan He, Kai-Fu Lee, Liqing Zeng, UpHonest Capital, Wensheng Cai</t>
  </si>
  <si>
    <t>www.marketxventures.com</t>
  </si>
  <si>
    <t>482307-04</t>
  </si>
  <si>
    <t>MarketXLS</t>
  </si>
  <si>
    <t>Developer of an investment research platform designed to provide data, complex methods, and algorithms to common investors. The company's platform features stock data, quotes, portfolio management, and optimization tools that provide access to real-time stock-related data and all fundamentals with built-in functions for valuation, risk management, and investment strategies, enabling investors to easily research, track, and invest in financial markets.</t>
  </si>
  <si>
    <t>Enterprise Ireland, Keiretsu Forum, PorterShed</t>
  </si>
  <si>
    <t>www.marketxls.com</t>
  </si>
  <si>
    <t>467242-12</t>
  </si>
  <si>
    <t>Marmalade Australia</t>
  </si>
  <si>
    <t>Developer of a cash flow and payment platform designed to manage business invoice workflow. The company's platform processes customer payments at no charge, excluding credit card transactions, and offers an invoice payment method to unlock the opportunity to access cash flow when users want it, enabling companies to manage cash flow by streamlining B2B payments and get access to invoice financing.</t>
  </si>
  <si>
    <t>Blue Stamp Company, Paloma Group</t>
  </si>
  <si>
    <t>www.marmalade.com.au</t>
  </si>
  <si>
    <t>230749-84</t>
  </si>
  <si>
    <t>Mashang Consumer Finance</t>
  </si>
  <si>
    <t>Developer of financial software designed to provide consumer financial services. The company's platform uses the big data model dual engine risk control method to provide users with various financial services including consumer finance, loan facilities and other related services.</t>
  </si>
  <si>
    <t>Bank Of Chongqing, Chongqing Chongbai Technology Group Co, Sunshine Insurance Group, WuMart Stores, Zhejiang China Commodities City Group, Zhongguancun Kejin</t>
  </si>
  <si>
    <t>www.msxf.com</t>
  </si>
  <si>
    <t>530464-78</t>
  </si>
  <si>
    <t>Masroofi</t>
  </si>
  <si>
    <t>Developer of an electronic payment platform designed to serve children over five years. The company's platform offers a debit card and financial learning app to offer electronic payment services, enabling kids to get tailored digital payment assistance.</t>
  </si>
  <si>
    <t>MINT Incubator, Orbit Ventures (Venture Capital)</t>
  </si>
  <si>
    <t>www.masroofi.net</t>
  </si>
  <si>
    <t>718721-92</t>
  </si>
  <si>
    <t>MasteryHive</t>
  </si>
  <si>
    <t>Developer of artificial intelligence technology designed to enhance financial operations in banking, insurance, and reinsurance. The company's platform incorporates generative models for fraud detection, transformer-based systems for compliance verification, behavioral risk scoring, adaptive authentication, automated claims assessment, precision underwriting, and intelligent data reconciliation with audit-ready reporting, enabling banks, fintechs, insurers, and reinsurers to streamline operations, reduce manual workloads, maintain regulatory accuracy, and enhance overall efficiency in financial services.</t>
  </si>
  <si>
    <t>Accelerate Africa, Google Accelerator, Ingressive (Nigeria)</t>
  </si>
  <si>
    <t>masteryhive.ai</t>
  </si>
  <si>
    <t>324035-20</t>
  </si>
  <si>
    <t>Matrix Executions</t>
  </si>
  <si>
    <t>Operator of a technology-driven firm intended to adapt to the changing derivatives trading landscape. The company's technology provides industry professionals and institutional traders with advanced trading technology, order routing, and execution services with liquidity access, enabling customers to connect to US options, equities, and futures exchanges.</t>
  </si>
  <si>
    <t>www.matrixexecutions.com</t>
  </si>
  <si>
    <t>1319324-32</t>
  </si>
  <si>
    <t>Maven AI</t>
  </si>
  <si>
    <t>Developer of an artificial intelligence-powered payment and financial infrastructure platform intended to support automated transaction operations. The company offers a secure application programming interface (API), PCI-compliant voice billing, live call transaction processing, automated payment retry logic, and financial workflow integration, enabling developers and businesses to seamlessly collect credit card payments and manage financial data through conversational AI agents.</t>
  </si>
  <si>
    <t>gradCapital</t>
  </si>
  <si>
    <t>www.trymavenai.com</t>
  </si>
  <si>
    <t>466068-34</t>
  </si>
  <si>
    <t>Maviance</t>
  </si>
  <si>
    <t>Operator of a technology company intended to offer a range of digital options and consulting services. The company's services include custom software development, technology consulting, and digital transformation, enabling organizations to enhance business operations.</t>
  </si>
  <si>
    <t>Onafriq UK Holdings, Spinlab - The Hhl Accelerator</t>
  </si>
  <si>
    <t>www.maviance.com</t>
  </si>
  <si>
    <t>60684-67</t>
  </si>
  <si>
    <t>Max (Financial Software)</t>
  </si>
  <si>
    <t>Developer of a cash management and optimization platform designed to empower advisors to grow wealth while maintaining liquidity. The company's platform sweeps excess cash to Federal Deposit Insurance Corporation (FDIC) insured online savings accounts that offer higher rates than traditional banks or money market funds, enabling advisors, individuals, businesses, and banks to allocate cash optimally to maximize returns on cash while increasing FDIC insurance coverage.</t>
  </si>
  <si>
    <t>Chasella, FinTech Innovation Lab, ThirdStream Partners</t>
  </si>
  <si>
    <t>www.maxmyinterest.com</t>
  </si>
  <si>
    <t>436059-64</t>
  </si>
  <si>
    <t>Maxa</t>
  </si>
  <si>
    <t>Developer of an enterprise resource planning software designed to integrate machine learning technology into financial operations. The company's artificial intelligence-based platform runs alongside customers' enterprise resource planning and transactional data systems, and streamlines monitoring, forecasting, and optimization of financial data, enabling companies to get actionable insights from siloed information for their business.</t>
  </si>
  <si>
    <t>Amiral Ventures, Anges Québec, AQC Capital, Bastien Family Office, BDC Capital, Creative Destruction Lab, Framework Venture Partners, Graphite Ventures, NAventures, New York Stock Exchange, Québec Tech, Snowflake, Snowflake Ventures, York IE</t>
  </si>
  <si>
    <t>www.maxa.ai</t>
  </si>
  <si>
    <t>1161839-44</t>
  </si>
  <si>
    <t>MaxBalo Group</t>
  </si>
  <si>
    <t>Developer of an AI-enabled capital-facilitation platform designed to connect African entrepreneurs and individuals with affordable, structured financing. The company's platform uses AI-driven underwriting models, structured capital-facilitation frameworks, education and mentorship modules, and loan servicing infrastructure, enabling underserved African businesses and individuals to access tailored financing, build credit pathways, and grow economic opportunities.</t>
  </si>
  <si>
    <t>www.maxbalo.com</t>
  </si>
  <si>
    <t>114407-38</t>
  </si>
  <si>
    <t>Maxex</t>
  </si>
  <si>
    <t>Developer of a digital mortgage exchange platform designed to enable the buying and selling of residential loans between mortgage lenders and institutional investors. The company's platform connects qualified buyers and sellers of mortgage loans by providing standardized rules and regulations, independent loan reviews, ongoing loan, and servicing surveillance, and a fair and enforceable dispute resolution process, enabling individual and corporate clients to perform efficient and confident peer-to-peer trading of residential mortgage loans.</t>
  </si>
  <si>
    <t>AGNC Investment, Atlas Merchant Capital, Bienville Capital, Ellis Capital, Fenway Summer, J.P. Morgan, Moore Capital Management, QuarterMoore, South Street Securities, Tradeweb Markets</t>
  </si>
  <si>
    <t>www.maxex.com</t>
  </si>
  <si>
    <t>465164-47</t>
  </si>
  <si>
    <t>Máximo</t>
  </si>
  <si>
    <t>Developer of an online digital banking platform designed to help users receive cashback on all their purchases. The company's platform offers virtual cards and physical cards that have pay contactless facilities and are accepted around the globe, also they can be locked, unlocked, and canceled from the application, enabling parents to help teenagers control their money and thus learn to be financially independent.</t>
  </si>
  <si>
    <t>Inca Ventures</t>
  </si>
  <si>
    <t>www.maximo.pe</t>
  </si>
  <si>
    <t>515330-74</t>
  </si>
  <si>
    <t>Maya Climate</t>
  </si>
  <si>
    <t>Developer of a geospatial copilot, automating data analysis platform intended to create actionable insights for assessing &amp; monitoring natural assets.
The company's platform offers a curated investment pipeline of unique nature-based carbon projects on a global scale and gives carbon asset developers a marketplace for their projects, enabling clients to quickly validate every stage and accelerate their project assessment.</t>
  </si>
  <si>
    <t>Antler, Business Angels Club Berlin-Brandenburg, High-Tech Gründerfonds, Reaktor.Berlin, Remove (Netherlands)</t>
  </si>
  <si>
    <t>www.maya-climate.com</t>
  </si>
  <si>
    <t>466811-11</t>
  </si>
  <si>
    <t>Maybe (Financial Software)</t>
  </si>
  <si>
    <t>Provider of financial management services intended to make clients get a better understanding of their finances and set future goals. The company helps in optimizing financial planning and managing funds by making investment management efficient, enabling finance professionals to track and control their client's finances and help them achieve their goals.</t>
  </si>
  <si>
    <t>Attach Capital, Calm Company Fund, Ch Daniel, Invicta Ventures, Joe Gramc, McArthur Capital, Michael Tompkins, Nicholas Tippmann, OSS Capital, Patrick Sullivan, Ryan Doom, Ryan McCoy, Shaun Burch</t>
  </si>
  <si>
    <t>maybe.co</t>
  </si>
  <si>
    <t>343215-10</t>
  </si>
  <si>
    <t>Maycur.com</t>
  </si>
  <si>
    <t>Developer of an enterprise expense management software system. The company's software improves the corporate expense approval process by adjusting the level of auditing for employees based on their reliability and reporting scores, enabling enterprises to more efficiently manage expenses.</t>
  </si>
  <si>
    <t>Bojiang Capital, China Broadband Capital Partners, CMC Capital Partners, Cybernaut Investment (China), GP Capital (Shanghai), Heda Ventures, Shunwei Capital, Vitalbridge Capital</t>
  </si>
  <si>
    <t>www.maycur.com</t>
  </si>
  <si>
    <t>494645-05</t>
  </si>
  <si>
    <t>mazeed (Financial Software)</t>
  </si>
  <si>
    <t>Developer of an online accounting platform intended to provide quality bookkeeping and transform everyday bills into financial statements and visual reports all in one place. The company's platform helps create customized tax invoices, organize payments, track transaction data, and monitor account receivable history and payable obligations, enabling clients to get real-time, autonomous accounting and prescriptive intelligence to help them make better financial decisions.</t>
  </si>
  <si>
    <t>www.mazeed.com</t>
  </si>
  <si>
    <t>497260-18</t>
  </si>
  <si>
    <t>Mazzuma</t>
  </si>
  <si>
    <t>Developer of an online payment platform designed to provide a robust payment system to the masses. The company's platform utilizes mobile money, artificial intelligence, and blockchain technology to provide accessibility to crypto and defi products, enabling users to make peer-to-peer payments as well as use their funds in a convenient and stress-free manner.</t>
  </si>
  <si>
    <t>Adaverse, CV VC, Forbes8 Digital Startup Accelerator</t>
  </si>
  <si>
    <t>www.mazzuma.com</t>
  </si>
  <si>
    <t>232305-13</t>
  </si>
  <si>
    <t>Mbanq</t>
  </si>
  <si>
    <t>Developer of a banking-as-a-service platform designed to offer complete banking services under a single roof. The company's services include cloud banking, banking automation, and branch banking and cover a range of banking products for retail, corporate, and private banking, enabling any business or fintech to offer financial services through digital channels easily.</t>
  </si>
  <si>
    <t>Allrise Capital, Sky Light Invest, Temenos</t>
  </si>
  <si>
    <t>www.mbanq.com</t>
  </si>
  <si>
    <t>230097-52</t>
  </si>
  <si>
    <t>MDOTM</t>
  </si>
  <si>
    <t>Developer of an investment management platform designed to optimize strategies and improve operational efficiency. The company's platform uses artificial intelligence to provide up-to-date, objective insights on market trends, asset classes, and economic conditions, enabling wealth managers to design portfolios that align with investment targets, minimizing deviations from goals.</t>
  </si>
  <si>
    <t>Alberto Zaffignani, Alida Carcano, B Heroes, Banca Profilo, Bi.Effe, Blackbox (Palo Alto), Cherry Bay Capital Group, Expedition Growth Capital, Federico Ghizzoni, FNDX, Grow London, Guido Williams, Lorenzo Pagani, The Founders Arena</t>
  </si>
  <si>
    <t>www.mdotm.ai</t>
  </si>
  <si>
    <t>748004-05</t>
  </si>
  <si>
    <t>MediaCredit</t>
  </si>
  <si>
    <t>Developer of a financial services platform designed to facilitate credit access and financial services for individuals and businesses. The company offers a digital platform specializing in credit recovery, financial negotiation and personalized credit services, enabling customers to resolve outstanding debts, improve their credit scores and regain financial stability through accessible and transparent services.</t>
  </si>
  <si>
    <t>4Equity</t>
  </si>
  <si>
    <t>www.mediacredit.com.br</t>
  </si>
  <si>
    <t>489553-93</t>
  </si>
  <si>
    <t>Medici Bank</t>
  </si>
  <si>
    <t>Developer of a financial service platform designed for speed, flexibility, and security in Web3 banking. The company platform offers a cloud-based system that can be used to launch licensed digital banking platforms, create and manage accounts, move funds between accounts, transfer funds to other bank customers, and initiate external payments, providing customers with reduced friction in banking and payments.</t>
  </si>
  <si>
    <t>Alberto Pagan-Matos, Blockchain Fond, Bob Elliot, Brock Pierce, David Johnson, David Petrie, Fabien Pictet, Global Blockchain Ventures, Gregory Gilbert, Human Capital Development, James Passin, John Boyle, Matthias Kroner, Max Hooper, Patrick Tsang, Raymond Dillon, Robert Getz</t>
  </si>
  <si>
    <t>www.medicibank.us</t>
  </si>
  <si>
    <t>633853-99</t>
  </si>
  <si>
    <t>MEGA (Financial Software)</t>
  </si>
  <si>
    <t>Developer of a collection management platform intended to provide order-to-cash management. The company's platform provide AI voice agents to perform order management, inbound queries, order confirmation and verification, account receivable optimization, payment reminders, customized messaging, cash collection, and dispute resolution, helping finance and telecom industries simplify operations, improve cash flow, and improve customer experiences.</t>
  </si>
  <si>
    <t>Spintop Ventures</t>
  </si>
  <si>
    <t>www.mega.ai</t>
  </si>
  <si>
    <t>436512-61</t>
  </si>
  <si>
    <t>MeiShi</t>
  </si>
  <si>
    <t>Developer of a management software for private asset management company and a platform designed to publish information about private asset management company. The company's platform offers information about private asset management company and equity research report, enabling users to make a better investment decision.</t>
  </si>
  <si>
    <t>Fuzhishuo Investment, Mai Gang, NewMargin Ventures, Shanghai Guoxin Investment, VenturesLab</t>
  </si>
  <si>
    <t>www.meix.com</t>
  </si>
  <si>
    <t>279282-07</t>
  </si>
  <si>
    <t>Mekari</t>
  </si>
  <si>
    <t>Operator of a software firm intended to offer cloud-based business automation technology. The company offers multiple software that manage specific areas of business under applicable regulations and automates administrative matters, enabling businesses to manage human resources, finance, and taxation effectively and efficiently.</t>
  </si>
  <si>
    <t>Analog Capital, BEENEXT Capital Management, Biznet, East Ventures, Mandiri Capital Indonesia, Midplaza Holding, Money Forward, Prasetia Dwidharma, Star Capital</t>
  </si>
  <si>
    <t>www.mekari.com</t>
  </si>
  <si>
    <t>339858-91</t>
  </si>
  <si>
    <t>Meke Technology</t>
  </si>
  <si>
    <t>Artificial Intelligence &amp; Machine Learning, Big Data, FinTech, Marketing Tech, Mobile, SaaS</t>
  </si>
  <si>
    <t>Operator of an innovative technology company which integrates mobile application customization development, industry product solutions, and mobile product planning consulting. The company has developed face-recognition payment technology and a WeChat applet for intelligent marketing, providing a powerful guarantee for enterprises to expand channels and access potential market.</t>
  </si>
  <si>
    <t>www.meke-shanghai.com</t>
  </si>
  <si>
    <t>494987-05</t>
  </si>
  <si>
    <t>Melanin Kapital</t>
  </si>
  <si>
    <t>Artificial Intelligence &amp; Machine Learning, CleanTech, Climate Tech, Cryptocurrency/Blockchain, FinTech, Mobile</t>
  </si>
  <si>
    <t>Developer of a climate fintech platform designed for small businesses. The company's platform leverages both blockchain and artificial intelligence technologies to track carbon dioxide savings and emit a green token that rewards small and medium-sized enterprises for going green and reducing their footprint, enabling small businesses to grow with cash management, carbon dioxide tracking, green loans, and carbon credits.</t>
  </si>
  <si>
    <t>Adaverse, DEG, DeveloPPP Ventures, EMURGO Kepple Ventures, Techstars, Visa Accelerator</t>
  </si>
  <si>
    <t>www.melaninkapital.com</t>
  </si>
  <si>
    <t>171016-93</t>
  </si>
  <si>
    <t>memento.</t>
  </si>
  <si>
    <t>Developer of a cloud-based social payment platform designed to connect banks with customers. The company's platform offers an end-to-end software toolkit and mobile money application which has a fully independent back-end system that can be integrated and run as an overlay on top of existing infrastructures, enabling banks to strengthen relationships with new and existing customers and launch fintech to the market speedily and securely.</t>
  </si>
  <si>
    <t>www.mementopayments.com</t>
  </si>
  <si>
    <t>521679-70</t>
  </si>
  <si>
    <t>Mend (Financial Services)</t>
  </si>
  <si>
    <t>Operator of a financing platform intended to offer patients financing for elective medical procedures. The company's platform supports those who need to pay medical expenses and do not have the money or insurance to do so, enabling people to find the specialist they need, with the option to pay for their medical procedures in installments.</t>
  </si>
  <si>
    <t>Addem Capital, Google Accelerator, Magma Partners, Semilla Ventures</t>
  </si>
  <si>
    <t>www.mend.com.mx</t>
  </si>
  <si>
    <t>720865-18</t>
  </si>
  <si>
    <t>Menden Holdings</t>
  </si>
  <si>
    <t>Provider of a global payment infrastructure intended to streamline cross-border transactions for businesses. The company offers features such as direct connectivity to local banking networks, instant settlement capabilities, and liquidity management, enabling B2B payment providers, virtual card processors, remittance providers, forex services, and stablecoin infrastructures to optimize operations, reduce costs, and improve capital efficiency while facilitating seamless global payments.</t>
  </si>
  <si>
    <t>Faculty Capital, Hub71, MANTRA (Financial Software), Octerra Capital, Polymorphic Capital, Tether Investments, TRIVE (Singapore)</t>
  </si>
  <si>
    <t>mansa.xyz</t>
  </si>
  <si>
    <t>497902-60</t>
  </si>
  <si>
    <t>Menta (Financial Software)</t>
  </si>
  <si>
    <t>Developer of a finance platform designed to promote technological development in businesses. The company's platform offers integration with modern POS technologies, devices, technological scalability for business growth, and plug-and-play and custom models, enabling clients to generate increased revenue streams by embedding their payment and financial services.</t>
  </si>
  <si>
    <t>10X Capital, Base10 Partners, Brainstorm Ventures, Endeavor Argentina, Fin Capital, Gaingels, Gilgamesh Ventures, Iluminar Ventures, Lightspeed Venture Partners, MatterScale Ventures, Norte Ventures, Pear (California)</t>
  </si>
  <si>
    <t>www.menta.global</t>
  </si>
  <si>
    <t>530656-03</t>
  </si>
  <si>
    <t>Menthum</t>
  </si>
  <si>
    <t>Developer of a digital wealth management platform designed to facilitate simplified and flexible wealth management for individuals and corporations. The company's platform features easy account setup, a user-friendly mobile application, instant fund transfers, no lock-in periods, regulated fund management, and investment in government securities, enabling individual savers to access secure, flexible and regulated savings options with the ability to earn returns and withdraw funds at any time.</t>
  </si>
  <si>
    <t>A15, Acasia Ventures, AUC Angels</t>
  </si>
  <si>
    <t>www.menthum.com</t>
  </si>
  <si>
    <t>844638-40</t>
  </si>
  <si>
    <t>Mercata</t>
  </si>
  <si>
    <t>Developer of a deep research platform designed for fundamental investing. The company platform offers a research engine that provides various data sources, including news, filings, press releases, and proprietary research notes, enabling investors to gain deeper insights and trace the long arc of any tracked entity.</t>
  </si>
  <si>
    <t>FutureSight</t>
  </si>
  <si>
    <t>mercataintel.com</t>
  </si>
  <si>
    <t>521496-91</t>
  </si>
  <si>
    <t>Mercoa</t>
  </si>
  <si>
    <t>Developer of an embedded accounts payable platform designed for business-to-business fintech, neo banks, and vertical SaaS. The company's platform gives payers and vendors the confidence they need to pay and get paid right for the product, enabling firms to manage and pay all of their invoices.</t>
  </si>
  <si>
    <t>Autopilot Fund, OneSixOne Ventures, Y Combinator</t>
  </si>
  <si>
    <t>www.mercoa.com</t>
  </si>
  <si>
    <t>589065-58</t>
  </si>
  <si>
    <t>Meridian (Business/Productivity Software)</t>
  </si>
  <si>
    <t>Developer of an artificial intelligence-powered customer relationship and deal management software designed to help private equity and credit firms source. The company's software offers features such as deal sourcing, deal evaluation, committee discussion, portfolio management and reporting, enabling clients to drive insights and promote information sharing from across their firm and portfolio by identifying opportunities and anticipating risks with accuracy.</t>
  </si>
  <si>
    <t>645 Ventures, Chaac Ventures, Dnipro (California)</t>
  </si>
  <si>
    <t>www.meridian-ai.com</t>
  </si>
  <si>
    <t>664519-69</t>
  </si>
  <si>
    <t>Merso</t>
  </si>
  <si>
    <t>Cryptocurrency/Blockchain, E-Commerce, FinTech, Gaming</t>
  </si>
  <si>
    <t>Developer of an installment payment infrastructure platform designed to support payments for digital assets and digital commerce transactions. The company's platform offers license-based payment processing for gaming ecosystems, tokenized asset transactions, and digital commerce integrations, enabling gaming companies and digital asset platforms to provide structured payment options for users.</t>
  </si>
  <si>
    <t>www.merso.io</t>
  </si>
  <si>
    <t>492829-39</t>
  </si>
  <si>
    <t>Mesfix</t>
  </si>
  <si>
    <t>Operator of a crowdfunding platform intended to connect companies that need financing with people interested in investing. The company's platform sells term receivable invoices, with a community of people interested in buying them, enabling companies to get funds and investors to make their money profitable.</t>
  </si>
  <si>
    <t>Capria Ventures, IKON Venture Capital, InQlab</t>
  </si>
  <si>
    <t>www.mesfix.com</t>
  </si>
  <si>
    <t>264871-72</t>
  </si>
  <si>
    <t>Mesh Payments</t>
  </si>
  <si>
    <t>Developer of a spend management platform designed to provide real-time expense control and automation. The company's platform offers virtual and physical cards, real-time expense tracking, automated workflows, spend reports, and receipt collection, enabling finance managers to streamline the approval process, potentially reduce costs, and improve overall financial health.</t>
  </si>
  <si>
    <t>Alpha Wave Global, Amir Orad, Chimera Capital, Davide de Picciotto, Dovi Frances, Entrée Capital, Expansion Capital, Gil Hirsch, Google Accelerator, Guy Schory, Jimmy Dinh, Jonathan Weiner, Launchpad Capital, Liad Agmon, Melissa Guzy, Mercer Ventures (New York), Meron Capital, Michael Vaughan, Ofer Adler, Ofir Ehrlich, Ryan Gilbert, Tiger Global Management, TLV Partners</t>
  </si>
  <si>
    <t>www.meshpayments.com</t>
  </si>
  <si>
    <t>615959-02</t>
  </si>
  <si>
    <t>Mesta</t>
  </si>
  <si>
    <t>Developer of a fund transfer system designed for businesses to integrate fiat and stablecoin financial operations. The company's system uses real-time payment rails and blockchain technology for cross-border transactions across the globe, enabling accounting professionals to get the tools necessary to create invoices, manage approvals and payments, and sync accounting software.</t>
  </si>
  <si>
    <t>Canonical (California), Circle Ventures, Everywhere Ventures, Garuda, Inventum Ventures, Paxos, Tomahawk.VC, Vilage Global, Western Technology Investment</t>
  </si>
  <si>
    <t>www.mesta.xyz</t>
  </si>
  <si>
    <t>566889-94</t>
  </si>
  <si>
    <t>MetaComp</t>
  </si>
  <si>
    <t>Developer of a licensed fiat and stablecoin hybrid platform designed to provide compliant payment and wealth management services. The company offers integrated fiat and stablecoin transactions, regulated payment infrastructure, and digital asset wealth management capabilities, enabling businesses and individual investors to conduct compliant cross-border transactions and manage digital assets within a regulated framework.</t>
  </si>
  <si>
    <t>Alibaba Group, Beingboom Capital, Eastern Bell Venture Capital, Freshwave Group, Noah Holdings, Sky9 Capital, Spark Ventures</t>
  </si>
  <si>
    <t>www.mce.sg</t>
  </si>
  <si>
    <t>663758-92</t>
  </si>
  <si>
    <t>Metafyed</t>
  </si>
  <si>
    <t>Developer of a full-service tokenization AI platform designed to help companies create a market of their shares through blockchain technology. The company's platform helps in democratizing capital and bringing financial agility and inclusion through tokenization and offers an asset tokenization marketplace, thereby modernizing funding and bringing investment opportunities on chain backed by tokenization assets without crypto volatility.</t>
  </si>
  <si>
    <t>Block Tides, Chainvalley Capital, Cyberport Hong Kong, Draper University, Omni Chain Ventures, Stellar Community Fund, Zero2Launch</t>
  </si>
  <si>
    <t>www.metafyed.com</t>
  </si>
  <si>
    <t>528958-81</t>
  </si>
  <si>
    <t>MetaLogos</t>
  </si>
  <si>
    <t>Developer of an investor support platform designed to help with investment in public offering stocks. The company's platform provides information services related to stocks, providing each newly listed public offering stock with an attractiveness index that is announced and then calculated based on objective data of listed stocks, enabling investors to invest in stocks with an attractive index and get good returns.</t>
  </si>
  <si>
    <t>KB Innovation HUB, Mark &amp; Company, Megastudy Education, Shinhan Futures Lab, Tech Incubator Program for Startup, Yoonmin Foundation, Z Venture Capital</t>
  </si>
  <si>
    <t>www.metalogos.ai</t>
  </si>
  <si>
    <t>184916-62</t>
  </si>
  <si>
    <t>Metaurus</t>
  </si>
  <si>
    <t>Operator of an asset management platform intended to address financial issues. The company's fund management platform offers the required financial tools to address investment problems and change the current investing paradigm, enabling users to invest in the assets they want and reduce the risk of failure in their investment.</t>
  </si>
  <si>
    <t>www.metaurus.com</t>
  </si>
  <si>
    <t>493830-19</t>
  </si>
  <si>
    <t>Metric</t>
  </si>
  <si>
    <t>Developer of a business accounting application designed to make accounting simple for small and medium-scale enterprises. The company's application automates the accounting and finance functions of organizations while providing access to sophisticated insights by simplifying strategic decision-making, enabling businesses to save time and money with inputs and no accounting expertise.</t>
  </si>
  <si>
    <t>500 Global, Accelerate Prosperity, Alam Zafar, A-typical Ventures, Augmentor Capital, Deosai Ventures, Epic Angels, Faridul Haque, Giacomo Ficari, Hub71, i2i Ventures, i2i Ventures (Pakistan), Invest2Innovate, Kinnow Capital, Oqal Angel Investment Network, Outliers Venture Capital, Plus Venture Capital, Rameez Zafar, Ratio (United Kingdom), Sanabil 500 MENA Seed Accelerator</t>
  </si>
  <si>
    <t>www.metricapp.co</t>
  </si>
  <si>
    <t>516973-51</t>
  </si>
  <si>
    <t>MeuSimples</t>
  </si>
  <si>
    <t>Developer of a financial management system designed for business process outsourcing firms and finance professionals. The company's platform includes automated bank reconciliation, configurable reporting tools, integration with municipal systems for issuing invoices, and intuitive data import from emails or uploaded files, enabling the financial sector to simplify workflows, minimize manual input, and access up-to-date insights into client accounts.</t>
  </si>
  <si>
    <t>Leonora Ventures</t>
  </si>
  <si>
    <t>www.meusimples.com.br</t>
  </si>
  <si>
    <t>1172088-55</t>
  </si>
  <si>
    <t>Developer of a decentralized yield-generation protocol designed to provide risk-stratified stablecoin yield for decentralized finance. The company's platform utilizes a tranching architecture that balances performance and protection, offering institutional-grade, diversified stablecoin yield driven by governance, automation, and AI-powered DeFi expertise, enabling market participants to access yield opportunities with varying risk profiles and enhanced transparency.</t>
  </si>
  <si>
    <t>Smape Capital</t>
  </si>
  <si>
    <t>www.mezz.finance</t>
  </si>
  <si>
    <t>468903-61</t>
  </si>
  <si>
    <t>Mfast</t>
  </si>
  <si>
    <t>Operator of a fintech marketplace platform intended to increase access to financial products and income opportunities. The company's platform operates tasks like financial, banking, and insurance agent roles, provides in-app onboarding and training, supports commission-based earnings with career progression paths, and allows access to credit, insurance, and deferred payment services, enabling consumers to earn and offer financial services themselves through a mobile interface.</t>
  </si>
  <si>
    <t>AVV (Ascend Vietnam Ventures), CAC CAPITAL, Canopus Advisors, Do Ventures, Headline, JIF Capital, Krungsri Finnovate, Wavemaker Partners</t>
  </si>
  <si>
    <t>www.mfast.vn</t>
  </si>
  <si>
    <t>96395-59</t>
  </si>
  <si>
    <t>MiCamp Solutions</t>
  </si>
  <si>
    <t>Developer of a financial payment technology company designed to provide secure payment processing methods. The company specializes in offering a wide range of services, including zero percent payment processing, independent software vendor developer options, mergers and acquisitions, payment analytics, and payment card industry compliance, enabling merchants to support their needs and improve profit effectively.</t>
  </si>
  <si>
    <t>Spark Legacy</t>
  </si>
  <si>
    <t>www.micamp.com</t>
  </si>
  <si>
    <t>234181-45</t>
  </si>
  <si>
    <t>Micappital</t>
  </si>
  <si>
    <t>Developer of an investment platform designed to help users save and invest their savings. The company's platform provides online advice and permits users to be aware of the importance of recurring, monthly savings and of seeking profitability appropriate to their risk for those savings, enabling customers to make proper investments.</t>
  </si>
  <si>
    <t>Abanca Innova, Tetuan Valley, Uriel Inversiones</t>
  </si>
  <si>
    <t>www.micappital.com</t>
  </si>
  <si>
    <t>300756-70</t>
  </si>
  <si>
    <t>Microtick</t>
  </si>
  <si>
    <t>Developer of a decentralized platform for DeFi applications designed to provide real-time and decentralized price oracles. The company's platform uses blockchain technology to create a stable price discovery process that is less sensitive to price manipulation, enabling market makers, traders, and validators to contribute and earn rewards.</t>
  </si>
  <si>
    <t>Borderless Capital</t>
  </si>
  <si>
    <t>www.microtick.com</t>
  </si>
  <si>
    <t>503696-53</t>
  </si>
  <si>
    <t>Midas</t>
  </si>
  <si>
    <t>Developer of a personal rewards platform designed to generate added value to daily purchases. The company's platform offers rewards in which users pay in cash and receive points for all their purchases and redeem those points in exchange for products and services at the checkout of all affiliated stores, enabling users to use their points, find their favorite promotions, and earn more benefits on all their purchases.</t>
  </si>
  <si>
    <t>500 Startups LatAm, Interplay Ventures, Latitud, Louis Lehot, Tenacity Venture Capital</t>
  </si>
  <si>
    <t>www.midascash.app</t>
  </si>
  <si>
    <t>465327-10</t>
  </si>
  <si>
    <t>Midas (Financial Services)</t>
  </si>
  <si>
    <t>Provider of a digital investment platform designed to give retail investors access to trading in equities, funds, derivatives and cryptoassets. The company offers real-time market data, educational content and mobile trading tools, enabling retail investors to participate in domestic and international markets with improved accessibility and confidence.</t>
  </si>
  <si>
    <t>Bek Ventures, Deniz Ventures, Earlybird Venture Capital, George Rzepecki, HSG (Hong Kong), International Finance Corporation, Nigel Morris, Portage, QED Investors, QNBEYOND Acceleration Program, QuantumLight Capital, Revo Capital, Spark Capital, Spice Expeditions, Turcorn 100</t>
  </si>
  <si>
    <t>www.getmidas.com</t>
  </si>
  <si>
    <t>544819-24</t>
  </si>
  <si>
    <t>Midas Software</t>
  </si>
  <si>
    <t>Developer of a tokenization protocol platform designed to manage real-world assets. The company's platform issues tokenized assets that are held in segregated accounts with institutional custodians, enabling investors to be provided with transparency for settlement or lending and borrowing on decentralized money markets.</t>
  </si>
  <si>
    <t>6th Man Ventures, Aether VC, Anchorage Digital, Axelar Foundation, Brightwing Capital, Bufficorn Ventures, Cathay Innovation, Cathay Ledger, Coinbase Ventures, Creandum, FJ Labs, Framework Ventures, Franklin Resources, GSR, Hack VC, HV (Germany), Hyperithm, Lattice Capital, Legends Group (Other Financial Services), M1 Capital, Myelin VC, No Limit Holdings, North Island Ventures, Oasis Labs, Pareto AI, Pear (California), PEER VC, Phaedrus (United States), RRE Ventures, Sigil Fund, Stake Capital, Strobe Ventures, Sumcap, Theia (New York), WAGMI Ventures (Texas)</t>
  </si>
  <si>
    <t>www.midas.app</t>
  </si>
  <si>
    <t>94078-72</t>
  </si>
  <si>
    <t>Midaxo</t>
  </si>
  <si>
    <t>Developer of deal management software designed to focus on high-priority deals and track pipeline progress against growth targets. The company's software offers single-point storage where all relevant documents, findings, and communications are stored securely, from which information can be extracted at any point in time, and it requires no training or implementation, enabling businesses to grow with the help of informed decisions through mergers.</t>
  </si>
  <si>
    <t>Hiidenkivi Investment, Markus Lankinen, Robert Suh, Stella Capital, Tesi</t>
  </si>
  <si>
    <t>www.midaxo.com</t>
  </si>
  <si>
    <t>537902-92</t>
  </si>
  <si>
    <t>Midkey</t>
  </si>
  <si>
    <t>Operator of a home equity loan platform intended for homeowners to access home equity without making regular monthly repayments. The company's platform offers loans secured by a first or second mortgage where repayment is typically triggered by defined events such as selling the home or moving into aged care, with interest calculated on a simple interest basis and an additional deferral fee tied to a pre-agreed share of any increase in the property's value, enabling Australian homeowners to improve cash-flow flexibility and access funds without immediate repayment obligations.</t>
  </si>
  <si>
    <t>www.midkey.com.au</t>
  </si>
  <si>
    <t>616471-21</t>
  </si>
  <si>
    <t>Midship</t>
  </si>
  <si>
    <t>Developer of Artificial Intelligence (AI) based audit automation software designed for internal control testing and compliance review. The company's platform analyzes risk and control matrices, identifies automatable controls, ingests and classifies control evidence, executes audit procedures through autonomous agents, and links test results to source documentation, enabling clients to perform testing, IT general control reviews, and financial process audits with reduced manual effort, consistent documentation, and improved audit efficiency.</t>
  </si>
  <si>
    <t>www.midship.ai</t>
  </si>
  <si>
    <t>551768-41</t>
  </si>
  <si>
    <t>MiEmpeño</t>
  </si>
  <si>
    <t>Developer of an online pawn lending platform designed to let individuals obtain loans or sell personal items without leaving home. The company's platform offers remote appraisal requests, secure item collection and transport, video-recorded valuations, and direct bank transfers, enabling individuals seeking short-term financing to access cash conveniently while keeping their belongings protected throughout the process.</t>
  </si>
  <si>
    <t>Imagine Ventures Management, Kuiper (Mexico), Magma Partners</t>
  </si>
  <si>
    <t>www.miempeno.com</t>
  </si>
  <si>
    <t>513365-05</t>
  </si>
  <si>
    <t>Mifundo</t>
  </si>
  <si>
    <t>Operator of a cross-border lending platform intended to offer borderless banking options. The company's AI platform finds credit offers based on client data and will find the loan terms and offers an easy-to-use solution for cross-border lending, to make customer's lives easier and widen their options significantly, enabling people to connect with banks and enabling them to choose and compare loans regardless of location.</t>
  </si>
  <si>
    <t>Enterprise Estonia, European Fund for Regional Development, European Innovation Council, Jüri Laur, Kaido Kepp, Mastercard Lighthouse, Mihkel Karu, Opus11 VC, Sergei Anikin, TechQuartier, Tera Ventures</t>
  </si>
  <si>
    <t>www.mifundo.com</t>
  </si>
  <si>
    <t>503541-37</t>
  </si>
  <si>
    <t>Mighty Fin</t>
  </si>
  <si>
    <t>Operator of a full-stack lending application intended for small and medium enterprises to access the funding they need to grow in a simplified way. The company's platform provides small business loans, personal loans and agriculture loans, enabling small and medium-sized businesses to avail the funds necessary to grow their business, in a quick, affordable and flexible way.</t>
  </si>
  <si>
    <t>Baobab Network, BongoHive, Chui Ventures, Founder Institute, The Future is Female Mentorship Program, Village Capital, Women in Tech Zambia, Zambia Business Angels Network</t>
  </si>
  <si>
    <t>website.mightyfinance.co.zm</t>
  </si>
  <si>
    <t>433299-61</t>
  </si>
  <si>
    <t>Miio (Financial Software)</t>
  </si>
  <si>
    <t>Operator of a digital finance platform intended to offer mobile telecommunications and mobile financial services. The company's platform offers a free digital account with a wallet, Mastercard, and loan services, enabling users to have a free telephony plan and mobile banking e-wallet all in one application.</t>
  </si>
  <si>
    <t>G2 Momentum Capital</t>
  </si>
  <si>
    <t>www.miio.com.mx</t>
  </si>
  <si>
    <t>541194-49</t>
  </si>
  <si>
    <t>Mika AI</t>
  </si>
  <si>
    <t>Developer of an artificial intelligence-based accounting platform designed to help users take care of their books. The company's platform allows users to take care of their bookkeeping daily and provides monthly financial reports with integration into the existing tools and an intuitive platform for easy management, enabling businesses to make informed decisions and grow their business without worrying about financial complexities.</t>
  </si>
  <si>
    <t>Christian Gaiser, Creative Destruction Lab, DFF Ventures, Earlybird Venture Capital, Fabian Wittleben, Keen Venture Partners, Loric Ventures, Slimmer AI</t>
  </si>
  <si>
    <t>www.getmika.de</t>
  </si>
  <si>
    <t>533429-38</t>
  </si>
  <si>
    <t>Mikashboks</t>
  </si>
  <si>
    <t>Operator of a digital social finance platform intended to make saving and lending in groups easier and safer. The company's platform facilitates a safe and connected way for groups to transact and access formal financial services, build credit, and grow their savings and lending capabilities, enabling users to access formal financial services and save and borrow.</t>
  </si>
  <si>
    <t>Harvard Innovation Launch Lab, Harvard Undergraduate CBE, Impact Foundation</t>
  </si>
  <si>
    <t>www.mikashboks.com</t>
  </si>
  <si>
    <t>708051-88</t>
  </si>
  <si>
    <t>MilikiRumah</t>
  </si>
  <si>
    <t>Provider of alternative home financing options designed for individuals who cannot access traditional mortgages. The company's platform offers a pathway to secure a home through an installment-based ownership system, with flexible payment options and minimal initial requirements, enabling homeowners to move closer to homeownership despite conventional financial limitations.</t>
  </si>
  <si>
    <t>SG Family Office, Steve Melhuish, Tembusu Partners</t>
  </si>
  <si>
    <t>www.milikirumah.com</t>
  </si>
  <si>
    <t>518815-27</t>
  </si>
  <si>
    <t>Milio</t>
  </si>
  <si>
    <t>Operator of a digital money movement platform intended for real-time local and international transfers between cards. The company's platform enables businesses, financial institutions, and governments to connect via API for instant fund disbursement, automated payouts, fraud monitoring, instant collections, recurring payments, card tokenization, and global remittance integration, allowing the financial sector to offer seamless, secure, and scalable money transfer and payment experiences across multiple channels and use cases.</t>
  </si>
  <si>
    <t>Colectivo Jaguara, Rebel Fund, Y Combinator</t>
  </si>
  <si>
    <t>www.milio.com.co</t>
  </si>
  <si>
    <t>700124-95</t>
  </si>
  <si>
    <t>Millentic</t>
  </si>
  <si>
    <t>Developer of a finance automation platform designed to streamline and optimize the analysis and processing of transaction-related data. The company's platform offers automated data processing, revenue recognition, payment reconciliation, and tax reporting through a self-serve interface, enabling businesses and organizations to reduce operational workload and improve financial data management.</t>
  </si>
  <si>
    <t>Goose Valley Ventures, Mastercard Lighthouse, Oceans Valley</t>
  </si>
  <si>
    <t>www.millentic.com</t>
  </si>
  <si>
    <t>597764-80</t>
  </si>
  <si>
    <t>Mimojo</t>
  </si>
  <si>
    <t>Developer of a digital cashback rewards service intended to automate consumer savings on everyday card payments. The company's platform uses card-linked technology integrated with major payment schemes to track eligible purchases automatically, calculate percentage-based cashback across participating merchants, accumulate rewards, and credit the value back to users' enrolled payment cards every month, enabling consumers in the UAE and similar markets to receive recurring cash rewards without manual redemption steps and helping merchants drive loyalty and repeat spending through seamless incentive tracking.</t>
  </si>
  <si>
    <t>Emirates International Investment</t>
  </si>
  <si>
    <t>www.mimojo.io</t>
  </si>
  <si>
    <t>919676-44</t>
  </si>
  <si>
    <t>Minara</t>
  </si>
  <si>
    <t>Developer of a digital finance platform intended for individuals seeking to manage their assets. The company's platform offers real-time insights across various digital assets, including stocks, commodities, cryptocurrencies, and NFTs, while also providing tools for tracking profits, optimizing yields, and receiving tailored financial strategies, enabling users to stay ahead of market trends and manage their wealth effectively.</t>
  </si>
  <si>
    <t>Circle Ventures (Boston), SeaX Ventures</t>
  </si>
  <si>
    <t>minara.ai</t>
  </si>
  <si>
    <t>498091-24</t>
  </si>
  <si>
    <t>Minds Digital</t>
  </si>
  <si>
    <t>Developer of a fraud prevention platform designed to analyze, understand, and predict suspicious behaviors from users. The company's platform uses artificial intelligence to protect from fraud in applications and call centers with voice biometrics, enabling businesses to safeguard against sophisticated cyber threats.</t>
  </si>
  <si>
    <t>BR Angels, Cedro Capital, Rock9 Ventures</t>
  </si>
  <si>
    <t>www.minds.digital</t>
  </si>
  <si>
    <t>491748-40</t>
  </si>
  <si>
    <t>MinTech (China)</t>
  </si>
  <si>
    <t>Developer of digital banking Software as a service (SaaS) systems designed to provide financial institutions with banking digitalization services. The company's products aim to provide customers with one-stop Bank-As-A-Service (BaaS) solutions, and it covers multiple scenarios such as digital credit, small and microcredit, supply chain finance, etc, enabling banks and financial institutes to realize digital transformation, such as online banking, for a lower cost.</t>
  </si>
  <si>
    <t>Delta Capital, eWTP Capital, GSR Ventures, Redpoint China Ventures</t>
  </si>
  <si>
    <t>mintechai.com</t>
  </si>
  <si>
    <t>491416-66</t>
  </si>
  <si>
    <t>Mintpay</t>
  </si>
  <si>
    <t>Developer of a payment platform designed to allow customers to shop now and pay later. The company's platform allows customers to shop for their favorite items by splitting their purchases into installments, paying the first installment, completing the checkout process, and automatically charging the remaining installments on their due dates, enabling businesses to boost sales and customers get rewarded for responsible consumerism and repayment.</t>
  </si>
  <si>
    <t>Accelerating Asia, Bernard Sinniah, Lankan Angel Network, nVentures, Suranga Priyashantha, Tenity, Venture Engine</t>
  </si>
  <si>
    <t>www.mintpay.lk</t>
  </si>
  <si>
    <t>731660-68</t>
  </si>
  <si>
    <t>Mion (Financial Software)</t>
  </si>
  <si>
    <t>Developer of a FinTech platform intended to make bitcoin payments easy, secure, efficient and risk-free. The company's platform makes bitcoin usable as an alternative payment method in the real world by instantly converting it into euros, enabling businesses with a regulated infrastructure for point-of-sale and online payments that eliminates market volatility and simplifies financial integration.</t>
  </si>
  <si>
    <t>Fulgur Ventures, Global Incubator Network, Initial Capital, Leo Capital, Wolf (Clothing)</t>
  </si>
  <si>
    <t>www.mion.group</t>
  </si>
  <si>
    <t>590579-20</t>
  </si>
  <si>
    <t>miPlata</t>
  </si>
  <si>
    <t>Developer of a financial technology platform designed to facilitate access to banking services from a partner bank. The company's platform offers to send and receive money instantly and securely with friends and family within the US without any hidden charges from banks, stores, or exchange offices, enabling users to deposit or withdraw their money anytime and anywhere.</t>
  </si>
  <si>
    <t>Nashville Entrepreneur Center, Plug and Play Tech Center, Refract Ventures, Techstars</t>
  </si>
  <si>
    <t>www.miplata.com</t>
  </si>
  <si>
    <t>718322-14</t>
  </si>
  <si>
    <t>Mirabelle</t>
  </si>
  <si>
    <t>Developer of financing healthy aging technology intended to offer reverse mortgage loans and life annuities. The company specializes in finance retirement projects such as renovating homes, supplementing pensions, continuing seniors to live at home, provides advice on life annuity financing to make decisions with all the information in complete security, guaranteed monthly income supplement for life to enjoy retirement, providing retirees and their families an assistance fund for the renovation of senior housing.</t>
  </si>
  <si>
    <t>Bpifrance, Inter Invest, Mindstone Fund</t>
  </si>
  <si>
    <t>www.mirabelle.fr</t>
  </si>
  <si>
    <t>522661-33</t>
  </si>
  <si>
    <t>MIST (Financial Software)</t>
  </si>
  <si>
    <t>Developer of a financial platform designed to help international students verify funds for visa applications. The company provides identity verification, fund transfer to a holding account, and issuance of proof of funds statements, enabling users to meet visa financial requirements and support education and migration applications.</t>
  </si>
  <si>
    <t>Allectus Capital, Archangel Ventures, Hunter Angels, Investible, Seed Space Venture Capital, The Big Leap</t>
  </si>
  <si>
    <t>www.gomist.co</t>
  </si>
  <si>
    <t>520508-26</t>
  </si>
  <si>
    <t>Mitfokus</t>
  </si>
  <si>
    <t>Developer of a financial application designed to provide medical accounting safely and economically. The company specializes in the issuance of invoices and tax planning, creating detailed monthly reports for the period and bank reconciliation through digital classifiers using artificial intelligence, enabling physicians and medical companies to raise standards in the provision of medical services and solve financial and tax challenges.</t>
  </si>
  <si>
    <t>Endeavor Promessas</t>
  </si>
  <si>
    <t>www.mitfokus.com.br</t>
  </si>
  <si>
    <t>866093-59</t>
  </si>
  <si>
    <t>MKF LIDER</t>
  </si>
  <si>
    <t>Operator of microcredit services intended for supporting microentrepreneurs and low-income households. The company's platform offers a range of financial products like consumer business, agricultural and housing loans alongside non-financial services like free online promotion of small enterprises, agronomy advice, mentoring, networking and educational programs, and it also invests in energy efficiency and green transport, enabling small businesses, farmers and local communities in Bosnia and Herzegovina to access tailored financing, professional support, and sustainable development opportunities.</t>
  </si>
  <si>
    <t>Impakt EU</t>
  </si>
  <si>
    <t>www.lider.ba</t>
  </si>
  <si>
    <t>467742-97</t>
  </si>
  <si>
    <t>MO Credit Management Platform</t>
  </si>
  <si>
    <t>Developer of a fintech platform designed to enhance credit decisions and management. The company's platform uses AI and machine learning to predict the creditworthiness and the probability of defaults of a potential borrower, the loan issuing and management platform can serve and admin credit to persons or small businesses via multiple channels, including a smart mobile app, web portal, POS terminal, M-Pos, USSD, SMS, transport cards and pre-paid and debit cards, enabling clients with loans and other lending facilities through multiple platforms.</t>
  </si>
  <si>
    <t>Cuatrecasas Acelera, Google Accelerator, Start Path</t>
  </si>
  <si>
    <t>www.wearemo.com</t>
  </si>
  <si>
    <t>266074-48</t>
  </si>
  <si>
    <t>Moat AI</t>
  </si>
  <si>
    <t>Operator of an online investment advisory platform intended to help monitor investment returns and plan investments accordingly. The company's platform integrates an online robot advisor that keeps track of all the latest market trends, investment prospects, and related information on fund selection and portfolio management, enabling users to make informed decisions in real time.</t>
  </si>
  <si>
    <t>Hanwha Group, KB Innovation HUB, Shinhan Futures Lab, Tenity, Turning Point Venture Partners, Wadiz Partners</t>
  </si>
  <si>
    <t>www.moatai.io</t>
  </si>
  <si>
    <t>339840-55</t>
  </si>
  <si>
    <t>Mobbex</t>
  </si>
  <si>
    <t>Developer of a financial software designed to help small businesses. The company's software integrates all payment methods and permits merchants to accept online payments via cell phone, tablet, or computer without any tedious process, enabling small businesses to improve their sales with the implementation of an electronic payment system.</t>
  </si>
  <si>
    <t>Agencia Córdoba Innovar y Emprender, Alaya Capital, doingLABS, Start-Up Chile</t>
  </si>
  <si>
    <t>www.mobbex.com</t>
  </si>
  <si>
    <t>506828-44</t>
  </si>
  <si>
    <t>Mobility Trust</t>
  </si>
  <si>
    <t>Provider of financial services intended to fulfill the financial needs of the physically disabled community. The company's services help to improve the everyday lives of people with physical disabilities, enabling customers to get all kinds of financial services at affordable rates.</t>
  </si>
  <si>
    <t>mobilitytrust.com</t>
  </si>
  <si>
    <t>442546-66</t>
  </si>
  <si>
    <t>MOCA Financial</t>
  </si>
  <si>
    <t>Developer of financial software designed to provide smart payment technology to community financial institutions. The company's software offers self-issue virtual and physical cards, real-time transaction alerts, advanced card control, and assists with receipts and other document tagging, enabling clients to allow customers to instantly send money to anyone, anywhere at any time, and monitor all the transactions in real-time.</t>
  </si>
  <si>
    <t>Woodforest National Bank</t>
  </si>
  <si>
    <t>www.mocapay.com</t>
  </si>
  <si>
    <t>64958-86</t>
  </si>
  <si>
    <t>Modo Payments</t>
  </si>
  <si>
    <t>Developer of a payments platform designed to simplify transactions for complex organizations. The company's platform gives users the capability to control and manage their commerce propositions, money and data flows, provider relationships, and their clients' payment experiences, enabling global sellers to
have increased revenue and taken costs out of both transaction and internal operations.</t>
  </si>
  <si>
    <t>Capital Factory, Deutsche Bank, Deutsche Bank Ventures, Interlock Partners, John Beletic, John Kassing, Mexcap (Texas), Plug and Play Tech Center, Start Path, Tim Keith</t>
  </si>
  <si>
    <t>www.modopayments.com</t>
  </si>
  <si>
    <t>483636-16</t>
  </si>
  <si>
    <t>Moduit</t>
  </si>
  <si>
    <t>Developer of a fintech platform designed to provide investment and wealth management services. The company's platform streamlines the investment management process and supports clients' investment decisions via AI assistants and investment advisors, as well as assists through the form of sales representatives, enabling clients to get investment strategies and advice.</t>
  </si>
  <si>
    <t>33 Capital, Alto, Helicap, Purpose Venture Capital, Reciprocus Financial Services, Reciprocus Moduit Holding, Walter De Oude</t>
  </si>
  <si>
    <t>www.moduit.id</t>
  </si>
  <si>
    <t>121369-06</t>
  </si>
  <si>
    <t>Modular Finance</t>
  </si>
  <si>
    <t>Developer of a fintech platform designed to streamline investor relations processes. The company's platform includes features such as shareholder identification, investor targeting and CRM capabilities, enabling financial institutions to enhance their communication with investors while ensuring regulatory compliance and improving operational efficiency.</t>
  </si>
  <si>
    <t>Rite Ventures, Sprints (London)</t>
  </si>
  <si>
    <t>www.modularfinance.com</t>
  </si>
  <si>
    <t>294469-66</t>
  </si>
  <si>
    <t>Modular Technologies (Core Banking)</t>
  </si>
  <si>
    <t>Developer of a banking-as-a-service designed for seamless banking operations. The company's platform is based on a microservices architecture composed of flexible and independent modules covering end-to-end everyday banking processes, enabling banks, financial services companies, and businesses to integrate its modular banking technology into their existing infrastructure.</t>
  </si>
  <si>
    <t>Aperture, BlackFin Capital Partners, Citi Ventures, CommerzVentures, Karma Ventures, Kinled Holding, LHV Group, Ott Kaukver, Plug and Play Tech Center, Portage, Siena Capital Partners, Speedinvest</t>
  </si>
  <si>
    <t>www.tuum.com</t>
  </si>
  <si>
    <t>1158132-25</t>
  </si>
  <si>
    <t>Modulus</t>
  </si>
  <si>
    <t>Developer of payment processing platform designed for high-transacting organizations to unlock and gain data. The company platform combines zero-knowledge proofs with AI inference to ensure that model outputs are provably correct and privacy-preserving,enabling developers and organizations in decentralised systems to build applications that require trust less computation, verifiable decision-making, and integration with blockchain-based environments.</t>
  </si>
  <si>
    <t>1982 Ventures, Seedstars International Ventures</t>
  </si>
  <si>
    <t>www.moduluslabs.io</t>
  </si>
  <si>
    <t>502876-27</t>
  </si>
  <si>
    <t>Moduo Accounting</t>
  </si>
  <si>
    <t>Developer of payroll and accounting management platform designed to provide necessary insights for business operations. The company's platform features the ability to provide transaction management, cost classification, financial statement overview, and more, enabling companies to take care of complex payroll settlements and cumbersome pay stubs.</t>
  </si>
  <si>
    <t>BNK fintech lab, IBK 1st Lab, KB Innovation HUB, N Partners, Seoul Fintech Lab, Shinhan Futures Lab, Tech Incubator Program for Startup</t>
  </si>
  <si>
    <t>moneypin.biz</t>
  </si>
  <si>
    <t>512285-23</t>
  </si>
  <si>
    <t>mogul (Financial Software)</t>
  </si>
  <si>
    <t>Developer of a blockchain-based real estate investment platform intended for real estate investing services. The company's platform allows users to directly invest in cash-generating properties and provide property owners with cost-cutting, equity-unlocking blockchain-based solutions and connect them to investors, enabling clients to receive daily cash flow from a property's rental income based on their ownership percentage.</t>
  </si>
  <si>
    <t>Anitha Vadavatha, Ava Labs, AY Ventures, Blizzard Avalanche Fund, Draper Associates, Draper B1, Draper Dragon, InterVest, Ligo Partners, Rosa Rios, Stacie Olivares-Castain</t>
  </si>
  <si>
    <t>www.mogul.club</t>
  </si>
  <si>
    <t>1238923-18</t>
  </si>
  <si>
    <t>Momentum Finance Group</t>
  </si>
  <si>
    <t>Provider of short-term asset-based lending services intended for business financing supported by tangible security. The company offers non regulated secured lending with loan terms from one to twelve months, facility sizes from fifty thousand to one million pounds, property led security across residential, commercial, land or plant and machinery, defined loan to value parameters, setup fees, monthly interest and exit fees, and personal guarantees in all cases, helping companies and sole traders with access to short duration capital against real assets with clear structure and pricing.</t>
  </si>
  <si>
    <t>Venturian Funding &amp; Investment Group</t>
  </si>
  <si>
    <t>www.momentum-fg.co.uk</t>
  </si>
  <si>
    <t>111254-23</t>
  </si>
  <si>
    <t>MoMo Mobile Money</t>
  </si>
  <si>
    <t>Operator of a first-regulated narrow digital bank intended to offer financial services. The company's services include instantaneous payments, transfers, remittances, exchange savings, and loans with an account at the central bank, and deposits get converted into equivalent e-currency through the banking for people mobile platform, enabling customers to get everyday financial services.</t>
  </si>
  <si>
    <t>momo.global</t>
  </si>
  <si>
    <t>589084-93</t>
  </si>
  <si>
    <t>Mona Finance</t>
  </si>
  <si>
    <t>Developer of a digital identity and cryptographic key management platform designed to support authentication, authorization, and transaction security for digital services. The company combines secure cryptographic key custody, automated operational workflows, self-correcting user identity models, and embedded payment capabilities with integration across public- and private-sector systems, enabling government agencies, regulated institutions, and other digital service providers to verify users, manage access, support onboarding and recovery processes, and execute compliant digital transactions as part of a broader national digital transformation framework.</t>
  </si>
  <si>
    <t>BYLD (Dubai)</t>
  </si>
  <si>
    <t>mona.ng</t>
  </si>
  <si>
    <t>463567-69</t>
  </si>
  <si>
    <t>Monavate</t>
  </si>
  <si>
    <t>B2B Payments, Cryptocurrency/Blockchain, FinTech, Mobile, Mobile Commerce, SaaS</t>
  </si>
  <si>
    <t>Developer of a cloud-based payment platform designed to offer convenient, accessible financial alternatives. The company delivers payment financial ideas with guidance and suitable technology, and also helps nascent-stage businesses navigate the network of relationships and technology choices needed to build and scale financial products and launch financial programs, enabling clients to send and receive money without any issues.</t>
  </si>
  <si>
    <t>www.monavate.com</t>
  </si>
  <si>
    <t>522678-43</t>
  </si>
  <si>
    <t>Monay</t>
  </si>
  <si>
    <t>Developer of a money-saving application designed to nudge customers toward healthier spending habits for their financial well-being. The company specializes in financial tracking and chat, money journeys, success messages, money experts, and money management, enabling users to save money from unnecessary expenses through behavior change methodologies to guide toward conscious consumerism, saving, and investment.</t>
  </si>
  <si>
    <t>GoodLight Capital, Mindful Venture Capital</t>
  </si>
  <si>
    <t>www.monay.com.tr</t>
  </si>
  <si>
    <t>497778-85</t>
  </si>
  <si>
    <t>Monee lab</t>
  </si>
  <si>
    <t>Developer of a financial platform designed to provide a new daily pocket money mission. The company's platform provides a challenging function to receive rewards for completing tasks such as financial common sense quizzes, stock market simulations, and savings goal achievement, enabling parents to help their kids experience the overall financial life, such as investment and other instruments.</t>
  </si>
  <si>
    <t>www.moneeapp.com</t>
  </si>
  <si>
    <t>490089-07</t>
  </si>
  <si>
    <t>Monet</t>
  </si>
  <si>
    <t>Developer of a financial operations and embedded credit platform designed to manage workflows and provide project-level financing for media, production, and creative work. The company offers integrated campaign and production workflow management, invoicing, payments, payroll, and revolving working capital facilities, enabling media, production, and creative agencies to access short-duration credit underwritten using live campaign and receivables data across media, film, and high-end television productions.</t>
  </si>
  <si>
    <t>Chris Adelsbach, Dan Adler, Force Over Mass Capital, Hub71, Michael Fischer, Paul Rippon, William Neale</t>
  </si>
  <si>
    <t>www.monet.money</t>
  </si>
  <si>
    <t>589304-08</t>
  </si>
  <si>
    <t>Moneten</t>
  </si>
  <si>
    <t>Developer of an all-in-one financial application designed to help individuals navigate their financial journeys. The company's application offers personalized learning modules, financial tools, and community-driven support, enabling users to confidently make informed financial decisions, track savings goals, gain knowledge through expert-led webinars, and access tailored content for a comprehensive understanding of financial management.</t>
  </si>
  <si>
    <t>Female Founders - Grow F, Innovationsstarter</t>
  </si>
  <si>
    <t>www.moneten.app</t>
  </si>
  <si>
    <t>186511-78</t>
  </si>
  <si>
    <t>Monetha</t>
  </si>
  <si>
    <t>E-Commerce, FinTech, Marketing Tech, Mobile</t>
  </si>
  <si>
    <t>Developer of a cashback and rewards platform designed to help users save money while shopping online. The company's platform helps to create digital profiles to engage with companies through shopping or taking surveys and earn points that can be redeemed for products, vouchers, cryptocurrencies, and exclusive deals, enabling users to get rewards and loyalty points for their online activities.</t>
  </si>
  <si>
    <t>Hyper Accelerator</t>
  </si>
  <si>
    <t>www.monetha.io</t>
  </si>
  <si>
    <t>521421-04</t>
  </si>
  <si>
    <t>Monetse</t>
  </si>
  <si>
    <t>Developer of a fintech platform intended to provide upfront capital support to the enterprise. The company's platform provides the capital it needs to accelerate its growth and alternative methods of traditional fundraising or bear the burdens of debt or dilution, enabling businesses with a monthly recurring revenue contract in exchange for the annual value of those contracts.</t>
  </si>
  <si>
    <t>Modus Capital</t>
  </si>
  <si>
    <t>www.monetse.com</t>
  </si>
  <si>
    <t>589583-44</t>
  </si>
  <si>
    <t>Money Farm</t>
  </si>
  <si>
    <t>Operator of an asset management platform intended for users to invest in fractionalized debt instruments. The company's platform facilitates investments in tokenized debt with a minimum investment, making it accessible to a wider range of investors and lowering the barrier to entry compared to traditional debt investment methods, enabling a broader market to participate in debt investment opportunities typically reserved for institutional investors.</t>
  </si>
  <si>
    <t>Fals Co., Ltd, Hakuhodo, Hakuhodo KEY3, Hokkoku Bank, Shoko Chukin Bank</t>
  </si>
  <si>
    <t>www.moneyfarm.jp</t>
  </si>
  <si>
    <t>118422-82</t>
  </si>
  <si>
    <t>Money Fellows</t>
  </si>
  <si>
    <t>Developer of a peer-to-peer lending and savings platform designed to facilitate access to financial services through digitized community lending circles. The company's platform enables individuals to participate in rotating savings and credit associations, enabling unbanked and underbanked users with financial inclusion, improved credit scores and access to larger financial opportunities.</t>
  </si>
  <si>
    <t>4DX Ventures, 500 Global, Al Mada Ventures, Arzan Venture Capital, British International Investment, CommerzVentures, Development Partners International, Dubai Angel Investors, Endeavor Catalyst, F6 Ventures, Invenfin, March Holding, Middle East Venture Partners, More Capital, National Investments, P1 Ventures, Partech, Phoenician VC, Sawari Ventures</t>
  </si>
  <si>
    <t>moneyfellows.com</t>
  </si>
  <si>
    <t>547971-94</t>
  </si>
  <si>
    <t>Money Industries</t>
  </si>
  <si>
    <t>Operator of a financial platform intended to establish cross-border money transfer and payment relationships with multiple countries. The company helps financial technology startups to transfer money internationally without banks and incorporation in global markets, enabling companies to connect local payment and payment networks around the world.</t>
  </si>
  <si>
    <t>Caucasus Ventures, Hasan Jabbarov, Sabrican Zaim</t>
  </si>
  <si>
    <t>www.money.industries</t>
  </si>
  <si>
    <t>433346-86</t>
  </si>
  <si>
    <t>Money Jar</t>
  </si>
  <si>
    <t>Operator of a digital financial account intended for cross-border personal wealth management purposes. The company's platform provides a multi-currency digital wallet that features local International Bank Account Numbers, integrated virtual and physical debit cards, automated budgeting tools, and international money transfer capabilities, enabling expatriates and international travelers to manage their finances across different jurisdictions without the traditional barriers of legacy banking systems.</t>
  </si>
  <si>
    <t>moneyjar.world</t>
  </si>
  <si>
    <t>520678-00</t>
  </si>
  <si>
    <t>Money Money Invest</t>
  </si>
  <si>
    <t>Developer of a financial services platform designed to increase the accessibility of digital credit. The company's software provides crowdfunding services, in the form of peer-to-peer lending, enabling investors and borrowers to get in touch so that the former can meet the credit demand of the latter.</t>
  </si>
  <si>
    <t>Google Accelerator, Randon Ventures</t>
  </si>
  <si>
    <t>www.moneymoneyinvest.com.br</t>
  </si>
  <si>
    <t>469617-13</t>
  </si>
  <si>
    <t>Money254</t>
  </si>
  <si>
    <t>Operator of a loan comparison platform intended to make financial decisions by creating transparency and equal access to financial and insurance product information. The company's platform aggregates and reviews financial products from established financial institutions, enabling customers to get a simple, fast, and transparent way for users in Kenya to search and compare financial and insurance products.</t>
  </si>
  <si>
    <t>Akili Ventures, Antler, Enza Capital, Ground Squirrel Ventures, MIT Fintech Conference, Overton Venture Capital, Rock Impact Capital, Sherpa Ventures, Zephyr Management</t>
  </si>
  <si>
    <t>www.money254.co.ke</t>
  </si>
  <si>
    <t>895421-71</t>
  </si>
  <si>
    <t>MoneyBadger</t>
  </si>
  <si>
    <t>Developer of a crypto payment technology designed to enable seamless cryptocurrency acceptance across retail environments. The company offers integration with physical point-of-sale systems, online stores, and mobile QR platforms, enabling merchants, payment service providers, and crypto wallet operators to process and settle crypto transactions efficiently across multiple channels.</t>
  </si>
  <si>
    <t>P1 Ventures</t>
  </si>
  <si>
    <t>www.moneybadger.co.za</t>
  </si>
  <si>
    <t>519770-26</t>
  </si>
  <si>
    <t>MoneyCatcha</t>
  </si>
  <si>
    <t>Developer of an open banking-enabled financial technology platform designed for real-time mortgage origination and consumer data management. The company's platform automates home loan product and pricing discovery, integrates property valuation tools for real-time loan-to-value ratio calculations, and advanced API connectivity that streamlines end-to-end loan processing, enabling banks and financial aggregators to accelerate lending decisions and improve customer retention.</t>
  </si>
  <si>
    <t>KPMG mLabs</t>
  </si>
  <si>
    <t>www.moneycatcha.com</t>
  </si>
  <si>
    <t>1240705-81</t>
  </si>
  <si>
    <t>Moneydevkit</t>
  </si>
  <si>
    <t>Developer of a digital payment platform intended to support online payment acceptance using crypto. The company offers a payment pathway that ships with a guided cli, webhook wiring, and a hosted checkout component for next.js , retrieve your secrets, and drop the element into your route, enabling its users to start accepting payments anywhere in the world.</t>
  </si>
  <si>
    <t>Chapter One</t>
  </si>
  <si>
    <t>moneydevkit.com</t>
  </si>
  <si>
    <t>43095-70</t>
  </si>
  <si>
    <t>MoneyExpert</t>
  </si>
  <si>
    <t>Operator of a financial platform intended to offer financial advice and comparison services. The company's platform offers advisory services in the areas of insurance, loans, investments, credit, retirement plans, and savings, and helps customers find the cheapest prices on a range of financial, insurance, and home and utility products, as well as providing debt advice to those who are struggling financially, enabling customers to take complete care of their finances.</t>
  </si>
  <si>
    <t>Eurocall, TCV, Think Money</t>
  </si>
  <si>
    <t>www.moneyexpert.com</t>
  </si>
  <si>
    <t>523251-19</t>
  </si>
  <si>
    <t>Moneygeek</t>
  </si>
  <si>
    <t>Developer of a personal finance service platform intended to offer support for financial decision-making. The company offers educational resources and financial tools to make personal finance more approachable and accessible, enabling individuals to make informed decisions about insurance, mortgages, credit cards, loans, and financial planning.</t>
  </si>
  <si>
    <t>www.moneygeek.com</t>
  </si>
  <si>
    <t>538901-47</t>
  </si>
  <si>
    <t>Moneymoon</t>
  </si>
  <si>
    <t>Developer of a pioneering fintech platform designed to facilitate Sharia-compliant peer-to-peer financing. The company offers an integrated document-free process for both borrowers and investors and a streamlined process for borrowers and investors to secure returns with profits, providing users with secure transactions with automated execution and adherence to Islamic financial principles.</t>
  </si>
  <si>
    <t>Core Vision Investments, Keheilan Asset Management</t>
  </si>
  <si>
    <t>moneymoon.sa</t>
  </si>
  <si>
    <t>550848-07</t>
  </si>
  <si>
    <t>MoneyMoov</t>
  </si>
  <si>
    <t>Developer of a secure portable mobile payment platform intended to transact in a fast, safe, and compliant manner. The company's platform focuses on providing frictionless, innovative, user-friendly, and compliant electronic payment services for both domestic and international transactions. mobile payments, cross-border payments, and payment card services, and also specializes in e-commerce processing and remittances, enabling consumers and businesses to access convenient, secure, fast, and flexible loading and withdrawal options.</t>
  </si>
  <si>
    <t>SOJA Ventures</t>
  </si>
  <si>
    <t>www.moneymoov.com</t>
  </si>
  <si>
    <t>530468-02</t>
  </si>
  <si>
    <t>MoneyPlex</t>
  </si>
  <si>
    <t>Operator of a currency exchange kiosk designed to provide an unmanned payment service for foreigners visiting Korea. The company specializes in offering a real-time foreign currency distribution value chain with security account receipt technology, simplifying currency exchange and prepaid transport management, enabling customers to access a nearby currency exchange facility, and convenient local transit options.</t>
  </si>
  <si>
    <t>CunaeST Foundation, D-Camp, IBK Changgong, KB Innovation HUB, KB Investment, MetLife Inclusion Plus, Newborn Ventures, Seoul Startup Hub, Tech Incubator Program for Startup</t>
  </si>
  <si>
    <t>www.moneyplex.net</t>
  </si>
  <si>
    <t>170752-06</t>
  </si>
  <si>
    <t>MoneyTable</t>
  </si>
  <si>
    <t>Operator of an integrated community finance platform intended to offer safe payroll loans for workforce personnel. The company's platform uses big data and machine learning algorithms for developing standardized data storage and encryption to prevent data leakage and to have a digital banking capability within their community, ranging from lending to borrowing, enabling financial communities to use smart contracts and smart payments to gain full employee benefits and personal finance management services.</t>
  </si>
  <si>
    <t>Asia Insurance 1950, Chatchaval Jiaravanon, Chualapayap Srikarnchana, Kejora Capital</t>
  </si>
  <si>
    <t>www.moneytable.com</t>
  </si>
  <si>
    <t>104344-57</t>
  </si>
  <si>
    <t>MONi</t>
  </si>
  <si>
    <t>Provider of digital financial services designed for personal lending and everyday payments. The company's platform offers instant personal loans with flexible repayment options, a virtual wallet for managing funds, a prepaid card for online and in-store purchases, and tools for paying utility bills, recharging mobile phones, and making QR code payments, enabling underbanked individuals to access essential financial services conveniently and efficiently.</t>
  </si>
  <si>
    <t>Banco, Banco BST, Federico Pirzio-Biroli, First Capital Group (Argentina), FJ Labs, Inter-American Development Bank, NXTP Ventures, VALO (Banco de Valores SA)</t>
  </si>
  <si>
    <t>www.moni.com.ar</t>
  </si>
  <si>
    <t>384716-89</t>
  </si>
  <si>
    <t>Moniic</t>
  </si>
  <si>
    <t>Developer of a financial platform designed to understand the financial standing of the business in real time. The company's platform helps to accelerate and optimize cash flow and offers capital visibility, simplified payment management, automated collection through digital payment methods, and reliable liquidity forecasts, enabling companies to easily prepare receivable and payable accounts automatically.</t>
  </si>
  <si>
    <t>GrowthX Capital, Startupbootcamp Holding</t>
  </si>
  <si>
    <t>www.moniic.io</t>
  </si>
  <si>
    <t>470051-92</t>
  </si>
  <si>
    <t>MoniMove</t>
  </si>
  <si>
    <t>Developer of a digital procurement and trade finance fintech platform designed to install security and strong governance into the international industry. The company's platform monitors the movement of money in the full supply chain documentation process, authentication, and all of the credit utilization cycles after fund and contract approval, enabling companies to reduce risk and cost and mitigate disputes to create a safe and secure trading ecology.</t>
  </si>
  <si>
    <t>GreenHouse Capital, National Bank of Fujairah</t>
  </si>
  <si>
    <t>www.monimove.com</t>
  </si>
  <si>
    <t>492644-98</t>
  </si>
  <si>
    <t>Monit (Financial Services)</t>
  </si>
  <si>
    <t>Operator of a spend management platform designed to provide expense management services for businesses. The company's platform offers bill payments, expense tracking and management, and corporate card issuing through a single integration, enabling clients to significantly improve cash flow, hire more people, and grow.</t>
  </si>
  <si>
    <t>1982 Ventures, Cento Ventures, Init 6, Sansan, Scale Up by Endeavor</t>
  </si>
  <si>
    <t>www.monitpay.com</t>
  </si>
  <si>
    <t>432560-53</t>
  </si>
  <si>
    <t>Monit (Financial Software)</t>
  </si>
  <si>
    <t>Developer of a financial intelligence platform intended to facilitate digital and financial engagement between banks and server message block clients. The company's platform links to a small and medium business accounting package that manages cash flow, and calculates savings opportunities with views of current and predicted cash flow, revenue, and profitability alongside personalized financial insights and event modeling tools, enabling banks to understand a customer's current and projected financial health</t>
  </si>
  <si>
    <t>American Bankers Association, BankTech Ventures, Correlation Ventures, Independent Community Bankers of America, JAM FINTOP, Joseph Proto, MassChallenge, Plug and Play Tech Center, Runway Venture Partners, TTV Capital, William Ruh</t>
  </si>
  <si>
    <t>www.monitapp.io</t>
  </si>
  <si>
    <t>230422-60</t>
  </si>
  <si>
    <t>Monkey (Sao Paulo)</t>
  </si>
  <si>
    <t>AgTech, FinTech, SaaS, Supply Chain Tech</t>
  </si>
  <si>
    <t>Developer of an online finance marketplace platform designed to make the receivables discount market more efficient. The company offers receivables financing, accounts payable management, dynamic discounting, auction-based funding, financial institution connectivity, and workflow automation, enabling businesses, suppliers, and financial institutions to manage cash flow, access funding options, and streamline financing processes through a single platform.</t>
  </si>
  <si>
    <t>Accion, DEG, Kinea Investimentos, L4 Venture Builder, NVA Capital, Quona Capital</t>
  </si>
  <si>
    <t>www.monkey.tech</t>
  </si>
  <si>
    <t>866123-47</t>
  </si>
  <si>
    <t>Monkey Money</t>
  </si>
  <si>
    <t>Developer of digital financial services designed to support the financial well-being of Brazilian immigrants in the United States. The company's platform offers a digital account accessible with just a passport and U.S. address, international money transfers to Brazil via PIX, peer-to-peer transfers within the United States, cashback on gift card purchases from partner stores, and educational content on financial management and cultural adaptation, enabling users to manage their finances with convenience and security.</t>
  </si>
  <si>
    <t>www.monkeymoneyapp.com</t>
  </si>
  <si>
    <t>886035-79</t>
  </si>
  <si>
    <t>Monny</t>
  </si>
  <si>
    <t>Developer of an AI-powered personal financial assistant and free budget application designed to gain an overview of finances, answer money-related questions and guide towards achieving financial goals. The company offers a comprehensive approach to financial management to connect all bank accounts for a unified overview, create and track financial goals, offering AI assistance and the option to consult with certified human financial coaches, enabling customers to reduce financial stress, save money, pay off debts and make conscious spending choices, transforming them from spenders to savers.</t>
  </si>
  <si>
    <t>Arnold Kamminga, Gerjan Lange, Kalo Bagijn, Peter Kaas, Shaping Impact Group</t>
  </si>
  <si>
    <t>www.getmonny.com</t>
  </si>
  <si>
    <t>465987-61</t>
  </si>
  <si>
    <t>Mono (Financial Software)</t>
  </si>
  <si>
    <t>Developer of a digital banking platform designed to offer financial services to small and medium enterprises. The company's platform offers services such as opening a digital bank account, making online payments with a debit card, and integrating all functions with their partners' accounting software, enabling startups and businesses to easily manage their expenses.</t>
  </si>
  <si>
    <t>Adam French, Augustine Feuerhake, B Venture Capital, Belvo Tintore, Carlo Hamermesz Neumark, Caterine Castillo, Charles Delingpole, Christian Edler, Dann Bibas, Deepak Chhugani, Diego Gomes, First Check Ventures, Gaston Irigoyen, Guillermo Plaza, Hugo Mathecowitsch, Inca Ventures, Jamie Devlin, Joe Cross, Jose Jair Bonilla, Juan Camilo, Juan Ortega, Keith Grose, Lluis Canadell, Magma Partners, Man Hei, Michael Pennington, Oliver Jung, Opera Ventures, Ranjan Reddy, Rodrigo Iannuzzi, SaaSholic, Sebastián Ruales, Soma Capital, Stephen Sikes, Thomas Blomfield, Tiger Global Management, Veronika Kapustina, Y Combinator</t>
  </si>
  <si>
    <t>www.mono.la</t>
  </si>
  <si>
    <t>268576-84</t>
  </si>
  <si>
    <t>Montonio</t>
  </si>
  <si>
    <t>Developer of a comprehensive e-commerce and in-store point-of-sales platform designed for seamless online transactions. The company's platform offers integrated payment methods, refunds, and shipping services, enabling online merchants to reduce costs and increase revenue through a unified dashboard, high payment conversion rates, and easy integration.</t>
  </si>
  <si>
    <t>365.fintech, Alesco Ventures, Charles Songhurst, Claret Capital Partners, ff Venture Capital, Index Ventures, Jevgeni Kabanov, Kair Kasper, Lemonade Stand (Estonia), Markus Villig, Martin Sokk, Mastercard Lighthouse, Mikko Silventola, Myles Dawson, Practica Capital, Specialist VC, Startup Wise Guys, Superangel, Sven Kirsimäe, Tera Ventures, Triin Hertmann, Vertex (Lithuania)</t>
  </si>
  <si>
    <t>www.montonio.com</t>
  </si>
  <si>
    <t>183028-06</t>
  </si>
  <si>
    <t>Morakot</t>
  </si>
  <si>
    <t>Developer of a cloud-based core banking platform designed to streamline operations for microfinance institutions and banks. The company's software utilizes cloud-based architecture, credit bureau database integration, and automated loan underwriting, providing a core banking system, loan management software, and accounting modules, enabling users to manage loan tracking and customer onboarding through a single integrated platform.</t>
  </si>
  <si>
    <t>Forte Insurance</t>
  </si>
  <si>
    <t>www.morakot.it</t>
  </si>
  <si>
    <t>460065-88</t>
  </si>
  <si>
    <t>MortgageMarket</t>
  </si>
  <si>
    <t>Operator of an online debt marketplace intended to provide home loan financing to its customers. The company's cloud-based tool provides access to South Africa's banks and the latest information related to home loans and interest rates prevailing in the market, enabling home buyers to compare various loan options and select the most suitable one.</t>
  </si>
  <si>
    <t>ASISA Enterprise and Supplier Development, IDF Capital (Illovo)</t>
  </si>
  <si>
    <t>www.mortgagemarket.co.za</t>
  </si>
  <si>
    <t>437427-37</t>
  </si>
  <si>
    <t>Mosea Technologies</t>
  </si>
  <si>
    <t>Operator of a campus marketing and events agency intended to help brands reach students via ambassadors and campus events. The company specializes in connecting brands by leveraging a network of influential students, orchestrating both in-person and digital campaigns, and offering data-driven information, while maintaining a strong understanding of Generation Z trends, enabling brands to grow authentically within the student market.</t>
  </si>
  <si>
    <t>Astralabs, DataPower Capital</t>
  </si>
  <si>
    <t>moseamarketing.com</t>
  </si>
  <si>
    <t>1232313-94</t>
  </si>
  <si>
    <t>Moto Card</t>
  </si>
  <si>
    <t>Developer of financial services designed for payment flexibility and capital efficiency. The company's platform integrates blockchain technology with credit functionality, offering features such as buy-now-pay-later capability, interest accrual on deposits even after spending, zero foreign exchange fees, enabling entrepreneurs, tastemakers, and crypto power users to optimize liquidity and global spending convenience.</t>
  </si>
  <si>
    <t>Cyberfund, Eterna Capital</t>
  </si>
  <si>
    <t>www.moto-card.com</t>
  </si>
  <si>
    <t>756710-20</t>
  </si>
  <si>
    <t>Movens</t>
  </si>
  <si>
    <t>Developer of an AI-powered financial assistant platform designed for e-commerce businesses. The company's platform integrates with business sales platforms, bank accounts, and marketing channels to analyze financial data, monitor business performance through messaging-app-integrated tools, and automatically track revenue, expenses, and key financial indicators, enabling clients to address working-capital challenges with data-driven information and flexible financing options.</t>
  </si>
  <si>
    <t>Astella Investimentos</t>
  </si>
  <si>
    <t>www.movens.com.br</t>
  </si>
  <si>
    <t>340755-58</t>
  </si>
  <si>
    <t>MOVii</t>
  </si>
  <si>
    <t>Developer of an acquiring and alternative payments platform designed to support digital transactions and financial services. The company offers online payment processing, digital wallet services, welfare distribution, mass payouts, P2P transfers, QR code payments, bill payments, airtime services, and public transport payments, enabling online merchants, payment facilitators, small merchants, and consumers to process transactions efficiently and expand access to digital payments.</t>
  </si>
  <si>
    <t>Agrega Partners, Bamboo Capital Partners, Block, Blue like an Orange Sustainable Capital, Hard Yaka, International Finance Corporation</t>
  </si>
  <si>
    <t>www.movii.com.co</t>
  </si>
  <si>
    <t>1262743-03</t>
  </si>
  <si>
    <t>Moxim</t>
  </si>
  <si>
    <t>Developer of artificial intelligence-driven mortgage technology designed to digitize and simplify financing processes. The company offers a platform that applies artificial intelligence to mortgage applications, delivers end-to-end digital processing for approvals, ensures transparency in lending decisions, accelerates outcomes through automated assessments, and provides accessible online tools for applicants, enabling fast, fair, and fully digital mortgage services to secure fair, efficient, and reliable mortgage services with improved convenience and clarity.</t>
  </si>
  <si>
    <t>Travers Smith</t>
  </si>
  <si>
    <t>www.moxim.co.uk</t>
  </si>
  <si>
    <t>432467-56</t>
  </si>
  <si>
    <t>Moyasar</t>
  </si>
  <si>
    <t>Developer of an electronic payment platform designed to accept and track transactions. The company offers payment infrastructure to grow the client base and ecosystem of networks with a dashboard to manage accounts and transactions while accepting payments anytime and anywhere, enabling e-commerce businesses to grow with a high level of security and privacy protection.</t>
  </si>
  <si>
    <t>Derayah Ventures, Jahez Group, Sharaka Capital</t>
  </si>
  <si>
    <t>www.moyasar.com</t>
  </si>
  <si>
    <t>1234118-17</t>
  </si>
  <si>
    <t>MPay</t>
  </si>
  <si>
    <t>Operator of a multi-currency digital payments and card management platform designed for frictionless spending, payout, and financial control across online and offline channels. The company's platform provides virtual and physical card issuing, secure mobile wallets, real-time transaction monitoring, configurable spending controls, seamless API-based integration with merchant and enterprise systems, and fraud detection, enabling fintechs, merchants, and businesses to streamline payment operations and enhance financial transparency.</t>
  </si>
  <si>
    <t>Atlas Capital, Made with Mason</t>
  </si>
  <si>
    <t>www.mpay.cards</t>
  </si>
  <si>
    <t>769984-12</t>
  </si>
  <si>
    <t>MT Pagamentos</t>
  </si>
  <si>
    <t>Operator of a banking institution intended to operate in the issuance of electronic money, payment initiation, accreditation, and management of bank accounts. The company offers various secure capacity payment services, recurring payment systems, and digital accounts, transforms the financial market and, driven by technology, propelling entrepreneurs' journeys, generating time and effective results for their businesses, enabling businesses of all sizes to streamline payments, improve transaction management, and save time while ensuring compliance and security.</t>
  </si>
  <si>
    <t>Hiker Ventures</t>
  </si>
  <si>
    <t>www.mtpagamentos.com.br</t>
  </si>
  <si>
    <t>507074-59</t>
  </si>
  <si>
    <t>Mthmr</t>
  </si>
  <si>
    <t>Developer of a customer engagement software designed to help save on everyday purchases. The company's platform identifies categories in which people spend maximum and pushes offers in these categories, and helps users to save money and provides tailored investment advice, offers cashback that goes directly to the savings wallet, manages multiple accounts, and helps partners to retain and acquire customers, enabling users to track personal finances.</t>
  </si>
  <si>
    <t>Dahran Trading Group, InspireU, Ithraa Business, Le Augure, Taqadam (Accelerator), Wa'ed Ventures</t>
  </si>
  <si>
    <t>www.mthmr.com</t>
  </si>
  <si>
    <t>969092-92</t>
  </si>
  <si>
    <t>Muhlah</t>
  </si>
  <si>
    <t>Developer of a digital micro-finance system intended to provide small consumer loans through an automated financial technology process. The company offers instant applications, digital identity checks, automated disbursement, and Sharia-compliant workflows, enabling consumers in Saudi Arabia to access short-term funding through a fully online and regulated microfinance service.</t>
  </si>
  <si>
    <t>Alsuhaimi Group Holding, BIM Ventures, Fakhr Investment Holding Company, SBI Insurance Group</t>
  </si>
  <si>
    <t>muhlah.sa</t>
  </si>
  <si>
    <t>147271-78</t>
  </si>
  <si>
    <t>Mulligan Funding</t>
  </si>
  <si>
    <t>Operator of a financial platform intended to assist with short-term funding. The company operates within the industries of company finance and other financial services and offers working capital, business loans, cash advances, and credit cards, providing businesses with financial support to assist with lending needs.</t>
  </si>
  <si>
    <t>www.mulliganfunding.com</t>
  </si>
  <si>
    <t>521330-77</t>
  </si>
  <si>
    <t>MultiLynq</t>
  </si>
  <si>
    <t>Operator of an electronic fixed-income trading connectivity and integration platform intended to simplify trading and messaging protocols supported across the us electronic trading venues. The company's platform provides the pricing and market data information from all connected trading venues over a single aggregated feed, complemented with a suite of quoting, routing, and request for quotation options, enabling trading firms to get comprehensive service across the credit and municipal markets.</t>
  </si>
  <si>
    <t>Citadel Securities, Jane Street</t>
  </si>
  <si>
    <t>www.multilynq.com</t>
  </si>
  <si>
    <t>686872-90</t>
  </si>
  <si>
    <t>Multiplo</t>
  </si>
  <si>
    <t>Developer of an AI-based financial platform intended to offer wealth management services. The company's platform aggregates assets and liabilities into a single intuitive dashboard to receive detailed financial planning tailored to each individual's personal needs and goals, and offers access to personalized financial advisory, enabling clients to take control of their finances and improve their financial well-being.</t>
  </si>
  <si>
    <t>Antai Ventures</t>
  </si>
  <si>
    <t>www.multiplocapital.com</t>
  </si>
  <si>
    <t>504164-17</t>
  </si>
  <si>
    <t>Multiply Mortgage</t>
  </si>
  <si>
    <t>FinTech, HR Tech, Real Estate Technology, SaaS</t>
  </si>
  <si>
    <t>Developer of a financial wellness benefit platform designed to help employees navigate the purchase of their life by buying a home. The company offers mortgage interest rate discounts, access to mortgage expert advisors, and employee education sessions covering the home purchase and financing process, enabling employees to make more informed financial decisions with zero cost or administrative overhead for the company.</t>
  </si>
  <si>
    <t>A*, BoxGroup, Kleiner Perkins, Mischief, PeopleTech Partners, Sarona Ventures, SemperVirens Venture Capital, Workshop Fund</t>
  </si>
  <si>
    <t>www.multiplymortgage.com</t>
  </si>
  <si>
    <t>749180-17</t>
  </si>
  <si>
    <t>Mundi (Financial Software)</t>
  </si>
  <si>
    <t>Developer of financial software designed to evaluate savings with advantageous return rates. The company's platform includes automated optimisation of cash balances across overnight savings and term deposits, access to competitive interest rates from multiple banks through a single investment account opened with a licensed brokerage partner, tools for performance tracking and reporting, flexible transfer and allocation options, and daily evaluation of available return opportunities, enabling businesses and account holders to streamline their liquidity management and potentially increase yields on their funds without manually negotiating with individual financial institutions.</t>
  </si>
  <si>
    <t>Ali Nalbantoglu, Andac Turkmen, Bedii Yucaoglu, Birol Yücel, Burhan Karacam, Can Yücaoğlu, DeBa Ventures, Dilek Dayinlarli, Fuat Erbil, Goktekin Dincerler, Mehmet Arat, Onur Aydogan, Sait Ozen, Speedinvest</t>
  </si>
  <si>
    <t>www.getmundi.app</t>
  </si>
  <si>
    <t>960862-42</t>
  </si>
  <si>
    <t>Munify</t>
  </si>
  <si>
    <t>Provider of digital financial infrastructure intended for global money movement and account management. The company's platform supports multi-currency accounts, virtual card issuance, real-time cross-border transfers, invoice generation, and programmable APIs for pay-ins and payouts, enabling individuals, freelancers, and businesses to manage international transactions securely, reduce transfer costs, maintain control over funds, and operate across borders with minimal friction.</t>
  </si>
  <si>
    <t>1Confirmation, BYLD (Dubai), DFS Lab, Digital Currency Group, LoftyInc Capital Management, Maiora Ventures, MyAsiaVC, Rebel Fund, The Explorer Fund, White Star Capital, Y Combinator</t>
  </si>
  <si>
    <t>www.munify.ai</t>
  </si>
  <si>
    <t>763048-72</t>
  </si>
  <si>
    <t>Murphy</t>
  </si>
  <si>
    <t>Developer of artificial intelligence-powered debt collection software designed for automating debt recovery processes. The company's platform automates communication through various channels, including email, short message service, and voice calls, employing empathetic messaging and providing detailed analytics for tracking and optimizing collection strategies, all while ensuring compliance with relevant regulations and integrating with existing accounting systems, enabling companies to improve revenue recovery and optimize accounts receivable performance.</t>
  </si>
  <si>
    <t>Baobab Ventures, ElevenLabs, Enzo Ventures, Gin Venture Capital, Lakestar, Northzone Ventures, Seedcamp</t>
  </si>
  <si>
    <t>www.getmurphy.ai</t>
  </si>
  <si>
    <t>268612-12</t>
  </si>
  <si>
    <t>Mutual (Financial Services)</t>
  </si>
  <si>
    <t>Developer of a peer-to-peer lending platform designed to reduce the need to treat banks as an intermediary. The company's platform connects those who need a loan with those who want to profit from diversified investments, enabling the borrower to get a loan in an uncomplicated way and without abusive fees, whereas the investor gets a profit above market return.</t>
  </si>
  <si>
    <t>EqSeed</t>
  </si>
  <si>
    <t>www.mutual.club</t>
  </si>
  <si>
    <t>223548-49</t>
  </si>
  <si>
    <t>Mutuo Financiera</t>
  </si>
  <si>
    <t>Provider of an online financial assistance platform intended to offer customized financial services for small businesses. The company tracks the financial lending status of investors and debt providers, monitors market risks, and provides financial options, enabling micro, small, and medium enterprises to access financial advisory, credit, and loan recommendations.</t>
  </si>
  <si>
    <t>www.mutuofinanciera.com</t>
  </si>
  <si>
    <t>1308629-26</t>
  </si>
  <si>
    <t>MUWE</t>
  </si>
  <si>
    <t>Operator of digital payment integration and business management services. The company's platform connects multiple payment methods (cards, transfers, and cash) with sales systems, provides dashboards for real-time financial visibility, and supports business operations through integrations with software-as-a-service tools, enabling merchants and small businesses to accept payments, manage revenue data, and streamline their financial workflows across channels.</t>
  </si>
  <si>
    <t>Visor Ventures</t>
  </si>
  <si>
    <t>www.muwe.mx</t>
  </si>
  <si>
    <t>161107-57</t>
  </si>
  <si>
    <t>MyBambu</t>
  </si>
  <si>
    <t>Developer of a money remittance platform designed to promote financial inclusion. The company's platform allows cross-border money remittances, makes banking easy with zero monthly fees, and provides free account setup, enabling users to deposit, withdraw, and send money to friends and family in America and Latin America easily.</t>
  </si>
  <si>
    <t>QUAY Acceleration</t>
  </si>
  <si>
    <t>www.mybambu.com</t>
  </si>
  <si>
    <t>553193-65</t>
  </si>
  <si>
    <t>Mybooster</t>
  </si>
  <si>
    <t>Big Data, E-Commerce, FinTech</t>
  </si>
  <si>
    <t>Developer of a digital platform designed to facilitate electronic financial services for cross-border e-commerce activities. The company offers API-based infrastructure, big data-driven risk control models and digital financial products, enabling e-commerce businesses to manage international transactions and enhance operational efficiency.</t>
  </si>
  <si>
    <t>Futian Capital Holdings, QF Capital, Ventech (Paris)</t>
  </si>
  <si>
    <t>www.mbyst.com</t>
  </si>
  <si>
    <t>898770-70</t>
  </si>
  <si>
    <t>Mydoh</t>
  </si>
  <si>
    <t>Developer of a money management application intended to help kids develop real-life money skills early, while giving parents transparency. The company develops financial skills necessary for future success, empowering parents to manage their cash flow and provide guidance to their children, enabling customers to learn about personal finance.</t>
  </si>
  <si>
    <t>RBCx, Visa</t>
  </si>
  <si>
    <t>www.mydoh.ca</t>
  </si>
  <si>
    <t>493811-47</t>
  </si>
  <si>
    <t>MyGigsters</t>
  </si>
  <si>
    <t>Developer of a financial services platform intended to facilitate access to services for gig workers. The company's platform tracks gig earnings and expenses and offers insights to maximize earnings, save money on taxes, access financial services, and manage gig expenses and auto-track mileage calculations so workers can save money, enabling users to integrate automated income and expenses across multiple platforms.</t>
  </si>
  <si>
    <t>Amazon Web Services, Antler, Australian FinTech, Hatcher+, LaunchVic, Startmate, Victorian Workcover Authority</t>
  </si>
  <si>
    <t>www.mygigsters.com.au</t>
  </si>
  <si>
    <t>722744-47</t>
  </si>
  <si>
    <t>Myne (Financial Software)</t>
  </si>
  <si>
    <t>Developer of a digital wealth management platform designed to help users consolidate, track, and manage their financial assets. The company's platform provides comprehensive asset tracking across bank accounts, investments, cryptocurrencies and personal valuables and integrated estate planning tools, enabling individuals and families to gain a clear view of their financial health, manage their money effectively, and make informed decisions about planning and protecting their wealth.</t>
  </si>
  <si>
    <t>Annex Investments (UAE), Plus Venture Capital, Raz Holding Group, Scene Holding Company</t>
  </si>
  <si>
    <t>www.joinmyne.com</t>
  </si>
  <si>
    <t>802858-15</t>
  </si>
  <si>
    <t>Myriad Markets</t>
  </si>
  <si>
    <t>Developer of an on-chain platform designed for interactive forecasting and digital media integration. The company's platform features prediction markets, gamified quests, and a points-based reward system, enabling users to predict real-world events across topics like sports, politics and cryptocurrency while earning rewards.</t>
  </si>
  <si>
    <t>Auros (Financial Software), Auros Ventures, Blondish &amp; Gryffin, Everest Ventures Group, Igloo (Miami), Luca Schnetzler, MoonPay Ventures, Old Fashion Research, Orange Cap Capital, Side Door Ventures, Tom Lee, Verda Ventures, Walrus Partners, Wave Digital Assets</t>
  </si>
  <si>
    <t>www.myriad.markets</t>
  </si>
  <si>
    <t>631536-22</t>
  </si>
  <si>
    <t>mysherpas</t>
  </si>
  <si>
    <t>Developer of a commercial lending technology platform designed to streamline operations for financial institutions. The company offers workflow automation, intuitive user interfaces, and secure infrastructure, enabling banks and lenders to enhance team efficiency, strengthen borrower relationships, and deliver improved lending experiences.</t>
  </si>
  <si>
    <t>www.mysherpas.ai</t>
  </si>
  <si>
    <t>493138-00</t>
  </si>
  <si>
    <t>MyTM</t>
  </si>
  <si>
    <t>Developer of a payment gateway platform intended to be a one-stop technology to cater to financial and banking needs. The company's software offers the option to conduct cashless and cash-based transactions through a consumer app and a retail network concurrently, mass transit e-ticketing, branchless banking, microfinance services, loan lead generation through an agent network, and financial services, providing customers access to go cashless and make payments online.</t>
  </si>
  <si>
    <t>100 Ventures, Loyal VC, My Petroleum, National Incubation Center (NIC), PEX International, Rentracks, United Seven Hills Venture Partners</t>
  </si>
  <si>
    <t>www.mytm.co</t>
  </si>
  <si>
    <t>535055-23</t>
  </si>
  <si>
    <t>MyZoi</t>
  </si>
  <si>
    <t>Provider of financial services intended to help migrant workers to elevate their investments. The company specializes in offering services including tailored financial literacy and wellness programs, digital and compliant payroll processes, instant transfers, and competitive rates, enabling businesses to maintain social responsibility and workers to improve their standard of living.</t>
  </si>
  <si>
    <t>SBI Ven Capital, SC Ventures</t>
  </si>
  <si>
    <t>www.myzoi.com</t>
  </si>
  <si>
    <t>501275-89</t>
  </si>
  <si>
    <t>n1co</t>
  </si>
  <si>
    <t>Operator of a financial software intended to digitize daily transactions and also allows for accepting and making digital payments in all sales channels. The company's software provides digital payment facilities and financial products to get rid of loan sharks and informal credit, enabling users to experience online transactions and thereby achieving financial inclusion conveniently.</t>
  </si>
  <si>
    <t>www.n1co.com</t>
  </si>
  <si>
    <t>433089-19</t>
  </si>
  <si>
    <t>N5 now</t>
  </si>
  <si>
    <t>Developer of a digital platform designed to operate an ecosystem tailored to the financial industry. The company's platform offers interaction with customers, optimization of information, consulting on execution, strategic, issue-based business and hands-on implementation consulting, enabling clients to improve efficiency, achieve targets and deliver results for customers and shareholders.</t>
  </si>
  <si>
    <t>Alexia Ventures, ArpexCapital, Exor, Illuminate Financial, LTS Growth, Madrone Capital Partners, Overboost, ScaleUP Ventures, WME Group</t>
  </si>
  <si>
    <t>www.n5now.com</t>
  </si>
  <si>
    <t>497326-33</t>
  </si>
  <si>
    <t>NAKAD</t>
  </si>
  <si>
    <t>Developer of financial operations software intended for deductions management and dispute resolution purposes. The company's platform ingests data from emails and retailer portals, validates and processes deduction claims, automates dispute workflows, manages claim documentation and communication, tracks claim status and outcomes, and integrates financial data for reporting and reconciliation, enabling mid-sized enterprises to efficiently manage retailer deductions and recover disputed revenue.</t>
  </si>
  <si>
    <t>Accel, AdvantEdge Founders, Amrit Acharya, Aniket Deb, Ankit Tomar, Harshil Mathur, Mars Shot Ventures, Nitin Gupta, Raghunandan Gangappa, Rahul Sharma, Sachin Agrawal, Shashank Kumar, Z47</t>
  </si>
  <si>
    <t>www.nakad.co</t>
  </si>
  <si>
    <t>268579-54</t>
  </si>
  <si>
    <t>Näktergal</t>
  </si>
  <si>
    <t>Developer of a turnkey consumer lending system designed to make consumer lending effortless for customers. The company's platform digitizes and automates the lending process from when the customer starts applying till the loan is fully paid, with the ability to focus on mortgage lending, consumer finance, and business lending, enabling businesses to process loans in an efficient way.</t>
  </si>
  <si>
    <t>Anette Tånneryd, Devotion Ventures, Fredrik Sjöö, Gorilla Capital (Helsinki), H100 Group, Henrik Källén, Jon Wimmercranz, Katalysen Ventures, Keiretsu Forum, Kuorrokveik Adventure Capital, Stefan Backlund, Uttran Invest</t>
  </si>
  <si>
    <t>www.naktergal.tech</t>
  </si>
  <si>
    <t>226198-36</t>
  </si>
  <si>
    <t>NALA</t>
  </si>
  <si>
    <t>Developer of a mobile payments application designed to simplify money transfers and transactions without an internet connection. The company's application features bank-grade security encryption and multilayer authentication for improved security and works offline to process transactions in regions with weak internet connectivity, enabling clients to make payments safely and conveniently.</t>
  </si>
  <si>
    <t>9Yards Capital Management, Aaron Fu, Accel, Acrew Capital, Alex Bouaziz, Alkarim Nasser, Alumni Ventures, Amplo, Bessemer Venture Partners, Bogaroo, Cristian Constantinescu, DCG Expeditions, DFS Lab, DST Global, Ecobank Transnational, GAN Ventures, Hard Yaka, Head &amp; Heart Capital, HOF Capital, Jonas Templestein, Laura Spiekerman, Norrsken22, Nyca Partners, Peeyush Ranjan, Pelion Venture Partners, Rex Salisbury, Ryan King, Shine Capital, The MBA Fund, Threshold Potential, Tom Williams, VentureSouq, Vlad Tenev, Y Combinator</t>
  </si>
  <si>
    <t>www.nala.com</t>
  </si>
  <si>
    <t>435119-41</t>
  </si>
  <si>
    <t>Nano (Financial Software)</t>
  </si>
  <si>
    <t>Developer of a lending platform designed to digitize the lending process. The company's platform is an intelligent, real-time, digital origination tool that streamlines the loan application process for both lenders and borrowers by eliminating manual tasks and paperwork, while also providing lenders with real-time data and insights to make faster and more informed decisions, enabling financial institutions to automate the origination of any retail banking product from application to approval.</t>
  </si>
  <si>
    <t>Bolton Equities</t>
  </si>
  <si>
    <t>www.nanoplatform.com</t>
  </si>
  <si>
    <t>519653-35</t>
  </si>
  <si>
    <t>NAO Co-Investment</t>
  </si>
  <si>
    <t>Provider of investment platform services intended to enable participation in alternative asset classes through a curated co-investment model. The company facilitates connection to private equity, hedge funds, infrastructure investments, and private debt, offering curated financial products with reduced minimum investment thresholds, enabling investors to access curated investment opportunities and participate in co-investment structures through a digital platform.</t>
  </si>
  <si>
    <t>BLACKVRST Equity GmbH, Jakob Schreyer, Jan Karnath, Jens Hilgers, Kotti Capital, Steffen Hetzel, The House of Finance and Tech Berlin, Zeitgeist X Ventures</t>
  </si>
  <si>
    <t>www.investnao.com</t>
  </si>
  <si>
    <t>539788-33</t>
  </si>
  <si>
    <t>Napier (Financial Software)</t>
  </si>
  <si>
    <t>Developer of a financial trading platform designed to enhance the functionality of yield trading. The company's platform allows trading assets that have been difficult to handle, such as derivative assets, enabling users to get a liquidity hub for financial trading.</t>
  </si>
  <si>
    <t>Apollo Capital (Japan), B Dash Ventures, Brandon Neal, Charlie Watkins, Chris C, Dewhales Capital, Edward Mulraney, FLICKSHOT, Fracton Ventures, Jinwoo Park, Michael Egorov, Sho Yoshida, Sidney Gottlieb</t>
  </si>
  <si>
    <t>www.napier.finance</t>
  </si>
  <si>
    <t>535716-64</t>
  </si>
  <si>
    <t>NaroIQ</t>
  </si>
  <si>
    <t>Operator of an embedded investment management platform intended to improve customers' investment experience. The company's platform offers features like discovering stocks, where the user can submit their financial fingerprint to see how well a stock fits their investment strategy, and helps analyze stocks to convert complex financial mathematical numbers into a simple scoring system, enabling customers to have their personal investment assistant.</t>
  </si>
  <si>
    <t>14Peaks Capital, Angel Invest, Discovery Ventures (Berlin), Gateway Accelerator, General Catalyst, La Famiglia, Loric Ventures, Magnetic (Berlin), OMR X, Redstone VC, Robin Capital, TechQuartier, The House of Finance and Tech Berlin</t>
  </si>
  <si>
    <t>www.naroiq.com</t>
  </si>
  <si>
    <t>820640-71</t>
  </si>
  <si>
    <t>Narrative Banking</t>
  </si>
  <si>
    <t>Developer of a financial personalization platform designed for enhancing banking engagement. The company's platform facilitates adaptive financial narratives based on user behavior, integrates securely with banking systems, offers automated insights and coaching for small businesses, and supports customization, enabling financial institutions to deliver personalized experiences to individuals and enterprises.</t>
  </si>
  <si>
    <t>Enterprise Ireland, rule30, Techstars</t>
  </si>
  <si>
    <t>www.narrativebanking.com</t>
  </si>
  <si>
    <t>87355-72</t>
  </si>
  <si>
    <t>Nasdaq Private Market</t>
  </si>
  <si>
    <t>Operator of a proprietary secondary trading marketplace intended to help maximize performance. The company operates through registered broker-dealer subsidiaries to work with leading private companies on their secondary liquidity programs, offers a trading venue and streamlines manual workflows, enabling issuers, brokers, shareholders and prospective investors to select which stock holdings to sell from, document signature collection, settlement and processing payments.</t>
  </si>
  <si>
    <t>Allen &amp; Company, BNP Paribas, Cerity Partners, Citigroup, DRW Venture Capital, HiJoJo Partners, Oak's Lab, Optiver, The Goldman Sachs Group, True Global Ventures, UBS Group, Wells Fargo</t>
  </si>
  <si>
    <t>www.nasdaqprivatemarket.com</t>
  </si>
  <si>
    <t>519839-20</t>
  </si>
  <si>
    <t>Navadhan</t>
  </si>
  <si>
    <t>Developer of a financial platform designed for improving financial well-being and improving access to finance. The company offers financial software with various features including pension liquid investing, digitizing unorganized value chains, and flexibility on parameters like tenors, drawdown, repayment frequency, and amounts, enabling small businesses and consumers to reduce risk and improve resilience, expand access to finance and growth to improve incomes.</t>
  </si>
  <si>
    <t>AG Ventures., ah! Ventures, Alteria Capital, Anicut Capital, BOPA, Faad Network, Gemba Capital, LNB Group, NABVENTURES, Prasanna Rao, Prime Venture Partners, Sarah Djari, Varanium Capital Advisors, VC Grid</t>
  </si>
  <si>
    <t>www.navadhan.com</t>
  </si>
  <si>
    <t>143390-44</t>
  </si>
  <si>
    <t>Navian Capital</t>
  </si>
  <si>
    <t>Developer of a financial platform intended to provide structured investment products and annuities. The company offers diverse investment opportunities, including market-linked CDs, structured notes, proprietary structured investments, and fixed, indexed, and variable annuities, enabling users to invest in a wide range of products and maximize profits.</t>
  </si>
  <si>
    <t>www.naviancapital.com</t>
  </si>
  <si>
    <t>467940-34</t>
  </si>
  <si>
    <t>NayaPay</t>
  </si>
  <si>
    <t>Developer of an online wallet designed for instant monetary transactions between friends and family, as well as in stores, online, or for international payments. The company's platform enables users to open digital accounts within minutes and make hassle-free digital payments to one another, enabling entrepreneurs with digital payment and financial management tools.</t>
  </si>
  <si>
    <t>Graph Ventures, Maple Leaf Capital, Novo Capital, Saison Capital, Warren Hogarth, Zayn Venture Capital</t>
  </si>
  <si>
    <t>www.nayapay.com</t>
  </si>
  <si>
    <t>769358-53</t>
  </si>
  <si>
    <t>Nayla Finance</t>
  </si>
  <si>
    <t>Developer of a digital financing platform designed to empower companies by offering Sharia-compliant business loans. The company offers a fully digital application process, tailored scoring, and access to capital, enabling small businesses across various sectors to grow and thrive with personalized financial solutions.</t>
  </si>
  <si>
    <t>Sanabil Venture Studio</t>
  </si>
  <si>
    <t>www.naylafinance.com</t>
  </si>
  <si>
    <t>458338-33</t>
  </si>
  <si>
    <t>Nearpay</t>
  </si>
  <si>
    <t>Developer of financial payment software designed to offer convenient payment keys through a smartphone. The company's software offers a point-of-sale application for merchants to accept contactless payments without the need for a credit or a debit card, enabling owners of small stores, representatives of shipping companies and food delivery partners to collect payments simply and easily.</t>
  </si>
  <si>
    <t>Arzan Venture Capital, Hala Ventures, Musaab Hakami, Palm Ventures (Saudi Arabia), Sanabil Investments, Saudi Telecom Company, Start Path, Tali Ventures, Vision Ventures (Saudi Arabia)</t>
  </si>
  <si>
    <t>www.nearpay.io</t>
  </si>
  <si>
    <t>502757-20</t>
  </si>
  <si>
    <t>Nectarine Credit</t>
  </si>
  <si>
    <t>Developer of a business credit application and analytics platform designed to simplify the credit process. The company's platform offers bank verifications, commercial checks, and vendor reference, and sends out applications as part of onboarding and vetting, enabling clients to reduce risk, cut costs, and increase revenue.</t>
  </si>
  <si>
    <t>Amplify.LA, Cascade Seed Fund, K5 Global, SK Ventures</t>
  </si>
  <si>
    <t>www.nectarinecredit.com</t>
  </si>
  <si>
    <t>482668-48</t>
  </si>
  <si>
    <t>Neem (Financial Software)</t>
  </si>
  <si>
    <t>Provider of a full-stack payment infrastructure platform intended to support digital financial operations for businesses. The company offers capabilities for payment acceptance, fund disbursement, branded wallets, ledger management, reconciliation, and real-time visibility, integrates these functions into a single unified system, and supports organizations across logistics, insurance, retail, e-commerce, education, and other sectors, enabling businesses of all sizes to manage money more efficiently and participate in Pakistan's growing digital economy.</t>
  </si>
  <si>
    <t>Arif Habib, Arif Habib, Chris Adelsbach, ConceptVines, Cordoba Logistics &amp; Ventures, Cordoba Ventures, DNI Invest, Epic Angels, Hi2 Global, MarketX, MyAsiaVC, SparkLabs Group, STV, Taarah Ventures, Team Ignite Ventures</t>
  </si>
  <si>
    <t>www.neem.io</t>
  </si>
  <si>
    <t>461870-83</t>
  </si>
  <si>
    <t>Neivor</t>
  </si>
  <si>
    <t>Operator of a property management platform intended to digitalize the administration of condominiums. The company's platform streamlines collection management by generating collection notices on a single platform, providing control of the common areas, managing agendas, and keeping reservations updated from the app, enabling administrators to gather, automate and optimize the entire operation of their condominiums with a flexible and comprehensive tool.</t>
  </si>
  <si>
    <t>Brian Requarth, Claire Diaz-Ortiz, Courtney McColgan, Crestone Venture Capital, Cristian Raygoza, Daniel Bilbao, Digital Ventures (Chile ), Gaingels, Hustle Fund, Iluminar Ventures, Kai Schmitz, Loreanne Garcia, Magma Partners, Marathon Ventures (Colombia), Miguel McCallister, Ramon Heredia, Rodrigo Sanchez-Rios, SoftBank Latin America Fund, Start Path, Two Culture Capital, Upload Ventures (Sao Paulo)</t>
  </si>
  <si>
    <t>www.neivor.com</t>
  </si>
  <si>
    <t>819971-11</t>
  </si>
  <si>
    <t>Nekuda</t>
  </si>
  <si>
    <t>Operator of a digital payment platform intended to facilitate secure and autonomous transactions for artificial intelligence agents. The company's platform manages payment credentials, executes transactions, and captures user intent with transparent mandates, allowing businesses and AI agents to conduct online purchases efficiently while maintaining oversight, reducing operational friction, and ensuring compliance with security standards in digital commerce.</t>
  </si>
  <si>
    <t>AMEX Ventures, Hawk Hill Ventures, Madrona Venture Group, Paul Klein, Sahar Mor, Shyamal Anadkat, Visa Ventures</t>
  </si>
  <si>
    <t>www.nekuda.ai</t>
  </si>
  <si>
    <t>266985-28</t>
  </si>
  <si>
    <t>Nelo</t>
  </si>
  <si>
    <t>Developer a digital payment management platform designed to track financial transactions. The company's platform allows one to send and request money while offering a free virtual card with zero charges for account opening that facilitates payment and balance tracking in real-time, enabling users to manage their funds affordably and securely.</t>
  </si>
  <si>
    <t>Aleka Capital, Anthony Pompliano, Calm Ventures, Deviation Capital, Eastward Capital Partners, Emilie Choi, Erik Peterson, Fifth Down Capital, Gaingels, Gallery Ventures, Gokul Rajaram, Homebrew Management, Ivan Montoya, Jordy Koski, Karman Ventures, Redefine Ventures, Rogue Capital, Susa Ventures, Taimur Sajid, Top Corner Capital, Unpopular Ventures, Zalatoris Acquisition</t>
  </si>
  <si>
    <t>www.nelo.mx</t>
  </si>
  <si>
    <t>277141-87</t>
  </si>
  <si>
    <t>Neo (Financial Software)</t>
  </si>
  <si>
    <t>Developer of forex risk hedging platform intended to democratize the cash management system. The company's platform offers designing bespoke hedging strategies, identifying and quantifying Forex risk, and defining a suitable risk management policy, enabling corporate clients to simplify the implementation process for all international treasury services.</t>
  </si>
  <si>
    <t>Skybound Capital</t>
  </si>
  <si>
    <t>www.getneo.com</t>
  </si>
  <si>
    <t>521356-15</t>
  </si>
  <si>
    <t>Neofin (Financial Software)</t>
  </si>
  <si>
    <t>Developer of a SaaS-based fintech software designed to simplify loan operations. The company's platform offers a low-code application for loan automation that creates digital borrower journey application forms and leads management through origination, scoring, and underwriting to debt collection, enabling financial institutions and clients to create full-cycle applications and financial operations.</t>
  </si>
  <si>
    <t>1871, BMO Financial Group, Equifax, GTSP HOLDINGS, Latitud, Start Path, Upload Ventures (Sao Paulo)</t>
  </si>
  <si>
    <t>www.neo-fin.com</t>
  </si>
  <si>
    <t>500839-21</t>
  </si>
  <si>
    <t>Neomoon</t>
  </si>
  <si>
    <t>Operator of a digital banking platform intended to help people face recessionary and devaluation periods. The company offers access to financial services based on the stablecoin, simply and safely, where members can carry out their day-to-day transactions, and save in a strong currency that preserves the value of their money, enabling users to reduce their bureaucratic burdens to have easy access to the modern financial system and protect their money in an unstable economy.</t>
  </si>
  <si>
    <t>Algorand Foundation, Algorand Miami Accelerator, Algorand Technologies, Big Brain Holdings, Borderless Capital, Optio Ventures</t>
  </si>
  <si>
    <t>www.neomoon.app</t>
  </si>
  <si>
    <t>741498-49</t>
  </si>
  <si>
    <t>NeoSpace AI</t>
  </si>
  <si>
    <t>Developer of a financial modal technology platform designed to revolutionize credit scoring and allocation processes in the finance industry. The company offers a comprehensive suite of services to empower users with seamless, secure, and intuitive access to their financial data and transactions through artificial intelligence, enabling clients to streamline credit processes and improve decision-making.</t>
  </si>
  <si>
    <t>Hans Morris, Itaú Unibanco Holding, Martín Escobari, Micky Malka, Nigel Morris</t>
  </si>
  <si>
    <t>www.neospace.ai</t>
  </si>
  <si>
    <t>312923-89</t>
  </si>
  <si>
    <t>NeQabty</t>
  </si>
  <si>
    <t>Developer of a mobile-based financial application designed to provide automated syndicate services. The company's application facilitates payment of service costs, medical services, and booking events and trips, enabling clients to pay for their medical applications such as prescriptions, renewals, and medical fees.</t>
  </si>
  <si>
    <t>500 Global, AUC Venture Lab, AYADY For Investment &amp; Development, Bank of Alexandria, Changelabs, Export Development Bank of Egypt, German Society for International Cooperation, International Finance Corporation, MENA GenAI Accelerator, NilePreneurs, Pharos Holding for Financial Investments, Plug and Play Tech Center, Sanabil 500 MENA Seed Accelerator, Sanabil Investments, Startupbootcamp Holding, Technology Innovation and Entrepreneurship Center, Visa</t>
  </si>
  <si>
    <t>www.neqabty.com</t>
  </si>
  <si>
    <t>507363-22</t>
  </si>
  <si>
    <t>Netbank</t>
  </si>
  <si>
    <t>Provider of embedded banking infrastructure designed for businesses seeking to integrate financial services into their platforms. The company's platform offers modular capabilities spanning fund collection, disbursement, account management, and lending through programmable and white-labeled interfaces, enabling fintech companies and corporates to deliver regulated banking functionality to their end-customers without independently building or maintaining the underlying banking infrastructure.</t>
  </si>
  <si>
    <t>Altara Ventures, BEENEXT Capital Management, Boleh Ventures, January Capital, Kaya Founders, Oak Drive Ventures, Orionis Capital</t>
  </si>
  <si>
    <t>www.netbank.ph</t>
  </si>
  <si>
    <t>519976-36</t>
  </si>
  <si>
    <t>NetNow</t>
  </si>
  <si>
    <t>Provider of advanced payment services intended to eliminate risk on the balance sheet. The company automates credit decisions and payment workflows while eliminating payment risk for businesses, enabling small and midsize businesses to enhance efficiency, reduce risk, and make data-driven decisions.
.</t>
  </si>
  <si>
    <t>Antler, Day One Ventures, Intuit Canada, Plug and Play Tech Center, Rhino Ventures</t>
  </si>
  <si>
    <t>www.netnow.io</t>
  </si>
  <si>
    <t>327457-99</t>
  </si>
  <si>
    <t>netWorth</t>
  </si>
  <si>
    <t>Developer of a financial advisory platform designed for comprehensive investment planning and retirement management. The company's platform utilizes artificial intelligence to assist users in analyzing stock market opportunities, offering insights into exchange-traded funds, evaluating risks, and optimizing portfolios, enabling individuals to achieve long-term financial stability, enhance decision-making, and effectively manage diverse assets.</t>
  </si>
  <si>
    <t>500 Startups LatAm, CB Information Services, Comisión Nacional de Seguros y Fianzas, ENLACE +, Fintech Mexico, Forbes, Seedstars International Ventures</t>
  </si>
  <si>
    <t>www.networth.mx</t>
  </si>
  <si>
    <t>864461-62</t>
  </si>
  <si>
    <t>NeuralFin</t>
  </si>
  <si>
    <t>Operator of comprehensive financial services and asset management platform intended for high-net-worth individuals, corporate clients, and institutional investors. The company offers wealth management, investment advisory, and customized financial planning services, enabling clients to implement transparent, data-driven investment strategies that support sustainable wealth growth and effective risk management.</t>
  </si>
  <si>
    <t>C Capital (Private Equity), GPTX Investment Management, Qraft, SoftBank Group</t>
  </si>
  <si>
    <t>652806-55</t>
  </si>
  <si>
    <t>NeuralHQ</t>
  </si>
  <si>
    <t>Developer of an AI-based financial platform designed to provide financial and automation services to businesses. The company's platform offers AI agents that handle tasks such as digital payment reconciliation, fraud detection, and customer inquiries across various financial products, integrates with existing systems and workflows, resolves complex issues and improves operational efficiency, enabling businesses to redefine customer experiences in the financial services industry.</t>
  </si>
  <si>
    <t>PointOne Capital</t>
  </si>
  <si>
    <t>www.neuralhq.ai</t>
  </si>
  <si>
    <t>553110-58</t>
  </si>
  <si>
    <t>Neuralk-AI</t>
  </si>
  <si>
    <t>Developer of custom artificial intelligence models designed to address specific business challenges. The company specializes in generative AI models, which can be fine-tuned to integrate with existing business systems and data, enabling companies to automate tasks, improve decision-making and gain new information from their data.</t>
  </si>
  <si>
    <t>Charles Gorintin, Fly Ventures, Incubateur HEC Paris, Incubateur Telecom Paris, Jean-Louis Quéguiner, Julien Launay, La French Tech, Nagi Letaifa, Philippe Corrot, PostScriptum (Finland), Saturnin Pugnet, Station F, StemAI, Thomas Wolf, Vincent Luciani, Xavier Perret</t>
  </si>
  <si>
    <t>neuralk.ai</t>
  </si>
  <si>
    <t>507308-32</t>
  </si>
  <si>
    <t>Neutronpay</t>
  </si>
  <si>
    <t>Developer of a payment gateway platform designed to provide businesses with the ability to accept and send payments in a real-time, safe, secure, and user-friendly way. The company's platform offers a gateway for Bitcoin Lightning to access money transfers, online money transfers, and cross-border transactions, enabling businesses to eliminate their fear of fraud and chargebacks.</t>
  </si>
  <si>
    <t>www.neutron.me</t>
  </si>
  <si>
    <t>496728-64</t>
  </si>
  <si>
    <t>New Debt Exchange</t>
  </si>
  <si>
    <t>Operator of a financial platform intended to provide integrated connectivity and data utility for the global bond market. The company's platform offers a bond market utility, structured message protocols, and identity-protected proof of holdings as a tool, enabling broker-dealers to get access to precise and automated outreach to improve connectivity with their clients.</t>
  </si>
  <si>
    <t>John Ryan, Loyal VC, Matthew Miller, Richard Reilly, Tom Kramer</t>
  </si>
  <si>
    <t>www.newdebtexchange.com</t>
  </si>
  <si>
    <t>223965-91</t>
  </si>
  <si>
    <t>New Flow Technology</t>
  </si>
  <si>
    <t>Developer of a data intelligence platform intended to help financial institutions improve risk management and customer analytics. The company offers customer data management, behavioral profiling, fraud detection, and data connectivity capabilities, enabling banks and insurance providers to strengthen risk assessment and improve operational efficiency.</t>
  </si>
  <si>
    <t>PICC Property and Casualty Company, Qihoo 360 Technology, SB China Venture Capital, SND Ventures Group, V-Joy Tech Group, Youngor Group Company, Zhongcai Jinkong Investment</t>
  </si>
  <si>
    <t>www.nflow.cn</t>
  </si>
  <si>
    <t>540922-51</t>
  </si>
  <si>
    <t>New Social Theory</t>
  </si>
  <si>
    <t>E-Commerce, FinTech, Marketing Tech</t>
  </si>
  <si>
    <t>Developer of a community investment and engagement platform designed to support creators in managing funding and community participation. The company offers creator-focused financial tools, fan participation features, and usage data, enabling independent creators and digital communities to maintain creative work and manage audience relationships.</t>
  </si>
  <si>
    <t>Utopian Ventures (San Francisco)</t>
  </si>
  <si>
    <t>www.newsocialtheory.com</t>
  </si>
  <si>
    <t>534379-60</t>
  </si>
  <si>
    <t>Newhedge</t>
  </si>
  <si>
    <t>Developer of a financial platform designed to help businesses make data-driven decisions. The company's platform hosts fundamental price models, on-chain analysis, and adoption metrics for Bitcoin and other digital assets, enabling investors to get empowered with real-time market analysis, trend identification, and predictive insights.</t>
  </si>
  <si>
    <t>Alfin Ventures, Fusion VC, Wolf (Clothing)</t>
  </si>
  <si>
    <t>www.newhedge.io</t>
  </si>
  <si>
    <t>438039-01</t>
  </si>
  <si>
    <t>Newity</t>
  </si>
  <si>
    <t>Provider of financial services intended to elevate American banks and entrepreneurs by providing seamless paycheck protection program loan servicing. The company provides consulting services to access capital and funding through SBA loans and ensure equity through continued collaboration, and also offers services such as bookkeeping and tax, business consulting, insurance, and marketing, enabling clients to reduce future risk and accelerate loan income.</t>
  </si>
  <si>
    <t>CMT Digital Holdings</t>
  </si>
  <si>
    <t>www.newitymarket.com</t>
  </si>
  <si>
    <t>643728-43</t>
  </si>
  <si>
    <t>Nexa Finance</t>
  </si>
  <si>
    <t>Developer of an investment platform designed to give retail investors access to alternative asset classes. The company's platform offers investment opportunities, democratized finance, blockchain investments, startup investments, liquid investing, and more, enabling clients to access tailored financial opportunities to cater to their long-term goals.</t>
  </si>
  <si>
    <t>Brainvest Wealth Management, Citrino Ventures, Clocktower Ventures, Kiara Capital, Koli Capital, Maya Capital (Brazil), Newtopia VC, Norte Ventures, viden.vc, Vita Investimentos</t>
  </si>
  <si>
    <t>www.nexafinance.com.br</t>
  </si>
  <si>
    <t>431346-07</t>
  </si>
  <si>
    <t>Nexos Technologies</t>
  </si>
  <si>
    <t>Developer of a financial infrastructure platform designed for connecting people and businesses on secure networks. The company's platform provides networked infrastructure and real-time programmable payments, also offering services including the creation of treasury accounts, design services, automated payments, managing compliance, and delivering mobile wallets and virtual payment instruments, enabling enterprises to deploy sensitive workloads across multiple environments.</t>
  </si>
  <si>
    <t>www.nexosgo.com</t>
  </si>
  <si>
    <t>818759-62</t>
  </si>
  <si>
    <t>Next Generation</t>
  </si>
  <si>
    <t>rovider of financial technology infrastructure designed for the purpose of integrating fiat and digital asset payment processing. The company's platform provides on-ramp and off-ramp conversion services between twenty-five traditional currencies and various stablecoins, custodial wallet management connected to European IBANs for unified banking and blockchain fund tracking, and an instant settlement engine for cross-border transfers, enabling corporate and Web3-native entities to execute high-speed global transactions while maintaining regulatory compliance and reducing operational overhead.</t>
  </si>
  <si>
    <t>www.ngpes.com</t>
  </si>
  <si>
    <t>512791-57</t>
  </si>
  <si>
    <t>Nextpls</t>
  </si>
  <si>
    <t>Developer of financial services technology intended to build the global financial infrastructure for the future. The company's platform is comprised of two divisions that provide digital remittance and a wallet that serves cross-border financial needs, holds and manages multiple currencies in wallets, and spends internationally, enabling clients with an inexpensive, fast, and secure service to simplify cross-border transactions.</t>
  </si>
  <si>
    <t>Axiom Asia Private Capital, BitRock Capital (SG), Gaocheng Capital, HSG (Hong Kong), Luminous Ventures, Next Capital (China), Sequoia Capital</t>
  </si>
  <si>
    <t>www.nextpls.com</t>
  </si>
  <si>
    <t>126007-30</t>
  </si>
  <si>
    <t>Nexu</t>
  </si>
  <si>
    <t>Developer of an auto financing platform designed to streamline vehicle financing at the point of sale. The company offers native integration with dealer workflows, proprietary AI-driven lending infrastructure, and connected credit and insurance processes, enabling vehicle dealers, lenders, insurers, and automotive manufacturers to expand customer access and improve financing efficiency.</t>
  </si>
  <si>
    <t>Altos Ventures, Architect Capital, Arrebol Capital, Capem, Clocktower Ventures, Endeavor Catalyst, FinTech Collective, FJ Labs, Gerbera Capital, Gilgamesh Ventures, IverNet Holdings, Outbound Ventures, Soma Capital, Spectra Investments, SquareOne Capital, Startup México, Tresalia Capital, Valor Capital Group, Venture Initiation Program, Wollef, Y Combinator</t>
  </si>
  <si>
    <t>www.nexu.mx</t>
  </si>
  <si>
    <t>503023-42</t>
  </si>
  <si>
    <t>NG.CASH</t>
  </si>
  <si>
    <t>Developer of a digital wallet designed to bring financial education through access to digital money. The company's platform provides several advantages, which include a free account, a virtual card and a physical card that is customizable with instant transfers, enabling customers to build their financial independence.</t>
  </si>
  <si>
    <t>17Sigma, 4M Holding, Andreessen Horowitz, Bernardo Rezende, Daphni, Dastore, Endeavor Catalyst, Genesis Institute, Google Accelerator, Latitud, Monashees, New Enterprise Associates, Norte Ventures, QuantumLight Capital, Spectra Investments, Stone Pagamentos, Tekton Ventures, The Generalist</t>
  </si>
  <si>
    <t>www.ng.cash</t>
  </si>
  <si>
    <t>93710-08</t>
  </si>
  <si>
    <t>Nibo</t>
  </si>
  <si>
    <t>Developer of accounting software designed to bring simplicity and tranquility to companies and offices. The company's software increases the efficiency of the accounting process, tracks cash flows, organizes accounts payables and receivables, and automates the collection process, enabling small and medium enterprises and accountants to manage and control their finances and monitor the health of their company.</t>
  </si>
  <si>
    <t>Headline, Redpoint eventures, Valor Capital Group, VEF</t>
  </si>
  <si>
    <t>www.nibo.com.br</t>
  </si>
  <si>
    <t>515400-22</t>
  </si>
  <si>
    <t>Nice abc</t>
  </si>
  <si>
    <t>Developer of a supply chain finance platform designed to support commercial transactions by connecting the supply and demand of businesses. The company's platform specializes in corporate credit rating, personal credit rating, corporate information, asset management, and market valuation of bonds, enabling companies to analyze investment data and invest conveniently.</t>
  </si>
  <si>
    <t>HB Investment, Industrial Bank of Korea, Stonebridge Ventures (Seoul)</t>
  </si>
  <si>
    <t>www.niceabc.co.kr</t>
  </si>
  <si>
    <t>537096-97</t>
  </si>
  <si>
    <t>Nice Ncer</t>
  </si>
  <si>
    <t>Developer of an accounts receivable factoring platform intended to improve the financial infrastructure field. The company's platform provides a variety of accounts receivable distribution platforms and has laid the foundation for leading the accounts receivable securitization market, enabling companies to reflect their needs in the future.</t>
  </si>
  <si>
    <t>Hana Financial Group</t>
  </si>
  <si>
    <t>434401-93</t>
  </si>
  <si>
    <t>NiceMind</t>
  </si>
  <si>
    <t>Developer of mind mapping software designed to facilitate organised ideas and productive planning. The company's technology offers multiple structural layouts, preset visual themes, and integrated LaTeX support, enabling students and professionals to generate structured visual diagrams, manage knowledge efficiently, and transform brainstorming sessions into editable outlines or presentations.</t>
  </si>
  <si>
    <t>www.nicemind.com</t>
  </si>
  <si>
    <t>515775-52</t>
  </si>
  <si>
    <t>Nikkl</t>
  </si>
  <si>
    <t>Provider of employee equity financing services intended for investment in private tech companies. The company provides capital to the employees so that they can exercise their vested options to purchase shares, by significantly reducing their taxes, and gaining near-term liquidity, enabling employees with downside protection through collateralization in their employer firms.</t>
  </si>
  <si>
    <t>Heroic Ventures</t>
  </si>
  <si>
    <t>www.nikkl.com</t>
  </si>
  <si>
    <t>506873-44</t>
  </si>
  <si>
    <t>Nilos</t>
  </si>
  <si>
    <t>Developer of an all-in-one payment stack platform designed to simplify the management of crypto earnings for millions of creators. The company's platform offers a range of services like revenue reconciliation, payouts automation, compliance monitoring, and tax management, and also provides a custodial wallet designed for non-crypto native companies entering the web3 space, enabling businesses to store their assets, onboard their partners, reconcile transactions, and make payouts in both crypto and fiat.</t>
  </si>
  <si>
    <t>AXIAN Investment, Benjamin Seror, Blockwall Management, Cloth Venture, Didier Valet, Emmanuel Schalit, Fabric Ventures, Gmoney Gmoney, Guillaume Houze, Mensch Capital Partners, MiddleGame Ventures, Motier Ventures, Philipe Suchet, Sebastien Borget, Valentine Baudouin, Viola Ventures, Yuval Tal</t>
  </si>
  <si>
    <t>www.nilos.io</t>
  </si>
  <si>
    <t>507177-91</t>
  </si>
  <si>
    <t>Nilus (Financial Services)</t>
  </si>
  <si>
    <t>Developer of a payment operations platform designed to build, record, and reconcile money. The company's platform allows the automatic building of custom in-and-out payment flows, launching wallets, split payments, and attribute transactions, enabling clients to automate payment and financial flows.</t>
  </si>
  <si>
    <t>Bessemer Venture Partners, Better Tomorrow Ventures, Cerca Partners, Felicis, ICON (Other Commercial Services), Mu Ventures, SilverCircle, Symbol (VC), Truist Ventures, Vesey Ventures</t>
  </si>
  <si>
    <t>www.nilus.com</t>
  </si>
  <si>
    <t>497312-20</t>
  </si>
  <si>
    <t>Nimeya</t>
  </si>
  <si>
    <t>Developer of a personal finance application designed to empower individuals in their financial planning. The company's platform specializes in investing in financial well-being, managing investments across the self for all family members by allowing them to record, track, and analyze all investments and liabilities in one platform, enabling clients to monitor their finances in real-time with safety.</t>
  </si>
  <si>
    <t>Angelvent, Debasish Dutta, Marv Ventures, Opal Family Office, Orange Corp, Venture Marshall LLP</t>
  </si>
  <si>
    <t>nimeya.ai</t>
  </si>
  <si>
    <t>512095-60</t>
  </si>
  <si>
    <t>NineDock</t>
  </si>
  <si>
    <t>Operator of a deferred payment and financing platform intended for consumer services. The company's platform offers payment plans and installment plans for categories such as premium travel, interior remodeling, and fine art acquisitions, enabling individual consumers and service providers to manage cash flow effectively while accessing expensive lifestyle experiences through flexible credits and streamlined digital application processes.</t>
  </si>
  <si>
    <t>Mark &amp; Company, Nextrans</t>
  </si>
  <si>
    <t>www.9dock.co.kr</t>
  </si>
  <si>
    <t>437900-68</t>
  </si>
  <si>
    <t>Ning Meng Yun Cai Shui</t>
  </si>
  <si>
    <t>Provider of a free financial and taxation management platform to make finance easier for small and medium sized enterprises. The company develops a variety of financial software such as account management that can automatically generate reports, online accounting classes, and training services in areas such as tax law, corporate accounting, and tax reporting to educate their users.</t>
  </si>
  <si>
    <t>www.ningmengyun.com</t>
  </si>
  <si>
    <t>442312-48</t>
  </si>
  <si>
    <t>Nivelo</t>
  </si>
  <si>
    <t>Developer of an adaptive threat detection technology designed to manage credit and debit payment risk in real-time. The company's technology leverages machine learning techniques to identify the likelihood of cybercriminal threats and processing errors, and helps with payment operations through automated money movement, risk intelligence, and enhanced treasury management, enabling businesses to avoid account takeover, synthetic identity fraud, administrative errors, and email compromise risks.</t>
  </si>
  <si>
    <t>Anthemis, Anthemis Female Innovators Lab, Barclays, Dash Fund, FirstMark Capital, Google Accelerator, Irregular Expressions, Parameter Ventures</t>
  </si>
  <si>
    <t>www.nivelo.io</t>
  </si>
  <si>
    <t>170781-04</t>
  </si>
  <si>
    <t>Nivo1</t>
  </si>
  <si>
    <t>Developer of payment software designed to automate business functioning procedures. The company's software offers ERP integrated invoice capture, workflow automation, supplier management tools, and real time visibility into financial processes with cloud and mobile access, enabling finance teams, enterprise organizations, and accounting professionals to manage accounts payable operations efficiently and reduce manual processing efforts.</t>
  </si>
  <si>
    <t>Innovation Works</t>
  </si>
  <si>
    <t>www.nivo1.com</t>
  </si>
  <si>
    <t>741444-04</t>
  </si>
  <si>
    <t>NjiaPay</t>
  </si>
  <si>
    <t>Developer of a payment management platform designed for simplifying payments for people in Africa. The company's platform streamlines operations and elevates online payments across the African continent, and its system selects the performing payment service provider for each transaction in real time and consolidates settlement data into one dashboard, enabling clients to increase successful payment rates.</t>
  </si>
  <si>
    <t>Adyen, HAVAIC, Newion Investments, Renew Capital, Uber</t>
  </si>
  <si>
    <t>www.njiapay.com</t>
  </si>
  <si>
    <t>517057-39</t>
  </si>
  <si>
    <t>Nkwa</t>
  </si>
  <si>
    <t>Developer of an online savings management platform designed to offer a digital piggybank to save money. The company's platform provides an online financial service that uses internet security to ensure that the information is completely protected and that only the user can access the money, with no hidden or extra charges, enabling users to have access to control their spending and save money for plans.</t>
  </si>
  <si>
    <t>Cameroon Angel Network, Investisseurs &amp; Partenaires</t>
  </si>
  <si>
    <t>www.mynkwa.com</t>
  </si>
  <si>
    <t>535989-07</t>
  </si>
  <si>
    <t>Nmbr</t>
  </si>
  <si>
    <t>Developer of fintech systems designed to simplify complex financial products. The company helps to turn payroll into profit and bring a tailored, high-converting payroll experience to market in weeks while building a custom experience with confidence and predictable results, enabling clients to navigate constantly evolving payroll legislation with a consistent API.</t>
  </si>
  <si>
    <t>Golden Ventures, Luge Capital, Motivate Venture Capital, OneEleven(Ontario), Panache Ventures</t>
  </si>
  <si>
    <t>www.nmbr.co</t>
  </si>
  <si>
    <t>522051-04</t>
  </si>
  <si>
    <t>Nobuk</t>
  </si>
  <si>
    <t>Developer of a payment reconciliation platform designed to maintain financial records and manage contributions for groups and collectives. The company's platform offers customer management, real-time transaction tracking, automated reminders for outstanding amounts, data collection, and shareable financial reports, enabling users to streamline reconciliation, oversee obligations, and organize records efficiently.</t>
  </si>
  <si>
    <t>AI Hub for Sustainable Development, Antler, Google Accelerator, Safaricom Spark Accelerator, Timbuktoo Fintech Startup Accelerator Programme, Velocity Digital</t>
  </si>
  <si>
    <t>www.nobuk.africa</t>
  </si>
  <si>
    <t>1232314-30</t>
  </si>
  <si>
    <t>Nodu</t>
  </si>
  <si>
    <t>Developer of a stablecoin infrastructure platform intended to make digital assets operate within traditional finance. The company's platform provides stablecoin APIs that remove technical barriers to offer banks, fintechs, and businesses with a ready-to-use global compliance and payments framework, enabling modern companies to seamlessly embed stablecoins into any flow of funds.</t>
  </si>
  <si>
    <t>Digital Space Ventures</t>
  </si>
  <si>
    <t>nodu.fi</t>
  </si>
  <si>
    <t>493308-64</t>
  </si>
  <si>
    <t>Noh</t>
  </si>
  <si>
    <t>Operator of a digital banking platform designed to support shared financial management for couples. The company offers joint digital accounts, shared credit card services, real-time expense tracking, payment notifications, budgeting tools, financial planning features, debit cards, and Visa Infinite credit cards with travel and purchase benefits, enabling couples to manage shared expenses, monitor spending activity, and organise household finances collaboratively.</t>
  </si>
  <si>
    <t>20VC, Andre Penha, Ayokunle Omojola, BetaVentures, Biz Stone, Dhaval Chadha, Future Positive, Google Accelerator, Kindred Ventures, Patrick Sigrist, Pedro Condrade, Positive Ventures, Propel Venture Partners, Rendimento/ventures, Scott Belsky, Thomas Blomfield, Urca Angels</t>
  </si>
  <si>
    <t>www.noh.com.br</t>
  </si>
  <si>
    <t>1153113-40</t>
  </si>
  <si>
    <t>Noice (Financial Services)</t>
  </si>
  <si>
    <t>Developer of a decentralized social tipping platform designed to monetize interactions on decentralized social networks. The company's platform offers immediate and invisible cryptocurrency transfers through likes, comments, and follows, enabling content creators on the Farcaster protocol to earn tokens immediately.</t>
  </si>
  <si>
    <t>Balaji Srinivasan, Coinbase Ventures</t>
  </si>
  <si>
    <t>www.noice.so</t>
  </si>
  <si>
    <t>61056-91</t>
  </si>
  <si>
    <t>Nomanini</t>
  </si>
  <si>
    <t>Developer of a payment platform designed to connect the informal retail ecosystem to the latent potential of digital finance. The company's platform connects merchants and distributors and global service providers by integrating payments, working capital, and data analytics and turning any mobile device into a retail point-of-sale system for informal merchants, enabling merchants to get access to informal market consumers and efficiently monitor micropayments and services by offering a broad range of digital banking.</t>
  </si>
  <si>
    <t>AlphaCode (South Africa), Esther Dyson, FMO Entrepreneurial Development Bank, Industrial Development Corporation of South Africa, Make-IT in Africa, Rockbridge Investments, Standard Bank Group, Verdant Capital</t>
  </si>
  <si>
    <t>www.nomanini.com</t>
  </si>
  <si>
    <t>169485-85</t>
  </si>
  <si>
    <t>Nongfenqi</t>
  </si>
  <si>
    <t>AgTech, FinTech, Supply Chain Tech</t>
  </si>
  <si>
    <t>Provider of financial services designed to transform agriculture. The company's services include providing installment payment services to large farming groups and collaborative communes on their agricultural equipment purchases, enabling farmers to cultivate crops with ease.</t>
  </si>
  <si>
    <t>Bertelsmann Asia Investments, Future Capital Discovery Fund, InnoVen Capital, Plum Ventures, Shunwei Capital, Sinolink Securities, Source Code Capital, Yi Capital, Yonghua Capital, ZhenFund</t>
  </si>
  <si>
    <t>www.nongfenqi.com</t>
  </si>
  <si>
    <t>641567-17</t>
  </si>
  <si>
    <t>nono (Financial Software)</t>
  </si>
  <si>
    <t>Developer of artificial intelligence-powered software designed for payments, ordering, and checkout over chat. The company offers conversational transaction capabilities, enabling users to complete purchases and manage orders directly within chat environments.</t>
  </si>
  <si>
    <t>MountFund</t>
  </si>
  <si>
    <t>www.nono.network</t>
  </si>
  <si>
    <t>520674-94</t>
  </si>
  <si>
    <t>Noodle</t>
  </si>
  <si>
    <t>Operator of a financial platform intended to accelerate careers and expand businesses. The company's platform simplifies paying creators and suppliers through one-tap global payouts and allows advance payments of up to a year to support business growth, enabling content creators, social media influencers, publishers, and companies to save time, money, and effort while keeping digital and media artists productive.</t>
  </si>
  <si>
    <t>Bee K Ventures, Honey Island Capital, QED Investors, SRM Ventures</t>
  </si>
  <si>
    <t>www.noodle.cx</t>
  </si>
  <si>
    <t>528404-95</t>
  </si>
  <si>
    <t>Nook (Singapore)</t>
  </si>
  <si>
    <t>Developer of a payments stack application designed to provide individual accounts and prepaid cards to split purchases as per a set ratio. The company offers a range of services, including tap and split bills, personalized virtual cards, a vault for saving money toward goals, categorizing and keeping track of all expenses, enabling couples to manage finances together when they pay for something with a virtual card.</t>
  </si>
  <si>
    <t>www.usenook.com</t>
  </si>
  <si>
    <t>536053-96</t>
  </si>
  <si>
    <t>Nordark</t>
  </si>
  <si>
    <t>Operator of a financial platform intended to bridge the gap between crypto and traditional finance. The company's platform specializes in providing secure management of multiple currencies, streamlined payment processing, to order routing trading with crypto pairs, enabling individuals to open business bank accounts and get access to deep crypto liquidity.</t>
  </si>
  <si>
    <t>FunFair Ventures</t>
  </si>
  <si>
    <t>www.nordark.com</t>
  </si>
  <si>
    <t>552715-66</t>
  </si>
  <si>
    <t>Normavila</t>
  </si>
  <si>
    <t>Provider of an online wealth management platform designed to empower businesses with technology-based financial services. The company's platform tracks and analyzes finances, allows for diversification with U.S. Treasury bills, and offers a no-personal-guarantee credit line, enabling businesses to access capital and manage expenses in one place.</t>
  </si>
  <si>
    <t>www.normavila.com</t>
  </si>
  <si>
    <t>170256-79</t>
  </si>
  <si>
    <t>North One</t>
  </si>
  <si>
    <t>Developer of a business-banking platform designed to help small businesses manage their finances in one place. The company's platform enables users to make deposits digitally, organize money through automated envelopes for expenses such as taxes, payroll, and rent, and connect with various financial and accounting tools, enabling businesses to reduce time spent on banking operations and focus on running their business.</t>
  </si>
  <si>
    <t>www.northone.com</t>
  </si>
  <si>
    <t>521165-89</t>
  </si>
  <si>
    <t>Nosible</t>
  </si>
  <si>
    <t>Developer of an investment research platform designed to automate time-intensive tasks in asset management. The company's platform features hyperspecialized artificial intelligence agents that work in real time, competing and refining outputs to deliver precise insights, enabling asset managers to obtain accurate and actionable research efficiently.</t>
  </si>
  <si>
    <t>Atlantica Ventures, Fundamental Media</t>
  </si>
  <si>
    <t>nosible.com</t>
  </si>
  <si>
    <t>489865-87</t>
  </si>
  <si>
    <t>Notata</t>
  </si>
  <si>
    <t>Developer of an investment management platform designed to provide investors with a smart tool for making informed choices. The company's platform offers self-evaluation criteria, evaluation summaries, data comparisons, community networks, and collaboration, enabling clients and customers to make fairer, smarter decisions by working collaboratively with their diverse networks.</t>
  </si>
  <si>
    <t>Farvatn Venture</t>
  </si>
  <si>
    <t>site.notata.io</t>
  </si>
  <si>
    <t>489112-93</t>
  </si>
  <si>
    <t>Notice</t>
  </si>
  <si>
    <t>Developer of financial software designed to provide correct pricing information for venture-backed companies. The company's platform offers complete last-round pricing information with the bid, offer, and actual prices, an instant messaging feature to connect with any broker, and broker profiles including verified trade volume, enabling users to conditionally share indications with their network and the community of registered brokers.</t>
  </si>
  <si>
    <t>Cherubic Ventures</t>
  </si>
  <si>
    <t>www.notice.co</t>
  </si>
  <si>
    <t>442459-54</t>
  </si>
  <si>
    <t>NOVA2PAY</t>
  </si>
  <si>
    <t>Developer of a financial platform in China. The company is mainly engaged in providing overseas business users with payment services, enabling customers to purchase goods via Alipay.</t>
  </si>
  <si>
    <t>www.nova2pay.com</t>
  </si>
  <si>
    <t>528217-30</t>
  </si>
  <si>
    <t>Novastro</t>
  </si>
  <si>
    <t>Cryptocurrency/Blockchain, FinTech, Gaming, SaaS</t>
  </si>
  <si>
    <t>Developer of a modular blockchain ledger platform designed to enable tokenization, trading, and yield generation for assets across decentralized networks. The company's platform offers cross-chain architectural support, automated compliance frameworks, and tools for managing digital representations of physical assets, allowing developers, institutional participants, and decentralized finance projects to access and interact with tokenized assets with broader interoperability and enhanced transactional performance.</t>
  </si>
  <si>
    <t>Cogitent Ventures, Digital Consensus Fund, Double Peak, Faculty Capital, Sam Tapaliya, Woodstock Fund, X21 Digital</t>
  </si>
  <si>
    <t>www.novastro.xyz</t>
  </si>
  <si>
    <t>1365946-66</t>
  </si>
  <si>
    <t>Novelty Wealth</t>
  </si>
  <si>
    <t>Provider of AI enabled wealth management and financial planning services intended to simplify personal finance decisions. The company offers a SEBI registered, fee only advisory platform and NovaAI powered app that aggregates all accounts, delivers deep real time portfolio and cash flow analysis, and provides tax and goal aligned guidance tailored to Indian regulations and lifestyles, enabling upper middle class professionals, dual income couples, and long term investors in India to gain a clear, unified view of their finances, spot leaks and risks early, and make confident, data backed decisions to grow and protect their wealth over time.</t>
  </si>
  <si>
    <t>www.noveltywealth.in</t>
  </si>
  <si>
    <t>104354-11</t>
  </si>
  <si>
    <t>Novicap</t>
  </si>
  <si>
    <t>Developer of a cash management platform designed to offer end-to-end working capital optimization. The company's proprietary platform offers services for factoring, invoicing, supplier payments, cash circulation, and discounting, enabling small and medium-sized enterprises, mid-market corporates, and public administrations to drive businesses forward and expand their financial pool beyond banking.</t>
  </si>
  <si>
    <t>ACE Ventures (Geneva), Cabiedes &amp; Partners, Fasanara Capital, Markus Ament, Partech, SantanderX, Techstars, Tekton Ventures</t>
  </si>
  <si>
    <t>www.novicap.com</t>
  </si>
  <si>
    <t>93719-98</t>
  </si>
  <si>
    <t>NovoPayment</t>
  </si>
  <si>
    <t>Developer of a banking infrastructure platform intended to facilitate digital financial and transactional services. The company's platform allows banks to integrate various financial services such as payments, banking, and card issuance easily into their systems, enabling financial institutions to modernize their services and provide digital-first experiences to their customers.</t>
  </si>
  <si>
    <t>A.GAIN, Endeavor Catalyst, Endeavor Miami, Fuel Venture Capital, IDB Lab, Inter-American Development Bank, Morgan Stanley Expansion Capital, Visa Ventures</t>
  </si>
  <si>
    <t>www.novopayment.com</t>
  </si>
  <si>
    <t>180064-36</t>
  </si>
  <si>
    <t>NOW Money</t>
  </si>
  <si>
    <t>Developer of a payment application designed to help workers access financial and remittance services. The company's application uses mobile banking technology to provide accounts, financial inclusion, and a range of low-cost remittance options to low-income migrant workers in the Gulf region, enabling migrant workers to get international money transfers and currency conversion services at low cost.</t>
  </si>
  <si>
    <t>Mark Nutter, Oryx Fund</t>
  </si>
  <si>
    <t>www.nowmoney.me</t>
  </si>
  <si>
    <t>507049-75</t>
  </si>
  <si>
    <t>NowNow</t>
  </si>
  <si>
    <t>Developer of a fintech platform designed to send and receive money, purchase airtime, and pay bills with ease. The company offers an ecosystem of experiences within and beyond mobility and focuses on solving everyday challenges by harnessing mobile phones, enabling clients to foster the efforts of financial inclusion for customers.</t>
  </si>
  <si>
    <t>DLF Family Office, Impact Capital (Miami), Shadi Abdulhadi, Start Path, VCapital</t>
  </si>
  <si>
    <t>www.nownow.ng</t>
  </si>
  <si>
    <t>105812-83</t>
  </si>
  <si>
    <t>NPEX</t>
  </si>
  <si>
    <t>Developer of an online trading platform designed to connect entrepreneurs and investors for financing and returns. The company's platform offers interest on bonds, provides access to comprehensive and understandable documentation for investors, and helps to increase brand awareness through media exposure for entrepreneurs, enabling companies to trade in securities, raise funds, and issue stock and bonds.</t>
  </si>
  <si>
    <t>Blikkenburg, Dusk Network, Icecat, Inkef, Johannes van Mil, Rob de Heus, Thijs Gitmans</t>
  </si>
  <si>
    <t>www.npex.nl</t>
  </si>
  <si>
    <t>488982-16</t>
  </si>
  <si>
    <t>Nqoodlet</t>
  </si>
  <si>
    <t>Developer of an expense management platform intended to help small and medium-sized enterprises manage their spending wisely. The company's platform helps enterprises manage expenses and purchases, register bills directly on a consolidated platform, and provide a real-time view of all transactions on corporate cards issued to employees, enabling clients to simplify expense management.</t>
  </si>
  <si>
    <t>Inspire Us, InspireU, Oman Telecommunications Company, Omantel Innovation Labs, Oqal Angel Investment Network, Saleh Alghamdi, Sanabil 500 MENA Seed Accelerator, Sanabil Investments, Saudi Venture Capital Company, Scene Holding Company, Scene Investments, Seed Holding, Standard Chartered, Taqadam (Accelerator), Visa Everywhere Initiative, Waad Investment, Yaser Alghamdi</t>
  </si>
  <si>
    <t>www.nqoodlet.com</t>
  </si>
  <si>
    <t>507088-00</t>
  </si>
  <si>
    <t>nsave</t>
  </si>
  <si>
    <t>Developer of a digital banking services platform designed to offer a secure and safe way to save in USD, EUR, GBP, or other currencies. The company's platform supports features such as opening and holding non-interest-bearing accounts in major currencies, facilitating international and local transfers, issuing virtual and physical mastercard-linked cards, and routing details for receiving payments, and providing access to investment options including stocks, bonds, and other assets, enabling globally-distributed freelancers, remote workers, expatriates, and individuals from banking environments to manage, transfer, and grow their funds with greater financial accessibility and stability.</t>
  </si>
  <si>
    <t>Basis Set Ventures, Creative Destruction Lab, EFI Lake Geneva Ventures, EY FinTech Growth Programme, Fongit, Founderful, Liquid 2 Ventures, Pareto Holdings, Pioneer Fund, Proton (Business/Productivity Software), Sequoia Capital, Susa Ventures, SV Angel, TQ Ventures, Y Combinator</t>
  </si>
  <si>
    <t>www.nsave.com</t>
  </si>
  <si>
    <t>279843-22</t>
  </si>
  <si>
    <t>Nuanwa Technology</t>
  </si>
  <si>
    <t>Provider of health insurance technology services and solutions designed for insurance companies and healthcare organizations. The company focuses on insurance technology in the health insurance field, providing insurance companies and other institutions with underwriting, claims, risk control and product customization solutions based on medical big data and artificial intelligence.</t>
  </si>
  <si>
    <t>DAOL Investment, Detong Capital, Eastern Epic Capitals, HSG (Hong Kong), Kuan Ping Capital, Lenovo Capital and Incubator Group, Lighthouse Capital (China), Longfor Group Holdings, Woori Financial Group</t>
  </si>
  <si>
    <t>www.nuanwa.net</t>
  </si>
  <si>
    <t>399504-97</t>
  </si>
  <si>
    <t>Nucont</t>
  </si>
  <si>
    <t>Operator of a consultative accounting platform designed for accountants to manage their entire portfolio. The company's platform offers accountants to be able to manage all investments in one place, value accounting deliveries, customize the dashboard according to each client, and create new indicators and graphs to enhance the decision-making of their clients, enabling accountants to offer consultative accounting for all client profiles.</t>
  </si>
  <si>
    <t>Cedro Capital, FC Partners, FIEMG Lab</t>
  </si>
  <si>
    <t>www.nucont.com</t>
  </si>
  <si>
    <t>544628-17</t>
  </si>
  <si>
    <t>Nudge Money</t>
  </si>
  <si>
    <t>Developer of a digital financial planning tool designed to solve financial wellness inequalities. The company's tool offers an AI-powered financial wellness system, strategic partnerships and tailored financial guidance, enabling institutions to serve their customers, enhance employee well-being and individuals to take control of their financial future.</t>
  </si>
  <si>
    <t>Abhishek Dodda, Curinos FinTech Incubator, GrowthX Capital, Launch NY, MainSheet Ventures, NextCorps</t>
  </si>
  <si>
    <t>www.nudgemoney.com</t>
  </si>
  <si>
    <t>741811-24</t>
  </si>
  <si>
    <t>Nuj</t>
  </si>
  <si>
    <t>Developer of a superannuation data platform designed to streamline reporting and enhance decision-making. The company's platform offers automated data validation and transformation, data insights and visualizations, workflow collaboration tools, and centralized reporting features, enabling trustees, administrators, and funds to maintain accurate regulatory compliance, reduce manual data handling, and gain a clearer view of their reporting and risk information.</t>
  </si>
  <si>
    <t>Peter Bauer</t>
  </si>
  <si>
    <t>www.nujsuper.com</t>
  </si>
  <si>
    <t>155157-94</t>
  </si>
  <si>
    <t>Nukkad Shops</t>
  </si>
  <si>
    <t>Developer of a point-of-sale software and billing machine designed to help grow retail businesses. The company's machine offers features such as inventory management, mobile storefronts, loyalty programs, analytics, marketing campaigns, billing, and cash management, among others, enabling neighborhood stores to grow their business and increase their revenue.</t>
  </si>
  <si>
    <t>PurpleTalk, Ramana Family Partnership, Six Wave Labs, Vikram Mallandi, Vivek Mallandi</t>
  </si>
  <si>
    <t>www.nukkadshops.com</t>
  </si>
  <si>
    <t>496467-91</t>
  </si>
  <si>
    <t>Nula.Bg</t>
  </si>
  <si>
    <t>Developer of a financial platform designed to manage bank accounts, financial flows, and tax liabilities. The company's platform tracks cash flows in real time, pays bills, salaries, and taxes, and covers all expenses and mass budget payments, enabling businesses to secure their financial transactions.</t>
  </si>
  <si>
    <t>www.nula.bg</t>
  </si>
  <si>
    <t>503092-00</t>
  </si>
  <si>
    <t>NumberSquad</t>
  </si>
  <si>
    <t>Legal Tech, SaaS</t>
  </si>
  <si>
    <t>Developer of document management software designed to provide B2B accounting services. The company's platform provides automated bookkeeping services with a one-stop platform for payroll and taxes, enabling businesses to prepare tax returns accurately and file on time.</t>
  </si>
  <si>
    <t>www.numbersquad.com</t>
  </si>
  <si>
    <t>895490-65</t>
  </si>
  <si>
    <t>Nummo</t>
  </si>
  <si>
    <t>Developer of an AI-based financial modeling platform designed to help users improve financial health through secure, transparent, and connected money management tools. The company's platform allows users to connect all their bank accounts in one place, enabling users to view their financial status, personalized financial insights, budgeting tools, and investment recommendations, all designed to meet bank-level security standards.</t>
  </si>
  <si>
    <t>LvlUp Ventures, Mana Ventures, Talok Capital</t>
  </si>
  <si>
    <t>www.nummo.com</t>
  </si>
  <si>
    <t>1365902-83</t>
  </si>
  <si>
    <t>Numonis</t>
  </si>
  <si>
    <t>Developer of a digital accounting platform designed for small and medium-sized businesses. The company offers AI data analysis, real-time financial insights, business health scoring, collaboration tools, document management, and personalized accountants, enabling businesses to manage finances and make data-driven decisions.</t>
  </si>
  <si>
    <t>Alpha Venture</t>
  </si>
  <si>
    <t>www.numonis.com</t>
  </si>
  <si>
    <t>534388-78</t>
  </si>
  <si>
    <t>Numra</t>
  </si>
  <si>
    <t>Developer of a digital workforce platform designed to improve finance operations processes. The company's platform uses artificial intelligence to automate finance tasks, such as accounts payable, accounts receivable, budgeting, and identifying patterns in data, enabling clients to save time, reduce errors, and make better decisions.</t>
  </si>
  <si>
    <t>Elkstone, Enterprise Ireland</t>
  </si>
  <si>
    <t>www.numrahq.com</t>
  </si>
  <si>
    <t>898645-15</t>
  </si>
  <si>
    <t>Nuuvia</t>
  </si>
  <si>
    <t>Developer of a youth banking platform designed to build long-term relationships between financial institutions and their customers. The company's platform offers a variety of features to promote financial literacy, including interactive learning tools, goal-based savings, spending controls, and parental oversight, enabling banks and credit unions to engage customers while maintaining deposits within the institution.</t>
  </si>
  <si>
    <t>Demopolis Equity Partners, Tampa Bay Wave, Tyfone</t>
  </si>
  <si>
    <t>www.nuuvia.com</t>
  </si>
  <si>
    <t>516054-52</t>
  </si>
  <si>
    <t>Nyble</t>
  </si>
  <si>
    <t>Operator of a financial management platform intended to build and consolidate the financial ecosystem. The company's tool offers various financial services, including credit score tracking, credit building, and identity theft protection, enabling customers to make informed financial decisions and protect their financial well-being.</t>
  </si>
  <si>
    <t>Celtic House Asia Partners, Flair Ventures, Front Row Ventures, Goodwater Capital, Hustle Fund, Intergrowth Venture, Lighter Capital, Neer Venture Partners, Techstars</t>
  </si>
  <si>
    <t>www.nyble.com</t>
  </si>
  <si>
    <t>693411-04</t>
  </si>
  <si>
    <t>NylaBank</t>
  </si>
  <si>
    <t>Provider of digital banking and financial services designed to offer accessible deposit accounts, payment solutions, and business financial tools. The company delivers online banking, multi-currency accounts, integrated payments, and API-enabled financial infrastructure with a focus on startups and digital enterprises, enabling small businesses and tech-driven companies to manage funds, streamline transactions, and access modern financial services within the digital banking and fintech services market.</t>
  </si>
  <si>
    <t>Expert DOJO, Ingressive (Nigeria), Milken-Motsepe Prize</t>
  </si>
  <si>
    <t>www.nylabank.com</t>
  </si>
  <si>
    <t>186218-29</t>
  </si>
  <si>
    <t>NymCard Payment Services</t>
  </si>
  <si>
    <t>Developer of a digital payment platform designed to give people access to the digital economy. The company's platform aids in opening an account in seconds and getting instant access to smart payment cards in a simple mobile experience, enabling users to pay and transact online effectively and securely.</t>
  </si>
  <si>
    <t>Abu Dhabi Global Market, B&amp;Y Venture Partners, Chimera Capital, Conjunction Capital, Dubai Future District Fund, Endeavor Catalyst, Finwell (Dubai), FJ Labs, Future100, GrowthX Accelerator, Hub71, Knollwood Investment Advisory, Lunate, M1 Group, Mashreq Bank, Oman Technology Fund, Oraseya Capital, Phoenician VC, Prosus Ventures, QED Investors, Reciprocal Ventures, Shorooq Partners, VentureSouq</t>
  </si>
  <si>
    <t>www.nymcard.com</t>
  </si>
  <si>
    <t>60888-07</t>
  </si>
  <si>
    <t>Oakbrook Finance</t>
  </si>
  <si>
    <t>Operator of an unsecured personal loan platform intended for simplifying and personalizing borrowing. The company's platform uses containerization, service mesh, big data processing, and zero trust security to offer scalable and secure solutions across financial services from customer origination through to servicing and the management of financial products, enabling customers to have access to affordable financial services.</t>
  </si>
  <si>
    <t>Atalaya Capital Management, Blenheim Chalcot, Hive Learning, Innovate UK, J.P. Morgan</t>
  </si>
  <si>
    <t>www.oakbrook.com</t>
  </si>
  <si>
    <t>1078275-88</t>
  </si>
  <si>
    <t>Obin AI</t>
  </si>
  <si>
    <t>Developer of an artificial intelligence platform designed to create autonomous digital workers for financial institutions. The company's platform uses orchestrated AI agents, workflow automation, data integration, and compliance-aware controls across middle and back office functions, enabling banks, asset managers, and other financial organizations to digitize operational roles, reduce manual workloads, and improve accuracy and scalability in core financial processes.</t>
  </si>
  <si>
    <t>Fei-Fei Li, Lukasz Kaiser, Motive Partners</t>
  </si>
  <si>
    <t>obin.ai</t>
  </si>
  <si>
    <t>962125-75</t>
  </si>
  <si>
    <t>Obita</t>
  </si>
  <si>
    <t>Developer of a border payment and digital financial infrastructure platform intended to streamline stablecoin-powered transactions across global commerce. The company offers blockchain-integrated payment rails and enterprise-grade financial tools, enabling fintechs, merchants, and corporates to conduct cross-border transactions with enhanced speed, transparency, and cost-efficiency</t>
  </si>
  <si>
    <t>Hashkey Capital, Legend Capital, Mirana Ventures, Monolith Management, Vision Plus Capital, Web3.com Ventures</t>
  </si>
  <si>
    <t>www.obita.xyz</t>
  </si>
  <si>
    <t>530478-46</t>
  </si>
  <si>
    <t>Obol</t>
  </si>
  <si>
    <t>Developer of a cash flow management platform designed to help finance teams, business owners, and operators effortlessly manage and plan their cash flow.
The company offers a unified, real-time dashboard for tracking and forecasting cash flow, enabling finance professionals, entrepreneurs, and operations teams to make informed decisions and maintain financial stability.</t>
  </si>
  <si>
    <t>www.obol.ai</t>
  </si>
  <si>
    <t>711836-74</t>
  </si>
  <si>
    <t>Occupi</t>
  </si>
  <si>
    <t>Developer of a financial software designed for tenants through cash-based financial services that post directly to the property manager's general ledger. The company's platform automates tenant onboarding, lease generation, and rent collection with various financing options, enabling property managers and landlords to streamline operations, reduce manual tasks, and manage their properties efficiently.</t>
  </si>
  <si>
    <t>Assurant Ventures, Fenway Summer, Halcyon Venture Partners, Innovate Alabama, Sorenson Impact Foundation</t>
  </si>
  <si>
    <t>www.paywithoccupi.com</t>
  </si>
  <si>
    <t>597494-89</t>
  </si>
  <si>
    <t>OCTA</t>
  </si>
  <si>
    <t>Developer of accounts receivable automation software designed to help businesses get paid and take control of their cash flow. The company's tool offers various features such as accounts management, collecting outstanding payments, automatically chasing exceptional invoices, recovering late payments from delinquent customers, monitoring and tracking receivables, debtors, chases, and more, enabling businesses to get paid on time.</t>
  </si>
  <si>
    <t>Dom Monhardt, Pawel Iwanow, Plug and Play Tech Center, Plus Venture Capital, Quona Capital, Sadu Capital, Sanabil 500 MENA Seed Accelerator, Sukna Ventures, VCPlus</t>
  </si>
  <si>
    <t>weareocta.com</t>
  </si>
  <si>
    <t>865659-07</t>
  </si>
  <si>
    <t>Octane (Cairo)</t>
  </si>
  <si>
    <t>Developer of a digital fleet payment and expense management platform designed to streamline and control vehicle-related financial operations for businesses. The company's platform offers digital vehicle wallets, fuel payment systems, expense-tracking tools, fraud-prevention controls, and fleet analytics, enabling businesses to monitor fuel usage, optimize costs, and manage vehicle expenses with real-time visibility and operational efficiency.</t>
  </si>
  <si>
    <t>Algebra Ventures, Elsewedy Capital, Global Founders Capital, Shorooq Partners</t>
  </si>
  <si>
    <t>www.octane-tech.io</t>
  </si>
  <si>
    <t>501189-49</t>
  </si>
  <si>
    <t>Octaura</t>
  </si>
  <si>
    <t>Developer of an electronic loan trading platform designed to offer electronic trading protocols, straight-through processing (STP) for trade booking, and data and analytics functionality. The company's platform features liquidity, access, connectivity, and loan-level analytics to assist with due diligence and the determination of appropriate trade prices for loans, portfolio-level analytics, and additional market insights to execute portfolio trades, enabling traders to make real-time trading decisions, grow trading volumes, increase liquidity, and remove the barriers to entry.</t>
  </si>
  <si>
    <t>Apollo Global Management, Bank of America, Barclays, BNP Paribas, Citigroup, Deutsche Bank, Deutsche Bank Ventures, JP Morgan Chase, MassMutual Ventures, Moody's, Morgan Stanley, Motive Partners, OMERS Ventures, The Goldman Sachs Group, UBS Group, Wells Fargo</t>
  </si>
  <si>
    <t>www.octaura.com</t>
  </si>
  <si>
    <t>498226-33</t>
  </si>
  <si>
    <t>Octav</t>
  </si>
  <si>
    <t>Developer of a DeFi portfolio tracking platform designed to help users understand their decentralized financial situation. The company's platform provides information on the cost basis and profit and loss of all their assets and non-fungible tokens (NFT) on major chains, edits their inaccurate transactions and manages their portfolio by using in-house tools to interact with the web3 ecosystem, such as buying, selling, claiming or compounding their assets directly on the platform, enabling investors to know their cost-basis and make proper decisions.</t>
  </si>
  <si>
    <t>ACET, Akin Sawyerr, Allan Matheson, Bitcoin Palmer, Blake Anderson, Block Enthusiast, Charles Deguire, Creative Destruction Lab, Cryptoast, Daniel Nadler, DCFGod DCFGod, Emile Dubie, Gregoirelida Gregoirelida, INVESTMEOWS, Laurens Poorter, Marc Zeller, Nascent, Orwin Lau, OvzrKoalafied, OxMaki, Parallel (Entertainment Software), Paul Desmarais, Polymorphic Capital, Portofino Technologies, Possible Ventures, See Eun Ha, SpaceShip Dao, Speedinvest, Suhail Suhail, Xavier Ekkel</t>
  </si>
  <si>
    <t>www.octav.fi</t>
  </si>
  <si>
    <t>517879-63</t>
  </si>
  <si>
    <t>Octo (Consumer Finance)</t>
  </si>
  <si>
    <t>Developer of a payment and credit platform designed to offer flexibility in financial transactions. The company's platform allows clients to deposit and withdraw from various location points, spend with a card, transfer payments through the application, and pay with credit from any store that accepts a card, enabling clients to manage their finances and split payments between cash and credit for low rates.</t>
  </si>
  <si>
    <t>DCG Expeditions, Everywhere Ventures, Future Africa, Musha Ventures, Plug and Play Tech Center, The Fintech Fund, The Raba Partnership</t>
  </si>
  <si>
    <t>www.getocto.io</t>
  </si>
  <si>
    <t>752965-84</t>
  </si>
  <si>
    <t>Odola</t>
  </si>
  <si>
    <t>Developer of an AI-driven online banking platform intended to serve customers globally by managing various currencies. The company offers multi-currency accounts, secure debit cards, and personalized AI-powered financial recommendations, providing customers with seamless control and insights to optimize their financial management.</t>
  </si>
  <si>
    <t>Lateral Frontiers VC</t>
  </si>
  <si>
    <t>www.odola.com</t>
  </si>
  <si>
    <t>522012-79</t>
  </si>
  <si>
    <t>OEN</t>
  </si>
  <si>
    <t>Developer of a unified payment platform designed for nonprofits, campaigns, and organizations. The company offers payments, fundraising, engagement, and compliance, including donations, e-commerce, ticketing, and subscriptions, thereby gaining insights into the target audience and creating meaningful engagement through its dynamic supporter database, enabling organizations to abide by local laws and regulations.</t>
  </si>
  <si>
    <t>500 Global, Smart Capital (Taiwan)</t>
  </si>
  <si>
    <t>www.oen.tw</t>
  </si>
  <si>
    <t>719623-99</t>
  </si>
  <si>
    <t>Offcall</t>
  </si>
  <si>
    <t>Developer of a financial platform designed to help physicians navigate their careers and finances. The company offers confidential salary assessments, personalized recommendations, and a supportive community, enabling physicians to improve compensation, access career insights, and optimize their financial well-being.</t>
  </si>
  <si>
    <t>Bloomberg Beta, Brad Goldberg, Cheri Blauwet, Christopher Altchek, Christopher Johnson, Edward Yap, Jason Ho, Jenya Kaufman, Jeremy Liew, Joseph Habboushe, Jyoti Jain, Kasey Grewe, Katie Hatch, Kaveh Hoda, Matt Sakumoto, Matthew Bucknor, Michael Ke, Michael Thomashow, Mohammad Arfeen, Nathan Anderson, Peter Liou, Philip Kurien, Roar Ventures, Rocky Jedick, Shivdev Rao</t>
  </si>
  <si>
    <t>www.offcall.com</t>
  </si>
  <si>
    <t>527279-41</t>
  </si>
  <si>
    <t>OH Credit</t>
  </si>
  <si>
    <t>Artificial Intelligence &amp; Machine Learning, Big Data, E-Commerce, FinTech</t>
  </si>
  <si>
    <t>Provider of Buy Now Pay Later (BNPL) financial services intended to provide the younger generation with access to credit in Southeast Asia. The company leverages big data and machine learning technologies to customize loan applications of different amounts and requirements for customers individually and has developed customer risk rating system and risk control system, which can collect and analyze big data from multiple dimensions through machine learning, including user self-filled information, third-party data, and credit data, to accurately analyze users, providing customers with small loans for online shopping.</t>
  </si>
  <si>
    <t>DMS Bank</t>
  </si>
  <si>
    <t>www.oh-credit.com</t>
  </si>
  <si>
    <t>513397-81</t>
  </si>
  <si>
    <t>Old Glory Bank</t>
  </si>
  <si>
    <t>OGB Financial Co is engaged in providing banking and financial services. The company is engaged in providing digital banking, payments, and crypto-integrated financial services through Old Glory Bank.</t>
  </si>
  <si>
    <t>www.oldglorybank.com</t>
  </si>
  <si>
    <t>439148-26</t>
  </si>
  <si>
    <t>Olive (Financial Software)</t>
  </si>
  <si>
    <t>Developer of a financial management platform designed to transform everyday purchases into savings, investments, and charitable donations. The company's platform allows users to receive card-linked offers, generate recurring contributions, round up the purchase transactions, and accelerate rewards with cashback from national and local merchants, enabling retailers to acquire and retain new customers, increase sales, and generate new marketing opportunities and users to achieve their personal finance and investment goals.</t>
  </si>
  <si>
    <t>Start Path, Untapped Capital</t>
  </si>
  <si>
    <t>www.oliveltd.com</t>
  </si>
  <si>
    <t>343236-07</t>
  </si>
  <si>
    <t>Oliver</t>
  </si>
  <si>
    <t>Developer of digital payments technology designed to provide point-of-sale services to its clients. The company offers a cloud-based platform featuring point-of-sale, inventory management, order management, payment processing, customer management, e-commerce integration, analytics, and reporting tools, enabling retailers to manage sales and business operations across online and physical stores.</t>
  </si>
  <si>
    <t>Genesis Centre, Propel ICT</t>
  </si>
  <si>
    <t>www.oliverpos.com</t>
  </si>
  <si>
    <t>707906-53</t>
  </si>
  <si>
    <t>Omaha</t>
  </si>
  <si>
    <t>Developer of an accounting data standardization platform intended to compare and value companies. The company's platform utilizes artificial intelligence to standardize accounting data and provides analyses of the financial risks and opportunities of companies, enabling banks, analysts, and wealth managers to make faster and informed decisions.</t>
  </si>
  <si>
    <t>Axeleo Capital, Ventech (Paris), VIA AM</t>
  </si>
  <si>
    <t>www.omaha-insights.com</t>
  </si>
  <si>
    <t>1366540-12</t>
  </si>
  <si>
    <t>OmenX</t>
  </si>
  <si>
    <t>Developer of an event-based derivatives trading platform designed to support outcome-focused trading on real-world events. The company's platform combines a high-speed matching engine, on-chain market data integration, event market creation and settlement mechanisms, wallet connectivity, and position and order management tools, enabling retail and professional traders worldwide to access event-linked markets with improved transparency, liquidity, and execution consistency.</t>
  </si>
  <si>
    <t>M77 Ventures, Paramita Venture, Penrose Ventures</t>
  </si>
  <si>
    <t>omenx.com</t>
  </si>
  <si>
    <t>469489-24</t>
  </si>
  <si>
    <t>OMNIO (Business/Productivity Software)</t>
  </si>
  <si>
    <t>Developer of compliance automation software intended to support financial crime prevention and regulatory compliance processes. The company offers customer monitoring, transaction monitoring, fraud detection, compliance investigations, reporting tools, and periodic monitoring reviews, enabling financial institutions to access compliance monitoring and investigation capabilities.</t>
  </si>
  <si>
    <t>28DIGITAL, Found.ation, Trust Valley, Vitosha Venture Partners</t>
  </si>
  <si>
    <t>www.omniocompliance.com</t>
  </si>
  <si>
    <t>597753-19</t>
  </si>
  <si>
    <t>Omnispay Payment Service</t>
  </si>
  <si>
    <t>Operator of a financial technology company intended to help small businesses manage their cash flow more effectively by simplifying how they pay and get paid. The company offers a unified platform to manage all payments, payments for suppliers, billers, and landlords, school fees to rent payments for consumers through existing credit cards even when they do not accept cards, enabling small businesses to streamline their financial operations and improve efficiency.</t>
  </si>
  <si>
    <t>Dubai AI Campus, Infinity Value Capital Group, Mercatus Capital</t>
  </si>
  <si>
    <t>www.omnispay.com</t>
  </si>
  <si>
    <t>234075-25</t>
  </si>
  <si>
    <t>Omniwire</t>
  </si>
  <si>
    <t>Developer of a digital banking SaaS platform intended to create a powerful, secure, and cost-effective ecosystem for online banking. The company's platform specializes in data security, compliance, and innovation and provides solutions including financial license coverage, certifications, and ready-made customizable web and mobile applications, enabling banks, enterprises, and governments to effectively launch and run their digital banking application.</t>
  </si>
  <si>
    <t>FinAccelerate, Ireth, Rino Solberg</t>
  </si>
  <si>
    <t>www.omniwire.com</t>
  </si>
  <si>
    <t>494380-63</t>
  </si>
  <si>
    <t>Omochi</t>
  </si>
  <si>
    <t>Provider of cashless information media services intended to show which payment method is the right deal at each store. The company's service calculates combinations of payment methods and store information, individual payment methods, campaign information, and location information, with its own engine and lists them in order of highest total return rate, providing users with countless payment service choices.</t>
  </si>
  <si>
    <t>Akira Kawabata, Kyoto Research Park, Samurai Incubate</t>
  </si>
  <si>
    <t>www.o-mo-chi.co.jp</t>
  </si>
  <si>
    <t>713380-06</t>
  </si>
  <si>
    <t>OneAM</t>
  </si>
  <si>
    <t>Developer of a financial technology platform designed to provide working capital access through early payment programs. The company's platform offers automated invoice processing, data-driven risk assessment, and easy integration with enterprise systems, and a marketplace of players makes pricing more efficient and increases competition, minimizing legal, compliance, and operational friction, enabling small and midsize businesses to receive faster payments and strengthen financial stability.</t>
  </si>
  <si>
    <t>Correlation Ventures, ThirdStream Partners, TTV Capital</t>
  </si>
  <si>
    <t>www.oneam.us</t>
  </si>
  <si>
    <t>513028-09</t>
  </si>
  <si>
    <t>OneBox Holdings</t>
  </si>
  <si>
    <t>Developer of financial technology platform designed for automating accounts receivable and compliance processes. The company's platform integrates with leading cloud-based accounting packages, and automates invoicing, payment processing, and reconciliation with automated reminders and secure payment options, enabling accounting firms to enhance efficiency, improve cash flow, and ensure accuracy in financial operations.</t>
  </si>
  <si>
    <t>www.apxium.com</t>
  </si>
  <si>
    <t>1083163-69</t>
  </si>
  <si>
    <t>OneDosh</t>
  </si>
  <si>
    <t>Developer of a borderless payments platform designed to simplify global money movement by unifying stablecoins and fiat, reducing fees, and eliminating delays in cross-border transactions. The company offers a seamless wallet and a Visa-powered spend card that integrates stablecoins and traditional currencies, enabling instant transfers, global spending, and flexible payouts.</t>
  </si>
  <si>
    <t>www.onedosh.com</t>
  </si>
  <si>
    <t>115004-71</t>
  </si>
  <si>
    <t>OneFeather</t>
  </si>
  <si>
    <t>Operator of an indigenous technology company intended to protect their data and create opportunities that improve access to indigenous rights. The company offers online capabilities such as digital voting, status card renewal, online banking, and other services, enabling clients to brand their identity, scale to the exclusive needs of their community, and solve critical membership data management issues.</t>
  </si>
  <si>
    <t>Humanitas Capital Management, Innovation Island, Raven Indigenous Capital Partners, Sustainable Development Technology Canada, Varshney Capital</t>
  </si>
  <si>
    <t>www.onefeather.ca</t>
  </si>
  <si>
    <t>469369-54</t>
  </si>
  <si>
    <t>OneFor Holding</t>
  </si>
  <si>
    <t>Developer of a financial mobile application designed to facilitate quick money transfers. The company's application allows sending money worldwide and communication with the sender, and has an eWallet that is connected with a ready-to-use debit card, enabling customers to create shared experiences and increase financial inclusion to bolster economic development.</t>
  </si>
  <si>
    <t>ND Group</t>
  </si>
  <si>
    <t>www.onefor.com</t>
  </si>
  <si>
    <t>509042-80</t>
  </si>
  <si>
    <t>Oneloop</t>
  </si>
  <si>
    <t>Developer of an AI workforce tool designed to smoothen the process for early-stage startups and organizations. The company's tool automates the process of writing and sending personalized recruitment emails, integrating with ATS like Lever or Greenhouse to save time and enhance the candidate experience, enabling HR professionals to craft impeccable job postings by using previous samples to ensure alignment with company culture and benefits.</t>
  </si>
  <si>
    <t>FoundersX Ventures, Fundamental Ventures, Harvest Venture Partners, Hat-trick Capital, Lubos Menus, Neer Venture Partners, Pioneer Fund, Team Ignite Ventures, UpHonest Capital, Y Combinator</t>
  </si>
  <si>
    <t>www.oneloop.ai</t>
  </si>
  <si>
    <t>542445-40</t>
  </si>
  <si>
    <t>OnePay</t>
  </si>
  <si>
    <t>Developer of an intelligent payment and collections platform designed for enterprises with recurring billing in Colombia and Latin America. The company's platform centralizes multi-rail digital collections and disbursements, supports payment methods such as PSE bank transfers, payment cards, digital wallets, and instant transfer rails, adds automated recurring debits, and white-label payment portals, enabling recurring-billing businesses and utilities to accelerate payment cycles, increase successful transaction rates and digital payment adoption, and reduce operational effort in managing collections and payouts.</t>
  </si>
  <si>
    <t>Broom Ventures, QAPU Ventures, Unbounded Capital</t>
  </si>
  <si>
    <t>www.onepay.la</t>
  </si>
  <si>
    <t>528445-27</t>
  </si>
  <si>
    <t>OnePay (Other Financial Services)</t>
  </si>
  <si>
    <t>Operator of the payment gateway intended to facilitate online payments. The company's platform offers a variety of features, including secure payment processing, multiple payment options, and easy integration with merchant systems, and offers diverse payment solutions for merchants, banks, financial institutions, and payment intermediaries, enabling businesses to accept payments from customers securely and conveniently.</t>
  </si>
  <si>
    <t>Kvision</t>
  </si>
  <si>
    <t>www.onepay.vn</t>
  </si>
  <si>
    <t>677051-47</t>
  </si>
  <si>
    <t>OneTap Group</t>
  </si>
  <si>
    <t>Operator of a loyalty program system intended to integrate payment with loyalty cards. The company's technology combines payment processing with loyalty rewards to earn points and benefits on purchases, enabling retailers to gain valuable customer data for enhanced personalization and consumers to earn rewards seamlessly through their existing payment methods.</t>
  </si>
  <si>
    <t>Brian Dunne</t>
  </si>
  <si>
    <t>www.onetapgroup.org</t>
  </si>
  <si>
    <t>495958-87</t>
  </si>
  <si>
    <t>OneVest</t>
  </si>
  <si>
    <t>Developer of a wealth management platform designed to automate and streamline administrative and middle office functions. The company's platform facilitates comprehensive, all-in-one wealth management services through expertise and financial tools to enhance client and advisor experiences, enabling businesses to expand product capabilities, improve distribution and streamline operations while extending investor and advisor experiences.</t>
  </si>
  <si>
    <t>AAF Management, Allianz Life Ventures, Deloitte Ventures, Fin Capital, FJ Labs, Harvest Venture Partners, Luge Capital, National Bank of Canada, NAventures, OMERS Ventures, Opportunity Calgary Investment Fund, Panache Ventures, Pareto Holdings, Pivot Investment Partners, Salesforce Ventures, TIAA Ventures</t>
  </si>
  <si>
    <t>www.onevest.com</t>
  </si>
  <si>
    <t>459173-44</t>
  </si>
  <si>
    <t>Onfly</t>
  </si>
  <si>
    <t>Developer of a travel and expense management platform designed to reduce the company's hotel and reimbursement expenses. The company's platform aids in booking hotels, tickets, and renting cars for trips within a pre-configured travel policy, enabling companies to maximize management and bring comfort and productivity to employees.</t>
  </si>
  <si>
    <t>Cloud9 Capital, Endeavor Catalyst, Left Lane, Left Lane Capital, Tidemark (US)</t>
  </si>
  <si>
    <t>www.onfly.com.br</t>
  </si>
  <si>
    <t>222973-57</t>
  </si>
  <si>
    <t>Onlyou</t>
  </si>
  <si>
    <t>Provider of an intelligent tax platform intended to provide various financial and tax services. The company's intelligent tax platform uses big data and artificial intelligence technology, enabling enterprises to get intelligent tax and financial support easily.</t>
  </si>
  <si>
    <t>AVIC Trust Company, Changrong Capital, Derun Investment, Fujian Sunner Development, Nanjing Southeast State-owned Assets Investment Group, Oriental Fortune Capital</t>
  </si>
  <si>
    <t>www.onlyou.com</t>
  </si>
  <si>
    <t>1078306-66</t>
  </si>
  <si>
    <t>Onsetto</t>
  </si>
  <si>
    <t>Developer of account transition software designed for simplifying commercial banking onboarding processes. The company's platform automates business account switching workflows by connecting and uploading data from previous accounts, notifying payers and vendors, linking payroll providers, transferring recurring payments, and closing old accounts securely, enabling banks and financial institutions to process a high volume of switches without increasing staffing, improving customer retention, and reducing manual risk in compliance and data migration.</t>
  </si>
  <si>
    <t>Bobby Astrup, Canapi Ventures, Daren Cotter, EJF Ventures, Groove Capital, Idea Fund of La Crosse, Independent Community Bankers of America, South Dakota First Capital, The Perch Fund</t>
  </si>
  <si>
    <t>www.onsetto.com</t>
  </si>
  <si>
    <t>606908-53</t>
  </si>
  <si>
    <t>Ontime</t>
  </si>
  <si>
    <t>Developer of a payroll-integrated bill payment platform intended to simplify recurring expense management and reduce missed payments. The company connects to employers' payroll systems to pay partner bills such as energy, broadband, or loan payments directly from salaries on payday, offers a checkout option with benefits like discounts and cashback, and clarifies remaining disposable income after bills, enabling eligible salaried consumers to avoid missed-payment stress, extra fees, and credit damage.</t>
  </si>
  <si>
    <t>Claire and Amir's Angel Portfolio, Form Ventures, Torch Capital</t>
  </si>
  <si>
    <t>www.ontime.co</t>
  </si>
  <si>
    <t>483686-92</t>
  </si>
  <si>
    <t>Onyx (Financial Software)</t>
  </si>
  <si>
    <t>Developer of a private banking platform designed to provide retail banking services through digital channels. The company's platform offers a personalized tax-loss harvesting robo-advisor, fixed-income money market accounts, treasury bills, and alternative investments such as private equity and venture capital, and hedge fund strategies with low fees and minimums, enabling users to set personalized financial goals and manage finances efficiently.</t>
  </si>
  <si>
    <t>186 Ventures, Bantam Group, Caffeinated Capital, Global Founders Capital, Goodwater Capital, Litquidity Capital, Olive Tree Capital, One Way Ventures, Village Global, Y Combinator</t>
  </si>
  <si>
    <t>www.onyxprivate.com</t>
  </si>
  <si>
    <t>466804-36</t>
  </si>
  <si>
    <t>Onze</t>
  </si>
  <si>
    <t>Operator of a fintech platform intended to help firms' employees manage their financial health. The company provides financial support through an equity accumulation plan for employees, enabling corporates to offer their employees a comprehensive pension portfolio.</t>
  </si>
  <si>
    <t>Atlantico Partners, Red Ventures, Ribbit Capital</t>
  </si>
  <si>
    <t>www.onze.com.br</t>
  </si>
  <si>
    <t>571635-82</t>
  </si>
  <si>
    <t>Oori (Financial Services)</t>
  </si>
  <si>
    <t>Artificial Intelligence &amp; Machine Learning, Cryptocurrency/Blockchain, FinTech, Real Estate Technology, SaaS</t>
  </si>
  <si>
    <t>Developer of a digital investment marketplace platform intended to broaden access to private market and alternative investment opportunities. The company offers tokenization-based infrastructure for digitizing fund units and investment products, enabling institutional and qualified investors to participate in private equity, venture capital, and alternative assets within regulated environments.</t>
  </si>
  <si>
    <t>Bunat Ventures, RZM Investment</t>
  </si>
  <si>
    <t>www.oori.co</t>
  </si>
  <si>
    <t>522933-49</t>
  </si>
  <si>
    <t>Open Advice</t>
  </si>
  <si>
    <t>Developer of a hybrid advice platform designed to close the advice gap and make professional financial planning available to a wider audience. The company's platform offers world-class dynamic onboarding, automated workflows, risk profiling, financial overview, investment platform, and powerful integrations, enabling financial advisers to provide bespoke professional advice and a competitive robot-advice product for clients who need a lighter touch.</t>
  </si>
  <si>
    <t>Anthony Villis, Charlton Santana, Elliott Santana, Robert Caplan, Symvan Capital</t>
  </si>
  <si>
    <t>www.openadvice.co.uk</t>
  </si>
  <si>
    <t>462294-91</t>
  </si>
  <si>
    <t>Open Co</t>
  </si>
  <si>
    <t>Operator of a credit fintech platform intended to offer customers fair access to credit facilities. The company's platform leverages digital technologies that improve access to financial services, enabling customers to get unsecured loans in a hassle-free way in Brazil.</t>
  </si>
  <si>
    <t>Bruno Licht, BRZ Investimentos, Chromo Invest, Endeavor Promessas, FinTech Collective, FJ Labs, Fued Sadala, IFC(American TV channel), International Finance Corporation, J. Malucelli Seguradora, João Guerra, Julio Capua, LTS Growth, Mercado Libre Fund, Monashees, Point Break Capital, Quona Capital, Raiz Investimentos, Sampa Partners, SoftBank Latin America Fund, The Goldman Sachs Group, XP Investimentos</t>
  </si>
  <si>
    <t>www.open-co.com</t>
  </si>
  <si>
    <t>732183-40</t>
  </si>
  <si>
    <t>Open Ledger</t>
  </si>
  <si>
    <t>Developer of an artificial intelligence (AI) powered automated accounting software designed to execute accounting functions with full financial context. The company's software combines financial data from multiple sources into one, singular ledger that integrates with the existing software and aggregates and orchestrates every data source for companies, and offers features like auto-categorization and custom report-building that make financial operations (FinOps) painless for customers, enabling businesses to focus on growth instead of administrative hurdles.</t>
  </si>
  <si>
    <t>www.openledger.com</t>
  </si>
  <si>
    <t>494303-23</t>
  </si>
  <si>
    <t>OpenBB</t>
  </si>
  <si>
    <t>Developer of an open-source investment research platform designed to make investment research effective, powerful, and accessible to everyone. The company's platform leverages state-of-the-art data science and machine learning technologies to make sense of raw unrefined data, enabling investors to gain access to the world's financial data.</t>
  </si>
  <si>
    <t>Elad Gil, Justin Hoffmann, Kavitark Shriram, Larry Augustin, Naval Ravikant, OSS Capital, Robert Young, The Founders Arena</t>
  </si>
  <si>
    <t>openbb.co</t>
  </si>
  <si>
    <t>711818-83</t>
  </si>
  <si>
    <t>OpenBrick</t>
  </si>
  <si>
    <t>Developer of a digital platform designed to facilitate financing through tokenization. The company's platform connects issuers, investors, and financial intermediaries and features the ability to acquire securities in a primary market and subsequently trade in a secondary market, enabling traders to have access to real-time financial information, ensure compliance, and manage tokenized financial instruments.</t>
  </si>
  <si>
    <t>Bolsas y Mercados Españoles</t>
  </si>
  <si>
    <t>www.openbrick.co</t>
  </si>
  <si>
    <t>227291-41</t>
  </si>
  <si>
    <t>Opendoors Fintech</t>
  </si>
  <si>
    <t>Operator of an online lending platform designed to offer loans to small and medium enterprises. The company's platform connects lenders with small and medium businesses using a proprietary credit and risk-scoring algorithm, enabling customers to avail of both term and limit-based loans.</t>
  </si>
  <si>
    <t>Amicus Capital India, Nexus Venture Partners</t>
  </si>
  <si>
    <t>www.namastecredit.com</t>
  </si>
  <si>
    <t>707170-06</t>
  </si>
  <si>
    <t>OpenFX</t>
  </si>
  <si>
    <t>Developer of a real-time cross-border payments platform designed to enable seamless international money transfers using stablecoins and fiat foreign exchange settlement. The company offers stablecoin-based transfer infrastructure, last-mile fiat conversion, and cross-border payment routing capabilities, enabling financial institutions and payment service providers efficient international transaction processing with faster settlement and improved currency conversion flexibility.</t>
  </si>
  <si>
    <t>9Yards Capital Management, Accel, Accomplice VC, Alliance (Other Capital Markets/Institutions), Atomico (UK) Partners, Castle Island Ventures, Essentia Ventures, Faction Ventures, Flybridge (New York), Hash3, Lightspeed Venture Partners, M13, Nascent, NFX, Northzone Ventures, Pantera Capital, Valor Equity Partners, Variant (Brooklyn)</t>
  </si>
  <si>
    <t>www.openfx.com</t>
  </si>
  <si>
    <t>521924-86</t>
  </si>
  <si>
    <t>OpenInvest</t>
  </si>
  <si>
    <t>Developer of white-label online investing and wealth management software designed for financial institutions and professional advisors. The company's software offers configurable branded investor portals, digital onboarding, portfolio selection and management tools, model and managed account support, compliance and reporting capabilities, and integration with existing advice workflows and custodial infrastructure, enabling wealth managers, advisors, and institutions to deliver scalable, compliant investment experiences to retail and high-net-worth clients.</t>
  </si>
  <si>
    <t>Tayside Investments Australia</t>
  </si>
  <si>
    <t>www.openinvest.com.au</t>
  </si>
  <si>
    <t>551415-70</t>
  </si>
  <si>
    <t>OpenMEI</t>
  </si>
  <si>
    <t>Developer of a digital accounting application intended to simplify the billing and monitoring process. The company's application offers features such as accounting management, tax management, issuance of invoices, annual declaration, accounts payable and receivable reports, and expert guidance, enabling microenterprises to bring convenience and free themselves from operational work.</t>
  </si>
  <si>
    <t>Bossa Invest, Village Capital</t>
  </si>
  <si>
    <t>www.openmei.com.br</t>
  </si>
  <si>
    <t>465429-70</t>
  </si>
  <si>
    <t>OpenPitch</t>
  </si>
  <si>
    <t>Developer of a cloud-based software designed to assist in managing all financial accounts in one place. The company's software specializes in an interface that offers complete visibility and interconnection between different accounts of a single user which helps in transferring funds across financial institutions and also gives rewards through cash backs when funds are transferred into any type of savings, enabling users to develop a habit of saving and manage their money.</t>
  </si>
  <si>
    <t>gBETA, gener8tor, Gian Perrone</t>
  </si>
  <si>
    <t>www.openpitch.com</t>
  </si>
  <si>
    <t>551714-77</t>
  </si>
  <si>
    <t>OpenPledge</t>
  </si>
  <si>
    <t>Developer of a compensation system designed for open-source project collaboration. The company's platform connects developers with organizations or project owners through issue-based donations to filter tasks by technology stack and donation amount, submit work on specific issues, and receive payment upon approval, enabling the open-source community to facilitate transparent contributions, track development needs, and support sustained project maintenance.</t>
  </si>
  <si>
    <t>Fil Rouge Capital, LvlUp Ventures, The Founder Games</t>
  </si>
  <si>
    <t>openpledge.io</t>
  </si>
  <si>
    <t>235031-95</t>
  </si>
  <si>
    <t>OpenSparkz</t>
  </si>
  <si>
    <t>Developer of fintech platform designed for delivering an end-to-end scheme agnostic card-linked enablement services. The company's platform receives payment data in real-time from the cards linked and analyzes the same to deliver the right offer, at the right time, in the right place, enabling loyalty program operators, publishers, merchants, and card issuers to offer miles, points, cash back, vouchers, and other rewards to online, offline, and online-to-offline customer.</t>
  </si>
  <si>
    <t>EFT Solutions Holdings, Future Now Capital, Louise Daley, QUAY Acceleration, Start Path</t>
  </si>
  <si>
    <t>www.opensparkz.tech</t>
  </si>
  <si>
    <t>93994-57</t>
  </si>
  <si>
    <t>OpenTrade</t>
  </si>
  <si>
    <t>Operator of an investment brokerage platform intended to offer new means of financing for startups and businesses. The company's platform offers collaboration between startups and individual and institutional investors via investment in equity crowdfunding deals, enabling startups to manage capital allocation efficiently and raise necessary capital with ease.</t>
  </si>
  <si>
    <t>Coolidge Corner Investment, HB Investment, iM Investment Partners, Magellan Technology Investment, Venture Square</t>
  </si>
  <si>
    <t>www.otrade.co</t>
  </si>
  <si>
    <t>462877-03</t>
  </si>
  <si>
    <t>Opontia</t>
  </si>
  <si>
    <t>Operator of an e-commerce acquiring company intended to buy and grow businesses across the Middle East and Africa. The company specializes in brand building and scaling, product design and launch, logistics and small and medium enterprise (SME) financing, enabling clients to build businesses through fair acquisitions and growth partnerships.</t>
  </si>
  <si>
    <t>Ash Park Capital, Global Founders Capital, Hosam Arab, Jonathan Doerr, NOMD Holdings, Partners for Growth, Presight Capital, Raed Ventures, Salman Butt, Tushar Ahluwalia, Upper90 Capital Management, VentureSouq, Wiktor Namysl</t>
  </si>
  <si>
    <t>www.opontia.com</t>
  </si>
  <si>
    <t>687842-83</t>
  </si>
  <si>
    <t>Opulence AI</t>
  </si>
  <si>
    <t>Developer of a financial management system intended for individuals and businesses seeking to optimize their management of finances. The company's platform leverages advanced algorithms and data-driven insights to provide optimized financial strategies, drawing from historical data to inform present decisions and forecast future scenarios, enabling individual investors, advisors, and businesses to make real-time, data-driven decisions about their investments.</t>
  </si>
  <si>
    <t>www.opulenceai.tech</t>
  </si>
  <si>
    <t>280152-82</t>
  </si>
  <si>
    <t>Oraan</t>
  </si>
  <si>
    <t>Developer of a social savings financial platform designed to digitize the financial behavior of group savings that already exists in underbanked markets. The company's application can be used to make savings with a trusted community and pay installments in any mode the user is comfortable with, and withdrawing the money is digital, allowing unbanked clients to open bank accounts and users to reactivate their bank accounts.</t>
  </si>
  <si>
    <t>Blauwpark Partners, Claire Diaz-Ortiz, DCG Expeditions, Epic Angels, Graph Ventures, Hi2 Global, Hustle Fund, i2i Ventures (Pakistan), Invest2Innovate, K3 Diversity Ventures, Plug and Play Tech Center, R2 Venture Solutions, Rayn Group, Resolution Ventures, Seedstars International Ventures, Wavemaker Partners, Zayn Venture Capital</t>
  </si>
  <si>
    <t>www.oraan.com</t>
  </si>
  <si>
    <t>94477-15</t>
  </si>
  <si>
    <t>Oradian</t>
  </si>
  <si>
    <t>Developer of cloud-based microfinance software designed to empower the delivery of financial services to the underserved and unbanked. The company's software provides microfinance Institutions in countries with underdeveloped banking infrastructure with a finance management platform for personal banking using time-tested training and it also changes management processes, enabling microfinance institutions, co-operatives, and credit unions to serve the most rural clients affordably and effectively.</t>
  </si>
  <si>
    <t>Africa Angels Network, Alitheia Capital, Andrew Mainhart, Bozidar Pavlovic, Brigit Helms, Conviction Investment Partners, CRE Venture Capital, Credo Ventures, Day One Capital, Esther Dyson, Federico Pirzio-Biroli, Fil Rouge Capital, Finance in Motion, Goodwell Investments, Jaroslav Trojan, Joseph Charlesworth, Middleton Enterprises, Moaffak Ahmed, Playfair Capital, Portfolion, Pule Taukobong, SBI Investment, Seedcamp, The Jenkins Fund, Tumbleweed Holdings</t>
  </si>
  <si>
    <t>www.oradian.com</t>
  </si>
  <si>
    <t>264625-93</t>
  </si>
  <si>
    <t>Orange Square</t>
  </si>
  <si>
    <t>Developer of an online fintech platform designed to offer currency exchange facilities. The company's platform offers automated money-exchanging business and overseas remittance business licenses for individual transfers and is a prepaid card and mobile wallet app that combines currency exchange, cashless payment, and transportation cards, enabling people to exchange money efficiently without having to wait in long queues in banks.</t>
  </si>
  <si>
    <t>Hana Ventures, IBK 1st Lab, IMM Investment, JYP Entertainment, Korea Investment Partners, Mirae Asset Venture Investment, NAU IB Capital, PLUX Ventures, Samho Green Investment, Spring Camp</t>
  </si>
  <si>
    <t>www.orangesquare.kr</t>
  </si>
  <si>
    <t>597751-30</t>
  </si>
  <si>
    <t>Orbii</t>
  </si>
  <si>
    <t>Developer of an artificial intelligence-powered credit assessment platform designed to make lending decisions properly. The company's platform offers services for increasing approvals and reducing defaults, enabling businesses to make better credit decisions and understand financial behavior.</t>
  </si>
  <si>
    <t>DASH Ventures, Fintech Saudi, GrowthX Accelerator, Hub71, Plug and Play Tech Center, Prosus Ventures, Sanabil 500 MENA Seed Accelerator, Seed9, Taz Investment, VentureSouq, Yango</t>
  </si>
  <si>
    <t>www.orbii.ai</t>
  </si>
  <si>
    <t>465919-84</t>
  </si>
  <si>
    <t>Orbital (Financial Software)</t>
  </si>
  <si>
    <t>Developer of a traditional finance and crypto payments platform designed for global enterprises. The company's platform provides a range of traditional payment and global (Foreign Exchange) FX systems, as well as crypto payments, manages payments and FX, of both fiat and blockchain-based currencies, solving cross-border and remittance challenges, enabling businesses to accept cryptocurrencies alongside traditional fiat currencies.</t>
  </si>
  <si>
    <t>Golden Record Ventures, Grow London, GSRV, Luminous Futures, New Form Capital, Psalion</t>
  </si>
  <si>
    <t>www.getorbital.com</t>
  </si>
  <si>
    <t>597239-65</t>
  </si>
  <si>
    <t>Orca Fraud</t>
  </si>
  <si>
    <t>Operator of an artificial intelligence-driven fraud detection platform intended to safeguard conventional and decentralized financial systems. The company's platform utilizes an orchestration computing approach for its fraud prevention systems, enabling clients to access tools to prevent fraud and protect their business.</t>
  </si>
  <si>
    <t>CV VC, Enza Capital, Everywhere Ventures, First Circle Capital, Kara Ventures, Musha Ventures, Norrsken22, One Day Yes, Visa Accelerator</t>
  </si>
  <si>
    <t>www.orca-fraud.com</t>
  </si>
  <si>
    <t>515483-02</t>
  </si>
  <si>
    <t>Orfinex</t>
  </si>
  <si>
    <t>Developer of a financial technology platform designed to provide forex brokerage and trading services. The company's platform offers a variety of services, such as currency trading, computational fluid dynamics trading, and margin trading, with learning tools and materials, enabling investors to trade in a safe and secure environment.</t>
  </si>
  <si>
    <t>www.orfinex.com</t>
  </si>
  <si>
    <t>435046-87</t>
  </si>
  <si>
    <t>Orient Financial Tech</t>
  </si>
  <si>
    <t>Provider of loan services for individuals. The company's services include small loans, peer to peer loans, car loans, housing loans and other loan services and also supports installment payments and online mobile payments, providing customers with financial loan solutions and consulting services, and promoting financial Industry development.</t>
  </si>
  <si>
    <t>China Orient Asset Management</t>
  </si>
  <si>
    <t>www.coamc-tech.com</t>
  </si>
  <si>
    <t>234742-87</t>
  </si>
  <si>
    <t>Oriente</t>
  </si>
  <si>
    <t>Provider of financial solutions designed to unlock financial inclusion for underserved communities. The company's products use AI, machine learning and data science to provide real-time credit scoring, on-demand lending and other tailored financial solutions, providing customers with access to credit in an affordable, easy and timely manner.</t>
  </si>
  <si>
    <t>Berjaya Corporation, BlackPine Group, Bow Capital, Intudo Ventures, JG Summit Holdings, Ka Kit Lee, Sinar Mas, Tippet Venture Partners, Wix</t>
  </si>
  <si>
    <t>www.oriente.com</t>
  </si>
  <si>
    <t>54286-21</t>
  </si>
  <si>
    <t>Origence</t>
  </si>
  <si>
    <t>Developer of a lending software technology designed to keep credit unions competitive with an increasingly comprehensive suite of products. The company's platform provides lending services for credit unions and banks, enabling the financial industry to originate loans more efficiently and provide a better experience for borrowers.</t>
  </si>
  <si>
    <t>www.origence.com</t>
  </si>
  <si>
    <t>228727-90</t>
  </si>
  <si>
    <t>Orion Trading Systems</t>
  </si>
  <si>
    <t>Developer of a financial platform designed to open channels of the global investment market. The company's platform provides a suite of multi-asset, broker-neutral options that feature trade execution, order and position management as well as workflow automation, enabling fund managers and brokers to execute trades and manage portfolios.</t>
  </si>
  <si>
    <t>Amazon Web Services, Invest Detroit Ventures, Michigan State University Research Foundation, Red Cedar Ventures</t>
  </si>
  <si>
    <t>www.oriontradingsystems.com</t>
  </si>
  <si>
    <t>755963-38</t>
  </si>
  <si>
    <t>Orkestapay</t>
  </si>
  <si>
    <t>Developer of a payment management tool designed for businesses to simplify the process for e-commerce payment management. The company's system offers multiple payment processors and anti-fraud systems with custom API integration, checkout, and payment gateway connections and plugins, enabling organizations to simplify payment structure by unifying multiple payment options at the checkout of eCommerce platforms.</t>
  </si>
  <si>
    <t>Angel Ventures Mexico, Brainstorm Ventures, Cracks Fund, G2 Momentum Capital, Grupo Financiero Monex, ID345, Nazca</t>
  </si>
  <si>
    <t>www.orkestapay.com</t>
  </si>
  <si>
    <t>530152-57</t>
  </si>
  <si>
    <t>Orovera</t>
  </si>
  <si>
    <t>Operator of a payment platform intended for cash transfers. The company's platform offers a communication application to send or receive money from the interlocutor in a quick and convenient way without providing additional information, allowing clients to transfer money in terms of both speed and convenience.</t>
  </si>
  <si>
    <t>National Center for Research and Development, SPINAKER Alfa</t>
  </si>
  <si>
    <t>www.orovera.com</t>
  </si>
  <si>
    <t>533526-31</t>
  </si>
  <si>
    <t>Othis</t>
  </si>
  <si>
    <t>Developer of a wealth management platform designed for personal wealth management. The company's platform facilitates features such as asset onboarding, dynamic cashflows, a security hub, an AI-powered document vault, and adviser access, enabling clients to consolidate, control, and grow their wealth.</t>
  </si>
  <si>
    <t>Calendula Ventures, Kinled Holding, ROI Ventures</t>
  </si>
  <si>
    <t>www.othis.com</t>
  </si>
  <si>
    <t>438595-03</t>
  </si>
  <si>
    <t>OTSO Investment</t>
  </si>
  <si>
    <t>Provider of fintech products and consulting services intended to empower financial institutions and enterprises with innovative technologies and solutions. The company's services include low latency social trading systems, comprehensive risk management tools and multi-asset institutional liquidity solutions, enabling organizations to guide about how to cover all the aspects of scaling their business.</t>
  </si>
  <si>
    <t>Angel to Venture</t>
  </si>
  <si>
    <t>www.otsogroup.com</t>
  </si>
  <si>
    <t>536966-20</t>
  </si>
  <si>
    <t>Otter Finance</t>
  </si>
  <si>
    <t>Developer of decentralized financial infrastructure designed for asset management and yield generation. The company's platform supports on-chain asset allocation, automated strategy execution, integration with decentralized protocols, risk parameter configuration, portfolio monitoring, and transaction settlement through smart contracts, enabling digital asset holders, decentralized organizations, and financial operators to manage capital deployment, access yield mechanisms, and coordinate treasury activities with defined operational controls and reduced manual intervention.</t>
  </si>
  <si>
    <t>www.otter.finance</t>
  </si>
  <si>
    <t>530353-00</t>
  </si>
  <si>
    <t>Otterz</t>
  </si>
  <si>
    <t>Developer of a financial technology designed to automate accounting. The company offers bookkeeping, tax advisory, payment processing, and artificial intelligence-powered financial management, enabling clients to maintain accurate records, file taxes, process payments, and access business insights efficiently.</t>
  </si>
  <si>
    <t>Berkeley SkyDeck, Berkeley SkyDeck Fund</t>
  </si>
  <si>
    <t>www.otterz.co</t>
  </si>
  <si>
    <t>55879-21</t>
  </si>
  <si>
    <t>OurCrowd</t>
  </si>
  <si>
    <t>Operator of a venture investing platform intended to bring venture capital opportunities to accredited investors worldwide. The company vets and selects startups, invests its capital, and provides its global network with unparalleled access to co-invest and contribute connections, talent, and deal flow, enabling institutions and individuals to invest and engage in emerging companies.</t>
  </si>
  <si>
    <t>Bossa Invest, CB Alliance, Israel Seed Partners, Light Warrior, Maywic Select Investments, Monash Private Capital, ORIX (Tokyo), Rockpool Capital, Sassoon Investment Corporation, SoftBank Investment Advisers, Stifel Financial, United Overseas Bank, Wolf Bielas, Wolfpack Ventures</t>
  </si>
  <si>
    <t>www.ourcrowd.com</t>
  </si>
  <si>
    <t>538930-72</t>
  </si>
  <si>
    <t>Outpave</t>
  </si>
  <si>
    <t>Developer of a financial management platform designed to simplify business spending and expense tracking. The company offers business debit cards, automated invoicing, receipt capture, bill payments, expense approvals and accounting software integrations, enabling construction firms, property managers and service businesses to streamline financial operations and improve spending visibility.</t>
  </si>
  <si>
    <t>Fritz-Pak</t>
  </si>
  <si>
    <t>www.outpave.com</t>
  </si>
  <si>
    <t>489987-28</t>
  </si>
  <si>
    <t>Outprfrm</t>
  </si>
  <si>
    <t>Developer of a financial technology platform designed to make investing more approachable for retail investors. The company collects financial analyst ratings and compares analyst's 12 month price targets to the real movement of the stock price, outperforms, and then ranks the best analysts on a stock-by-stock basis, enabling investors to get access to the best analyst for any given stock and their current price targets.</t>
  </si>
  <si>
    <t>outprfrm.com</t>
  </si>
  <si>
    <t>515595-88</t>
  </si>
  <si>
    <t>Overtake (Financial Software)</t>
  </si>
  <si>
    <t>AdTech, FinTech, SaaS</t>
  </si>
  <si>
    <t>Developer of a financial product advertising platform intended for simple payment service. The company's platform specializes in planning an algorithm that provides essential financial products to financial consumers through data analysis of each platform and planning, design, and development, enabling partnered platforms to secure profits instantly.</t>
  </si>
  <si>
    <t>KT, LG Uplus, SK Telecom</t>
  </si>
  <si>
    <t>www.overtake.kr</t>
  </si>
  <si>
    <t>513280-36</t>
  </si>
  <si>
    <t>Ovoro</t>
  </si>
  <si>
    <t>Developer of AI-driven investment technology application designed for automated cryptocurrency trading. The company's platform offers one-tap diversification, real-time trading, and risk management without the need for prior experience or extensive market knowledge, enabling individual investors to access a simplified and secure way to invest in multiple cryptocurrencies simultaneously.</t>
  </si>
  <si>
    <t>Icebreaker.vc</t>
  </si>
  <si>
    <t>www.ovoro.com</t>
  </si>
  <si>
    <t>628034-14</t>
  </si>
  <si>
    <t>Ovum AI Startup Factory</t>
  </si>
  <si>
    <t>Developer of a startup factory that focuses on leveraging artificial intelligence to develop innovative solutions across various industries. The company's platform focuses on identifying market gaps and creating AI-driven products or services, enabling early-stage companies, including mentorship, funding, and access to resources, to help bring ideas from conception to execution.</t>
  </si>
  <si>
    <t>Open Seed</t>
  </si>
  <si>
    <t>www.ovum.ai</t>
  </si>
  <si>
    <t>321700-87</t>
  </si>
  <si>
    <t>Oweesta</t>
  </si>
  <si>
    <t>Operator of a native CDFI intermediary offering financial and development services intended to serve native CDFIs and native communities. The company provides training, technical assistance, investments, research, and policy advocacy to help communities develop an integrated range of asset-building products and services, including financial education and financial products, enabling CDFIs and clients to acquire financial services with management skills.</t>
  </si>
  <si>
    <t>Impact Assets, Wells Fargo Regional Foundation</t>
  </si>
  <si>
    <t>oweesta.org</t>
  </si>
  <si>
    <t>233015-50</t>
  </si>
  <si>
    <t>Owl.Co</t>
  </si>
  <si>
    <t>Operator of an insurance claim monitoring platform intended to help financial institutions know their customers. The company's platform automatically detects significant losses from malingering, exaggerated, or non-eligible claims and stops unnecessary claim payments, reserves, and adjusting expenses that result in higher premiums, enabling clients to detect fraud early, provide accurate Know Your Customer (KYC), and make informed decisions.</t>
  </si>
  <si>
    <t>Builders VC, Canada's Digital Technology Supercluster, Chris Sheng Jia Ye, Cota Capital, Danny Halarewich, Finance Montréal, Fuse (Seattle), Holt Xchange, Impression Ventures, Innovation, Science and Economic Development Canada, Inovia Capital, Jerry Grochow, Legal Capital (China), Luge Capital, N49P, North 50 Venture Capital, Plug and Play Tech Center, Ross Paul, Sorenson Capital, Sorenson Ventures, Sway Capital, Timur Shomansurov</t>
  </si>
  <si>
    <t>www.owl.co</t>
  </si>
  <si>
    <t>442465-21</t>
  </si>
  <si>
    <t>Ownest</t>
  </si>
  <si>
    <t>Developer of identity verification and validation technology designed for regulatory compliance, fraud prevention, and secure digital onboarding. The company offers features such as customizable workflows, real-time data validation, document authentication, secure user interfaces, regulatory reporting tools, and integration with existing systems, enabling industries such as accounting, insolvency, automotive, insurance, finance, mortgage, credit unions, and real estate to enhance operational efficiency, reduce financial risk, ensure compliance, and deliver a streamlined, customer-centric onboarding experience.</t>
  </si>
  <si>
    <t>Alcedio Capital, Holt Xchange, Hyper Accelerator, Tribune Capital (Asset Management), VentureOut (US)</t>
  </si>
  <si>
    <t>www.ownest.ai</t>
  </si>
  <si>
    <t>489892-24</t>
  </si>
  <si>
    <t>Ownit AI</t>
  </si>
  <si>
    <t>Developer of custom fine-tuned AI models deisgned to make commerce at the point of discovery work for brands, creators, and shoppers. The company's platform increases conversion for brands and merchants by enabling a one-tap purchase of any product in paid ads, email, text, and influencer marketing and helps shoppers make purchase decision by showing pricing and purchase options all in one place, enabling clients with smooth marketing for e-commerce.</t>
  </si>
  <si>
    <t>Abstract Ventures, Caffeinated Capital, Food Retail Ventures, Notable Capital, Plug and Play Tech Center, SciFi VC</t>
  </si>
  <si>
    <t>www.ownit.co</t>
  </si>
  <si>
    <t>506992-33</t>
  </si>
  <si>
    <t>Owoafara</t>
  </si>
  <si>
    <t>Operator of a financial technology company intended to make financial services accessible to the underserved in emerging markets. The company has built platforms to democratize access to financial products and services for the underserved in meeting their everyday needs through payments, loans, savings, health insurance, and pensions, enabling businesses to be economically empowered and earn a better livelihood.</t>
  </si>
  <si>
    <t>African Tech Vision, ARM Labs, ShEquity, The Future is Female Mentorship Program</t>
  </si>
  <si>
    <t>www.owoafara.com</t>
  </si>
  <si>
    <t>181628-56</t>
  </si>
  <si>
    <t>Oze</t>
  </si>
  <si>
    <t>Developer of a business education platform designed to offer business advisory services to rack when money is coming in and going out. The company's platform provides an advising application that collects financial and social transaction data at the point of sale for African entrepreneurs and analyzes it to spot problems and solve them with targeted training and mentoring, enabling businesses to make the right data-driven decisions to improve their performance and track sales, expenses and customer information.</t>
  </si>
  <si>
    <t>Africinvest, Anorak Ventures, Band of Angels, Catalyst Fund, Cathay Capital, Cathay Innovation, Chanzo Capital, DEG, Frontera Technology, Google Accelerator, Ground Squirrel Ventures, Harvard Innovation Launch Lab, Ingressive (Nigeria), Kara Ventures, MassChallenge, Meltwater Entrepreneurial School of Technology, Milken-Motsepe Prize, Quesnay, Rising Tide Africa, Savannah Fund, Saviu Ventures, Speedinvest, Stella Capital (Chicago), SUM Ventures, TechCrunch, Visa, Visa Accelerator</t>
  </si>
  <si>
    <t>www.getoze.com</t>
  </si>
  <si>
    <t>568655-38</t>
  </si>
  <si>
    <t>OZPros</t>
  </si>
  <si>
    <t>Operator of a financial advisory firm intended to assist investors and project managers in navigating tax benefits and compliance. The company offers entity formation, strategy development, capital raising, fund operations, investor outreach, and compliance, enabling clients to maximize tax advantages while ensuring adherence to IRS and SEC regulations and facilitating wealth growth through strategic investments in designated areas.</t>
  </si>
  <si>
    <t>www.ozpros.com</t>
  </si>
  <si>
    <t>491772-79</t>
  </si>
  <si>
    <t>PaceUPInvest</t>
  </si>
  <si>
    <t>Developer of an AI-driven financial management and investment platform intended to support financial planning and portfolio optimization. The company's platform provides personalized planning tools, AI-powered portfolio management, automated asset allocation, risk analysis, real-time monitoring, interactive learning modules, and expert guidance integration, enabling individuals and businesses to manage finances, improve literacy, and make informed decisions.</t>
  </si>
  <si>
    <t>Amaka IO, Landesbank Baden-Wurttemberg, NEXT Mannheim, Start-up BW, UP2B Accelerator</t>
  </si>
  <si>
    <t>www.paceupinvest.com</t>
  </si>
  <si>
    <t>494496-73</t>
  </si>
  <si>
    <t>Pacto</t>
  </si>
  <si>
    <t>Developer of a point-of-sale platform designed to order and pay in restaurants. The company's platform offers an all-in-one payment integration, featuring a user-friendly interface, automatic reconciliation at the time of payment, a mobile point-of-sale system, and order and payment from a cell phone, enabling restaurants to optimize their daily operation and accelerate their business growth.</t>
  </si>
  <si>
    <t>500 Global, 500 Startups LatAm, Angel Losada, Another Round VC, August Hill, DILA Capital, First Check Ventures, Francisco Medina, Georgetown Angel Investors Network, Grupo Fame, Hive Hatch, Kevin Carter, LEAP Global Partners, Night Capital, Pant3ra, Polymath Ventures, Start Path</t>
  </si>
  <si>
    <t>www.pacto.co</t>
  </si>
  <si>
    <t>537579-19</t>
  </si>
  <si>
    <t>PADS Financial</t>
  </si>
  <si>
    <t>Developer of an online mortgage origination and servicing platform intended to streamline the mortgage application process for borrowers. The company offers a user-friendly portal that allows users to apply for home equity loans, track application statuses, manage funds, and access essential features efficiently, enabling underserved individuals in the lending market to achieve their financial goals through accessible credit options.</t>
  </si>
  <si>
    <t>www.padsfinancial.com</t>
  </si>
  <si>
    <t>54723-88</t>
  </si>
  <si>
    <t>Paga</t>
  </si>
  <si>
    <t>Developer of a money transfer application designed to address the growing challenges around viable payment options. The company's application can be used to send money to anyone with a mobile phone and also helps in buying and sending airtime credits, bill payments, and retail payments, enabling users to access financial services.</t>
  </si>
  <si>
    <t>Acumen Fund, Adlevo Capital, Alitheia Capital, Capricorn Investment Group, Dittes Ventures, EFInA, Flourish Ventures, Gaingels, Girl Effect Accelerator, Global Innovation Fund, Goodwell Investments, Jeremy Stoppelman, Jim O'Neill, KD Capital, Ligo Partners, Omidyar Network, Ossian Capital, Quain Investments, Red Sails Investments, Rockpool Capital, Stonewater Ventures, Tommy Chia, Unreasonable Capital</t>
  </si>
  <si>
    <t>www.mypaga.com</t>
  </si>
  <si>
    <t>463266-01</t>
  </si>
  <si>
    <t>Pagaloop</t>
  </si>
  <si>
    <t>Developer of a credit financing platform designed for entrepreneurs to finance their businesses. The company's platform enables users to pay bills using credit cards, supports installment payment options, provides transaction tracking and payment scheduling features, and integrates with merchants and service providers, enabling consumers and businesses to manage cash flow and handle recurring financial obligations through digital payment services.</t>
  </si>
  <si>
    <t>G2 Momentum Capital, Nazca, Nucleus Emerging Markets Ventures, SoftEQ Venture Studio, Vast Ventures, Y Combinator</t>
  </si>
  <si>
    <t>www.pagaloop.com</t>
  </si>
  <si>
    <t>925297-48</t>
  </si>
  <si>
    <t>Paggo</t>
  </si>
  <si>
    <t>Artificial Intelligence &amp; Machine Learning, Construction Technology, FinTech, SaaS</t>
  </si>
  <si>
    <t>Developer of a financial management platform designed for unified control of payments, receivables, treasury functions, and automated financial operations. The company's platform offers integration of payment processing, receivables management, and cash flow control into one system fully connected to enterprise resource planning systems, enabling organizations in the construction-focused financial ecosystem to streamline multi-entity cash and treasury management, strengthen control over payment and receivable cycles.</t>
  </si>
  <si>
    <t>Gilgamesh Ventures, Google Accelerator, Picus Capital</t>
  </si>
  <si>
    <t>www.paggo.com.br</t>
  </si>
  <si>
    <t>467836-66</t>
  </si>
  <si>
    <t>Pagos</t>
  </si>
  <si>
    <t>Developer of a SaaS financial platform designed to help companies optimize payment processing. The company's platform connects to multiple payment processors, networks, and related data sources, ingests transaction-level and operational data through APIs and batch files, applies standardized data models, enabling merchant companies to optimize and manage the payments to accelerate business growth as well as create long-term customer relationships.</t>
  </si>
  <si>
    <t>Amitabh Jhawar, Arbor Ventures, Billy Chen, Infinity Ventures (San Francisco), Point72 Ventures, Rich Labarca, Tarsadia Investments, Underscore VC, William Ready</t>
  </si>
  <si>
    <t>www.pagos.ai</t>
  </si>
  <si>
    <t>1239653-71</t>
  </si>
  <si>
    <t>Paidax</t>
  </si>
  <si>
    <t>Developer of a digital investment services platform intended to support online investing and portfolio management. The company's platform offers licensed brokerage access to global financial markets with tools for trading stocks, ETFs and cryptocurrencies, extended trading sessions, competitive commission tiers, a streamlined onboarding process, mobile and web-based interfaces, social features to follow and learn from other investors, educational content to build financial literacy, real-time portfolio tracking and community insights, enabling individual and novice investors in emerging markets to access diversified assets and make more informed investment decisions.</t>
  </si>
  <si>
    <t>AloqaVentures, GWM Capital syndicate, White Hill Capital</t>
  </si>
  <si>
    <t>www.paidax.kz</t>
  </si>
  <si>
    <t>458787-70</t>
  </si>
  <si>
    <t>Paidiem</t>
  </si>
  <si>
    <t>Developer of a workforce payments and engagement platform designed to streamline payroll processes and provide flexible access to earned wages. The company offers automated timesheets, payroll processing, invoicing, real-time workforce engagement tools, and early wage access features, enabling employers and staffing firms to manage workforce operations efficiently and allow workers to access earnings with greater flexibility.</t>
  </si>
  <si>
    <t>Berkeley SkyDeck, Berkeley SkyDeck Fund, Canada's Tech Network, Frontures, GreenSky Ventures, L-SPARK, Millennia Capital, Nevcaut Ventures, OneEleven(Ontario)</t>
  </si>
  <si>
    <t>www.paidiem.com</t>
  </si>
  <si>
    <t>497546-92</t>
  </si>
  <si>
    <t>Paisa</t>
  </si>
  <si>
    <t>Developer of a credit platform designed to increase financial health through remittances. The company's platform leverages the remittance cash economy to power stronger digital financial services infrastructure, it offers business-to-business (B2B) lines of credit to remittance agencies to cover liquidity gaps and business-to-consumer microloans for remittance recipients, enabling customers to get loans easily.</t>
  </si>
  <si>
    <t>Claire Diaz-Ortiz, Courtney McColgan, Forum Ventures, Gaingels, Iluminar Ventures, Kleiner Perkins, Latitud, Loreanne Garcia, Magma Partners, Precursor Ventures, Right Side Capital Management</t>
  </si>
  <si>
    <t>www.paisa.mx</t>
  </si>
  <si>
    <t>519976-90</t>
  </si>
  <si>
    <t>Paismo</t>
  </si>
  <si>
    <t>Artificial Intelligence &amp; Machine Learning, FinTech, HR Tech, Mobile, SaaS</t>
  </si>
  <si>
    <t>Developer of a human resource and payroll management platform intended to pay, manage and grow talent at the local level. The company's platform tracks the workforce's performance and payment schedules and onboarding details of human capital management quickly, securely and transparently, enabling businesses to manage work schedules, time off, overtime and timesheets and review them for payroll.</t>
  </si>
  <si>
    <t>Antler, Cacao Capital, Indus Valley Capital, Jedar Capital, START EQUITY VENTURES</t>
  </si>
  <si>
    <t>www.paismo.com</t>
  </si>
  <si>
    <t>463239-73</t>
  </si>
  <si>
    <t>Paketá Serviços Financeiros</t>
  </si>
  <si>
    <t>Operator of an online payroll loan platform intended to offer credit payroll for employees of companies. The company's platform facilitates the work by providing a simple and functional tool that accelerates employees' dreams through payroll loans and financial education content through a digital environment, enabling clients to manage their loan benefits easily through a single portal.</t>
  </si>
  <si>
    <t>4Z, IOB Energy &amp; Automation, Itaú Unibanco, Kinea Investimentos, MG Tech., Milenio Capital, Shift Capital (São Paulo)</t>
  </si>
  <si>
    <t>www.paketa.com.br</t>
  </si>
  <si>
    <t>812037-34</t>
  </si>
  <si>
    <t>Palm (Financial Software )</t>
  </si>
  <si>
    <t>Developer of an AI-powered financial platform designed to relieve financial stress. The company's platform allows to buy, invest, and protect their money, offering features such as savings options without interest or fees, investment opportunities with low fees, exclusive discounts at partnered merchants, and expert planning services for long-term financial goals, enabling individuals to manage their finances effectively.</t>
  </si>
  <si>
    <t>4DX Ventures, AUC Venture Lab, Plus Venture Capital</t>
  </si>
  <si>
    <t>www.withpalm.ai</t>
  </si>
  <si>
    <t>538939-09</t>
  </si>
  <si>
    <t>Palm (San Francisco)</t>
  </si>
  <si>
    <t>Operator of a small business identity network intended to help businesses understand their financial performance. The company's tools with an artificial intelligence framework transform merchant queries into insightful actions, offering access to financial products and being aware of upcoming due dates by collecting information from banking, accounting, and commerce ecosystems and providing an artificial intelligence chat-based copilot for users to receive active recommendations and reports, enabling small and medium-sized businesses to know their finances and save money on purchases.</t>
  </si>
  <si>
    <t>AMEX Ventures, Better Tomorrow Ventures, Divergent Capital, Grand Ventures, Ludlow Ventures, Meridian Ventures, MGV, Path Ventures, SaaS Ventures, Springbank Collective, TenOneTen Ventures</t>
  </si>
  <si>
    <t>www.getpalm.com</t>
  </si>
  <si>
    <t>520799-23</t>
  </si>
  <si>
    <t>Palomma</t>
  </si>
  <si>
    <t>Developer of account-to-account payment infrastructure delivered through application programming interfaces intended to help businesses collect and disperse payments securely and efficiently. The company's platform provides modern APIs for online payment collection and payouts, direct debit with bank account tokenization, and payment links and dashboards, enabling merchants and apps to streamline pay-by-bank transactions, reduce processing costs, and improve conversion and reconciliation.</t>
  </si>
  <si>
    <t>17Sigma, 99 Startups, Aito Capital, Latitud, Latitude Ventures (New York), Mandeep Singh, NFX, Nido Management, Norte Ventures, SBXi, Soma Capital, Y Combinator</t>
  </si>
  <si>
    <t>www.palomma.com</t>
  </si>
  <si>
    <t>1253329-12</t>
  </si>
  <si>
    <t>Pan Network</t>
  </si>
  <si>
    <t>Developer of a crypto-based payment infrastructure platform designed to support transactions between autonomous software agents in on-chain environments. The company's platform facilitates agent-to-agent payments over blockchain networks, manages transaction routing and settlement using digital assets, integrates with decentralized applications and smart contracts, and provides tools for embedding programmable payment logic into agent workflows, enabling developers and organizations building AI agents and automated systems to execute, coordinate, and account for machine-driven economic activity on-chain in a consistent and interoperable manner</t>
  </si>
  <si>
    <t>HadesLabs, HGE, MEXC, Quest Ventures, Whitewater Labs</t>
  </si>
  <si>
    <t>pan.network</t>
  </si>
  <si>
    <t>501578-47</t>
  </si>
  <si>
    <t>Pana Finance</t>
  </si>
  <si>
    <t>Developer of a payment application designed to provide global USD accounts and replace traditional remittance services. The company's application allows users to send and receive money, open deposit accounts, obtain virtual debit cards and access other financial services, enabling individuals to manage finances and transfer funds with ease, including international remittances.</t>
  </si>
  <si>
    <t>Aspira Capital Management, Dupe Ventures, Hilltop Venture Partners, Leonis Investissement, Pareto Holdings, Pixel Perfect Ventures, Riverwalk Capital Partners, Tampa Bay Ventures, Y Combinator</t>
  </si>
  <si>
    <t>www.joinpana.com</t>
  </si>
  <si>
    <t>453555-19</t>
  </si>
  <si>
    <t>Panacea Financial</t>
  </si>
  <si>
    <t>Developer of a digital banking platform designed to meet the specific financial needs of doctors, dentists and veterinarians throughout all stages of their careers. The company offers physician-founded services, including practice and personal loans, high-yield savings, student loan refinancing and insurance products to reduce their financial barriers and burdens, enabling medical professionals to access tailored financial support with convenience and trust.</t>
  </si>
  <si>
    <t>Valar Ventures</t>
  </si>
  <si>
    <t>www.panaceafinancial.com</t>
  </si>
  <si>
    <t>434245-33</t>
  </si>
  <si>
    <t>Panda Remit</t>
  </si>
  <si>
    <t>Provider and operator of cross-border payment transaction services. The company aims to connect people and businesses through smart cross-border payment technology, simplifying and enhancing transaction efficiency. The company's services are fully mobilised and integrated within their mobile app and with WeChat. The company's services are also fully online and internet based, enabling them to greatly reduce transaction fee of remittance for their customers.</t>
  </si>
  <si>
    <t>BitRock Capital (SG), Gaocheng Capital, HSG (Hong Kong), Luminous Ventures, Next Capital (China), Soul Capital (China), Start Path</t>
  </si>
  <si>
    <t>www.pandaremit.com</t>
  </si>
  <si>
    <t>431354-98</t>
  </si>
  <si>
    <t>Panda Technology</t>
  </si>
  <si>
    <t>Developer of financial SaaS system platform designed to provide services such as intelligent risk control, intelligent decision-making and SaaS systems for industries such as finance, e-commerce and new retail. The company's platform provides intelligent credit system "Credit Panda", AI risk decision engine and AI marketing engine, enabling enterprises to obtain convenient financial services.</t>
  </si>
  <si>
    <t>Peeli Ventures, Qihoo 360 Technology, WI Harper Group China</t>
  </si>
  <si>
    <t>www.panda-fintech.com</t>
  </si>
  <si>
    <t>407203-48</t>
  </si>
  <si>
    <t>PandaCredit</t>
  </si>
  <si>
    <t>Developer of a digital financial platform designed to facilitate accessible payments and short-term lending. The company offers card payment processing, bank transfer services, mobile wallet transactions, cash payment channels and digital credit assessment mechanisms, enabling individual borrowers and enterprise partners to conduct financial transactions and obtain credit through integrated digital platforms.</t>
  </si>
  <si>
    <t>500 Global, Alibaba Group, AVV (Ascend Vietnam Ventures), Fosun RZ Capital, QuantGroup</t>
  </si>
  <si>
    <t>www.pandacredit.co</t>
  </si>
  <si>
    <t>221856-76</t>
  </si>
  <si>
    <t>Pangea Accelerator</t>
  </si>
  <si>
    <t>Developer of a financial platform designed to develop emerging markets and mobilize the diaspora to contribute to the development of Africa. The company's platform lets the diaspora invest in start-ups by finding promising startups, funding them, partnering with third parties, and coordinating campaigns, enabling diaspora investors and companies to connect through the crowdfunding platform and follow up with startups and investors.</t>
  </si>
  <si>
    <t>Change Com, TheFactory</t>
  </si>
  <si>
    <t>www.pangeaa.com</t>
  </si>
  <si>
    <t>513438-67</t>
  </si>
  <si>
    <t>Pangea Technologies</t>
  </si>
  <si>
    <t>Developer of a financial risk management platform designed for AI-powered foreign exchange hedging and global payment products. The company's platform offers a marketplace for foreign exchange rates, multi-currency digital wallets, automated hedging tools, real-time payment processing and market analysis features, enabling global businesses to reduce currency risk and simplify cross-border financial operations.</t>
  </si>
  <si>
    <t>Crescent Ridge, HIS Kingdom Resources Fund, Impact Foundation, Praxis (New York), The Beyond Capital</t>
  </si>
  <si>
    <t>www.pangea.io</t>
  </si>
  <si>
    <t>1239515-74</t>
  </si>
  <si>
    <t>ParaFlow</t>
  </si>
  <si>
    <t>Developer of an AI-powered platform designed to streamline investment processes for venture capital firms. The company's system offers features like automated pitch deck analysis, investment memo generation, cap table insights, deal pipeline management, and smart deal scoring, enabling VCs to efficiently source, evaluate, and manage investments while reducing manual effort and enhancing decision quality.</t>
  </si>
  <si>
    <t>Mount Auburn Venture Partners</t>
  </si>
  <si>
    <t>www.paraflowai.com</t>
  </si>
  <si>
    <t>1257727-51</t>
  </si>
  <si>
    <t>Paraglide AI</t>
  </si>
  <si>
    <t>Developer of an agentic AI-based accounts receivable platform intended to automate two-way billing communication across the AR lifecycle. The company's platform responds to customers' billing questions, chases overdue invoices, and takes action across the financial stack to reduce Days Sales Outstanding (DSO) and improve cash flow, enabling users to leverage AI to manage full two-way conversations with customers, replying and following up on existing threads in a personal and contextual way at scale.</t>
  </si>
  <si>
    <t>Bessemer Venture Partners, Chengdu Born Equity Investment Management, DN Capital, The Nordic Web Ventures</t>
  </si>
  <si>
    <t>www.paraglide.ai</t>
  </si>
  <si>
    <t>590601-70</t>
  </si>
  <si>
    <t>Parakeet</t>
  </si>
  <si>
    <t>Developer of a risk management platform designed for industrial sector businesses. The company's platform streamlines complex regulatory workflows and automates processes like regulatory reporting, risk assessments, ESG initiatives, and internal audits, enabling clients to uncover financial and third-party risks, manage supply chains, monitor energy usage, and stay ahead of regulatory requirements.</t>
  </si>
  <si>
    <t>Beta Boom, Bulletpitch, Mythos Ventures, Teamworthy Group</t>
  </si>
  <si>
    <t>www.parakeetrisk.com</t>
  </si>
  <si>
    <t>340820-92</t>
  </si>
  <si>
    <t>ParallelChain</t>
  </si>
  <si>
    <t>Developer of blockchain software designed to provide decentralized identity and high-performance infrastructure. The company offers a unique blockchain platform with real-time updates, several industry-specific applications, and the ability to port users' existing blockchain apps to run more effectively on its platform, thereby enabling users to address scalability, security, testability, and usability concerns with blockchain technology.</t>
  </si>
  <si>
    <t>AlfaCatalyst Ventures, Avalon Wealth Club, Brotherhood Capital, Coinvestor Ventures, Daovergence (DVG), GTA Ventures, Maven Crypto Ventures, Maxx Capital, MH Ventures, Oracles Investment Group, UNITY Capital (Blockchain), Vespertine Capital, WebWise Capital, Zephyrus Capital</t>
  </si>
  <si>
    <t>www.parallelchain.io</t>
  </si>
  <si>
    <t>522925-66</t>
  </si>
  <si>
    <t>Parcelamos Tudo</t>
  </si>
  <si>
    <t>Developer of a fintech platform designed to simplify payment methods and account instalments. The company's platform offers a complete service for instalment via credit card, correspondent banking, and payment options supporting secure transaction processing, flexible repayment periods of up to twelve instalments, , enabling consumers and public-sector payment ecosystems in Brazil to improve payment accessibility.</t>
  </si>
  <si>
    <t>Bossa Invest, Nera Investimentos fund</t>
  </si>
  <si>
    <t>www.parcelamostudo.com.br</t>
  </si>
  <si>
    <t>531041-86</t>
  </si>
  <si>
    <t>Parcha</t>
  </si>
  <si>
    <t>Developer of a compliance automation platform designed to streamline verification, due diligence, and risk assessment for businesses and individuals. The company offers AI-powered document analysis, automated KYB/KYC checks, and customizable compliance workflows, enabling financial institutions, fintechs, and regulated entities to reduce manual review time, improve accuracy, and accelerate onboarding.</t>
  </si>
  <si>
    <t>Aldo Briano, Ameet Patel, Amit Agarwal, Brett Gibson, Cailen Dsa, CapitalX, Comma Capital, Cosmin Nicolescu, Fin Capital, FIS Fintech Accelerator, Garry Tan, Guy Podjamy, Henrique Dubugras, Initialized Capital, Jude Gomila, Kanyi Maqubela, Kindred Ventures, Liquid 2 Ventures, Marco Mahrus, Michael Tannenbaum, Plug and Play Tech Center, Popular, Propel Venture Partners, Steve Jang, Zachary Abrams</t>
  </si>
  <si>
    <t>www.parcha.ai</t>
  </si>
  <si>
    <t>399558-25</t>
  </si>
  <si>
    <t>Parco</t>
  </si>
  <si>
    <t>Developer of a mobile payment platform designed to pay through cell phones for parking in various shopping centers, restaurants and hospitals. The company's platform helps users to make mobility payments at parking lots and valet parking, get roadside assistance insurance, pay for utilities and learn about promotions in the shopping centers where it operates, enabling customers to save time and avoid parking queues.</t>
  </si>
  <si>
    <t>Magma Partners, Poligono Capital, Redwood Ventures</t>
  </si>
  <si>
    <t>www.parcoapp.com</t>
  </si>
  <si>
    <t>541351-63</t>
  </si>
  <si>
    <t>Pascal (Business/Productivity Software)</t>
  </si>
  <si>
    <t>Developer of an enterprise platform designed to empower financial services firms to utilize the transformative power of data. The company's platform offers custom supply chain technology and combines supply chain domain expertise, technology partners, and data science expertise with an AI-powered supply chain control tower, addresses the challenges faced by businesses in the region while ensuring adherence to regulatory requirements, enabling businesses with predictive analytics for accurate demand forecasting and inventory optimization and AI-driven fraud detection systems for enhanced security.</t>
  </si>
  <si>
    <t>Ethos Fund, UA Multimedia</t>
  </si>
  <si>
    <t>www.pascalsoftware.com</t>
  </si>
  <si>
    <t>458124-40</t>
  </si>
  <si>
    <t>Pave (Business/Productivity Software)</t>
  </si>
  <si>
    <t>Developer of an AI-powered cashflow analytics and credit risk scoring platform designed to help lenders make informed credit decisions and identify creditworthy borrowers. The company provides real-time cash flow and affordability signals, analyzes income trends, debt payment behavior, and financial distress indicators, and predicts delinquencies, ability to pay, and NSFs, enabling risk teams to retrieve detailed insights into end customers' cash flow and finances.</t>
  </si>
  <si>
    <t>10X Capital, 8VC, Alumni Ventures, ARK Investment Management, ARK Ventures (US), Basecamp Fund, Bessemer Venture Partners, Better Tomorrow Ventures, Data Tech Fund, EchoVC Partners, Fairbridge Park Management, FinTech Sandbox, Gaingels, Hoxton Ventures, Long Journey Ventures, Lorimer Ventures, Meridian Ventures, MVP Ventures, Neman Ventures, Plug and Play Tech Center, Redbud VC, Socially Financed, Streamlined Ventures Management, Taimur Sajid, Taurus Ventures, ValueStream Ventures, Village Global</t>
  </si>
  <si>
    <t>www.pavefi.com</t>
  </si>
  <si>
    <t>542418-58</t>
  </si>
  <si>
    <t>Pave Bank</t>
  </si>
  <si>
    <t>Developer of a financial banking platform designed for businesses with global and multi-asset banking. The company's platform connects to the global financial landscape and provides a variety of business banking products, including multi-currency operating accounts, global payments, and treasury management, enabling businesses to have integrated banking.</t>
  </si>
  <si>
    <t>468 Capital, Accel, Artichoke Capital, BR Capital, Daedalus Angels, Financial Technology Partners, Further Ventures, GC&amp;H Investments, Helios Investment Partners, Mirana Ventures, Quona Capital, Tether Investments, w3.fund, Wintermute, Yolo Investments</t>
  </si>
  <si>
    <t>www.pavebank.com</t>
  </si>
  <si>
    <t>453468-61</t>
  </si>
  <si>
    <t>Pave Finance</t>
  </si>
  <si>
    <t>Developer of an investment platform designed to generate and manage custom portfolios to enhance existing investment strategies or build new ones. The company's tool offers direct indexing and tax loss harvesting, value-based personalization screens, concentrated position management, long tail account automation, and custom direct indexing, enabling RIAs to automate portfolio management and trading across their entire book of business.</t>
  </si>
  <si>
    <t>Realm Capital Ventures</t>
  </si>
  <si>
    <t>www.pavefinance.com</t>
  </si>
  <si>
    <t>338637-79</t>
  </si>
  <si>
    <t>Pay Egis</t>
  </si>
  <si>
    <t>Artificial Intelligence &amp; Machine Learning, Big Data, Cryptocurrency/Blockchain, Cybersecurity, FinTech, TMT</t>
  </si>
  <si>
    <t>Provider of a smart network solution and data operation service. The company uses big data, artificial intelligence and blockchain technologies to provide financial information service and security solutions, and also provides providing cloud and network security solutions for public security, communications, electricity, education and medical industries, enabling users to efficiently improve data security.</t>
  </si>
  <si>
    <t>ChinaEquity Group, Chuchuang Investment, Fude Ventures, Green Pine Capital Partners, Jolmo Investment, Keda Group Company, Pre-IPO Capital Partners, Qianrong Capital, Suzhou Oriza Holdings Corporation</t>
  </si>
  <si>
    <t>www.tongfudun.com</t>
  </si>
  <si>
    <t>551451-43</t>
  </si>
  <si>
    <t>Pay To Me</t>
  </si>
  <si>
    <t>Developer of financial technology designed to simplify global payments and cross-border transactions for businesses in over 100 countries. The company's platform offers digital invoicing, patented text-to-pay, merchant services, and artificial intelligence- and machine learning-based financial tools, enabling small and midsize businesses to streamline financial operations, accelerate settlement times, maintain compliance, and improve efficiency.</t>
  </si>
  <si>
    <t>ACH Australia Investments, Amazon Web Services, Hatcher+, NVIDIA GPU Ventures, Startupbootcamp Holding</t>
  </si>
  <si>
    <t>www.paytome.co</t>
  </si>
  <si>
    <t>117769-33</t>
  </si>
  <si>
    <t>Pay Your Tuition Foundation</t>
  </si>
  <si>
    <t>Operator of a financial service platform intended to help foster economic and educational equality opportunities. The company's platform connects families with banks to offer lower rates to finance higher education by using a shared economy method, as well as offers multiple student-centric financial products to match financial needs with the right money, enabling college students to fund college tuition and education costs.</t>
  </si>
  <si>
    <t>BECU Fintech Incubator, Capital One Financial, FinTech Innovation Lab, Halcyon Incubator, Impact Assets, Lighthouse Labs (Richmond), Lightship Bootcamp, MassChallenge, MetLife Foundation, New Media Ventures, Points of Light Institute, Rashad Moore, Rockville Economic Development, TEDCO, The Harbor Bank of Maryland Community Development, The Venture Center, United States Small Business Administration, Village Capital</t>
  </si>
  <si>
    <t>www.gopyt.org</t>
  </si>
  <si>
    <t>470719-36</t>
  </si>
  <si>
    <t>Pay.com</t>
  </si>
  <si>
    <t>Developer of a failsafe payment gateway designed to streamline the complex backend processes involved in online payments. The company's gateway reduces the occurrence of failed online payments by fetching updated information and offers a smart routing system to automatically re-route transactions through a different payment acquirer, enabling clients to boost revenue while reducing customer frustration about failed online transactions.</t>
  </si>
  <si>
    <t>www.pay.com</t>
  </si>
  <si>
    <t>530471-98</t>
  </si>
  <si>
    <t>Pay2B</t>
  </si>
  <si>
    <t>Operator of a business-to-business payment platform intended to provide a gateway payment method to businesses. The company's platform offers financial services, including payment recurrence services, multi-currency payment, multiple payment methods, and payment management integrated with a digital wallet, enabling businesses to simplify online and offline payment processing.</t>
  </si>
  <si>
    <t>www.pay2b.com.br</t>
  </si>
  <si>
    <t>437527-45</t>
  </si>
  <si>
    <t>Payactive</t>
  </si>
  <si>
    <t>Developer of a corporate payment platform designed to simplify important payment transactions for companies. The company's platform offers processing invoices, direct debit payments, digital onboarding, smart payments and late payment management, enabling clients to revolutionize their payment methods and increase revenue for their businesses.</t>
  </si>
  <si>
    <t>Founders Bay, Impact Factory (A/I), InsurLab Germany, Purpose (Germany), STARTPLATZ, TechQuartier</t>
  </si>
  <si>
    <t>www.payactive.eu</t>
  </si>
  <si>
    <t>588709-72</t>
  </si>
  <si>
    <t>Payana</t>
  </si>
  <si>
    <t>Developer of an AI agent platform designed to automate and streamline financial operations for businesses. The company's platform offers integrations with banks, ERPs, and tax systems, automated invoice processing, payment management, reconciliation tools, and intelligent agents, enabling finance teams to reduce manual workload, improve accuracy, and enhance operational efficiency.</t>
  </si>
  <si>
    <t>Galicia Ventures, Kiara Capital, Latitud</t>
  </si>
  <si>
    <t>www.payana.la</t>
  </si>
  <si>
    <t>493317-46</t>
  </si>
  <si>
    <t>PayBy Technology Projects</t>
  </si>
  <si>
    <t>Developer of a mobile payment application designed to build an all-in-one mobile payment ecosystem connecting people's daily lives in the UAE and GCC. The company's payment application offers peer-to-peer payment options, contactless and cashless mobile payments, Quick Response (QR) code scanning, bill splitting and payment, and other features, enabling underbanked and unbanked users to leverage online and mobile payments.</t>
  </si>
  <si>
    <t>www.botim.money</t>
  </si>
  <si>
    <t>94544-38</t>
  </si>
  <si>
    <t>PaybyMe</t>
  </si>
  <si>
    <t>Developer of an integrated financial management platform intended to enhance payment services and gain valuable insights into customer behavior. The company's platform offers a suite of tools for accepting payments for social networks, online gaming, TV Channels, and digital content companies, enabling businesses to accept traditional and modern payment methods, manage subscriptions, and access real-time data, ultimately simplifying payment processing and boosting customer engagement.</t>
  </si>
  <si>
    <t>Gateinside Ventures</t>
  </si>
  <si>
    <t>www.payby.me</t>
  </si>
  <si>
    <t>344574-01</t>
  </si>
  <si>
    <t>PayCargo</t>
  </si>
  <si>
    <t>Developer of a commercial payments platform designed to make freight payments fast, easy, and secure. The company's platform offers electronic tools for online payables, automated payments, online receivables, managing invoices, and other related services, enabling businesses to streamline the cargo release process by offering credit card and finance options for quick cargo releases.</t>
  </si>
  <si>
    <t>AE Ventures, Blackstone, Insight Partners (New York), S12F, Temperance Partners</t>
  </si>
  <si>
    <t>www.paycargo.com</t>
  </si>
  <si>
    <t>492645-25</t>
  </si>
  <si>
    <t>Payd</t>
  </si>
  <si>
    <t>Operator of a financial well-being platform intended for businesses to help improve their employee's financial well-being. The company's platform features the ability to provide employees with a portion of their salary without the expense or hassle of payday lenders, enabling employers to engage and retain their staff.</t>
  </si>
  <si>
    <t>1982 Ventures, A2D Ventures, Accelerating Asia, AngelSpark, Antler, Delight Capital, Digital Currency Group, IFS Capital, Loyal VC, Orbit Ventures (Venture Capital), ScaleUp Endeavor, Sunway iLabs, The Hive, The Hive Southeast Asia</t>
  </si>
  <si>
    <t>www.justpayd.com</t>
  </si>
  <si>
    <t>482459-32</t>
  </si>
  <si>
    <t>Paydoff</t>
  </si>
  <si>
    <t>Developer of an online debt negotiation platform designed to empower consumers with a comfortable, self-serving digital negotiation experience. The company's platform automates the entire debt resolution process from payment plan negotiation to status tracking and reporting, enabling users to have assistance with managing their credit repayments and making the dialogue between the creditor and consumer convenient.</t>
  </si>
  <si>
    <t>Global FinTech Venture Partners</t>
  </si>
  <si>
    <t>www.paydoff.com</t>
  </si>
  <si>
    <t>540818-65</t>
  </si>
  <si>
    <t>PayFina</t>
  </si>
  <si>
    <t>Operator of a financing platform intended to offer credit options and consumer point-of-sale services. The company's platform specializes in providing services like dental financing, elective medical financing, pet financing, veterinary financing, automotive repair financing, furniture financing, mattress financing, tire financing, cosmetic surgery financing, and orthodontics financing, enabling consumers with accessible and affordable point-of-sale financing.</t>
  </si>
  <si>
    <t>Tampa Bay Wave</t>
  </si>
  <si>
    <t>www.payfina.com</t>
  </si>
  <si>
    <t>708011-83</t>
  </si>
  <si>
    <t>Payfinia</t>
  </si>
  <si>
    <t>FinTech, Space Technology</t>
  </si>
  <si>
    <t>Developer of a secure and scalable instant payment gateway designed to enable money transfers and seamless integration with the FedNow Service. The company offers advanced fraud prevention tools, adaptable core connectivity, and an open application programming interface gateway, enabling financial institutions to provide flexible, competitive, and efficient payment services for individuals and businesses.</t>
  </si>
  <si>
    <t>Star One Credit Union, Tampa Bay Wave</t>
  </si>
  <si>
    <t>www.payfinia.com</t>
  </si>
  <si>
    <t>231414-31</t>
  </si>
  <si>
    <t>Payform</t>
  </si>
  <si>
    <t>Developer of an online payment tool designed to create forms that accept recurring and single payments. The company's platform includes customization, multi-currency support and secure integration with payment gateways that offer a free subscription that involves a per-transaction commission and a monthly paid subscription with no commission, enabling entrepreneurs and businesses to sell services and digital content online easily.</t>
  </si>
  <si>
    <t>www.payform.me</t>
  </si>
  <si>
    <t>301241-17</t>
  </si>
  <si>
    <t>PayGarden</t>
  </si>
  <si>
    <t>Developer of a payment platform designed to provide easy alternative payments for online businesses. The company's platform lets users pay using major brand gift cards online to purchase digital goods, subscriptions, or load funds into an account, enabling businesses to offer their customers the ability to exchange unspent gift cards for any online services.</t>
  </si>
  <si>
    <t>www.paygarden.com</t>
  </si>
  <si>
    <t>1153099-36</t>
  </si>
  <si>
    <t>Paygentic</t>
  </si>
  <si>
    <t>Developer of an AI-native billing and payments platform designed to provide the necessary monetization flexibility for agent-driven products in the AI economy. The company offers an all-in-one stack for billing, payments and pricing, purpose-built for AI-native, agent-driven software to handle complex and granular microtransactions, enabling customers to track any metric, charge using flexible models and manage payments, billing, tax and compliance in one low-cost solution.</t>
  </si>
  <si>
    <t>Alan Morgan, Anamcara Capital, Angel Invest, Aperture, MiddleGame Ventures, TechOperators</t>
  </si>
  <si>
    <t>www.paygentic.io</t>
  </si>
  <si>
    <t>601948-18</t>
  </si>
  <si>
    <t>PayGram</t>
  </si>
  <si>
    <t>Developer of a money transfer platform designed to help its members create wealth. The company provides the tools that allow the members to receive cash reward from debit card membership and invest in cashflow generating assets, enabling members to get share in profit of the money transfer services fees, essentially making members co-owners of the company.</t>
  </si>
  <si>
    <t>www.paygramcorp.com</t>
  </si>
  <si>
    <t>489516-94</t>
  </si>
  <si>
    <t>Payhere</t>
  </si>
  <si>
    <t>Developer of an online payment platform designed for small business owners to innovate the offline payment market. The company's platform provides a gateway for digital transactions, connects consumers and sellers for their financial growth, enabling franchisees and businesses to use it for all payment methods customers want.</t>
  </si>
  <si>
    <t>1Q Agile Lab, Goodwater Capital, Hashed, IBK Changgong, Kimgisa Lab, Mirae Asset Capital, POSTECH Holdings, SBVA, Shinhan Futures Lab, Smilegate Investment, Tech Incubator Program for Startup, Toss</t>
  </si>
  <si>
    <t>payhere.in</t>
  </si>
  <si>
    <t>593124-13</t>
  </si>
  <si>
    <t>PayLater (Financial Software)</t>
  </si>
  <si>
    <t>Developer of a payment application designed for online shoppers to pay for their purchases in installments. The company's application integrates with existing online stores, offering a frictionless checkout experience for both merchants and shoppers, thereby enabling the underbanked population to access credit.</t>
  </si>
  <si>
    <t>KBN Group Holding, LuLu Financial Holdings, Qatar Development Bank</t>
  </si>
  <si>
    <t>www.paylaterapp.com</t>
  </si>
  <si>
    <t>539519-86</t>
  </si>
  <si>
    <t>Paylik</t>
  </si>
  <si>
    <t>Developer of a salary fintech application designed to streamline salary advance management. The company's platform aims to support human resources and finance departments by facilitating advance payments to employees and bolstering companies' relationships with their employees, enabling employees to access portions of their salaries throughout the month using a prepaid card.</t>
  </si>
  <si>
    <t>212Founders, UM6P Ventures</t>
  </si>
  <si>
    <t>paylik.ma</t>
  </si>
  <si>
    <t>470610-73</t>
  </si>
  <si>
    <t>Payload</t>
  </si>
  <si>
    <t>Developer of a payment infrastructure platform designed to automate inbound and outbound business payments. The company offers payment processing, invoicing, payment links, subscription billing, payout automation, reporting, and API-based payment integration, enabling businesses to accept, send, and manage payments across multiple payment methods.</t>
  </si>
  <si>
    <t>Cintrifuse Capital</t>
  </si>
  <si>
    <t>www.payload.com</t>
  </si>
  <si>
    <t>42198-85</t>
  </si>
  <si>
    <t>PayMate India</t>
  </si>
  <si>
    <t>Developer of a wireless transactions platform intended to transform the digital payment system in India. The company's platform offers SMS-based payment service to use their mobile phones as their credit or debit cards to make payments online, over the phone, across the counter, or from anywhere, as well as create a viable ecosystem for wireless transactions connecting banks, switches, merchants and customers, enabling users to automate and manage vendor payments (AP), customer payments (AR), invoicing and cash flow.</t>
  </si>
  <si>
    <t>Astor Management, Brand Capital, Crimson Ventures, CXI Valley I, Felicitas Equity Fund, Lightbox Ventures, Mayfair 101, Mayfield Fund, Recruit Strategic Partners, Visa Ventures</t>
  </si>
  <si>
    <t>www.paymate.in</t>
  </si>
  <si>
    <t>228134-89</t>
  </si>
  <si>
    <t>PayMe (Consumer Finance)</t>
  </si>
  <si>
    <t>Developer of an online lending platform designed to meet the short-term financial needs of salaried employees. The company's platform combines an underlying credit evaluation model, offers a loan advisory service, and lending support to salaried employees on a short-term and long-term basis, where one is offered instant funding based on their income, monthly expenses, and ability to repay in time, enabling corporate workers to request loans for emergency fund requirements without any documentation hassle.</t>
  </si>
  <si>
    <t>Alok Garodia, Pramod Singhal, Rajiv Punater, Rishi Bhasin, Shashank Sharma</t>
  </si>
  <si>
    <t>www.paymeindia.in</t>
  </si>
  <si>
    <t>436341-52</t>
  </si>
  <si>
    <t>Paymenow Group</t>
  </si>
  <si>
    <t>Operator of a financial wellness and inclusion platform intended to promote responsible financial behavior and encourage saving. The company's platform eases the burden inflicted by payday and microlenders through affordable, real-time, access to cash and then educates and assists employees in reaching financial goals, enabling employees to get early access to already earned wages.</t>
  </si>
  <si>
    <t>Viamedia (Business/Productivity Software)</t>
  </si>
  <si>
    <t>www.paymenow.app</t>
  </si>
  <si>
    <t>462800-17</t>
  </si>
  <si>
    <t>Payment International Enterprise</t>
  </si>
  <si>
    <t>Developer of a financial technology platform designed to promote a cashless and financially inclusive society. The company's platform offers licensed payment products, including digital wallets, prepaid cards, mobile point-of-sale devices, and self-service kiosks, enabling banked, unbanked, and underbanked individuals and businesses in Bahrain to make secure transactions, manage expenses, and reduce cash dependency.</t>
  </si>
  <si>
    <t>AB Ventures</t>
  </si>
  <si>
    <t>www.pie-int.com</t>
  </si>
  <si>
    <t>453575-26</t>
  </si>
  <si>
    <t>Payment Labs</t>
  </si>
  <si>
    <t>Developer of an online payment technology platform designed to simplify the payment process for small businesses and organizations. The company's automated platform facilitates global payments while staying in compliance with changing tax regulations and privacy laws, enabling clients to reduce complex legal and accounting paperwork and manage their finances easily.</t>
  </si>
  <si>
    <t>Aperture Venture Capital, Capital Eleven, ESPMX</t>
  </si>
  <si>
    <t>www.paymentlabs.io</t>
  </si>
  <si>
    <t>489833-65</t>
  </si>
  <si>
    <t>PayMint</t>
  </si>
  <si>
    <t>Developer of a digital payment platform designed to streamline financial operations for businesses. The company's platform provides services such as cashless salary payments, employee onboarding, business loans, and bill payments, featuring various payment methods, detailed financial reporting, salary advances, and secure data transfer, enabling small and medium-sized enterprises, freelancers, and companies reliant on casual labor to manage their financials more efficiently and securely without hidden fees or complex procedures.</t>
  </si>
  <si>
    <t>AUR Capital, Cairo Capital, Village Capital, Visa Accelerator</t>
  </si>
  <si>
    <t>www.paymint-eg.com</t>
  </si>
  <si>
    <t>183601-81</t>
  </si>
  <si>
    <t>Paymob</t>
  </si>
  <si>
    <t>Operator of a fintech platform designed to provide seamless, omnichannel payment infrastructure for merchants across the Middle East and North Africa. The company offers online gateways, POS hardware, and mobile-based soft POS, supporting a wide range of payment methods, including cards, digital wallets, QR codes, and BNPL, enabling businesses to manage and accept payments efficiently.</t>
  </si>
  <si>
    <t>A15, Accelero Capital, AMK Investment Office, British International Investment, Capria Ventures, Clay Point Investors, Development Partners International, EBRD Venture Capital Investment Programme, Eden Rock Capital Management, Endeavor Catalyst, Endeavor Catalyst (Egypt), European Bank for Reconstruction and Development, FMO Entrepreneurial Development Bank, FrontierSpace Ventures, Global Ventures (Private Equity), Helios Capital (New York), Helios Investment Partners, Kora Management, Nclude, PayPal Ventures</t>
  </si>
  <si>
    <t>www.paymob.com</t>
  </si>
  <si>
    <t>590212-54</t>
  </si>
  <si>
    <t>PayMon</t>
  </si>
  <si>
    <t>Operator of a digital payment and cafeteria management platform intended for school environments. The company's platform supports cashless payments by students, enables parents to fund accounts and monitor spending, and offers cafeteria operators tools for menu configuration, inventory and order management, payment processing, reporting, and integration with school systems, enabling educational institutions to digitize cafeteria operations while improving transparency and control over student purchases.</t>
  </si>
  <si>
    <t>BuenTrip Ventures, Columbia Business School, Columbia Startup Lab, Madelaine Verjel, Magma Partners, Marc Sacal, Pygma, The Eugene Lang Entrepreneurship Center, The Explorer Fund</t>
  </si>
  <si>
    <t>www.paymon.io</t>
  </si>
  <si>
    <t>893622-34</t>
  </si>
  <si>
    <t>Paymove</t>
  </si>
  <si>
    <t>Developer of scan-to-pay infrastructure designed for cashless public and document-based transactions. The company's platform lets businesses embed scannable codes on physical signage and printed documents to accept contactless payments without terminals, apps, or registration, enabling municipalities, venues, and service providers to collect payments quickly and reduce reliance on costly hardware.</t>
  </si>
  <si>
    <t>4Growth Venture Capital, Grzegorz Kaczor, Kogito Ventures, Marian Popinigis, Piotr Pajda, S20</t>
  </si>
  <si>
    <t>www.paymove.io</t>
  </si>
  <si>
    <t>107677-54</t>
  </si>
  <si>
    <t>Paynamics</t>
  </si>
  <si>
    <t>Developer of an online payment platform intended to replace a physical financial system. The company's platform offers payment services for various electronic payment products, which include debit or credit cards and other services such as card processing services, check processing, the electronic transfer of funds, and bank transfers, enabling clients to streamline payment processes.</t>
  </si>
  <si>
    <t>BEENEXT Capital Management, Beenos Partners, Gojek Xcelerate</t>
  </si>
  <si>
    <t>www.paynamics.com</t>
  </si>
  <si>
    <t>718186-15</t>
  </si>
  <si>
    <t>Paynance</t>
  </si>
  <si>
    <t>Operator of a payment technology platform intended for businesses to make financial transactions. The company's platform offers card payment processing, web-shop payment integration, contactless payment options, SIM-enabled terminals and next-day settlement features, enabling retailers, online merchants and service providers to accept payments efficiently and improve transaction management.</t>
  </si>
  <si>
    <t>X-Ventures</t>
  </si>
  <si>
    <t>paynance.hu</t>
  </si>
  <si>
    <t>529789-15</t>
  </si>
  <si>
    <t>Paynest</t>
  </si>
  <si>
    <t>Developer of an employee finance platform designed to streamline key financial tasks for businesses. The company's platform offers salary advances, expense management, on-demand bonuses, and financial coaching, enabling employees to improve their financial well-being while reducing operational burdens for employers.</t>
  </si>
  <si>
    <t>BlueCrow Capital, C2 Capital Partners (Portugal), CTT-Correios de Portugal, Iberis Capital, Lince Capital, OW Ventures, Unicorn Factory Lisboa, Visa Innovation Program</t>
  </si>
  <si>
    <t>www.paynest.co</t>
  </si>
  <si>
    <t>433769-14</t>
  </si>
  <si>
    <t>Paynetics</t>
  </si>
  <si>
    <t>Developer of a payment infrastructure platform designed to enable non-financial companies to offer integrated payment services. The company offers payment accounts, card issuing, card acquiring, and open banking, enabling clients to provide financial services such as transfers, card payments, and account management within their own products.</t>
  </si>
  <si>
    <t>BeamupLAB, Bulgarian-American Credit Bank, European Structural And Investment Funds, New Vision 3, Nikolovi Foundation</t>
  </si>
  <si>
    <t>www.paynetics.digital</t>
  </si>
  <si>
    <t>770238-01</t>
  </si>
  <si>
    <t>Paypercut</t>
  </si>
  <si>
    <t>Developer of financial transaction processing and deferred payment systems intended to enhance sales and customer reach. The company's platform provides capabilities for accepting and settling payments in multiple local currencies, offers integrated buy now, pay later options for customer flexibility while ensuring upfront payment to businesses, and includes a service to recommend optimal deferred payment providers, enabling small and mid-sized businesses to streamline their payment processes and improve customer purchasing power.</t>
  </si>
  <si>
    <t>Angel Invest, Arāya Ventures, Blackwood Ventures (Denmark), BrightCap Ventures, Concentric Team, Felix Jahn Beteiligungen, Main Set, Matthew Doka, MFG Invest, Passion Capital, Portfolio Ventures, Robin Capital, RTP Global, SABAH.HUB, SMOK Ventures, Tuesday Capital</t>
  </si>
  <si>
    <t>www.paypercut.com</t>
  </si>
  <si>
    <t>399559-33</t>
  </si>
  <si>
    <t>Payple</t>
  </si>
  <si>
    <t>Developer of a financial platform designed to offer payment services with a focus on increasing the payment conversion rate. The company's platform focuses on increasing customer conversion rates by analyzing the data necessary for direct marketing and allows automated payments and transfers with API integration, enabling clients to conveniently use credit cards and direct transfer payment methods and expand their business scope.</t>
  </si>
  <si>
    <t>500 Global, Fintech cube, Primer (South Korea), Stone Capital, Strong Ventures</t>
  </si>
  <si>
    <t>www.payple.kr</t>
  </si>
  <si>
    <t>515055-97</t>
  </si>
  <si>
    <t>Payport UK</t>
  </si>
  <si>
    <t>Developer of a financial technology designed to provide banking and financial services. The company's technology offers services such as responsive support service, integration modules, competitive commission rates, and electronic wallets for legal entities and individuals, enabling businesses and individuals to secure transactions and make the banking process simpler and more progressive.</t>
  </si>
  <si>
    <t>www.payportuk.com</t>
  </si>
  <si>
    <t>490106-17</t>
  </si>
  <si>
    <t>Payrails</t>
  </si>
  <si>
    <t>Developer of a cloud-native payment operating system designed to simplify accepting payments. The company offers a ledger-based operating system that streamlines payment reconciliation, supports on-demand payouts, and delivers instant refunds, enabling enterprises to build, operate, and scale payment acceptance and embed financial services without the need for costly and complex in-house infrastructure.</t>
  </si>
  <si>
    <t>André Schwämmlein, Andreessen Horowitz, Cherry Ventures, Daniel Krauss, DeBa Ventures, Dominik Richter, Emmanuel Thomassin, EQT Ventures, Felix Plog, General Catalyst, HV (Germany), Jochen Engert, Northzone Ventures, Speedinvest</t>
  </si>
  <si>
    <t>www.payrails.com</t>
  </si>
  <si>
    <t>160680-43</t>
  </si>
  <si>
    <t>Payrexx</t>
  </si>
  <si>
    <t>Developer of a payments platform designed to permit businesses and private customers to accept payments within a few minutes. The company's tool specializes in starting to accept payments within a few minutes by integrating payment service providers and payment methods into one account, for which merchants don't require any programming skills to activate a preferred payment service provider, enabling companies and organizations to accept payments easily.</t>
  </si>
  <si>
    <t>INS Holding, Marcaro, Nordurver</t>
  </si>
  <si>
    <t>www.payrexx.com</t>
  </si>
  <si>
    <t>528405-22</t>
  </si>
  <si>
    <t>Paysaction</t>
  </si>
  <si>
    <t>Operator of a financial platform intended to provide financial tools for businesses. The company's platform helps distributors and producers collect their account receivables instantly whenever their products are sold at their customers' stores, enabling clients to access effective financial tools to generate financial value.</t>
  </si>
  <si>
    <t>www.paysaction.com</t>
  </si>
  <si>
    <t>264557-53</t>
  </si>
  <si>
    <t>PaySky</t>
  </si>
  <si>
    <t>CloudTech &amp; DevOps, FinTech, Mobile, SaaS</t>
  </si>
  <si>
    <t>Developer of an electronic payment platform designed to simplify the process of making online payments. The company's platform offers an online and a multi-channel payment gateway for digital payment acceptance and face-to-face payments either through in-store or card-on-delivery facilities that access a POS terminal with the thermal printer for a conventional retail card acceptance, enabling customers to send or receive funds nationally and internationally and make digital, cashless payments in a quick, safe and secure way.</t>
  </si>
  <si>
    <t>Arab Financial Inclusion Innovation Prize, Hub71, TPN Investments</t>
  </si>
  <si>
    <t>www.paysky.io</t>
  </si>
  <si>
    <t>1364909-14</t>
  </si>
  <si>
    <t>PaySlice</t>
  </si>
  <si>
    <t>Developer of a financial technology platform designed to provide employees with instant access to earned wages. The company's platform enables secure account linking, offers immediate access to portions of paychecks without fees or credit checks, supports instant transfers, and includes optional savings features, enabling employees to gain faster earnings access, improve financial flexibility, and maintain greater control over cash flow with transparency and reliability.</t>
  </si>
  <si>
    <t>Plug and Play Tech Center, Talok Capital</t>
  </si>
  <si>
    <t>www.payslice.com</t>
  </si>
  <si>
    <t>551583-64</t>
  </si>
  <si>
    <t>PayStandards</t>
  </si>
  <si>
    <t>Developer of employee pay recommendation software designed to improve pay equity and strengthen the link between compensation and performance. The company's platform provides point-in-time pay equity assessments, incorporates company performance metrics, and identifies and resolves pay gaps to support pay decisions for hiring, promotions, and salary adjustments, enabling HR teams and business leaders to make data-driven, compliant, and equitable compensation decisions.</t>
  </si>
  <si>
    <t>OPCO Ventures, PeopleTech Partners, Tech Square Ventures</t>
  </si>
  <si>
    <t>www.paystandards.com</t>
  </si>
  <si>
    <t>496132-21</t>
  </si>
  <si>
    <t>PayTic</t>
  </si>
  <si>
    <t>Provider of program management services intended to help banks, credit unions and fintech companies handle banking data, reporting and compliance. The company offers purpose-built SAAS that centralizes and automates the back-office processes of payment management to facilitate seamless, efficient and cost-effective operations, enabling financial institutions to increase the visibility of their payment products with less effort and cost.</t>
  </si>
  <si>
    <t>212Founders, Accion, Africinvest, AXIAN Group, AXIAN Investment, Build Ventures, Canadian Technology Accelerator, CDG Invest Growth, Concrete Ventures, Dubai World Trade Centre, Hub71, Island Capital Partners, Mistral Pharma, Outlierz Ventures, Plug and Play Tech Center, Propel ICT, Sanabil Investments, Valar Ventures, Visa Accelerator</t>
  </si>
  <si>
    <t>paytic.ai</t>
  </si>
  <si>
    <t>512488-72</t>
  </si>
  <si>
    <t>Payveda</t>
  </si>
  <si>
    <t>Operator of a fintech platform intended to bridge the financial gap in rural regions. The company's platform provides agent-based payment service to consumers and businesses via service offerings like payments and other financial management solutions including cash deposits, cash withdrawals, money transfers, bill payments, air-time recharge, railway ticketing, MPOS, QR code payments and digital payments among others, enabling users to receive and transfer money easily.</t>
  </si>
  <si>
    <t>SphitiCap</t>
  </si>
  <si>
    <t>www.payveda.com</t>
  </si>
  <si>
    <t>534857-59</t>
  </si>
  <si>
    <t>PE Cube</t>
  </si>
  <si>
    <t>Developer of a software-as-a-service platform (SaaS) intended to automate fund operations. The company's platform provides fund operations automation, investor commitment management, and performance tracking for all fund data, enabling private equity firms to operate more efficiently and effectively.</t>
  </si>
  <si>
    <t>MBA Ventures</t>
  </si>
  <si>
    <t>www.pe3.io</t>
  </si>
  <si>
    <t>88306-48</t>
  </si>
  <si>
    <t>Peach Payments</t>
  </si>
  <si>
    <t>Developer of an online payment platform designed to provide electronic payment services. The company's platform helps collect payments via email and short message service and offers secure tokenization to store card data, enabling users to have a secure payment experience across all digital channels.</t>
  </si>
  <si>
    <t>3 Capital Ventures, 88mph, Allan Gray (South Africa), AlphaCode (South Africa), Apis Partners, E Squared, Enza Capital, Google Umbono, Launch Africa Ventures, Tech Lab Africa, Umkhathi Wethu Ventures</t>
  </si>
  <si>
    <t>www.peachpayments.com</t>
  </si>
  <si>
    <t>268611-31</t>
  </si>
  <si>
    <t>Peak Invest</t>
  </si>
  <si>
    <t>Operator of a digital credit platform intended to connect investors with companies that need loans through the peer-to-peer lending model. The company's platform offers warranty-free, interest-based loan guidance to the enrolled companies, whose profiles are analyzed and completed documentation, enabling companies with short chunks of loan requirements to get the required debt at a minimal interest rate per month.</t>
  </si>
  <si>
    <t>Parallax Ventures</t>
  </si>
  <si>
    <t>www.peakinvest.com.br</t>
  </si>
  <si>
    <t>462038-41</t>
  </si>
  <si>
    <t>Peakflo</t>
  </si>
  <si>
    <t>Developer of an automated workflow platform designed to streamline back-office operations. The company's platform utilizes agentic workflows that can automate tasks such as collections follow-ups with AI voice agents, simplify procure-to-pay and invoice-to-cash processes, and manage expenses, enabling businesses to automate and execute their activities more efficiently.</t>
  </si>
  <si>
    <t>Alexander Kudlich, Amino Capital, Amrish Rau, CE Innovation Capital, Entrepreneurs First, Global Founders Capital, GMO Venture Partners, Google Accelerator, Oliver Jung, Rebel Fund, Soma Capital, XA Network, Y Combinator</t>
  </si>
  <si>
    <t>www.peakflo.co</t>
  </si>
  <si>
    <t>155883-25</t>
  </si>
  <si>
    <t>Peanut Butter</t>
  </si>
  <si>
    <t>FinTech, HR Tech, Industrials</t>
  </si>
  <si>
    <t>Provider of student loan assistance services intended to help employers to offer student loan assistance as a benefit. The company's services help employers reduce hiring timelines, increase employee tenure, and improve diversity, all while making a positive impact on employees' financial futures, enabling businesses to help their employees pay off their student loans, thus increasing their job satisfaction and retention.</t>
  </si>
  <si>
    <t>1871, 43North, BMO Bank, Breakout Capital, Brian Cuttica, Howard Tullman, Jordan Conley, Michael Gardon, Plug and Play Tech Center, Revolution (Washington DC), Stephen Case, Tim Swindle, Zach Abraham</t>
  </si>
  <si>
    <t>www.getpeanutbutter.com</t>
  </si>
  <si>
    <t>470503-45</t>
  </si>
  <si>
    <t>Pearler</t>
  </si>
  <si>
    <t>Developer of an investment platform designed to simplify investing for financial independence. The company's platform allows users to invest in international stocks and exchange-traded fund portfolios and offers features for auto-investing, comparing strategies and tracking progress toward financial goals, enabling individuals to have access to all personal finance needs and long-term investing.</t>
  </si>
  <si>
    <t>Altered Capital, Archangel Ventures, AUmbrella Ventures, Clearsign Capital, Manoharan Capital, Portage, TEN13, UNSW Founders</t>
  </si>
  <si>
    <t>www.pearler.com</t>
  </si>
  <si>
    <t>492750-73</t>
  </si>
  <si>
    <t>Pearly</t>
  </si>
  <si>
    <t>Developer of software for dental practice financial infrastructure designed for dental billing and revenue-cycle management. The company's platform automates patient billing and accounts receivable workflows, generates digital statements, supports online payments, payment plans, and membership management, integrates with practice-management systems at the ledger level, and provides reporting and analytics, enabling dental practices and organizations to reduce manual administrative work, improve collection rates, and streamline their revenue cycle operations.</t>
  </si>
  <si>
    <t>Arthur Ventures</t>
  </si>
  <si>
    <t>www.pearly.co</t>
  </si>
  <si>
    <t>510627-70</t>
  </si>
  <si>
    <t>Peko</t>
  </si>
  <si>
    <t>Developer of payment software designed to streamline business payments, expenses, and corporate cards. The company offers a payment platform that includes expense cards, business travel management, and a payment interface, enabling small and mid-sized businesses to manage expenses, receive payments, and view reports.</t>
  </si>
  <si>
    <t>International Holding Company, Venture Garage</t>
  </si>
  <si>
    <t>www.peko.one</t>
  </si>
  <si>
    <t>495786-88</t>
  </si>
  <si>
    <t>Pemo</t>
  </si>
  <si>
    <t>Developer of an expense management platform intended to offer smart corporate cards, invoice payment systems, and expense tracking functions. The company's platform offers tools for accounting automation, real-time reporting, and expense tracking functions to access total visibility and control of employee expenses, enabling small and medium enterprises to control their finances and empower their teams.</t>
  </si>
  <si>
    <t>Abdulla Elyas, Antler, Augmentum Fintech, B&amp;Y Venture Partners, Cherry Ventures, FinTech Collective, Future100, Hub71, Kaya Founders, Mahmoud Fouz, Shorooq Partners, Speedinvest, Start Path, Tomaso Rodriguez, UNIQA Ventures</t>
  </si>
  <si>
    <t>www.pemo.io</t>
  </si>
  <si>
    <t>464503-06</t>
  </si>
  <si>
    <t>Pendle</t>
  </si>
  <si>
    <t>Developer of a crypto yield trading platform designed to enable users to trade and manage digital asset yields across on-chain and off-chain markets. The company offers spot yield trading, fixed yield earning, leveraged yield positions without lockups or liquidation risk, and margin trading with high capital efficiency, enabling crypto traders and decentralized finance participants to hedge, earn, and optimize yield exposure with flexibility and control.</t>
  </si>
  <si>
    <t>Andromeda Capital, AppWorks, Arbitrum Foundation, BlockSpaceForce, D1 Ventures, Electric Capital, FJ Labs, L1D, Skycatcher, Vamient Capital, w3.fund, YZi Labs</t>
  </si>
  <si>
    <t>www.pendle.finance</t>
  </si>
  <si>
    <t>439311-88</t>
  </si>
  <si>
    <t>Penny Software</t>
  </si>
  <si>
    <t>Developer of a procurement and spend management platform designed to manage the entire procurement lifecycle. The company's platform offers an action-driven dashboard, budget tracking, timeline, product comparison and customizable reporting, offers customizable procurement products for mid-size enterprises, enabling an organizations to get a unified platform and streamline their operations.</t>
  </si>
  <si>
    <t>9Yards Capital Management, Al Tuwaijri Fund, Aramco Ventures, Class 5 Global, Dallah Albaraka Group, Dallah Investment, Global System Integration, Iliad Partners, Knollwood Investment Fund, Oryx Fund, Outliers Venture Capital, Plug and Play Tech Center, Salica Investments, Salt Ventures (Dubai), Shorooq Partners, Superangels, TechConnect, Wamda Capital</t>
  </si>
  <si>
    <t>www.penny.co</t>
  </si>
  <si>
    <t>519955-75</t>
  </si>
  <si>
    <t>Pensify</t>
  </si>
  <si>
    <t>Operator of a financial platform intended to help small and medium-sized enterprises and the self-employed to build a future pension. The company's platform offers personalized pension plans, and provides comprehensive insurance coverage for employees, ensuring their financial security in every aspect of life, it streamlines business operations and seamlessly integrates with existing payroll platforms, human resource software, and bookkeeping platforms, enabling business owners and customers with an opportunity to securely set up a pension plan for their employees and family members securely.</t>
  </si>
  <si>
    <t>Antler, OTK Capital</t>
  </si>
  <si>
    <t>www.pensify.com</t>
  </si>
  <si>
    <t>442486-63</t>
  </si>
  <si>
    <t>Péntech</t>
  </si>
  <si>
    <t>Developer of a digital factoring platform designed to digitize and facilitate the company's financial management and financing processes. The company's tools offer online administration with effective terms, bank loans, receivable management, and financial advice, and also provide flexible payment terms to business buyers while receiving payments, enabling businesses to obtain financing and reduce associated buyer risks.</t>
  </si>
  <si>
    <t>365.fintech, Advance Global Capital, Airtree Ventures, Arete Zrt., Balazs Vinnai, BNL Start Partners, Hiventures, Jared Schrieber, Mark Ransford, MBH Bank, MBH FintechLab, Platina Capital, Quantic Financial Solutions, STRT Holding</t>
  </si>
  <si>
    <t>www.pentech.hu/en</t>
  </si>
  <si>
    <t>522582-85</t>
  </si>
  <si>
    <t>Penzilla</t>
  </si>
  <si>
    <t>Developer of human resource software designed to offer an operating system for corporate pension plans. The company's platform integrates with HR systems and offers an individual evaluation of each employee's provision status and ensuring maximum compliance, and simplifies the entire process for all parties involved through full automation, enabling employers to have corporate social responsibility with compliance and a fair pension wage.</t>
  </si>
  <si>
    <t>Acadian Ventures, Angel Invest, Buildery Angels, Delin Ventures, Diana zur Löwen, InsurTech Hub Munich, Loric Ventures, Menden Ventures, Motive Partners, Robin Capital, The House of Finance and Tech Berlin, WENVEST Capital</t>
  </si>
  <si>
    <t>www.penzilla.de</t>
  </si>
  <si>
    <t>229050-82</t>
  </si>
  <si>
    <t>PeopleJoy</t>
  </si>
  <si>
    <t>Provider of employee education benefits administration services intended to help organizations manage and scale workforce development programs. The company offers student loan assistance, tuition reimbursement management, compliance handling, and employee support services, enabling employers to improve benefit utilization and workforce retention.</t>
  </si>
  <si>
    <t>Ben Franklin Technology Partners of Southeastern Pennsylvania, Bronze Valley, Founders First CDC, GrowthX Capital, Newark Venture Partners, Plug and Play Tech Center, The Majira Project, Village Capital</t>
  </si>
  <si>
    <t>www.peoplejoy.com</t>
  </si>
  <si>
    <t>653777-92</t>
  </si>
  <si>
    <t>Per Annum</t>
  </si>
  <si>
    <t>Developer of an alternative investment platform designed for retail investors to invest and grow their wealth. The company's platform offers investment in different asset classes like non-convertible debentures, pre-IPO Shares, digital gold, fixed deposits and real estate, enabling investors to access high-yield, stable, and diversified investment opportunities with a focus on wealth creation and portfolio diversification.</t>
  </si>
  <si>
    <t>IvyCap Ventures</t>
  </si>
  <si>
    <t>www.perannum.money</t>
  </si>
  <si>
    <t>482255-20</t>
  </si>
  <si>
    <t>Perch (Real Estate Services (B2C))</t>
  </si>
  <si>
    <t>Operator of a mortgage marketplace platform designed to simplify the home-buying process and facilitate mortgage management. The company offers features such as mortgage pre-approval, access to multiple lenders, dedicated support seven days a week, real estate tools and resources for financial insights, enabling first-time homebuyers and existing homeowners to navigate the mortgage landscape while making informed decisions and building wealth through real estate.</t>
  </si>
  <si>
    <t>BEST Funds, OMVC, Ontario Centre of Innovation, REACH, Second Century Ventures, Upstream VC</t>
  </si>
  <si>
    <t>www.myperch.io</t>
  </si>
  <si>
    <t>675270-91</t>
  </si>
  <si>
    <t>Permian Labs</t>
  </si>
  <si>
    <t>Developer of a consumer financing platform designed to democratize access to advanced computing power. The company offers innovative financing systems for GPU acquisitions, enabling customers to harness cutting-edge technologies and drive innovation in a digital world.</t>
  </si>
  <si>
    <t>Alliance (Other Capital Markets/Institutions), Alliance Ventures, Animoca Brands, Arbitrum Foundation, Big Brain Holdings, Bitscale Capital, Breed VC, Bullish Capital, Caladan, CMT Digital Holdings, Coinbase Ventures, Delphi Ventures, Digital Currency Group, Dragonfly Capital (San Francisco), Ethereal Ventures, Everyrealm, FinTech Collective, Flowdesk, Framework Ventures, Hermeneutic Research, Kerve Capital, Metaversal, Nascent Ventures, OpenSea Ventures, QCP Trading, Seed Club Ventures, Sfermion, Taureon (San Francisco), Volt Capital, YZi Labs</t>
  </si>
  <si>
    <t>www.permianlabs.xyz</t>
  </si>
  <si>
    <t>1243630-99</t>
  </si>
  <si>
    <t>Permute AI</t>
  </si>
  <si>
    <t>Developer of an AI-powered enterprise data and analytics platform designed to help teams solve their data problems. The company offers a suite of AI-powered data, analytics, and automation systems, and connects enterprise systems into a centralized workspace while automating sales outreach and lead engagement, as well as inbound voice agents that qualify, route, and book incoming leads automatically, enabling clients to unify business data, uncover operational information, and automate revenue workflows.</t>
  </si>
  <si>
    <t>Fulcrum Venture Group, Service Provider Capital</t>
  </si>
  <si>
    <t>www.permute.ai</t>
  </si>
  <si>
    <t>897398-56</t>
  </si>
  <si>
    <t>Petual</t>
  </si>
  <si>
    <t>Developer of an AI-powered platform designed to automate control testing for SOX, operational audit, and financial risk. The company offers AI agents that streamline audit documentation, enabling public enterprises and professional service networks to perform tests with precision, speed, and reduced costs.</t>
  </si>
  <si>
    <t>Andreessen Horowitz, Cowboy Ventures, Elad Gil, First Round Capital, Lachy Groom, Quiet Capital</t>
  </si>
  <si>
    <t>www.petual.ai</t>
  </si>
  <si>
    <t>182447-02</t>
  </si>
  <si>
    <t>Pezesha</t>
  </si>
  <si>
    <t>Developer of a digital lending platform designed to help the growth of micro-businesses with affordable credit options. The company's platform uses credit and data analytics to connect lenders with low-income borrowers and provides affordable financial services to underserved small and medium businesses, enabling borrowers to be a part of the formal financial system and connecting small and medium businesses to working capital.</t>
  </si>
  <si>
    <t>BKT Capital, Blackbox (Palo Alto), Consonance (Lagos), DeveloPPP Ventures, DFS Lab, Google Accelerator, GreenHouse Capital, IOG Singapore, Kuramo Capital Management, MAVA Ventures, Seedstars International Ventures, Talanton, Verdant Frontiers, Wave Digital Assets, Women's World Banking</t>
  </si>
  <si>
    <t>pezesha.com</t>
  </si>
  <si>
    <t>156368-26</t>
  </si>
  <si>
    <t>PFC Technologies</t>
  </si>
  <si>
    <t>Developer of AI-driven financial technology platforms designed to improve credit access and lending operations. The company's platform offers AI-powered lending technology, credit-scoring models, risk-management capabilities, loan-origination tools, and peer-to-peer lending services, enabling financial institutions, investors, and borrowers to assess credit risk and access lending opportunities more efficiently.</t>
  </si>
  <si>
    <t>500 Global, Access Ventures (Asia), AUmbrella Ventures, Bain Capital, CLSA Capital Partners, COMEUP STARS, D3 Jubilee Partners, Gowid, IBX Partners, Iguama, Kakao Investment, Kakao Pay, Shinhan Futures Lab, Shinhan Securities, TBT Partners, The Goldman Sachs Group, Voveo Capital, Wooshin Venture Investment, Yello Mobile, Yukyung PSG Asset Management</t>
  </si>
  <si>
    <t>www.pfct.co.kr</t>
  </si>
  <si>
    <t>438031-63</t>
  </si>
  <si>
    <t>Phood (Financial Software)</t>
  </si>
  <si>
    <t>Developer of an application programming interface payment platform designed to bridge the gap between campus and public dining. The company's platform allows college students to use meal plan dollars to order food from third-party delivery applications, enabling students to gain financial transparency and place food orders with ease.</t>
  </si>
  <si>
    <t>www.phood.co</t>
  </si>
  <si>
    <t>493083-55</t>
  </si>
  <si>
    <t>Phosphor</t>
  </si>
  <si>
    <t>Developer of an AI-powered financial analysis platform designed to speed up underwriting by automating the process. The company's platform centralizes and connects financial models, contracts, and other deal data and standardizes financial models and contracts for easier comparison and analysis, enabling clients to improve the accuracy and efficiency of financial analysis for real estate, infrastructure, and renewable energy deals.</t>
  </si>
  <si>
    <t>Fuse Incubator, KDX Ventures, Pirque, Tamarack Global</t>
  </si>
  <si>
    <t>www.phosphor.co</t>
  </si>
  <si>
    <t>595802-80</t>
  </si>
  <si>
    <t>PhotonPay</t>
  </si>
  <si>
    <t>Developer a cross-border payment service platform designed to eliminate complex payment links in cross-border trade. The company offers services such as global acquiring, global collection, global card issuance, exchange rate management, global payment, and other product services.</t>
  </si>
  <si>
    <t>Faction Ventures, GL Ventures, IDG Capital, Shoplazza</t>
  </si>
  <si>
    <t>www.photonpay.com</t>
  </si>
  <si>
    <t>501329-80</t>
  </si>
  <si>
    <t>Piana</t>
  </si>
  <si>
    <t>Operator of a payment platform intended to track the fleet's finances. The company's platform offers a modern fleet and fuel card for small and midsize businesses to simplify day-to-day transactions, transparency, and control, enabling operators to reduce their carbon footprint.</t>
  </si>
  <si>
    <t>FinTech Collective, F-LOG Ventures, Founders Future, Frst Capital, Kima Ventures, Picus Capital, SKEMA Entrepreneurs</t>
  </si>
  <si>
    <t>www.getpiana.com</t>
  </si>
  <si>
    <t>541262-98</t>
  </si>
  <si>
    <t>Piaodiandian</t>
  </si>
  <si>
    <t>Developer and provider of a taxation platform intended to serve the taxation industry. The company is mainly engaged in digital services and solutions to enterprises, merchants, governments, and public organizations, providing clients with highly customized solutions.</t>
  </si>
  <si>
    <t>Duce Capital, Guangwu Investment, SND Ventures Group</t>
  </si>
  <si>
    <t>www.pdd-fapiao.com</t>
  </si>
  <si>
    <t>466524-19</t>
  </si>
  <si>
    <t>Piaotietie</t>
  </si>
  <si>
    <t>Developer of a commercial paper trading platform designed to help enterprises to obtain funding online. The company's platform allows small and medium sized corporates to sell their commercial papers online in the purpose of financing, enabling corporates to trade commercial papers with transparency and efficiency.</t>
  </si>
  <si>
    <t>www.pttkj.net</t>
  </si>
  <si>
    <t>493541-74</t>
  </si>
  <si>
    <t>PIECE</t>
  </si>
  <si>
    <t>Cryptocurrency/Blockchain, FinTech, Mobile, Real Estate Technology, SaaS</t>
  </si>
  <si>
    <t>Developer of a digital investment platform designed to enable fractional ownership of real-world assets through security token offerings (STOs). The company offers tokenized investment products, including real estate, art, ships, aircraft, automobiles, energy assets and digital content, enabling investors to access diversified asset-backed securities through a mobile application.</t>
  </si>
  <si>
    <t>1Q Agile Lab, BC Card, BNK Venture Capital, CNT Tech, Hana Ventures, KB Innovation HUB, KB Investment, K-Global, Korea Credit Guarantee Fund, New Paradigm Investment, Next Dream Angel Club, S&amp;S Investment, SK Networks Service, Stallion Partners, Tech Incubator Program for Startup, Xperix (Seongnam), Zero to One Partners</t>
  </si>
  <si>
    <t>www.piece.run</t>
  </si>
  <si>
    <t>531074-35</t>
  </si>
  <si>
    <t>Piece (Financial Services)</t>
  </si>
  <si>
    <t>Operator of a digital investment platform intended to invest in income-producing real estate in Europe. The company's platform helps to invest in properties and build a portfolio and earn income from the first month, as well as provides property simulation and market access, enabling clients to invest in rental properties.</t>
  </si>
  <si>
    <t>East Ventures, GaiaX, Keisuke Honda, KSK Angel Fund, Mario Costanz, Novaterra Holding, Spiral Capital (Tokyo), Star Mica, StartupGym Studio, The House of Finance and Tech Berlin, The University of Tokyo Edge Capital, The University of Tokyo Founder's Association Support Fund</t>
  </si>
  <si>
    <t>www.getpiece.app</t>
  </si>
  <si>
    <t>522000-37</t>
  </si>
  <si>
    <t>Pier (Financial Software)</t>
  </si>
  <si>
    <t>Developer of a credit infrastructure platform designed to help businesses launch and automate compliant credit products. The company's platform offers application programming interface (API) driven tools to provide credit to borrowers and users without ever directing them outside their app, enabling businesses to deliver offerings like Buy Now Pay Later, salary advances, and credit-builder loans with reduced engineering effort.</t>
  </si>
  <si>
    <t>ACME Capital, Blue Trail Partners, Brian Neer, Divya Bhat, Hi2 Global, Horizon Venture Capital, Horizon Ventures, Liquid 2 Ventures, Meridian Ventures, Neer Venture Partners, Oasis Capital (United States), Seth Weinstein, Y Combinator</t>
  </si>
  <si>
    <t>www.pier-finance.com</t>
  </si>
  <si>
    <t>588835-90</t>
  </si>
  <si>
    <t>Piere</t>
  </si>
  <si>
    <t>Developer of a personal finance automation platform designed to optimize cash flow and account management across financial institutions. The company's platform connects checking, savings, credit, and loan accounts to analyze liquidity needs, automate fund transfers, and prioritize debt repayment, enabling users to maximize returns, reduce interest costs, and manage their finances automatically in the background.</t>
  </si>
  <si>
    <t>Aditya Khurjekar, Fabric VC, Grand Ventures, Joe Lieberman, Nicholas Calamari, Samvid Ventures, Samvidhi Projects, Selah Ventures, TruStage Ventures</t>
  </si>
  <si>
    <t>www.piere.com</t>
  </si>
  <si>
    <t>1154174-86</t>
  </si>
  <si>
    <t>Pieverse</t>
  </si>
  <si>
    <t>Developer of blockchain interoperability infrastructure designed to unify connectivity across decentralized networks. The company's platform offers features such as bidding mechanisms for time-based engagements, lottery and task-based interaction workflows, AI-integrated calendar systems, fiat and cryptocurrency payment support and smart-contracted time recognition, enabling users in the Web3 and startup ecosystem to manage activities securely, engage with investor communities, and maintain privacy.</t>
  </si>
  <si>
    <t>10K Ventures, Animoca Brands, CMS Holdings, Morningstar Ventures, Most Valuable Builder Accelerator Program, Serafund, Signum Capital, Sonic, Undefined Labs(Seoul), UOB Venture Management</t>
  </si>
  <si>
    <t>www.pieverse.io</t>
  </si>
  <si>
    <t>183688-66</t>
  </si>
  <si>
    <t>PiggyVest</t>
  </si>
  <si>
    <t>Developer of a digital savings and investment platform designed to help individuals grow and manage their money securely. The company's platform combines automated savings tools, flexible investment options, and bank-level security to protect user data, enabling retail customers to consistently set money aside, earn returns on their savings, and achieve their financial goals with ease.</t>
  </si>
  <si>
    <t>Alokan Dipo, Google Accelerator, Livinus Oga-ifu, Make-IT in Africa, Todimu Ogunade, Uncovered Fund, Ventures Platform, VilCap Investments, Voice Idoko, Voltron Capital</t>
  </si>
  <si>
    <t>www.piggyvest.com</t>
  </si>
  <si>
    <t>532467-73</t>
  </si>
  <si>
    <t>PikaPay</t>
  </si>
  <si>
    <t>Developer of a mobile payment platform intended to facilitate convenient payments for consumers and businesses. The company's platform offers a variety of features, including real-time payments, secure transactions and low fees, enabling retailers, restaurants and transportation providers to offer convenient and efficient payment experiences for their customers.</t>
  </si>
  <si>
    <t>Tikura Ventures, Xamk</t>
  </si>
  <si>
    <t>www.pikapay.fi</t>
  </si>
  <si>
    <t>763120-36</t>
  </si>
  <si>
    <t>Pillar</t>
  </si>
  <si>
    <t>Artificial Intelligence &amp; Machine Learning, Big Data, Construction Technology, FinTech, SaaS</t>
  </si>
  <si>
    <t>Operator of a construction management platform intended to streamline construction site operations, finance, and administration through AI-powered automation. The company provides an integrated software solution that consolidates accounts, invoices, cash flow management, construction site monitoring, and document processing into a single intelligent platform, enabling companies to reduce administrative overhead, eliminate time waste, and increase profitability.</t>
  </si>
  <si>
    <t>B Heroes, Base10 Partners, Earlybird Venture Capital, Eden Ventures (Milano), Emblem (Paris), Endeavor Italy, Enrico Pandian, Ignazio Da Torrepadula, Investmark Advisory Group, Italian Angels for Growth, Italian Founders Fund, Kima Ventures, Paola Bonomo, Pareto Holdings, Plug and Play Tech Center, Vento (Venture Capital)</t>
  </si>
  <si>
    <t>www.pillar.it</t>
  </si>
  <si>
    <t>518484-52</t>
  </si>
  <si>
    <t>Pilon</t>
  </si>
  <si>
    <t>CloudTech &amp; DevOps, FinTech, SaaS, Supply Chain Tech</t>
  </si>
  <si>
    <t>Developer of a financial technology designed to serve the supply chain financing system. The company's platform works with buyers by providing more time to pay off their balances and assisting their suppliers to obtain immediate access to their owed payments via their mobile application, enabling companies with strategic cash flow to better their operations through technology.</t>
  </si>
  <si>
    <t>Kaya Founders, Octava (Singapore), Polaris Kin, True Digital Park, Wavemaker Partners</t>
  </si>
  <si>
    <t>www.pilon.sg</t>
  </si>
  <si>
    <t>183724-39</t>
  </si>
  <si>
    <t>PIM Solutions</t>
  </si>
  <si>
    <t>Developer of working capital financing software designed to receive cash before e-commerce delivery. The company's platform is based on the purchase rate which is comprised of many parameters such as the customer's location, purchase history, type of parcel and gender, enabling online retailers to analyze, control and enhance their logistics and financial processes.</t>
  </si>
  <si>
    <t>Dmitry Zobnin, Internet Initiatives Development Fund</t>
  </si>
  <si>
    <t>www.pimsolutions.ru</t>
  </si>
  <si>
    <t>504146-35</t>
  </si>
  <si>
    <t>PIN (Financial Software)</t>
  </si>
  <si>
    <t>Developer of a community fund platform designed to connect entrepreneurs to investors. The company provides a back office framework and legal and tax support to interested clubs to set up and launch an investing vehicle, enabling entrepreneurs and leaders to seek opportunities to raise capital, meet other members, and manage portfolios.</t>
  </si>
  <si>
    <t>Canaan Partners, GSR Ventures, Industry Ventures, Initialized Capital, Litquidity Capital, New Enterprise Associates, Riverside Ventures</t>
  </si>
  <si>
    <t>www.getpin.xyz</t>
  </si>
  <si>
    <t>481814-74</t>
  </si>
  <si>
    <t>Pina</t>
  </si>
  <si>
    <t>Developer of a personal finance application designed to empower everyone toward financial freedom. The company's application provides automated money management and investment options with personalized expert advice, enabling users to manage their finances efficiently by providing wealth management with access to financial planners.</t>
  </si>
  <si>
    <t>1982 Ventures, ACV Capital, iSeed (India), Oberyn Capital, Prasetia Dwidharma, Vibe Capital, XA Network, Y Combinator</t>
  </si>
  <si>
    <t>www.pina.id</t>
  </si>
  <si>
    <t>454347-91</t>
  </si>
  <si>
    <t>Pinch (Financial Services)</t>
  </si>
  <si>
    <t>Provider of checking account and debit card services designed to track income and expenses and achieve financial goals. The company's debit card is linked with a free checking account that shares the interchange or swiping revenue with e-sports teams and content creators that users choose to aid, enabling users to assist their favorite creators and increase their outreach.</t>
  </si>
  <si>
    <t>pinchbank.com</t>
  </si>
  <si>
    <t>436920-58</t>
  </si>
  <si>
    <t>Ping'an Huixin</t>
  </si>
  <si>
    <t>Developer of an AI investment advisory mobile application intended to help people make smart investment decisions. The company's product integrates artificial intelligence, blockchain, big data, cloud computing and other financial technologies to process real-time financial information and provide users with the stocks that have the highest potential, it also provides relevant financial news, analysis of high-potential industries and investment courses, enabling individual investors to profit from the stock market.</t>
  </si>
  <si>
    <t>ABCI Securities, CapitalG, DCM Ventures, Eastern Bell Venture Capital, GL Ventures, Granite Asia, GSR Ventures, K11, SB China Venture Capital, Sunshine Insurance Group, Ward Ferry Management</t>
  </si>
  <si>
    <t>www.pinganhuixin.com</t>
  </si>
  <si>
    <t>496447-75</t>
  </si>
  <si>
    <t>Pingjiquan</t>
  </si>
  <si>
    <t>Developer of AI risk control products designed for industry risk control from asset security. The company focuses on AI risk control products in the supply chain, providing credit risk prevention and early warning solutions for all parties in the supply chain to protect asset security.</t>
  </si>
  <si>
    <t>607808-62</t>
  </si>
  <si>
    <t>PinpointAI</t>
  </si>
  <si>
    <t>Operator of an intelligent document processing platform designed to help businesses leverage AI technologies to gain insights, make better decisions, and achieve their goals. The company's platform integrates automated data extraction from financial documents and data rooms, AI-based analysis, financial and quality of earnings report generation, client-branded formatting, selective insight review, editing tools, risk and red-flag identification, interactive visualisations, workflow and project tracking, role-based coordination, and enterprise security and compliance controls, enabling M&amp;A teams, investment banks, private equity firms, and advisory firms to reduce manual effort, improve consistency, maintain data security, and shorten due diligence timelines.</t>
  </si>
  <si>
    <t>Hibernia Venture Labs</t>
  </si>
  <si>
    <t>www.pinpointai.com</t>
  </si>
  <si>
    <t>462087-73</t>
  </si>
  <si>
    <t>Pinv</t>
  </si>
  <si>
    <t>Developer of a financial management platform designed to gather and elaborate banking and accounting data automatically. The company's platform helps SMEs to know cash flows in real-time, manage receipts and payments, and request loans directly from the platform, connecting all bank accounts and integrating billing data, enabling businesses to track cash inflows and outflows, anticipate deficiencies, and respond by finding the most suitable financing options.</t>
  </si>
  <si>
    <t>Fabrick, Le Village by CA, LVenture Group, Zest Group</t>
  </si>
  <si>
    <t>www.pinv.it</t>
  </si>
  <si>
    <t>498535-48</t>
  </si>
  <si>
    <t>Piriod</t>
  </si>
  <si>
    <t>Developer of a subscription management platform designed to automate recurring B2B and B2C payments. The company offers subscriber onboarding to recurring revenue analysis, automatic payments, and collection reminders to reduce churn and late payments to grow rapidly, enabling clients to gain the agility to manage and scale their subscription-based business.</t>
  </si>
  <si>
    <t>www.piriod.com</t>
  </si>
  <si>
    <t>639763-57</t>
  </si>
  <si>
    <t>PlaidCloud</t>
  </si>
  <si>
    <t>Developer of a financial data platform intended to simplify financial management for businesses. The company offers a comprehensive financial data platform that streamlines financial processes, improves data-driven decision making, and empowers businesses to optimize their financial health by automating data collection and analysis, enabling businesses to gain a holistic view of their finances and make informed decisions.</t>
  </si>
  <si>
    <t>Emerging Ventures, Serac Ventures</t>
  </si>
  <si>
    <t>www.plaidcloud.com</t>
  </si>
  <si>
    <t>484016-50</t>
  </si>
  <si>
    <t>PlanDelta</t>
  </si>
  <si>
    <t>Developer of a financial consolidation and planning platform designed to unify data for strategic decision-making. The company's platform integrates payroll and accounting information from various sources, automates normalization, handles intercompany eliminations, adjustments, and foreign exchange conversions, and offers audit-compatible reporting, enabling businesses to gain real-time insights, streamline processes, and focus on analysis to drive growth.</t>
  </si>
  <si>
    <t>BeamupLAB, Bulgaria Innovation Hub, Christian Carrillo, Eleven Ventures, Konstantin Dzhengozov, RTP Global</t>
  </si>
  <si>
    <t>www.plandelta.com</t>
  </si>
  <si>
    <t>530921-62</t>
  </si>
  <si>
    <t>PlanEasy</t>
  </si>
  <si>
    <t>Developer of an online retirement-related planning platform intended to simplify key retirement decisions. The company's platform specializes in offering services including an annuity marketplace, online retirement-related education, interactive gamified tools, will generation, and a retirement calculator, enabling customers to make informed retirement decisions and take control of their finances.</t>
  </si>
  <si>
    <t>TechAlliance</t>
  </si>
  <si>
    <t>planeasy.com</t>
  </si>
  <si>
    <t>234011-44</t>
  </si>
  <si>
    <t>Planet Wealth</t>
  </si>
  <si>
    <t>Operator of an investment cloud platform intended to offer financial independence to firms. The company's platform provides tools to create wealth, improved through structure and system without the capital risk, that converts earnings into income-producing vehicles that provide a financial advantage, enabling organizations to own assets that grow wealth passively by building value, earnings, and positioning future earning power with every action taken.</t>
  </si>
  <si>
    <t>www.planetwealth.com</t>
  </si>
  <si>
    <t>522482-14</t>
  </si>
  <si>
    <t>Planpay</t>
  </si>
  <si>
    <t>Provider of digital installment payment services intended for prepaid commerce and debt-free budgeting. The company has merchant checkout systems to facilitate the creation of flexible, automated payment schedules without requiring credit checks or charging interest, enabling travel providers and retail merchants to capture early bookings and increase conversion rates by offering a risk-free financial alternative that lets consumers lock in current pricing.</t>
  </si>
  <si>
    <t>www.planpay.com</t>
  </si>
  <si>
    <t>160744-51</t>
  </si>
  <si>
    <t>Planswell</t>
  </si>
  <si>
    <t>Developer of an online financial planning platform designed to help individuals with their retirement goals and financial professionals with their business development. The company's platform offers services that include mortgages, investments, insurance, and wealth management services, which are developed by evaluating the current financial situation of the client and personal goals, enabling users to maintain their lifestyle in retirement by planning their investments.</t>
  </si>
  <si>
    <t>Feenix Venture Partners, InsurTech NY, Plug and Play Tech Center</t>
  </si>
  <si>
    <t>www.planswell.com</t>
  </si>
  <si>
    <t>490734-73</t>
  </si>
  <si>
    <t>PlantechHub</t>
  </si>
  <si>
    <t>Developer of a financial planning software designed to help financial advisors to improve plan creation, presentation, and client portal. The company's software facilitates features including a one-page financial plan, configurable access, strategies, plan history, customization, flexibility, and more, enabling the wealth management advisory community to create detailed financial plans for their clients.</t>
  </si>
  <si>
    <t>www.plantechhub.com</t>
  </si>
  <si>
    <t>436769-29</t>
  </si>
  <si>
    <t>Planworth</t>
  </si>
  <si>
    <t>Developer of financial advisory and management software designed to offer tax and estate planning. The company's software builds wealth plans that tailor tax and estate guidance based on each client's circumstances and offers the next steps so that advisors and clients know the relevant professionals needed to implement recommendations, enabling advisors to strengthen relationships and grow their business by unlocking financial, tax and estate planning opportunities for their clients over a lifetime.</t>
  </si>
  <si>
    <t>Fastbreak Ventures, Garage Capital, Graphite Ventures, MaRS Investment Accelerator Fund</t>
  </si>
  <si>
    <t>www.planworth.co</t>
  </si>
  <si>
    <t>572329-45</t>
  </si>
  <si>
    <t>Plataform</t>
  </si>
  <si>
    <t>Developer of a fintech platform designed to offer alternative financing services to businesses. The company's platform seeks to accelerate access to financing for the business base, helping the growth and development of the economy, offering a financial landscape, and also introduces offerings like bank factoring, private factoring, confirming, and crowd factoring, enabling clients to manage payments and access immediate liquidity.</t>
  </si>
  <si>
    <t>Progresión Sociedad Comisionista de Bolsa, Skandia International Insurance</t>
  </si>
  <si>
    <t>www.plataform.com</t>
  </si>
  <si>
    <t>494843-14</t>
  </si>
  <si>
    <t>Play BPO Software</t>
  </si>
  <si>
    <t>Developer of a task management platform intended to manage financial business process outsourcing. The company's platform controls the execution time of tasks, the management time of clients, and concentrates services on a single channel for financial business process outsourcing (BPO's) operations, enabling financial BPOs to streamline operations and improve efficiency.</t>
  </si>
  <si>
    <t>Brazilian Service of Support for Micro and Small Enterprises, Conta Azul, Djassi Africa, DOMO.VC, Fundação de Amparo à Pesquisa e Inovação, Google Accelerator</t>
  </si>
  <si>
    <t>www.playbpo.com.br</t>
  </si>
  <si>
    <t>538070-23</t>
  </si>
  <si>
    <t>Plino</t>
  </si>
  <si>
    <t>Developer of an accounting and financial platform designed to monitor the trend of costs and revenues. The company's platform offers a range of features, including file sharing and project management services, as well as financial planning and analysis tools, providing businesses with an immediate, error-free system for making strategic firm decisions based on data, rather than intuition.</t>
  </si>
  <si>
    <t>Berkeley SkyDeck, Exor, Factory Plus, I3P, Lendlease Corporation, TechAround, Up2Stars, Vento (Venture Capital), zooga.vc</t>
  </si>
  <si>
    <t>www.plino.ai</t>
  </si>
  <si>
    <t>264269-44</t>
  </si>
  <si>
    <t>Plotify</t>
  </si>
  <si>
    <t>Operator of a real estate investment platform intended to manage an investment property. The company's platform offers a trader-friendly exchange that eliminates the tedious, time-consuming elements of real estate investing by creating a different plot for each property, enabling investors to finance, lease, insure, and manage their property.</t>
  </si>
  <si>
    <t>Ahimsa Capital, Capital Eleven, Celox Holding, Esya., Lend East, Oak's Lab, Silver Ridge Accelerator, StageDotO Ventures, Stormbreaker Ventures, Venture Catalysts (Capital Markets/Institutions)</t>
  </si>
  <si>
    <t>www.plotify.co</t>
  </si>
  <si>
    <t>292577-86</t>
  </si>
  <si>
    <t>Pluang</t>
  </si>
  <si>
    <t>Developer of a financial application designed to provide easy and affordable access to various investment classes for the Indonesian people. The company's application offers investment in stocks, crypto assets, mutual funds, easy-to-setup gold-saving products, an online-to-offline model of distribution, and an end-to-end friendly user experience, enabling investors to improve savings and tackle financial inclusion problems.</t>
  </si>
  <si>
    <t>Accel, Aleksander Larsen, Alexa von Tobel, Andy Hoag, Argor, BRI Ventures, Catur Group, Celebes Capital, Daniela Binatti, GO Ventures, Gold House Ventures, Goldhouse Capital, Jannick Malling, Jeffrey Zirlin, Leif Abraham, Mantis VC, MUFG Innovation Partners, Openspace Capital, Raghu Yarlagadda, Sergio Jimenez, SIG Venture Capital, Square Peg Capital, Sujata Bhatia, The Chainsmokers, Trung Nguyen, UOB Venture Management</t>
  </si>
  <si>
    <t>www.pluang.com</t>
  </si>
  <si>
    <t>466980-22</t>
  </si>
  <si>
    <t>Pluggy</t>
  </si>
  <si>
    <t>Developer of open banking infrastructure for programmers designed to connect fintech applications to users' financial data. The company's platform allows its clients and their companies to get access to their digital financial data flexibly and provides innovators of all segments and sizes to create experiences based on open finance with security and respect for users' privacy, enabling institutions and their clients to share their banking data through interconnected APIs to provide differentiated services according to individual consumption.</t>
  </si>
  <si>
    <t>B Venture Capital, EquityRio, Fenasbac Inovacao, Gaingels, HBS Alumni Angels of Brazil, Iluminar Ventures, Lift Lab, Plug and Play Tech Center, True Capital Management, Urca Angels, Verve Capital, Y Combinator</t>
  </si>
  <si>
    <t>www.pluggy.ai</t>
  </si>
  <si>
    <t>525432-79</t>
  </si>
  <si>
    <t>Plumery</t>
  </si>
  <si>
    <t>Operator of a digital engagement platform intended to enable banks to implement mobile and web experiences. The company focuses on building and maintaining advanced features and functionalities, and the latest technology and innovations, enabling banks to accelerate their digital initiatives and provide them with the foundation for success.</t>
  </si>
  <si>
    <t>Adfisco, Alan Morgan, Better Tomorrow Ventures, Cedar-IBSi FinTech lab, Cocoa Ventures, Didier Valet, DN Capital, Frederick Knox, Headline, Kickstart Innovation, QED Investors, Seedcamp</t>
  </si>
  <si>
    <t>www.plumery.com</t>
  </si>
  <si>
    <t>491830-03</t>
  </si>
  <si>
    <t>Plumter</t>
  </si>
  <si>
    <t>Developer of a financial platform designed to make global payments efficiently at lower rates. The company's platform offers fast and secure international payments in foreign currencies, tracks payments, receives updates, and provides international banking, enabling businesses to send and receive money globally with ease.</t>
  </si>
  <si>
    <t>ARM Labs, True Capital Management, TVC Labs, Ventures Platform, Voltron Capital, Y Combinator</t>
  </si>
  <si>
    <t>www.plumter.com</t>
  </si>
  <si>
    <t>535615-84</t>
  </si>
  <si>
    <t>Plural (Financial Services)</t>
  </si>
  <si>
    <t>CleanTech, Cryptocurrency/Blockchain, FinTech</t>
  </si>
  <si>
    <t>Operator of an internet marketplace platform designed to enable investment in renewable energy infrastructure. The company's platform utilizes blockchain-enabled smart contracts to tokenize distributed energy assets, enabling fund and asset managers, as well as alternative retail investors, to invest directly in the clean energy transition alongside retirement savers.</t>
  </si>
  <si>
    <t>Compound (New York), Factor Capital, Maven 11, Necessary Ventures, Neoclassic, Paradigm, Volt Capital</t>
  </si>
  <si>
    <t>www.pluralfinance.com</t>
  </si>
  <si>
    <t>492703-03</t>
  </si>
  <si>
    <t>Plurall</t>
  </si>
  <si>
    <t>Developer of a financial platform designed to improve financial inclusion. The company offers micro and commercial lending products, a mobile payment system, and other financial services, enabling entrepreneurs and small and mid-size enterprises (SMEs) who are left out to access digital-first banking and financial services.</t>
  </si>
  <si>
    <t>Arrebol Capital, Global FinTech Venture Partners, Krealo, Tomorrow Capital (London), Tribeca Asset Management</t>
  </si>
  <si>
    <t>www.plurall.com</t>
  </si>
  <si>
    <t>484248-34</t>
  </si>
  <si>
    <t>Plus Platform</t>
  </si>
  <si>
    <t>Developer of an asset management and trading platform designed to simplify portfolio management for the mortgage market. The company's platform provides standardization and continuity of data throughout the life of the loan, offering permitted access to loan data, information, and files, enabling investors to connect with vendors in a standardized format.</t>
  </si>
  <si>
    <t>MS&amp;AD Ventures, REACH, TTV Capital</t>
  </si>
  <si>
    <t>www.plusplatform.io</t>
  </si>
  <si>
    <t>506946-88</t>
  </si>
  <si>
    <t>plutos ONE</t>
  </si>
  <si>
    <t>Operator of a subscription company intended to help brands create greater customer engagement. The company's platform offers multiple commerce transactions and incentives on a common platform using principles of behavioral finance, powered by artificial intelligence and machine learning technology, enabling companies to provide their customers with content and manage their entertainment and lifestyle needs through coupons and discounts.</t>
  </si>
  <si>
    <t>10,000 Startups-NASSCOM, Aakash Chaudhry, Abhishek Agarwal, Akhilesh Singh, Apurva Mehta, Auxano, ChanakyaVC, Cogniphy, Deepak Goyal, Deepak Jain, Dinkar Devgan, Eclectica Advisors, Gautam Kamath, Genesia Ventures, Harish Uniyal, Hemant Gupta, LVX, Mohit Wadhawan, Neeraj Jain, Neeraj Mohan, Prabhjeet Singh, Preeti Awasthi, Puneet Goyal, Raghuvanshi Investments, Rajesh Matta, Ravi Gosain, Rohit Chanana, Rowena Rumnong, Sahaj Khunteta, StartupXseed Ventures, Subramanya SV, Swordfish Ventures, Vinay Choletti, Vishal Sood</t>
  </si>
  <si>
    <t>www.plutos.one</t>
  </si>
  <si>
    <t>162448-75</t>
  </si>
  <si>
    <t>Plutus</t>
  </si>
  <si>
    <t>Cryptocurrency/Blockchain, FinTech, SaaS, TMT</t>
  </si>
  <si>
    <t>Operator of a non-custodial financial application and debit card infrastructure intended for decentralized rewards and digital asset spending. The company's platform integrates blockchain-based tokenization with everyday payment systems by offering a digital wallet, a payment card that yields percentage-based incentives on all transactions, and a recurring benefits system for popular merchants, enabling global consumers to accrue and redeem decentralized assets seamlessly for real-world purchases without the friction of traditional banking restrictions or centralized custody.</t>
  </si>
  <si>
    <t>Alphabit, Northbund Capital (Los Angeles), Rocketship.vc, Vissē Capital Partners</t>
  </si>
  <si>
    <t>www.plutus.it</t>
  </si>
  <si>
    <t>1241573-23</t>
  </si>
  <si>
    <t>Plutus (Financial Services)</t>
  </si>
  <si>
    <t>Developer of an investment technology platform designed to democratize hedge fund-grade strategies by making institutional-quality portfolios accessible to everyday investors. The company offers professionally curated, automated model portfolios that replicate institutional trading strategies, enabling customers to invest like elite hedge funds with full transparency, seamless execution in their own brokerage accounts and access to thematic, tax-optimized and diversified strategies that enhance returns while reducing complexity.</t>
  </si>
  <si>
    <t>Rocketship.vc, Vissē Capital Partners</t>
  </si>
  <si>
    <t>www.runplutus.com</t>
  </si>
  <si>
    <t>533309-77</t>
  </si>
  <si>
    <t>Pluvo</t>
  </si>
  <si>
    <t>Developer of an AI financial platform designed to transform business planning, performance tracking, and results management by providing a single, integrated platform. The company's tool provides services that unify financial, strategic, and performance management across all departments, eliminating inefficiencies and enhancing collaboration, and providing streamlined processes, improving financial management, enabling finance teams and CFOs to make data-driven decisions with improved accuracy and strategic clarity.</t>
  </si>
  <si>
    <t>Alchemist Accelerator, AltaIR Capital, Andreessen Horowitz, Deel, Elevate (Canada), Humla Ventures, Invest Ottawa, MakerLaunch, Mitacs, Perseverance Fund, StandUp Ventures, Treefrog Accelerator, WMNfintech</t>
  </si>
  <si>
    <t>www.pluvo.io</t>
  </si>
  <si>
    <t>521955-91</t>
  </si>
  <si>
    <t>Pocketbook (Financial Software)</t>
  </si>
  <si>
    <t>Developer of a payment processing platform designed to provide banking options to small and medium-sized businesses. The company's platform leverages artificial intelligence to offer various payment methods, integrates contracts and documents and stores all financial information in one place, enabling businesses to create personalized digital wallets with hassle-free invoicing and enhanced payment processing.</t>
  </si>
  <si>
    <t>www.pocketbook.tech</t>
  </si>
  <si>
    <t>1324932-67</t>
  </si>
  <si>
    <t>PocketCFO</t>
  </si>
  <si>
    <t>Developer of an artificial intelligence financial platform designed to provide real-time pre-accounting insights for accountants and their business clients. The company's software features automated bank reconciliation, multilingual optical character recognition, and predictive cash flow alerts, enabling accounting firms to streamline client communication, automate data entry, and deliver proactive financial advisory services.</t>
  </si>
  <si>
    <t>Coöperatieve Rabobank, ROM Utrecht Region</t>
  </si>
  <si>
    <t>pocketcfo.io</t>
  </si>
  <si>
    <t>754074-91</t>
  </si>
  <si>
    <t>Point3 (Financial Software)</t>
  </si>
  <si>
    <t>Developer of an account-to-account payments platform designed for making domestic transactions easy. The company's platform provides a developer-friendly payment module linkage, thereby eliminating high card fees and slow settlement experiences in the review process, enabling firms and businesses to increase users' repurchase rate and purchase frequency.</t>
  </si>
  <si>
    <t>D-Camp, HG Initiative, IBK Changgong, Mark &amp; Company, Tech Incubator Program for Startup, Thanks Ventures, V/Ventures, Yoonmin Foundation</t>
  </si>
  <si>
    <t>www.point3.io</t>
  </si>
  <si>
    <t>482000-95</t>
  </si>
  <si>
    <t>PointsKash</t>
  </si>
  <si>
    <t>Developer of a financial infrastructure platform designed to convert cash, rewards, and digital assets into liquid and spendable value. The company offers a kiosk network, integrated financial services including bill pay, check cashing, remittance, and crypto, along with a mobile app and stablecoin infrastructure, enabling cash-based consumers and underbanked individuals to access and use digital financial services seamlessly.</t>
  </si>
  <si>
    <t>Seabury Capital Group</t>
  </si>
  <si>
    <t>www.pointskash.com</t>
  </si>
  <si>
    <t>520809-04</t>
  </si>
  <si>
    <t>PointsOwl</t>
  </si>
  <si>
    <t>Artificial Intelligence &amp; Machine Learning, AudioTech, FinTech, Mobile</t>
  </si>
  <si>
    <t>Developer of a trading platform designed to enhance the buying, selling and trading of music shares. The company's platform provides investment opportunities in initial music offerings, buying and selling royalty shares, and receiving master royalty payouts, enabling clients to list their music and customers to receive royalty payouts proportional to the number of shares they own of a song.</t>
  </si>
  <si>
    <t>Claes-Henrik Julander, MarketX, OMVC, Robert Small, Vectr Ventures</t>
  </si>
  <si>
    <t>www.pointsowl.com</t>
  </si>
  <si>
    <t>548075-17</t>
  </si>
  <si>
    <t>PoliBit</t>
  </si>
  <si>
    <t>Developer of an investment management platform intended to streamline real estate and private market fund operations. The company's platform provides tools for investor onboarding, fundraising, portfolio tracking, capital calls, distributions, and reporting through a white-label investor portal, enabling investment managers to digitize workflows and provide transparency to their investors.</t>
  </si>
  <si>
    <t>Cacao Capital, REACH</t>
  </si>
  <si>
    <t>www.polibit.io</t>
  </si>
  <si>
    <t>466137-10</t>
  </si>
  <si>
    <t>Pomelo (Financial Software)</t>
  </si>
  <si>
    <t>Developer of a digital processing platform intended to redefine the possibilities in payment services. The company's platform allows the launch of virtual accounts and issuing prepaid and credit cards via compliant onboarding processes, enabling fintech and embedded finance players to get the exact customization they need for their program.</t>
  </si>
  <si>
    <t>20VC, 9Yards Capital Management, Adams Street Partners, Aito Capital, Alter Global, Angela Strange, BetaVentures, Biz Stone, BoxGroup, Clocktower Capital, Clocktower Ventures, Endeavor Catalyst, Eric Glyman, Fabrick, FJ Labs, Future Positive, Gilgamesh Ventures, Graph Ventures, Greyhound Capital, Guillaume Pousaz, Index Ventures, Insight Partners (New York), Itai Damti, Jacqueline Reses, Karim Atiyeh, Kaszek, Latitud, Martin Varsavski, Max Levchin, Maximilian Tayenthal, Monashees, Myelin VC, Norte Ventures, NXTP Ventures, Pear (California), Predictive Venture Partners, QED Investors, Rally Cap VC, S32, Samsung NEXT Ventures, SciFi VC, Sequoia Capital, Soma Capital, Spectra Investments, Tiger Global Management, TQ Ventures, William Hockey, Zinal Growth</t>
  </si>
  <si>
    <t>www.pomelo.la</t>
  </si>
  <si>
    <t>452841-85</t>
  </si>
  <si>
    <t>Pontte</t>
  </si>
  <si>
    <t>Developer of a financial platform designed to provide property-backed loans. The company's platform provides credit loans for mortgages with payment flexibility and allows approved borrowers to choose the payday for making an installment with the facility to skip any installment without any additional charges, enabling customers to get flexible interest rates on loans and choose their own paydays for each installment.</t>
  </si>
  <si>
    <t>Mauá Capital</t>
  </si>
  <si>
    <t>www.pontte.com.br</t>
  </si>
  <si>
    <t>338678-11</t>
  </si>
  <si>
    <t>Popupcar</t>
  </si>
  <si>
    <t>Provider of automobile financial platform designed to provide consumers with automobile and financial information. The company's platform focuses on automotive marketing services, SaaS integration, and financial services for car buyers, enabling consumers to receive updated automobile information and car buying assistance.</t>
  </si>
  <si>
    <t>Guangfa Hengtai Investment</t>
  </si>
  <si>
    <t>www.popupcar.com.cn</t>
  </si>
  <si>
    <t>494529-13</t>
  </si>
  <si>
    <t>PortF</t>
  </si>
  <si>
    <t>Developer of portfolio management platform intended for investment management and reporting purposes. The company's platform collects and organizes information from various sources, offers customizable reports, supports team collaboration, and uses artificial intelligence to review documents and highlight missing data, enabling investment firms to improve oversight, accuracy, and decision-making.</t>
  </si>
  <si>
    <t>28DIGITAL, CivTech Scotland, SFC Capital, Techstars</t>
  </si>
  <si>
    <t>www.portf.io</t>
  </si>
  <si>
    <t>960662-44</t>
  </si>
  <si>
    <t>Portfoy</t>
  </si>
  <si>
    <t>Developer of a fintech platform designed to help investors track and analyze multi-asset portfolios in real time. The company's platform offers automated balance monitoring, customizable interfaces, and performance and risk assessment tools, enabling individual investors to view their holdings across markets, gain clearer insights, and make more informed financial decisions.</t>
  </si>
  <si>
    <t>Bilgiyi Ticarileştirme Merkezi, Inveo Ventures</t>
  </si>
  <si>
    <t>www.theportfoy.com</t>
  </si>
  <si>
    <t>521258-05</t>
  </si>
  <si>
    <t>PortOne</t>
  </si>
  <si>
    <t>Developer of a payment orchestration platform designed to empower businesses with payment infrastructure. The company's platform simplifies the process of integrating with various payment service providers and offers features like single API integration, support for multiple payment methods and reconciliation tools, enabling online businesses to connect with a wider range of payment gateways and regional options and accept diverse payment methods.</t>
  </si>
  <si>
    <t>Aarden Partners, Arrington Capital, B Capital Group, Com2uS, COMEUP STARS, Company K Partners, Conductive Ventures, Hana Ventures, Hanwha, Hashed, HOF Capital, InterVest, K2 Investment Partners, Korea Credit Data, Korea Investment Partners, KT Investment, Kyowon, Nordstar Airlines, Nyca Partners, Samsung NEXT Ventures, SBVA, SK Networks, Stonebridge Capital, Stonebridge Ventures (Seoul), Wonik</t>
  </si>
  <si>
    <t>www.portone.io</t>
  </si>
  <si>
    <t>472453-57</t>
  </si>
  <si>
    <t>PostEx</t>
  </si>
  <si>
    <t>Developer of a fintech and logistics platform designed to offer cash-on-delivery and online payment options to online retailers. The company's platform features payment acceptance systems for customers and an upfront payment collection option for all cash-on-delivery orders, enabling businesses to monitor the status of their deliveries, retailers to track the shipment of the dispatched products, and accept payments.</t>
  </si>
  <si>
    <t>500 Global, Alma Capital, Conjunction Capital, DASH Ventures, Farhan Sheikh, Fatima Gobi Ventures, FJ Labs, Global Founders Capital, i2i Ventures, Kube VC, MSA Capital, RTP Global, Sanabil 500 MENA Seed Accelerator, Shorooq Partners, Stryde71, VentureSouq, Yasser Bashir, Youssef Salem, Zayn Venture Capital</t>
  </si>
  <si>
    <t>postex.pk</t>
  </si>
  <si>
    <t>484603-75</t>
  </si>
  <si>
    <t>Power Financial Wellness</t>
  </si>
  <si>
    <t>Developer of a financial platform designed to provide holistic financial services to the informal economy and the poorly served formal economy. The company's platform works with regulated banking and lending partners to provide customers with tools to pay, save, borrow, and protect instantly and affordably, and link directly to their sources of income to make the process frictionless, enabling individuals to access earned wages, loans, insurance, payments, and contribute to savings, so they can live with reduced financial-related stress.</t>
  </si>
  <si>
    <t>AXIAN Investment, Bolt (Automotive), Chandaria Capital, DOB Equity, First Circle Capital, FrontEnd Ventures, Jobtech Alliance, Mercy Corps, Norrsken Evolve, Push Ventures (Kenya), QED Investors, Quona Capital, Renew Capital, Visa Accelerator, Zephyr Management</t>
  </si>
  <si>
    <t>www.yourpower.io</t>
  </si>
  <si>
    <t>494494-03</t>
  </si>
  <si>
    <t>PowerCred</t>
  </si>
  <si>
    <t>Developer of unified alternate data APIs designed for re-imagining digital underwriting with comprehensive, real-time small and medium enterprise business data. The company's API provides real-time connectivity, which allows financial institutions to build better products to suit small business requirements, along with harnessing the power of their alternative data, enabling financial service providers to make smarter business decisions and expand their reach to products and allowing them to focus on growing their business.</t>
  </si>
  <si>
    <t>Forge Ventures, Rally Cap VC, Taurus Ventures, Tenity, TNB Aura, XA Network</t>
  </si>
  <si>
    <t>www.powercred.io</t>
  </si>
  <si>
    <t>172805-05</t>
  </si>
  <si>
    <t>PPmoney</t>
  </si>
  <si>
    <t>Developer of a peer-to-peer lending platform for individual investors and borrowers. The company's platform PPmoney provides information intermediary services to solve the problem of traditional financing, creating wealth value for individual investors and enabling borrowers to get loans in a more convenient way.</t>
  </si>
  <si>
    <t>Ants Capital, Bairong Mingtai Capital, Guangzhou Yuetai Group, Guoneng Jinhui, Huiyi Deqing, Jianxin Yang, Sinoroad</t>
  </si>
  <si>
    <t>www.ppmoney.com</t>
  </si>
  <si>
    <t>497788-21</t>
  </si>
  <si>
    <t>PRAP</t>
  </si>
  <si>
    <t>Developer of financial software designed for alternative investment comparison. The company's software allows individual investors to check all investment products and make rational choices beyond the limits of investment product prices and information gaps that are difficult for individual investors to compare, enabling investors to make informed decisions related to their investments.</t>
  </si>
  <si>
    <t>CNT Tech, iAccel (Seongnam-si), InfoBank, Tech Incubator Program for Startup</t>
  </si>
  <si>
    <t>prap.kr</t>
  </si>
  <si>
    <t>471191-05</t>
  </si>
  <si>
    <t>Precium</t>
  </si>
  <si>
    <t>Developer of a payment platform designed for enterprises to configure subscription models and payment channels easily. The company's platform optimizes payment performance, automates financial operations, and crafts customer experiences, helping multi-method pay-ins, payouts, and tokenization across multiple payment methods, while using smart routing rules and automated reconciliation to optimize payment performance, it payment acceptance and payout solutions are built to meet global merchants' standards, combined with localised risk and fraud monitoring and automated reconciliation across methods, enabling companies to easily automate their subscription billing and revenue operations.</t>
  </si>
  <si>
    <t>Checkout.com, Everywhere Ventures, Partech, Payworks (Canada), ProcessOut, QED Investors, Rally Cap VC, Sequoia Capital, Speedinvest, The Delta, Two Culture Capital, UNIQA Ventures, Visa</t>
  </si>
  <si>
    <t>www.precium.com</t>
  </si>
  <si>
    <t>1324918-18</t>
  </si>
  <si>
    <t>Predictable Benefits</t>
  </si>
  <si>
    <t>Operator of an ICHRA infrastructure platform intended to support benefit providers in delivering employer-sponsored health benefits. The company's platform offers white-label infrastructure, client relationship management control, and tools for administering individualized health reimbursement arrangements, enabling insurance agencies, brokers, PEOs, FOMs, TPAs, and carriers to provide flexible health benefit programs while maintaining client ownership.</t>
  </si>
  <si>
    <t>Service Provider Capital, Trailblazer HealthTech Accelerator</t>
  </si>
  <si>
    <t>www.predictablebenefits.com</t>
  </si>
  <si>
    <t>707537-35</t>
  </si>
  <si>
    <t>Predikt (Business/Productivity Software)</t>
  </si>
  <si>
    <t>Developer of an AI-driven finance platform intended to help finance teams of large companies and multinationals improve their financial forecasts. The company's platform leverages predictive models, integrating internal financial processes with external macroeconomic indicators such as global commodity prices, consumer behavior, and inflation, enabling companies to make accurate forecasts for KPIs such as revenue, costs, and profit, anticipate market shifts faster, and make better strategic decisions.</t>
  </si>
  <si>
    <t>Gilles Mattelin, Joris Van der Gucht, Jorn Vanysacker, Keyrus, Louis Jonckheere, Matthias Geeroms, Start It X, Volta Ventures</t>
  </si>
  <si>
    <t>www.predikt.ai</t>
  </si>
  <si>
    <t>482588-38</t>
  </si>
  <si>
    <t>PreStocks</t>
  </si>
  <si>
    <t>Operator of a decentralized trading platform designed to speculate on the valuation of any pre-initial public offering company or pre-token project. The company's platform offers neutral liquidity provision, token incentives, and composability and facilitates transactions, aiming to provide liquidity for investments in private companies, enabling users to take synthetic positions on pre-initial public offering companies.</t>
  </si>
  <si>
    <t>0xChop, Alex Smirnov, Alex Vynokur, Alliance (Other Capital Markets/Institutions), Andra Nicolau, Anton Bukov, Apollo Crypto, AscendEX, Auryn Macmillan, Benjamin Lakoff, Berggruen Holdings, Caballeros Capital, Charles Songhurst, Charles Vaughan, Danijel Danijel, DCVC, Derek Yoo, Dexterity Financial, Entropia Capital, Equilibrium Ventures, Fire Eyes, Flex Dapps, Fork Ventures, Global C (Pristina), Gorazd Ocvirk, Harrison Hines, Hilmar Orth, HoneyDAO, IOSG Ventures, Jonah Weinstein, Kieran Warwick, Koji Capital, Kyle Lui, Marin Digital Ventures, Mathieu Baril, Matt Symons, Maven 11, MEXC, Mitchell Amador, Nodar Janashia, NxGen Ventures, Paperclip Partners, Possible Ventures, Radek Ondráček, Re7 Capital, Republic Capital Adviser, Rob Salha, Rudy Lee, Ryan Chow, Ryan Zurrer, Ryon Nixon, Scoopy Trooples, See Eun Ha, Shima Capital, SpaceShip Dao, Stefan George, The LAO, Tristan Frizza, Tyler Scott Ward, Upside (Melbourne), Wanseob Lim, Yaroslav Artyukh</t>
  </si>
  <si>
    <t>www.prestocks.com</t>
  </si>
  <si>
    <t>503111-44</t>
  </si>
  <si>
    <t>Previ</t>
  </si>
  <si>
    <t>Developer of financial software designed to deduct personal expenses from a paycheck with cash back. The company connects users and partners for cash-back deals and ease of payment with no interest rates, annual fees, or late fees, enabling clients and users to get cashback and partners a way to acquire customers for more businesses.</t>
  </si>
  <si>
    <t>Bryce Roberts, Derek Andersen, Element Ventures (Utah), Jared Rodman, O'Reilly AlphaTech Ventures, Sound Ventures, Tandem Ventures (Utah), Tyler Hogge</t>
  </si>
  <si>
    <t>www.previ.com</t>
  </si>
  <si>
    <t>540018-91</t>
  </si>
  <si>
    <t>Previse Systems</t>
  </si>
  <si>
    <t>Big Data, FinTech, Oil &amp; Gas, SaaS</t>
  </si>
  <si>
    <t>Operator of an energy trading and risk management software solution company intended for electricity, natural gas, and certificates trading combining modern software architecture with the latest available tools and technology. The company offers products related to previse coral, previse coral technology, coral ecosystem, and services related to data migrations, and energy trading solutions, thereby helping clients with IT infrastructure for operational control and process automation as well as providing tools to understand trends and service-specific demand.</t>
  </si>
  <si>
    <t>Lightrock</t>
  </si>
  <si>
    <t>www.previsesystems.com</t>
  </si>
  <si>
    <t>442295-83</t>
  </si>
  <si>
    <t>PricePatent</t>
  </si>
  <si>
    <t>Developer of a patent analysis and valuation platform intended to help transform the data into actionable insights. The company provides data analysis tools for IP professionals to help track technology trends across the industry and automatically calculate the monetary value of patents in real time, enabling clients with insights into the future performance of security investments by identifying overvalued or undervalued technology companies.</t>
  </si>
  <si>
    <t>Coatue Management, GTM Capital, Kleiner Perkins, Madrona Venture Labs, Menlo Ventures, nVentures, U First Capital, Winvest Venture Capital</t>
  </si>
  <si>
    <t>www.pricepatent.com</t>
  </si>
  <si>
    <t>493109-83</t>
  </si>
  <si>
    <t>Prime</t>
  </si>
  <si>
    <t>Developer of embedded lending infrastructure technology designed to facilitate credit access for small businesses through software platforms. The company offers data integration systems, underwriting models, compliance management tools and program management capabilities, enabling software platforms and financial institutions to provide loans to small businesses within their existing products.</t>
  </si>
  <si>
    <t>Capital One Ventures, Customers Bank, Enigma (, New Enterprise Associates, Third Point, Third Point Ventures</t>
  </si>
  <si>
    <t>www.primeft.com</t>
  </si>
  <si>
    <t>231745-33</t>
  </si>
  <si>
    <t>Prime Dash</t>
  </si>
  <si>
    <t>Developer of financial decision-making software designed to offer immediate analysis and scoring of clients during loan processing. The company's software uses artificial intelligence and permits decision-makers to simulate various financial scenarios, without having the need to enter a single formula, remembering, or mastering any complex financial calculation, enabling businesses to make the appropriate and profitable decisions.</t>
  </si>
  <si>
    <t>Fortech Investments, InnovX (Bucharest), Start Path, Visa Innovation Program</t>
  </si>
  <si>
    <t>www.primedash.com</t>
  </si>
  <si>
    <t>1157541-04</t>
  </si>
  <si>
    <t>Prime Meridian</t>
  </si>
  <si>
    <t>Developer of an artificial intelligence-powered tax filing service designed to help individuals file federal and state returns at no cost. The company's platform ingests prior-year returns alongside current-year income and insurance documents, automatically identifies eligible deductions, generates a plain-English draft return for user review, and electronically submits it to the relevant authorities, enabling taxpayers across all fifty states to complete their filings accurately and without incurring professional preparation fees.</t>
  </si>
  <si>
    <t>Belief Capital, Calibration Capital, General Catalyst, Gokul Rajaram</t>
  </si>
  <si>
    <t>www.getprimemeridian.com</t>
  </si>
  <si>
    <t>496336-87</t>
  </si>
  <si>
    <t>Prime Short Term Credit</t>
  </si>
  <si>
    <t>Operator of a lending platform intended to provide short-term credit for building investment strategies. The company offers collateral credit in various types such as real estate, business lending, commercial development, and other collateral or equipment transaction financing, enabling individuals or businesses to grow their asset-based portfolios.</t>
  </si>
  <si>
    <t>www.primestc.com</t>
  </si>
  <si>
    <t>519212-98</t>
  </si>
  <si>
    <t>Principia</t>
  </si>
  <si>
    <t>Developer of a financial platform designed to manage the economic processes of universities. The company's platform specializes in financial management by taking over the entire billing and collection process while ensuring timely payment with zero defaults, providing students with flexibility in payment methods.</t>
  </si>
  <si>
    <t>Actyus, ARC Capital (Brazil), AXA, Crestone Capital, Endeavor Global, FJ Labs, Global Founders Capital, Google Accelerator, Moka Gestora, Spectra Investments, Supera Capital, Valor Capital Group</t>
  </si>
  <si>
    <t>www.principia.net</t>
  </si>
  <si>
    <t>540001-36</t>
  </si>
  <si>
    <t>Principle (Financial Software)</t>
  </si>
  <si>
    <t>Developer of a financial platform designed to provide loan terms for electric vehicle customers. The company is currently operating in stealth mode.</t>
  </si>
  <si>
    <t>Assurant Ventures, huge enterprise, Nika Partners</t>
  </si>
  <si>
    <t>731185-12</t>
  </si>
  <si>
    <t>Prior Labs</t>
  </si>
  <si>
    <t>Developer of foundation models designed to revolutionize the analysis of tabular data. The company's platform features TabPFN, a breakthrough model designed for rapid training and superior accuracy, significantly outperforming traditional methods by reducing training time from hours to seconds while effectively handling missing values and uninformative features, enabling researchers and businesses to streamline workflows in scientific discovery, financial modeling, and business intelligence.</t>
  </si>
  <si>
    <t>www.priorlabs.ai</t>
  </si>
  <si>
    <t>465542-56</t>
  </si>
  <si>
    <t>Prism 39</t>
  </si>
  <si>
    <t>Operator of a financial data platform intended to help professional investors and institutions with quantitative investment. The company's platform provides extraction and analysis services for all major economic data in the global market based on security identifiers, mapping, data standardization, and optimization core technologies, enabling investors to improve their data-related work efficiency.</t>
  </si>
  <si>
    <t>BonAngels Venture Partners, IBK Changgong, KB Innovation HUB, KDB NextRound, Schmidt (South Korea), SOLiDX (South Korea), Tech Incubator Program for Startup</t>
  </si>
  <si>
    <t>www.prism39.com</t>
  </si>
  <si>
    <t>521430-49</t>
  </si>
  <si>
    <t>Prismm</t>
  </si>
  <si>
    <t>Developer of a digital vault platform designed to support wealth transfer and asset management during life transitions and end-of-life events. The company's platform offers secure document storage for critical records, unified asset dashboards with integrated account views, structured beneficiary designation workflows, and guided transfer tools that support inheritance and asset distribution, enabling financial institutions, advisors, and individual clients to manage wealth information clearly and carry out legacy planning with confidence and reduced administrative burden.</t>
  </si>
  <si>
    <t>Bronze Valley, CAFE Fintech Accelerator, Delaware Division of Small Business, GrowthX Capital, State Small Business Credit Initiative</t>
  </si>
  <si>
    <t>www.getprismm.com</t>
  </si>
  <si>
    <t>1272504-88</t>
  </si>
  <si>
    <t>Privily</t>
  </si>
  <si>
    <t>Operator of a privacy-focused decentralized neobank intended to provide individuals and businesses with secure, self-custodial financial accounts and payment infrastructure across multiple blockchains. The company offers a shielded smart wallet powered by its proprietary privacy chain, featuring post-quantum security, chain abstraction and invisible swaps, enabling customers to maintain full control of their assets, safeguard their financial activity and seamlessly conduct one-time, subscription and service fee payments across chains without friction or exposure to blockchain complexity.</t>
  </si>
  <si>
    <t>Proof of Talk, X Ventures (Germany)</t>
  </si>
  <si>
    <t>www.privily.fi</t>
  </si>
  <si>
    <t>521703-82</t>
  </si>
  <si>
    <t>Proesc</t>
  </si>
  <si>
    <t>Developer of an online school management platform designed for financial management. The company's platform optimizes the academic, pedagogical, and financial processes of educational institutions, allowing school administrators to focus on the quality of education, reduce bad debt, and automate the enrollment of students.</t>
  </si>
  <si>
    <t>SQUARE Knowledge Ventures</t>
  </si>
  <si>
    <t>www.proesc.com</t>
  </si>
  <si>
    <t>500750-02</t>
  </si>
  <si>
    <t>Profit</t>
  </si>
  <si>
    <t>Developer of a SaaS-based platform designed for profitability analysis. The company's platform delivers insightful and actionable analysis to reveal the profitableness of each customer and offering by detailed financial metrics, customer segmentation and performance tracking, enabling management teams to improve overall business value.</t>
  </si>
  <si>
    <t>www.profitinc.com</t>
  </si>
  <si>
    <t>343767-34</t>
  </si>
  <si>
    <t>Profitus (Financial Software)</t>
  </si>
  <si>
    <t>Developer of a crowdfunding and investments platform designed for investments in real estate property. The company's platform acts as an intermediary between investors and those who want to raise funding for business ideas and real estate projects, enabling individuals to invest small amounts of money in real estate, to become partners in real estate projects, or implement their own real estate projects.</t>
  </si>
  <si>
    <t>www.profitus.com</t>
  </si>
  <si>
    <t>175209-22</t>
  </si>
  <si>
    <t>Profluo</t>
  </si>
  <si>
    <t>Developer of a cloud enterprise platform designed to redefine enterprise app development from a business process paradigm. The company's platform acts as a content and records repository that engages companies with their customers, suppliers, and employees, enabling customers to reduce the cost of ongoing operations and the speed of adaptation.</t>
  </si>
  <si>
    <t>Andreea Pipernea, BCR Seed Starter, Bogdan Stanciu, Early Game Ventures, Endeavor Romania, InnovX (Bucharest), Inspire Capital (Romania), Inspired Capital (New York)</t>
  </si>
  <si>
    <t>www.profluo.com</t>
  </si>
  <si>
    <t>230374-99</t>
  </si>
  <si>
    <t>Proformex</t>
  </si>
  <si>
    <t>Developer of a life insurance policy management software intended to assist in policy monitoring and fiduciary management. The company's software aggregates all policies into a single, secure carrier and distribution agnostic software, enabling customers to get benefit from proactive identification of policy performance risk, new sales opportunities and a system designed to support regulatory compliance with best interest standards.</t>
  </si>
  <si>
    <t>Atlas Merchant Capital, January Ventures, Jumpstart Ventures, North Coast Ventures</t>
  </si>
  <si>
    <t>www.proformex.com</t>
  </si>
  <si>
    <t>216155-44</t>
  </si>
  <si>
    <t>Prolaz</t>
  </si>
  <si>
    <t>Provider of payment services intended for merchants through network host technology. The company partners with banks to offer multi-host services and value-added services, and it also specializes in reducing operational costs associated with EFT-POS terminals and provides coordinated sales activities to merchants for new products and services, enabling users with a cloud-based terminal driving gateway to support or upgrade existing static legacy services.</t>
  </si>
  <si>
    <t>New Vision 3, Novator Bulgaria, Rick Martin</t>
  </si>
  <si>
    <t>www.prolaz.hr</t>
  </si>
  <si>
    <t>442397-35</t>
  </si>
  <si>
    <t>Prolegis</t>
  </si>
  <si>
    <t>Legal Tech, Mortgage Tech, Real Estate Technology, SaaS</t>
  </si>
  <si>
    <t>Developer of a legal technology platform designed to streamline real estate conveyancing, estate planning, and private mortgage workflows for legal professionals. The company's platform offers browser-based matter management, automated templates, configurable workflows, built-in communication tools, centralized document handling, and secure data controls, enabling Canadian law firms and legal teams to manage complex transactions efficiently with reduced administrative burden and improved process consistency.</t>
  </si>
  <si>
    <t>Accelerate Fund, Birchcliff Partners, GroundBreak Ventures, REACH, Second Century Ventures, Sprout Fund, Yaletown Partners</t>
  </si>
  <si>
    <t>www.prolegis.ca</t>
  </si>
  <si>
    <t>490711-78</t>
  </si>
  <si>
    <t>PropHero</t>
  </si>
  <si>
    <t>Developer of an AI-powered real estate investment platform designed to support property investment and asset selection across global markets. The company offers artificial intelligence-based market forecasting, property sourcing, transaction management, renovation coordination, and rental support services, enabling individual and institutional real estate investors to identify and manage property investment opportunities more efficiently.</t>
  </si>
  <si>
    <t>AfterWork Ventures, Bailador Technology Investments, Everywhere Ventures, Fifth Wall, Foggy Valley Aotearoa, Global Founders Capital, Jelix Ventures, Opera Tech Ventures, Samaipata</t>
  </si>
  <si>
    <t>www.prophero.com</t>
  </si>
  <si>
    <t>467665-48</t>
  </si>
  <si>
    <t>Prophet Models</t>
  </si>
  <si>
    <t>Developer of financial planning software designed to create, analyze, and share sophisticated financial forecasts. The company's platform makes collaborative budget forecasting and complex modeling effective without an extended, resource-intensive implementation, enabling companies that have outgrown spreadsheets in the annual budgeting process to make efficient financial decisions.</t>
  </si>
  <si>
    <t>Also Capital, Dorm Room Fund, Pareto Holdings, University of Pennsylvania, Penn Engineering, Venture Initiation Program, Weiss Tech House</t>
  </si>
  <si>
    <t>www.tryprophet.com</t>
  </si>
  <si>
    <t>343626-76</t>
  </si>
  <si>
    <t>Prophit.ai</t>
  </si>
  <si>
    <t>Developer of a tax exemption platform designed to focus on sales, tax decision-making, and tax compliance. The company's platform applies advanced machine learning technology to help prevent corporations from overpaying sales tax that is paid in error each year by performing reverse audits, enabling clients to maintain compliance by solving the tax problem during purchasing.</t>
  </si>
  <si>
    <t>Forum Ventures, gBETA, Innovation Fund America, Jumpstart Ventures, Right Side Capital Management, Youngstown Business Incubator</t>
  </si>
  <si>
    <t>www.prophit.ai</t>
  </si>
  <si>
    <t>902485-81</t>
  </si>
  <si>
    <t>PropShopTrader</t>
  </si>
  <si>
    <t>Developer of a proprietary trading platform designed for skill-based capital allocation. The company's platform includes simulated trading environments, evaluation-free account access, trade copier functionality, flexible risk management tools, and support for both manual and algorithmic strategies, enabling retail traders and aspiring professionals to engage in structured trading programs that facilitate performance-based scaling, consistent payouts, and career development within a capital-backed ecosystem.</t>
  </si>
  <si>
    <t>www.propshoptrader.com</t>
  </si>
  <si>
    <t>534999-70</t>
  </si>
  <si>
    <t>Propto</t>
  </si>
  <si>
    <t>Developer of a SaaS-based real estate transaction management platform designed to automate and simplify the buying, renting and selling process online. The company's platform leverages blockchain technology to offer an end-to-end real estate transaction tool, e-signing and payment, secure document storage, automated online bidding and contract exchange, enabling businesses to improve wealth by investing in portions of properties.</t>
  </si>
  <si>
    <t>A100x Ventures, Enterprise Ireland, European Blockchain Sandbox, Prep4Seed</t>
  </si>
  <si>
    <t>www.propto.com</t>
  </si>
  <si>
    <t>599867-83</t>
  </si>
  <si>
    <t>ProsParity</t>
  </si>
  <si>
    <t>Developer of a digital financing platform designed to streamline access to credit for stakeholders in the electric mobility ecosystem. The company offers a full-stack lending infrastructure, tailored credit offerings for individuals, dealers, original equipment manufacturers (OEMs), and fleet operators, enabling underserved borrowers in urban and rural India to adopt electric vehicles for cleaner and more inclusive transportation.</t>
  </si>
  <si>
    <t>Abhishek Goyal, All In Capital, Amplify Partners, Ashish Gupta, BEENEXT Capital Management, DeVC, Dhyanesh Shah, Huddle (India), Huddle Ventures, Indian Silicon Valley, Medra Capital, Nitin Kaushal, Raj Dugar, Sparrow Capital</t>
  </si>
  <si>
    <t>www.prosparity.in</t>
  </si>
  <si>
    <t>718328-80</t>
  </si>
  <si>
    <t>Prosper (London)</t>
  </si>
  <si>
    <t>Developer of a financial planning platform intended to manage personal finances. The company offers tools for budgeting, investment tracking, and goal-based financial planning, enabling users to make informed financial decisions and build long-term financial stability for their kids.</t>
  </si>
  <si>
    <t>Zinc</t>
  </si>
  <si>
    <t>www.getprosper.co</t>
  </si>
  <si>
    <t>470465-02</t>
  </si>
  <si>
    <t>Prosperna</t>
  </si>
  <si>
    <t>CloudTech &amp; DevOps, Mobile, SaaS</t>
  </si>
  <si>
    <t>Developer of cloud-based online commerce software designed for small and medium-sized businesses to establish and grow their digital retail presence. The company's platform offers drag-and-drop store building, multi-channel order management across social media and marketplaces, integrated payment processing supporting various digital and card-based methods, automated shipping coordination, and performance analytics, enabling entrepreneurs to operate and scale an online business without technical expertise.</t>
  </si>
  <si>
    <t>DayOne Capital Ventures, Foxmont Capital Partners, IdeaSpace Ventures, Monk's Hill Ventures, QBO Innovation Hub, UBx (Financial Services)</t>
  </si>
  <si>
    <t>www.prosperna.com</t>
  </si>
  <si>
    <t>543133-81</t>
  </si>
  <si>
    <t>Prospero.ai</t>
  </si>
  <si>
    <t>Developer of an AI-powered stock analysis and reporting software designed to turn complex institutional data into actionable information. The company's software provides custom stock recommendations, signal-based exploration, advanced portfolio tracking and educational resources for market signal mastery, enabling retail traders and investors to improve win rates and make informed investment decisions.</t>
  </si>
  <si>
    <t>www.prospero.ai</t>
  </si>
  <si>
    <t>593096-41</t>
  </si>
  <si>
    <t>Prosperr.io</t>
  </si>
  <si>
    <t>Developer of a tax management platform designed to simplify compliance and ongoing tax planning. The company's platform offers real time tax tracking, artificial intelligence driven optimization, and access to dedicated tax advisors, enabling individual taxpayers and professionals accurate filing and year round tax clarity.</t>
  </si>
  <si>
    <t>Gokul Rajaram, GSF India, Jungle Ventures, Kunal Shah, Ramakant Sharma, Sadev Ventures, Saurabh Jain, Vinodh Bhat, Yatra Angel Network</t>
  </si>
  <si>
    <t>www.prosperr.io</t>
  </si>
  <si>
    <t>607219-84</t>
  </si>
  <si>
    <t>Prospinity</t>
  </si>
  <si>
    <t>Developer of a pooled income-sharing arrangement system designed for mitigating career risk and sharing financial gains. The company's platform manages contractual agreements among members to evenly redistribute a small percentage of annual earnings by structuring the customizable terms of the agreement, securely verifying members' incomes on an annual basis, and facilitating seamless and immediate financial distributions among the group, enabling professionals and individuals to diversify their income streams and establish robust, high-value peer networks.</t>
  </si>
  <si>
    <t>Slow Ventures, Xfund</t>
  </si>
  <si>
    <t>www.prospinity.com</t>
  </si>
  <si>
    <t>435493-36</t>
  </si>
  <si>
    <t>Proteus</t>
  </si>
  <si>
    <t>Developer of investment management platform designed to provide portfolio construction tools for optimized returns. The company offers features like sourcing of pre-diligence smaller, alpha-oriented opportunities, and direct co-investing deals, enabling wealth managers and fund sponsors to use strategies and find best investment opportunities efficiently.</t>
  </si>
  <si>
    <t>www.proteuscapital.us</t>
  </si>
  <si>
    <t>481351-60</t>
  </si>
  <si>
    <t>Protium</t>
  </si>
  <si>
    <t>Operator of an online lending platform intended to provide loans to small and medium enterprises. The company is built on the foundations of engineering finance, fortress balance sheet, and digital India and has developed a proprietary model for lower NPA rates, making credit accessible to small and medium businesses, enabling consumers to make faster, flexible and more convenient purchase decisions.</t>
  </si>
  <si>
    <t>www.protium.co.in</t>
  </si>
  <si>
    <t>277217-20</t>
  </si>
  <si>
    <t>Provenance Blockchain</t>
  </si>
  <si>
    <t>Developer of a blockchain software designed to offer a public proof-of-stake blockchain network. The company's technology helps to originate loans, receive loan payments, buy and sell loans in the secondary market, and finance and securitize loans, enabling clients to trade and finance assets on the platform.</t>
  </si>
  <si>
    <t>Baseline Ventures, Conversion Capital, DCM Ventures, GateCap Ventures, HCM Capital, Intersection Growth Partners, KittyHawk, Morgan Creek Digital Assets, Nimble Ventures, ParaFi Capital, Ribbit Capital, Sustany GP, Tessera Venture Partners, ThirdStream Partners, TransLink Capital, Ulu Ventures</t>
  </si>
  <si>
    <t>www.provenance.io</t>
  </si>
  <si>
    <t>470654-20</t>
  </si>
  <si>
    <t>ProWallet</t>
  </si>
  <si>
    <t>Developer of a mobile payments platform designed for instant online settlements in the construction industry. The company's platform engages in secure digital payments through application software that facilitates balance inquiry and sending and receiving money through the web, enabling clients with smooth transactional processing for construction-related businesses.</t>
  </si>
  <si>
    <t>Blockchain Founders Fund</t>
  </si>
  <si>
    <t>www.prowalletusa.com</t>
  </si>
  <si>
    <t>491433-67</t>
  </si>
  <si>
    <t>ProXalys</t>
  </si>
  <si>
    <t>Developer of a financial management platform designed to democratize access to finance and digital banking services. The company's platform digitizes sales, automates payment reminders, manages customer credit, cash flow, and inventory, and facilitates access to financing for small merchants through an intelligent micro-factoring system, enabling small businesses and informal retailers to improve business operations and achieve economic stability.</t>
  </si>
  <si>
    <t>www.proboutik.io</t>
  </si>
  <si>
    <t>1319891-41</t>
  </si>
  <si>
    <t>Proximitty</t>
  </si>
  <si>
    <t>Developer of artificial intelligence loan servicing software designed to automate debt recovery workflows and improve borrower communication. The company's platform utilizes autonomous voice and browser agents, unified lending data layers, and proprietary computer vision to handle manual servicing tasks, personalize interactions, and monitor real-time regulatory compliance across multiple communication channels, enabling financial institutions to scale collection efforts and reduce regulatory risks without requiring engineering resources.</t>
  </si>
  <si>
    <t>Cohen Circle, Sterling Road, UpHonest Capital, Y Combinator</t>
  </si>
  <si>
    <t>www.proximitty.ai</t>
  </si>
  <si>
    <t>436804-30</t>
  </si>
  <si>
    <t>Proximity Finance</t>
  </si>
  <si>
    <t>Provider of financial microlending services intended to help and support farmers financially. The company's products and services are tailored to farmers' needs and offer a customer-centered finance approach, providing farmers with a suite of low-interest rate loans designed to meet their needs.</t>
  </si>
  <si>
    <t>Abler Nordic, Finnish Fund for Industrial Cooperation, Proparco</t>
  </si>
  <si>
    <t>www.proximityfinance.org</t>
  </si>
  <si>
    <t>434785-15</t>
  </si>
  <si>
    <t>Proxymity</t>
  </si>
  <si>
    <t>Developer of an investor communications platform designed to connect issuers, intermediaries, and investors in real time. The company's platform automates the processing of shareholder disclosure requests and responses in regulatory-compliant formats and timeframes and also provides a digital proxy voting system allowing meeting data, votes, and more to be sent and received in real-time, enabling businesses to have efficient and transparent technology with no manual data entry or paper-based transfer.</t>
  </si>
  <si>
    <t>Bank of New York Mellon, BNP Paribas Securities Services, Citi Ventures, Citigroup, Clearstream (Luxembourg), Computershare, DB1 Ventures, Deutsche Bank Ventures, Deutsche Börse, Euroclear, Fuse Incubator, HSBC Holdings, J.P. Morgan, JP Morgan Chase, Mediant (New York), Mitsubishi UFJ Trust and Banking, State Street</t>
  </si>
  <si>
    <t>www.proxymity.io</t>
  </si>
  <si>
    <t>493903-63</t>
  </si>
  <si>
    <t>Pryme Financial</t>
  </si>
  <si>
    <t>Developer of a fintech platform designed to empower individuals and businesses with seamless cross-border financial management. The company offers multi-currency personal, freelance, and business accounts, physical and virtual cards, AI-driven financial insights, and business productivity tools, enabling global users to streamline payments, track cash flow, and optimize financial decisions.</t>
  </si>
  <si>
    <t>Adedotun Sulaiman, Blackwater, Hyper Accelerator, Mary Akpobome</t>
  </si>
  <si>
    <t>www.mypryme.com</t>
  </si>
  <si>
    <t>711712-36</t>
  </si>
  <si>
    <t>PTS (Finanancial Services)</t>
  </si>
  <si>
    <t>Provider of digital payment services intended to digitize traditional banking cards. The company is currently operating in Stealth mode.</t>
  </si>
  <si>
    <t>BMCE Capital</t>
  </si>
  <si>
    <t>234198-91</t>
  </si>
  <si>
    <t>Pulse iD</t>
  </si>
  <si>
    <t>Developer of an identity platform designed to offer an online-to-offline loyalty network that connects financial institutions, merchants, and consumers. The company's platform uses geolocation trails and cognitive self-learning algorithms to automate how rewards are sourced, distributed &amp; redeemed, providing enterprises and merchants with seamless loyalty rewards redemption for customers and better customer engagement.</t>
  </si>
  <si>
    <t>Digital Ventures (Bangkok), Gauss Ventures, Investec, Robby Hilkowitz, SCB 10X, Siam Commercial Bank</t>
  </si>
  <si>
    <t>www.pulseid.com</t>
  </si>
  <si>
    <t>434125-45</t>
  </si>
  <si>
    <t>Pulse360</t>
  </si>
  <si>
    <t>Developer of an administration documentation platform designed to automate and streamline meeting preparations, follow-ups, and financial advice. The company's artificial intelligence-based writing platform offers features such as centralized document templates, internal reviews, tax planning, onboarding documents, task automation, and many more, helping financial advisors improve productivity, save time, and ensure that client communications are more consistent, clear, and error-free.</t>
  </si>
  <si>
    <t>Calm Company Fund, Dan Lok Ventures, Expert DOJO, UCR EPIC Innovation &amp; Entrepreneurship Programs, University of California, Riverside</t>
  </si>
  <si>
    <t>www.pulse360.com</t>
  </si>
  <si>
    <t>528886-27</t>
  </si>
  <si>
    <t>Pumpkn</t>
  </si>
  <si>
    <t>Developer of a financial technology platform intended to bridge the financial gap hindering African enterprises. The company leverages technologies and data to simplify the jargon and financial management, reduce the costs to acquire and finance, and provide fit-for-purpose credit services, enabling entrepreneurs to avail credit easily.</t>
  </si>
  <si>
    <t>Acasia Ventures, First Circle Capital, Kili Ventures (United Kingdom), Loyal VC, Marula Square, NEXT176, Renew Capital</t>
  </si>
  <si>
    <t>www.pumpkn.io</t>
  </si>
  <si>
    <t>500631-13</t>
  </si>
  <si>
    <t>Purpl</t>
  </si>
  <si>
    <t>Developer of an online payment application designed to boost financial inclusion for people. The company facilitates users sending airtime and money, paying bills with the same application, and managing finances, enabling users to accept, process, and disburse money with its product suite.</t>
  </si>
  <si>
    <t>Berytech, Flat6labs, Hub71, Humla Ventures, Modus Capital, Village Capital</t>
  </si>
  <si>
    <t>www.purplwallet.com</t>
  </si>
  <si>
    <t>453488-77</t>
  </si>
  <si>
    <t>Purple (Financial Software)</t>
  </si>
  <si>
    <t>Developer of a mobile banking platform designed to facilitate digital banking opportunities for disabled people. The company's platform offers services such as deposit accounts, prepaid cards for online or offline purchases, money transfers, cash withdrawal, and social security income (SSI) and social security disability insurance (SSDI), enabling users with disabilities to get financial literacy and easy banking facilities.</t>
  </si>
  <si>
    <t>Failup Ventures, Impact Assets, LivEdge Capital, Samaritan Partners</t>
  </si>
  <si>
    <t>www.withpurple.com</t>
  </si>
  <si>
    <t>459973-27</t>
  </si>
  <si>
    <t>Purpose Unlimited</t>
  </si>
  <si>
    <t>Developer of a financial technology platform designed to provide financial services to assist users in accomplishing their financial objectives. The company's platform provides a suite of financial tools and services that helps to invest, grow wealth, and retire confidently, enabling customers to access investment products at a low cost, receive personalised advice from financial advisors, and manage their finances online.</t>
  </si>
  <si>
    <t>Allianz X, OMERS Growth Equity</t>
  </si>
  <si>
    <t>www.purpose-unlimited.com</t>
  </si>
  <si>
    <t>615761-56</t>
  </si>
  <si>
    <t>PvX Partners</t>
  </si>
  <si>
    <t>Developer of a growth funding platform designed for consumer applications and to provide funding specifically for user acquisition. The company's data intelligence platform offers services such as co-investing in a company's sales and marketing budget, enabling investors to access a sustainable and mutually beneficial financing model.</t>
  </si>
  <si>
    <t>Drive by DraftKings, General Catalyst, Massachusetts Institute of Technology, Matej Lancaric, Michail Katkoff, Play Ventures, StoryHouse Ventures, T-accelerate Capital, Z Venture Capital</t>
  </si>
  <si>
    <t>www.pvxpartners.com</t>
  </si>
  <si>
    <t>494975-80</t>
  </si>
  <si>
    <t>Pylon (Financial Software)</t>
  </si>
  <si>
    <t>Developer of a mortgage-lending-as-a-service platform intended to originate, underwrite, process, fund, and close loans. The company's platform provides customizable mortgage origination infrastructure from application through closing via APIs and capital stack, enabling developers to integrate mortgage lending into their products and customers to experience the next generation of integrated lending.</t>
  </si>
  <si>
    <t>500 Global, Adam Nash, Allegis Capital, AllegisCyber, Citi SPRINT, Citi Ventures, Conversion Capital, Eric Glyman, Eugene Marinelli, Evan Moore, Fifth Wall, Immad Akhund, Jonathan Swanson, Montage Ventures, More Marquee, Naval Ravikant, Nichole Wischoff, Peter Thiel, QED Investors, Ravelin Capital, Red Sea Ventures, Samuel Hodges, Sheel Mohnot, Socially Financed, Village Global</t>
  </si>
  <si>
    <t>www.pylonlending.com</t>
  </si>
  <si>
    <t>454236-13</t>
  </si>
  <si>
    <t>Pyypl</t>
  </si>
  <si>
    <t>Developer of a mobile payment platform intended to offer non-bank digital financial services through an application. The company's platform offers a digital wallet, prepaid card, domestic user-to-user transfer, and mobile airtime top-up, and uses artificial intelligence for regulatory compliance, enabling users to have a safe, affordable, and easy-to-use globally accepted digital alternative.</t>
  </si>
  <si>
    <t>AstroLabs, Global Ventures (Private Equity), Hub71, Visor Ventures</t>
  </si>
  <si>
    <t>www.pyypl.com</t>
  </si>
  <si>
    <t>94713-67</t>
  </si>
  <si>
    <t>Qapital</t>
  </si>
  <si>
    <t>Developer of a personal finance platform designed to provide control over spending and promote savings. The company's platform aids users in setting up automatic rules for saving money, including roundups, time-based savings, and other customizations, enabling users to turn their habits and guilty pleasures into opportunities to save.</t>
  </si>
  <si>
    <t>500 Global, 500 Southeast Asia, Alejandro Zubillaga, Anthemis, Athanase Industrial Partner, CNI (Stockholm), Crest Eight, Entrée Capital, Fredrik Jung-Abbou, Grape Arbor VC, Greyhound Capital, Inbox Capital, Industrifonden, Norron Asset Management, Northzone Ventures, Peter Read, Rocketship.vc, SEB Pension Denmark, Swedbank Robur, Tribeca Early Stage Partners, Velocity Capital Fintech Ventures</t>
  </si>
  <si>
    <t>www.qapital.com</t>
  </si>
  <si>
    <t>268537-24</t>
  </si>
  <si>
    <t>QARAsoft</t>
  </si>
  <si>
    <t>Developer of an asset management platform intended to forecast financial and analytical information. The company's platform specializes in artificial intelligence and deep learning technology, provides simplified financial information, and identifies similar trends in current markets to generate market forecasts of stocks, indices, and cryptocurrencies, enabling investors to pursue different types of investment and management services.</t>
  </si>
  <si>
    <t>www.qarasoft.com</t>
  </si>
  <si>
    <t>491708-62</t>
  </si>
  <si>
    <t>Qashio</t>
  </si>
  <si>
    <t>Developer of a financial platform designed to offer comprehensive enterprise expense management services. The company's virtual cards combined with its software allow expense reporting, better visibility, control of cash flows, and an empowered workforce, enabling businesses to manage their spending in a more automated and transparent way, saving hundreds of man-hours and reducing petty cash leakage in the process.</t>
  </si>
  <si>
    <t>500 Global, ABN Ventures, Cadorna Ventures, First Check Ventures, Hub71, Iliad Partners, MIT Alumni Angels of Boston, MoreThan Capital, Novo Capital, Nuwa Capital, One Way Ventures, Palm Drive Capital, Plug and Play Tech Center, Rally Cap VC, Realm Capital Ventures, Rocketship.vc, Sanabil 500 MENA Seed Accelerator, Venley Capital</t>
  </si>
  <si>
    <t>www.qashio.com</t>
  </si>
  <si>
    <t>458227-36</t>
  </si>
  <si>
    <t>Qbit (Financial Software)</t>
  </si>
  <si>
    <t>Developer of fintech company intended to offer an institution-level global cash management platform. The company is mainly engaged in offering payment and foreign exchange services and is committed to building a digital infrastructure for cross-border payments and global finance, building a digital infrastructure for cross-border payments and global finance, and providing users with high-quality service at a low cost.</t>
  </si>
  <si>
    <t>BitRock Capital (SG), Edge Ventures (China), Frees Fund, Parallel Ventures (China), Shata Capital, ZhenFund</t>
  </si>
  <si>
    <t>www.qbitnetwork.com</t>
  </si>
  <si>
    <t>434205-28</t>
  </si>
  <si>
    <t>Qerko</t>
  </si>
  <si>
    <t>FinTech, Mobile, Restaurant Technology</t>
  </si>
  <si>
    <t>Developer of a contactless payments platform intended to be used by restaurants and customers to ease the billing process. The company's platform assists customers in scanning QR codes, generating the bill, and also assists with payment for individual dishes, enabling customers to ease the process of bill generation and payment.</t>
  </si>
  <si>
    <t>Jaroslav Beck, Miton, Robert Kyncl</t>
  </si>
  <si>
    <t>www.qerko.com</t>
  </si>
  <si>
    <t>863192-26</t>
  </si>
  <si>
    <t>QFEX</t>
  </si>
  <si>
    <t>Operator of a financial exchange platform intended for continuous trading of traditional assets. The company offers all-day direct market access with perpetual futures contracts and customizable leverage options, enabling traders to engage equities, commodities and forex markets with flexible and direct execution.</t>
  </si>
  <si>
    <t>468 Capital, General Catalyst, Goodwater Capital, Liquid 2 Ventures, Moonfire, Nexus Venture Partners, Paul Graham, Ritual Capital, Sapienta Venture Capital, Transpose Platform Management, Y Combinator</t>
  </si>
  <si>
    <t>www.qfex.com</t>
  </si>
  <si>
    <t>439460-38</t>
  </si>
  <si>
    <t>Qflash</t>
  </si>
  <si>
    <t>Developer of a digital receivables financing platform designed to provide fast and transparent credit solutions for microentrepreneurs and small and medium-sized businesses. The company offers same-day advances on credit card receivables, partner sales, and invoice duplicates through a fully digital and paperless platform, enabling businesses, suppliers, and partners to improve cash flow, reduce bureaucracy, and access working capital without fees or collateral.</t>
  </si>
  <si>
    <t>Spectra Investments, Valor Capital Group</t>
  </si>
  <si>
    <t>www.qflash.com.br</t>
  </si>
  <si>
    <t>61201-99</t>
  </si>
  <si>
    <t>QFPay</t>
  </si>
  <si>
    <t>Developer of digital payment processing technology intended for retailers, e-commerce businesses, food and beverage operators, and service providers. The company develops digital transaction products, transaction management SaaS platforms, marketing, and related financial services, thereby enabling merchants and small business owners to improve the payment acquiring process.</t>
  </si>
  <si>
    <t>Eagles Fund, Fuiou, HSG (Hong Kong), InnoVen Capital, MDI Ventures, MPC (Beijing), Rakuten Capital, Shenzhen Forms Syntron Information, Shobunsha Holdings, VentureSouq, Whiz Partners, ZWC Partners</t>
  </si>
  <si>
    <t>www.qfpay.global</t>
  </si>
  <si>
    <t>519970-51</t>
  </si>
  <si>
    <t>Qgx digital</t>
  </si>
  <si>
    <t>Developer of a digital bank platform designed for financial consulting. The company's platform provides automated know your customer, and application programming interface documentation services such as insurance, top-ups, and loans, enabling clients to distribute financial products to their customers.</t>
  </si>
  <si>
    <t>CBFacil Corretora de Seguros e Negócios Ltda., Darwin Startups, Raro Recrutamento em TI Ltda., Torq (Brazil)</t>
  </si>
  <si>
    <t>www.qgx.digital</t>
  </si>
  <si>
    <t>186717-70</t>
  </si>
  <si>
    <t>QianbaoCard</t>
  </si>
  <si>
    <t>Developer and provider of a local life service platform designed to integrate with online to offline services. The company's application provides merchants with point-of-sale (POS) machines through which they can accept digital payments, as well as credit and marketing services, enabling merchants to have a one-stop service and make local life services easier.</t>
  </si>
  <si>
    <t>Gaorong Ventures, Guorong Financial</t>
  </si>
  <si>
    <t>www.qianbaocard.com</t>
  </si>
  <si>
    <t>437699-89</t>
  </si>
  <si>
    <t>Qimeng Technology</t>
  </si>
  <si>
    <t>Developer of a one-stop wealth management platform that operates on a turnkey asset management program (TAMP). The company's platform uses social marketing to connect financial planners and service providers with emerging financial institute clients, providing real-time data to users that allow for better portfolio management. The company also offers back-end TAMP platform (Turnkey Asset Management Platform) which provides services for small and medium securities firms and independent wealth management institutions.</t>
  </si>
  <si>
    <t>Koala Fund, Linkage Software (Financial Software), Qingsong Fund</t>
  </si>
  <si>
    <t>www.jingyizhanye.com</t>
  </si>
  <si>
    <t>434312-02</t>
  </si>
  <si>
    <t>Qinjia Digital Technology</t>
  </si>
  <si>
    <t>Developer of digital technology designed to provide financial services. The company's digital technology service includes capital asset intelligent trading platform, big data risk control system, blockchain application platform, and credit cloud platform, enabling financial institutions and users to obtain high quality financial services.</t>
  </si>
  <si>
    <t>Panda Capital Asia, Wanrong Investment</t>
  </si>
  <si>
    <t>www.qinjia2018.com</t>
  </si>
  <si>
    <t>528437-35</t>
  </si>
  <si>
    <t>Qippay</t>
  </si>
  <si>
    <t>Developer of a financial platform designed to streamline account-to-account transactions between businesses and clients. The company's platform powers real-time payments with the use of open finance technology, enabling clients to accept payments online without a merchant account at a low cost to the business.</t>
  </si>
  <si>
    <t>Creative HQ</t>
  </si>
  <si>
    <t>www.qippay.com</t>
  </si>
  <si>
    <t>471351-34</t>
  </si>
  <si>
    <t>Qira</t>
  </si>
  <si>
    <t>Operator of a fintech company intended for property managers and residents. The company offers various sophisticated security deposit programs and flexible rent payments integrated with the property technology, enabling property managers and owners to improve cash flow, reduce vacancies, and avoid bad debt.</t>
  </si>
  <si>
    <t>Clear Future, Cloquet Capital Partners, Ehud Levy, Phoenix Insurance Company (Multi-Line Insurance), Sergio Fogel Kaplan, Silvertech Ventures, Tzahi Arabov, Yuval Tal</t>
  </si>
  <si>
    <t>www.qira.com</t>
  </si>
  <si>
    <t>158243-95</t>
  </si>
  <si>
    <t>Qive</t>
  </si>
  <si>
    <t>Developer of a cloud-based accounts payable automation platform designed for streamlining payment and fiscal document management. The company's platform offers native integration with major systems, providing end-to-end automation encompassing invoice capture, validation, payment workflow management, supplier oversight, customizable approval flows, and analytical intelligence, enabling finance teams to achieve greater operational control, scalability, and financial predictability.</t>
  </si>
  <si>
    <t>Constellation Asset Management, Google Accelerator, Igah Ventures, International Finance Corporation, Monashees, NXTP Ventures, Riverwood Capital, Spectra Investments, Valor Capital Group</t>
  </si>
  <si>
    <t>www.qive.com.br</t>
  </si>
  <si>
    <t>266520-34</t>
  </si>
  <si>
    <t>Qiyewan</t>
  </si>
  <si>
    <t>Developer of a corporate expense management software for small-to-medium sized enterprises. The company specializes in developing an integrated receivables and payables management platform that tracks corporate ledgers, providing effective expense management services for companies.</t>
  </si>
  <si>
    <t>AMT Consulting Group, Peeli Ventures, Ruyi Capital, Suhehui</t>
  </si>
  <si>
    <t>www.qiyewan.com</t>
  </si>
  <si>
    <t>490989-07</t>
  </si>
  <si>
    <t>Qlub</t>
  </si>
  <si>
    <t>Developer of a payment platform designed to pay and manage restaurant bills. The company's platform specializes in making payments by simply scanning a quick response code, seeing the menu, and splitting the bills, all without any application or registration required, enabling businesses to offer a dine-in experience improved by technology.</t>
  </si>
  <si>
    <t>Al Dhabi Capital, Beltone Venture Capital, Cherry Ventures, Citadel International Holdings, e&amp; capital, Endeavor Catalyst, FinTech Collective, Heartcore Capital, Legend Capital, Mubadala Investment Company, NOMD Holdings, Point Nine Capital, Raed Ventures, Shorooq Partners, Start Path, STV</t>
  </si>
  <si>
    <t>www.qlub.io</t>
  </si>
  <si>
    <t>515222-29</t>
  </si>
  <si>
    <t>qomodo</t>
  </si>
  <si>
    <t>Operator of a lending finance platform intended to provide instant financing. The company's platform provides pre-approved credit, and offers small interest and easy installments facility, enabling clients to split their bills in monthly installments with the accessibility of service providers.</t>
  </si>
  <si>
    <t>Andrea Gennarini, Attilio Mazzilli, Benedetta Lucini, Christer Holloman, Cmd + N, Delirus Capital, Exor, Fasanara Capital, Frederick Kelly, Giorgio Tinacci, Giuseppe Lacerenza, Investinit, Ithaca Investments, Kai Hansen, LMDV Capital, Luca Ascani, Luca Rodella, Lumen Ventures (Rome), Mark Ransford, Michele Attisani, Niccolo Maisto, Notion Capital, Octopus Venture Capital, Pietro Invernizzi, Plug and Play Tech Center, Primo Capital (Milano), Proximity Capital, Raffaele Terrone, RTP Global, Serge Chiaramonte, Simone Mancini, SM Capital (San Marino), Stiven Muccioli, The Techshop, Vento (Venture Capital), Vito Lomele, William Neale</t>
  </si>
  <si>
    <t>www.qomodo.me</t>
  </si>
  <si>
    <t>266463-37</t>
  </si>
  <si>
    <t>Qonect (Financial Software)</t>
  </si>
  <si>
    <t>Digital Health, FinTech, HealthTech, LOHAS &amp; Wellness, Mobile, SaaS</t>
  </si>
  <si>
    <t>Developer of a digital health platform designed to offer financial assistance in medical emergencies. The company offers a free digital health card that provides discounts on medical and medicine bills, medical emergency loans, e-lab test reports, and the ability to book OPD appointments, enabling users to access affordable, quality healthcare and timely medical care for those who have to cover their healthcare expenses out of pocket.</t>
  </si>
  <si>
    <t>BHARAT IMPACT, Bharat Inclusion Seed Fund, BRTC Incubator, IIMA Ventures, Kotak Mahindra Venture Capital, MassChallenge, NEDFi Venture Capital</t>
  </si>
  <si>
    <t>www.qonect.in</t>
  </si>
  <si>
    <t>865042-12</t>
  </si>
  <si>
    <t>Qonta</t>
  </si>
  <si>
    <t>Developer of a digital financial platform designed to simplify business banking and payment management for enterprises. The company's platform provides multi-currency accounts, automated payments, expense tracking, and accounting integration, enabling small and medium-sized businesses to efficiently handle transactions, monitor finances, and maintain oversight of their financial activities.</t>
  </si>
  <si>
    <t>Caravela Capital</t>
  </si>
  <si>
    <t>www.qonta.com.br</t>
  </si>
  <si>
    <t>229339-90</t>
  </si>
  <si>
    <t>Qoyod</t>
  </si>
  <si>
    <t>Developer of an online accounting and invoicing platform intended to raise relevant competencies with productivity tools to ensure continuity and competition. The company's platform provides the issue of purchase orders, stock management, point of sales service, and API service, in addition to features of powers and approvals management by users, enabling clients to have access to a wide range of packages and utilize the available accounting services offered by the platform, on a monthly or annual basis.</t>
  </si>
  <si>
    <t>Arzan Venture Capital, Badir Incubator, Cedar Mundi Ventures, Eyad Albayouk, Merak Capital</t>
  </si>
  <si>
    <t>www.qoyod.com</t>
  </si>
  <si>
    <t>552602-98</t>
  </si>
  <si>
    <t>Qpay</t>
  </si>
  <si>
    <t>Developer of a buy now, pay later application designed to provide flexible financing for Omani consumers. The company offers a service that allows for flexible and convenient shopping without incurring additional charges when payments are made on time, providing users with daily updates on deals and promotions from their favorite brands, enabling customers to split their purchases into four interest-free installments, both online and in-store.</t>
  </si>
  <si>
    <t>Cyfr Capital, Qatar FinTech Hub Wave</t>
  </si>
  <si>
    <t>www.qpay.om</t>
  </si>
  <si>
    <t>439811-83</t>
  </si>
  <si>
    <t>QPLIX</t>
  </si>
  <si>
    <t>Developer of wealth management software designed to digitize the management of complex financial assets. The company's software helps with the assessment and comparison of different asset types and securely access asset reporting and real-time analytics, enabling clients to simplify complex processes in different aspects and stages of investment and wealth management.</t>
  </si>
  <si>
    <t>Deutsche Bank Ventures, Partech</t>
  </si>
  <si>
    <t>www.qplix.com</t>
  </si>
  <si>
    <t>472063-42</t>
  </si>
  <si>
    <t>Qred Soluções Financeiras</t>
  </si>
  <si>
    <t>Developer of an online microfinancing platform designed to provide credit to small and medium businesses. The company's platform offers online lending to solve the problem of a shortfall in cash flow and to provide credit that meets the operational needs of small businesses, enabling SMEs to secure loans easily and safely.</t>
  </si>
  <si>
    <t>www.qred.com.br</t>
  </si>
  <si>
    <t>465714-19</t>
  </si>
  <si>
    <t>Quansa</t>
  </si>
  <si>
    <t>Developer of a technology platform designed to redefine how work is paid for by transforming compensation into a driver of engagement and operational efficiency. The company offers an automated system that enables real-time, secure wage payments, enabling employers in foodservice, retail, and similar industries to foster more engaged teams, reduce turnover, and improve operational stability.</t>
  </si>
  <si>
    <t>Ariel Lambrecht, Bruna Guimaraes, Canary (Brazil), Google Accelerator, Mada Seghete, Magma Partners, Mariana Dias, Mauricio Feldman, Norte Ventures, Pear (California), Sequoia Capital, Spectra Investments, Valor Capital Group</t>
  </si>
  <si>
    <t>www.quansa.io/br</t>
  </si>
  <si>
    <t>436618-45</t>
  </si>
  <si>
    <t>Quant360</t>
  </si>
  <si>
    <t>Developer of quantitative trading technology software products. The company's quantitative trading software provides a quick quote system, quick counter system and data services for traders, providing quantitative institutional investors with lower latency and higher efficiency.</t>
  </si>
  <si>
    <t>Ally Capital China, Edge Ventures (China), NetEase Capital</t>
  </si>
  <si>
    <t>www.quant360.com</t>
  </si>
  <si>
    <t>231065-11</t>
  </si>
  <si>
    <t>Quantex</t>
  </si>
  <si>
    <t>Developer of an intelligent asset custodian and management platform. The company's data-driven asset management platform governs manager's entire investment management life cycle including investment product development, due diligence, execution, risk management, and post-deal analysis, providing integrated analytical and project management tools to help money managers increase investment flexibility and efficiency.</t>
  </si>
  <si>
    <t>CMB International Capital, Jiangmen Ventures, Lingfeng Capital, Shanghai Stonehill Technology, TopoScend Capital</t>
  </si>
  <si>
    <t>www.iquantex.com</t>
  </si>
  <si>
    <t>509316-76</t>
  </si>
  <si>
    <t>Quantflo</t>
  </si>
  <si>
    <t>Developer of a quantitative investment platform designed for institutional fund-of-fund investors. The company empowers institutional investment teams with the tools to make frictionless investment recommendations and offers tools to optimize the building, researching, and monitoring of portfolios at each step of the investment process, enabling investment teams to be at the frontier of quantitative investment concepts without a single line of code.</t>
  </si>
  <si>
    <t>1in100 Ventures, Antler, OIF Ventures, Utiliti Group</t>
  </si>
  <si>
    <t>www.quantflo.com</t>
  </si>
  <si>
    <t>91309-87</t>
  </si>
  <si>
    <t>Quantifeed</t>
  </si>
  <si>
    <t>FinTech, Industrials, SaaS, TMT</t>
  </si>
  <si>
    <t>Operator of an automated investment platform intended to offer a library of portfolios for asset allocation, thematic investments and other trading strategies. The company's platform provide banks, brokers and wealth planners with configurable options to suit their wealth management objectives as well as hosts portfolios of stocks, funds and other asset classes across all major global markets, enabling financial institutions to offer advisors and customers a digital wealth management experience under their own brand.</t>
  </si>
  <si>
    <t>Cathay Financial Holdings, Cyberport Hong Kong, Daiwa PI Partners, Fidelity International Strategic Ventures, Franklin Templeton Investments United Kingdom, HSBC Venture &amp; Growth Investments, LUN Partners Group, PGA Venture Partners</t>
  </si>
  <si>
    <t>www.quantifeed.com</t>
  </si>
  <si>
    <t>820848-70</t>
  </si>
  <si>
    <t>Quantillium</t>
  </si>
  <si>
    <t>Developer of a financial corporate filings data platform designed to redefine global finance by collecting and standardizing all forms of public financial data into a unified format for the organization. The company's platform specializes in security mapping, direct filing access, full content extraction, historical data, standardized financials, and financial filings, helping clients manage large volumes of corporate filing information efficiently and accurately within their workflows.</t>
  </si>
  <si>
    <t>Symbiotic Ventures</t>
  </si>
  <si>
    <t>www.quantillium.com</t>
  </si>
  <si>
    <t>434535-22</t>
  </si>
  <si>
    <t>Quantinfo Technology</t>
  </si>
  <si>
    <t>Developer of quantitative trading system designed to provide financial quantitative information. The company's platform provides quantitative-driven electronic trading solutions, including market data cleansing, trading strategy development, trading strategy execution and risk management, enabling financial institutions to obtain comprehensive quantitative trading support.</t>
  </si>
  <si>
    <t>Beijing Qianxian Technology, GP Capital (Shanghai), Huagai Capital, Koala Fund, Sanyi Capital (China), Tencent Investment</t>
  </si>
  <si>
    <t>www.quantinfotech.com</t>
  </si>
  <si>
    <t>729346-33</t>
  </si>
  <si>
    <t>Quanto</t>
  </si>
  <si>
    <t>Developer of AI-powered financial automation tools designed for accounting process optimization. The company's platform features anomaly detection, automated bank reconciliation, transaction categorization, receipt extraction from emails, and smart bookkeeping assistance, enabling accounting firms to reduce manual workloads, accelerate client onboarding, and improve operational efficiency while maintaining accuracy across financial records.</t>
  </si>
  <si>
    <t>eCommerce North, Elevate (Canada), Flair Ventures, Good News Ventures, Google Accelerator, Next (Consulting Services), Scale Shift Ventures, Sterling Road, Team Ignite Ventures</t>
  </si>
  <si>
    <t>www.quantobooks.com</t>
  </si>
  <si>
    <t>104555-08</t>
  </si>
  <si>
    <t>Quantum Fort</t>
  </si>
  <si>
    <t>Artificial Intelligence &amp; Machine Learning, Big Data, Cybersecurity, InsurTech, SaaS</t>
  </si>
  <si>
    <t>Developer of a cyber risk analytics platform intended to focus on overcoming challenges related to selling insurance. The company's platform uses machine learning and risk analytics to discover cyber exposure and underwriting insight and is focused on the entire insurance value chain, making lead generation, risk selection, pricing, cyber hygiene, scoring, exposure management and scenario modeling simple and effective, enabling insurance companies to make decisions on cyber security actions and investment.</t>
  </si>
  <si>
    <t>Tech Nation Group</t>
  </si>
  <si>
    <t>www.quantumfort.ch</t>
  </si>
  <si>
    <t>431376-13</t>
  </si>
  <si>
    <t>Quarterback Asset Management</t>
  </si>
  <si>
    <t>Provider of financial service tools designed to support behavioral coaches. The company's platform offers customized portfolio services tailored to investment goals and needs, enabling clients to optimize their allocation of assets.</t>
  </si>
  <si>
    <t>Ascendo Ventures, Aton (Korea), Friend Investment Partners (Seoul), KB Investment, Kyobo Life Planet, Mirae Asset Venture Investment, PLUX Ventures, Shinhan Financial Group, Winvest Venture Capital</t>
  </si>
  <si>
    <t>www.quarterback.co.kr</t>
  </si>
  <si>
    <t>156417-58</t>
  </si>
  <si>
    <t>QueroQuitar</t>
  </si>
  <si>
    <t>Developer of a debt negotiation platform designed for a direct payment channel. The company's platform provides privacy, independence, and security in operations carried out by debtors, facilitating access to debts without intermediaries, and also gives information and tips on how to improve the financial planning of families, enabling debtors and individuals to handle their debt online on a single platform.</t>
  </si>
  <si>
    <t>4Legacy, 500 Global, Artemisia, Bossa Invest, BR Startup, Carlos Mello, doValue, InovaBRA, MSW Capital, Wayra Brazil</t>
  </si>
  <si>
    <t>www.queroquitar.com.br</t>
  </si>
  <si>
    <t>506697-67</t>
  </si>
  <si>
    <t>Quickly</t>
  </si>
  <si>
    <t>Developer of invoicing and payment software designed to let small and medium businesses take control of working capital. The company's platform streamlines the transactional relationship between buyers and sellers while matching enterprise-level capital providers, like banks and institutional lenders, with SMBs by giving access to send invoices and by providing next-day access to verified receivables, receive funds, approve and make payments, enabling enterprises to increase cashflow by reducing the invoice chase and improve business growth.</t>
  </si>
  <si>
    <t>Alberta Innovates, Alcedio Capital, Plug and Play Tech Center, The Digital Commerce Calgary Fintech Award Contest, Thin Air Labs</t>
  </si>
  <si>
    <t>www.helloquickly.com</t>
  </si>
  <si>
    <t>498350-80</t>
  </si>
  <si>
    <t>Quidroom</t>
  </si>
  <si>
    <t>Operator of a social fintech platform intended to offer asset owners complimentary access to a global, virtual intelligence-sharing hub. The company's platform lets investors connect and exchange knowledge with one another based on common interests, wander the proverbial halls and discover rooms with hundreds of investors, and quietly enter and exit rooms at leisure, enabling investors to share their insights, conceive ideas, or share the latest market headlines.</t>
  </si>
  <si>
    <t>www.quidroom.com</t>
  </si>
  <si>
    <t>517504-51</t>
  </si>
  <si>
    <t>Quinn (Financial Software)</t>
  </si>
  <si>
    <t>Developer of a financial planning platform designed to deliver personalized financial guidance at scale. The company provides an embedded system that ingests customer financial data, generates policy-compliant recommendations, and automates the creation and delivery of financial plans, enabling clients to offer financial planning and advisory services without additional headcount.</t>
  </si>
  <si>
    <t>MoreVC, The Flying Whale, The Founders Arena, Viola FinTech</t>
  </si>
  <si>
    <t>www.quinnadvisor.com</t>
  </si>
  <si>
    <t>133661-80</t>
  </si>
  <si>
    <t>Quontic</t>
  </si>
  <si>
    <t>FinTech, Mortgage Tech, SaaS, TMT</t>
  </si>
  <si>
    <t>Operator of a digital bank intended to specialize in providing traditional banking services with adaptive lending and innovative deposit products. The company offers banking products such as community development mortgage loans, flexible loans, leveraged resources, drawbridge savings, reverse mortgage products, and much more, enabling entrepreneurs, immigrants, millennials, low-income families, and seniors to have access to various deposit products and flexible lending opportunities.</t>
  </si>
  <si>
    <t>United States Department of the Treasury</t>
  </si>
  <si>
    <t>www.quontic.com</t>
  </si>
  <si>
    <t>163507-33</t>
  </si>
  <si>
    <t>Qupital</t>
  </si>
  <si>
    <t>Operator of an online invoice discounting and exchange platform designed to help in injecting liquidity into the market. The company's platform helps qualified businesses to raise finance against their receivables by connecting them with professional investors in equitable win-win opportunities, enabling businesses to reduce cost of financing and professional investors to access an entirely new asset class of accounts receivables.</t>
  </si>
  <si>
    <t>Alibaba Group, Aria Group, BlackPine Group, CreditEase, Decacorn Capital, DRL Capital, Gobi Partners, Greater Bay Area Homeland, MindWorks Ventures, Nordstar Partners, Silverhorn Investment Advisors, The Innovation and Technology Commission</t>
  </si>
  <si>
    <t>www.qupital.com</t>
  </si>
  <si>
    <t>323575-48</t>
  </si>
  <si>
    <t>Qvistorp</t>
  </si>
  <si>
    <t>Provider of agile project portfolio management services intended to change the way corporations evaluate investment and growth strategies. The company offers standardization, consistency, and comparability across the entire portfolio of strategic projects and supporting value creation and identification of winning ventures across all growth opportunities, enabling companies and organizations to make informed data-driven decisions toward allocating their capital expenditures and growth strategies.</t>
  </si>
  <si>
    <t>European Union, Government of the Republic of Poland, Invento, Portal Funduszy Europejskich</t>
  </si>
  <si>
    <t>www.qvistorp.com</t>
  </si>
  <si>
    <t>431571-79</t>
  </si>
  <si>
    <t>R5</t>
  </si>
  <si>
    <t>Developer of an online insurance and lending platform created to facilitate finance using assets such as cars and motorcycles as collateral. The company's platform offers low-income customers the funds to refinance their expensive debt or invest in their businesses and provides a digital process with the purchase of their compulsory vehicle insurance with cheap policies, enabling customers to use their vehicle as a backup to access credits at low rates.</t>
  </si>
  <si>
    <t>Accion, Actions Capital, Carao Ventures, CG Partners, Endeavor Catalyst, Global Founders Capital, Magma Partners</t>
  </si>
  <si>
    <t>www.grupor5.com</t>
  </si>
  <si>
    <t>494294-86</t>
  </si>
  <si>
    <t>Racional</t>
  </si>
  <si>
    <t>Developer of a fintech mobile application designed to invest in stocks and build portfolios digitally. The company's application allows users to buy and sell ETFs, recommends portfolios, sustainable investments, and investment strategies, and automates transfers, enabling clients to operate multiple portfolios with instant withdrawal facilities.</t>
  </si>
  <si>
    <t>Amarena, Betterfly, Genesis Ventures</t>
  </si>
  <si>
    <t>www.racional.cl</t>
  </si>
  <si>
    <t>519277-33</t>
  </si>
  <si>
    <t>Rackle</t>
  </si>
  <si>
    <t>Developer of a financial technology platform intended to serve neo-banking services. The company's platform is building a front-end and direct integration with its strategic partners with an application programming interface, management and control panel, enabling businesses to go live with neo-bank services in weeks and start providing banking services without a license.</t>
  </si>
  <si>
    <t>Arz Portfoy</t>
  </si>
  <si>
    <t>www.rackle.io</t>
  </si>
  <si>
    <t>497323-45</t>
  </si>
  <si>
    <t>Radicant</t>
  </si>
  <si>
    <t>Operator of a digital bank intended to offer banking and wealth management services. The company provides sustainable, goal-based investment portfolios, allowing users to grow their wealth while supporting environmental and social causes, along with personalized recommendations and life planning tools that consider both financial goals and climate impact, enabling customers to get financing for their sustainable goals.</t>
  </si>
  <si>
    <t>Basellandschaftliche Kantonalbank, Seed X Liechtenstein</t>
  </si>
  <si>
    <t>www.radicant.com</t>
  </si>
  <si>
    <t>534497-68</t>
  </si>
  <si>
    <t>Rahmat</t>
  </si>
  <si>
    <t>Developer of a FinTech application intended to automate restaurant payment, tips, and reviews via QR code. The company's application digitizes restaurant payments and tipping via QR codes, integrating with major payment systems while ensuring fiscal compliance and providing feedback capabilities for hospitality businesses, enabling hospitality businesses to integrate with cash register software where the payment on the invoice is credited to the business's current account.</t>
  </si>
  <si>
    <t>Semurg VC</t>
  </si>
  <si>
    <t>www.rhmt.uz</t>
  </si>
  <si>
    <t>502639-66</t>
  </si>
  <si>
    <t>Rails (Business/Productivity Software)</t>
  </si>
  <si>
    <t>Operator of a financial automation platform designed to streamline third-party logistics billing processes. The company's platform automates end-to-end billing, integrates seamlessly with existing systems, and provides complete visibility into financial operations, enabling third-party logistics providers to reduce errors, save time, and increase profitability through accurate and transparent billing practices.</t>
  </si>
  <si>
    <t>BoxGroup, Dorm Room Fund, Good Friends, Lorimer Ventures, Notation Capital, Operator Partners</t>
  </si>
  <si>
    <t>www.withrails.com</t>
  </si>
  <si>
    <t>266645-35</t>
  </si>
  <si>
    <t>Rain (Financial Software)</t>
  </si>
  <si>
    <t>Developer of a cryptocurrency trading platform designed to facilitate the buying, selling, and exchange of digital assets. The company's platform enables cryptocurrency trading, portfolio management, digital asset swaps, advanced charting, conditional order execution, over-the-counter trading services, and secure asset custody through offline cold storage systems, enabling retail investors, institutional clients, and cryptocurrency traders to manage and trade digital assets through a regulated online platform.</t>
  </si>
  <si>
    <t>100x Ventures, 500 Global, Aaron Lasher, Aaron Voisine, Abdul Latif Jameel (Conglomerates), Cadenza Capital, CMT Digital Holdings, Coinbase Global, Coinbase Ventures, David Yerger, Dennis Porto, Dubai International Finance Centre, Global Founders Capital, Huat Ventures, Jameel Investment Management Company, Jimmy Song, Josh Cramer, Kleiner Perkins, Michael Komarnsky, Middle East Venture Partners, Mohammad Razzouqi, Musaab Hakami, Nexo Ventures, Paradigm, Paul Hieromnimon, Renae Neumann, Robot Ventures, SBX Capital, Storm Global, SV8, Taibah Valley, VentureSouq, Vision Ventures (Saudi Arabia)</t>
  </si>
  <si>
    <t>www.rain.com</t>
  </si>
  <si>
    <t>266857-03</t>
  </si>
  <si>
    <t>Rain City Capital</t>
  </si>
  <si>
    <t>Provider of bridge financing services intended to give financial aid to real estate investors and professionals. The company's services provide investors with property purchases at the foreclosure auction from financial institutions, at wholesale, or through traditional channels, enabling real estate firms to avail of simple, borrower-friendly services.</t>
  </si>
  <si>
    <t>www.raincitycapital.com</t>
  </si>
  <si>
    <t>590201-11</t>
  </si>
  <si>
    <t>Rakeez Capital</t>
  </si>
  <si>
    <t>Developer of a fintech platform intended for issuing debt instruments and sukuks. The company's platform localizes debt instruments in the Saudi financial market and facilitates investment opportunities, enabling companies to be authorized within the financial technology laboratory of the capital market authority to offer and invest in debt instruments.</t>
  </si>
  <si>
    <t>www.rakeez.sa</t>
  </si>
  <si>
    <t>510009-49</t>
  </si>
  <si>
    <t>Rakkar Digital</t>
  </si>
  <si>
    <t>Provider of digital asset custody and related services intended to hold and protect digital assets from hackers and unauthorized use. The company specializes in digital assets and blockchain-based banking, enabling enterprises and institutions to securely store and access digital assets and cryptocurrencies.</t>
  </si>
  <si>
    <t>Fireblocks, SCB 10X, SCBX</t>
  </si>
  <si>
    <t>www.rakkardigital.com</t>
  </si>
  <si>
    <t>885680-74</t>
  </si>
  <si>
    <t>Rampa (Business/Productivity Software)</t>
  </si>
  <si>
    <t>Provider of payment infrastructure intended for global enterprise financial flows. The company's platform offers multi-currency settlements, including stablecoins, ensures compliance with global and local financial regulations and provides real-time processing with embedded blockchain and integration with traditional rails, enabling companies with global payment obligations and businesses in emerging markets to significantly reduce the time, cost and complexity of their cross-border transactions and unlock global commerce.</t>
  </si>
  <si>
    <t>BuenTrip Ventures, FJ Labs, Newtopia VC, Precursor Ventures</t>
  </si>
  <si>
    <t>rampapay.com</t>
  </si>
  <si>
    <t>481671-64</t>
  </si>
  <si>
    <t>Rand</t>
  </si>
  <si>
    <t>Developer of a financial technology platform designed to build long-term wealth by developing the best money products. The company specializes in helping generate yield, without requiring an extensive time commitment each week, and it handles due diligence on third-party partners, continuously rebalances staked positions, and reinvests yields to maximize the return, applying a hedge to mitigate concerns about currency fluctuations, enabling users to earn a higher yield than a regular savings account by connecting them with real yields from proof of stake blockchains.</t>
  </si>
  <si>
    <t>Ath21, Digital Finance Group, Farside Ventures, Funders, Inveready Asset Management, JME Venture Capital, Jsquare Capital, LongHash Ventures, MEXC, Outlier Ventures, Primal Capital, Stratminds VC, Telefonica Argentina, Wayra</t>
  </si>
  <si>
    <t>www.rand.app</t>
  </si>
  <si>
    <t>490271-14</t>
  </si>
  <si>
    <t>Rank (Specialized Finance)</t>
  </si>
  <si>
    <t>Developer of a financial technology platform designed to simplify the process of community finance for Africa. The company's platform offers flexible low-interest loans, creates multiple savings plans, and allows one to file claims and get cashback instantly on mobile phones, enabling businesses to access working capital and enjoy high-yield interest savings.</t>
  </si>
  <si>
    <t>186 Ventures, Aidi Ventures, DG Daiwa Ventures, Goodwater Capital, Kinetic Ventures, Kola Aina, Magic Fund, Murtaza Ahmed, Predictive Venture Partners, Realm Capital Ventures, Serunjogi Ventures, The Oak Capital, TrechCircle, Uncovered Fund, Ventures Platform, Visa Accelerator, Voltron Capital, Y Combinator</t>
  </si>
  <si>
    <t>www.userank.com</t>
  </si>
  <si>
    <t>519015-52</t>
  </si>
  <si>
    <t>RAQUEST</t>
  </si>
  <si>
    <t>Operator of a fintech company intended to simplify withholding tax procedures. The company's platform integrates automated processes for claiming tax exemptions at the source, performing refunds, submitting standard reclaims, managing tax receivables through a monitoring module, and facilitating digital data transfer via interfaces to meet required electronic filing standards, enabling global financial institutions, including depositary banks and custodians, to achieve operational efficiency and maintain regulatory compliance while improving client satisfaction by securing higher returns for investors.</t>
  </si>
  <si>
    <t>Groundshift</t>
  </si>
  <si>
    <t>www.raquest.tax</t>
  </si>
  <si>
    <t>1161205-84</t>
  </si>
  <si>
    <t>Rased</t>
  </si>
  <si>
    <t>Developer of an AI-powered real-time fraud detection and compliance platform designed to instantly identify and prevent digital financial fraud for financial institutions and regulators. The company offers a sophisticated AI engine that scores every user session in milliseconds by analyzing real-time behavioral and device signals, enabling customers to stop suspicious transactions before they escalate, significantly reduce financial losses, maintain a non-interruptive user experience and achieve full compliance with stringent regulatory standards like SAMA.</t>
  </si>
  <si>
    <t>Shorooq Partners, Wa'ed Ventures</t>
  </si>
  <si>
    <t>www.rased.ai</t>
  </si>
  <si>
    <t>471782-89</t>
  </si>
  <si>
    <t>RasMal</t>
  </si>
  <si>
    <t>Developer of a cap table and equity management software designed to help founders and investors make better fundraising decisions. The company's platform features fundraising and exit modeling, data room management, cash burn analysis, legal document generation, and more, enabling clients to be more informed about financial performance and well-governed internally.</t>
  </si>
  <si>
    <t>Syndicate Holding Group</t>
  </si>
  <si>
    <t>www.rasmal.io</t>
  </si>
  <si>
    <t>498118-33</t>
  </si>
  <si>
    <t>Rauva</t>
  </si>
  <si>
    <t>Developer of a financial platform designed to provide a compatible, automated, integrated experience of banking and financial management needs. The company's platform facilitates cash flow management, bookkeeping, budgeting, instant credit card, invoice management, and expense management, making entrepreneurship easily accessible, enabling business owners to manage their finances in one application.</t>
  </si>
  <si>
    <t>Kima Ventures, Unicorn Factory Lisboa</t>
  </si>
  <si>
    <t>www.rauva.com</t>
  </si>
  <si>
    <t>515012-14</t>
  </si>
  <si>
    <t>Raze (Financial Services)</t>
  </si>
  <si>
    <t>Developer of a fundraising platform intended for businesses to streamline fundraising services. The company's platform allows the company to tokenize assets for raising capital and managing equity, from funding to exit globally, all within US securities regulatory compliance, its fundraising operating system and set of services are poised to become a leader in an emergent multi-trillion dollar market, enabling organizations to access necessary tools to meet their fundraising needs and create value creation for customers and the investor ecosystem.</t>
  </si>
  <si>
    <t>Daxos Capital</t>
  </si>
  <si>
    <t>www.raze.finance</t>
  </si>
  <si>
    <t>442651-42</t>
  </si>
  <si>
    <t>RD Technologies</t>
  </si>
  <si>
    <t>Developer of blockchain-based digital wallet solutions aims to enable secure asset management and digital finance access. The company's offerings feature encrypted digital wallet platforms, multi-currency support, seamless integration with decentralized finance (DeFi) protocols and staking services, helping users manage their crypto assets safely, transact across global networks, and participate in blockchain ecosystems, enabling scalable adoption of secure, user-friendly digital finance infrastructure.</t>
  </si>
  <si>
    <t>Anagram (Financial Software), Aptos Labs, Bright Venture Capital (China), China Harbour Engineering Company, Hash Global, Hivemind Capital, HSG (Hong Kong), Immutable Capital, Matrixport Ventures, SNZ Holding, Solana, Upward Capital, ZA Group, ZhongAn Insurance</t>
  </si>
  <si>
    <t>www.rd.group</t>
  </si>
  <si>
    <t>466930-63</t>
  </si>
  <si>
    <t>re:cap</t>
  </si>
  <si>
    <t>Developer of a digital matching platform designed to create a new approach to financing for subscription revenue companies. The company's platform offers inexpensive and timely financing results without having to suffer equity dilution, high interest rates, and undergo complex lending processes and also allows to selling of a part of recurring revenue for a fixed period, enabling companies in the subscription economy to trade future revenues for on-demand, non-dilutive capital.</t>
  </si>
  <si>
    <t>Angel Invest, Chris Adelsbach, Chris Hitchen, Entrée Capital, Felix Capital, HSBC Private Bank (Suisse), Jan Beckers, Jens Lapinski, Mark Ransford, Perry Blacher, Possible Ventures, Project A Ventures, Ramin Niroumand, Simon Leicht</t>
  </si>
  <si>
    <t>www.re-cap.com</t>
  </si>
  <si>
    <t>502826-50</t>
  </si>
  <si>
    <t>Ready Life</t>
  </si>
  <si>
    <t>Developer of a financial wellness and credit-building platform designed for financial management and credit history development purposes. The company's platform provides rent and recurring payment reporting services, credit score monitoring, payment tracking tools, financial education resources, and integrations with credit bureaus to record eligible payment activity, enabling consumers to build credit profiles, monitor financial progress, and manage recurring financial obligations through digital financial management services.</t>
  </si>
  <si>
    <t>Figure Technology Solutions, Nashville Entrepreneur Center</t>
  </si>
  <si>
    <t>www.readylife.com</t>
  </si>
  <si>
    <t>730015-21</t>
  </si>
  <si>
    <t>Real Finance (Asset Management)</t>
  </si>
  <si>
    <t>Operator of a blockchain network intended to support the tokenization of real-world assets with institutional trust and reliability. The company offers a Layer 1 blockchain with an expert validator model, transparent asset onboarding, and built-in disaster recovery, enabling banks and financial institutions to connect traditional finance with blockchain-based infrastructure and make illiquid assets more accessible.</t>
  </si>
  <si>
    <t>Frekaz Group, Magnus Capital, Nimbus Capital, Wiener Privatbank, Yellow Rocks!</t>
  </si>
  <si>
    <t>www.real.finance</t>
  </si>
  <si>
    <t>509497-21</t>
  </si>
  <si>
    <t>RealBuy</t>
  </si>
  <si>
    <t>Developer of a real estate investment platform designed to provide easy and convenient building analysis with comprehensive data. The company's platform features the ability to provide AI-backed analysis on various real estate investment opportunities and a portfolio dashboard where users can track their active investments, enabling investors to diversify their investments and invest in both Korean and overseas real estate.</t>
  </si>
  <si>
    <t>iAccel (Seongnam-si), InfoBank, KB Innovation HUB, Tech Incubator Program for Startup</t>
  </si>
  <si>
    <t>realbuy.io</t>
  </si>
  <si>
    <t>233094-16</t>
  </si>
  <si>
    <t>Realized ( Other Financial Services)</t>
  </si>
  <si>
    <t>Operator of a real estate wealth management platform intended to transform individual property assets into investment property wealth capital. The company's platform provides services that focus on raising co-investment capital for properties through their online marketplace, identifying properties, and completing exchange and monitoring investments, enabling investors to objectively compare and evaluate a variety of investment options at their leisure.</t>
  </si>
  <si>
    <t>Calibrate Ventures, Capital Factory, Rice Park Capital</t>
  </si>
  <si>
    <t>www.realized1031.com</t>
  </si>
  <si>
    <t>535119-49</t>
  </si>
  <si>
    <t>Realizse</t>
  </si>
  <si>
    <t>Artificial Intelligence &amp; Machine Learning, CleanTech, Cryptocurrency/Blockchain, FinTech, SaaS</t>
  </si>
  <si>
    <t>Developer of a data platform designed to validate eligibility and compliance for clean energy incentives. The company's platform offers standardized data processing and continuous validation of performance and compliance information, enabling insurers and project financiers to underwrite incentives and integrate them into project financing with reduced risk.</t>
  </si>
  <si>
    <t>Greentown Labs, Plug and Play Tech Center</t>
  </si>
  <si>
    <t>www.realizse.com</t>
  </si>
  <si>
    <t>551716-57</t>
  </si>
  <si>
    <t>REasy</t>
  </si>
  <si>
    <t>Developer of a financial transactions platform designed for transparency, competitive rates, and instant execution to foster trust and growth. The company's cross-border payment platform provides secure supplier payments, reliable logistics, expert support, online payments, simplified international payments, and personal financial management, enabling clients to make online payments with ease, transfer money across borders, and take full control of their financial records for comprehensive personal financial management.</t>
  </si>
  <si>
    <t>Accelerate Africa, Christophe Chausson, Digital Africa (Paris), Founders Factory Africa, Fuze (Africa), Incubateur HEC Paris, Ingressive (Nigeria), Joël Kontchou, Launch Africa Ventures, Mathias Léopoldie, Techmind</t>
  </si>
  <si>
    <t>www.reasy.fr</t>
  </si>
  <si>
    <t>1084465-99</t>
  </si>
  <si>
    <t>Reavo</t>
  </si>
  <si>
    <t>Developer of a payment optimization application designed to help consumers maximize rewards and benefits from their credit cards and loyalty programs. The company's platform addresses a common pain point for busy consumers who have multiple payment options but lack the time or knowledge to optimize their usage, provides intelligent recommendations on which credit card and loyalty program to use at specific merchants based on their location and available rewards, enabling users to recommend the credit cards based on location, helping to maximize every transaction.</t>
  </si>
  <si>
    <t>Oak's Lab</t>
  </si>
  <si>
    <t>571711-33</t>
  </si>
  <si>
    <t>Receiptable</t>
  </si>
  <si>
    <t>Developer of a digital receipt platform designed to replace paper with digital receipts delivered to customers phones in real-time. The company's platform offers a system that connects financial institutions and retailers to capture line-level transaction data, enabling acquirers and merchants to enhance customer engagement, reduce fraud, and support sustainability efforts.</t>
  </si>
  <si>
    <t>21 Ventures, 21 Ventures (Dubai), Al Waha Fund of Funds, AngelsDeck Venture Capital Club, Oraseya Capital, Salica Investments, Spring Studios (Bahrain)</t>
  </si>
  <si>
    <t>www.receiptable.co</t>
  </si>
  <si>
    <t>527373-82</t>
  </si>
  <si>
    <t>Receive</t>
  </si>
  <si>
    <t>Developer of a financial access platform designed for business cash flow management purposes. The company's tool connects sales data and bank accounts to analyze revenue in real time, offering dynamic spending power with no fees or interest, enabling small and medium-sized firms to improve liquidity, manage transactions through a dedicated dashboard, and support operational growth by providing flexible, accessible funding based on actual sales activity.</t>
  </si>
  <si>
    <t>Blank Ventures, Clocktower Ventures, Corner (New York), GreatPoint Ventures, Insight Partners (New York), NextGen Venture Partners, Soma Capital, Verissimo Ventures</t>
  </si>
  <si>
    <t>www.nowreceive.com</t>
  </si>
  <si>
    <t>268227-64</t>
  </si>
  <si>
    <t>Recharge Capital</t>
  </si>
  <si>
    <t>Operator of a thematic investing platform focused on driving innovation and impact across various sectors. The company provides investment in various sectors, including fintech infrastructure, women's healthcare, synthetic biology, semiconductor enablement, and digital assets, by targeting specific macro themes that cut across geographies and asset classes, identifying long-term compounding alpha supported by irreversible trends, enabling companies to act as catalysts, and providing support for positive change in the global investment landscape.</t>
  </si>
  <si>
    <t>FJ Labs, Reshape Ventures</t>
  </si>
  <si>
    <t>www.rechargecapital.com</t>
  </si>
  <si>
    <t>551361-97</t>
  </si>
  <si>
    <t>Recivu</t>
  </si>
  <si>
    <t>Developer of a receipt management platform designed for users to track their expenditures. The company's platform offers features such as automatic receipt organization, spending tracking, and personalized discounts and offers from partnered stores, enabling firms to reduce paper bill usage without altering customers' purchasing habits and improving their marketing efforts.</t>
  </si>
  <si>
    <t>Bravo Innovation Hub, IKIGAI (Siena), Nana Bianca, Rigel Ventures, TechAround, Ventive</t>
  </si>
  <si>
    <t>www.recivu.it</t>
  </si>
  <si>
    <t>438916-60</t>
  </si>
  <si>
    <t>Recordent</t>
  </si>
  <si>
    <t>Developer of a financial technology platform designed to address the problems businesses face in managing customer dues and collections. The company's platform helps to become a member and submit their customers' dues by sending notifications via message or e-mail, enabling clients to make informed decisions before offering credit or a loan by providing credit reports on individuals and commercial entities.</t>
  </si>
  <si>
    <t>IIM Calcutta Innovation Park, Microsoft AI Innovate, Mintosh Advisory, Olive Venture Partners</t>
  </si>
  <si>
    <t>www.recordent.com</t>
  </si>
  <si>
    <t>1154205-46</t>
  </si>
  <si>
    <t>Recoup (Financial Software)</t>
  </si>
  <si>
    <t>Developer of an AI-powered platform designed to recover failed subscription payments and minimize unintentional customer loss. The company's platform offers dynamic, AI-optimized retry timing, reduced involuntary churns, and coordinated email and SMS outreach, enabling subscription businesses to generate revenue from their customer base.</t>
  </si>
  <si>
    <t>www.tryrecoup.com</t>
  </si>
  <si>
    <t>484724-08</t>
  </si>
  <si>
    <t>Recur Club</t>
  </si>
  <si>
    <t>Developer of a subscription-based financing platform designed to help companies with recurring revenues access capital conveniently. The company uses artificial intelligence and machine learning to analyze revenue data and create financial products tradable with institutions, enabling startups to raise funds without diluting equity and maintain long-term ownership control.</t>
  </si>
  <si>
    <t>Adept Ventures, Aditya Birla Capital, Archana Priyadarshini, Bahram Vakil, Dhruvil Sanghvi, Enrission India Capital, Graycell Ventures, IA Finvolve, InCred Capital, InCred Finance, India Accelerator, Info Edge (India), InfoEdge Ventures, Luna Nueva Capital, Lykke Capital, Physis Capital, S. Sriniwasan, Sprint VC, String Ventures (Michigan), Titan Capital, Village Global</t>
  </si>
  <si>
    <t>www.recurclub.com</t>
  </si>
  <si>
    <t>188102-53</t>
  </si>
  <si>
    <t>RedCapital.pe</t>
  </si>
  <si>
    <t>Developer of a digital financing platform designed to generate loans for growing small and medium-sized companies. The company's platform helps to crowdfund factoring operations for small businesses in Chile with large capital, enabling businesses to select the loans that fit individual risk profiles with an increased yield.</t>
  </si>
  <si>
    <t>Grupo-imagine, HCS Capital, Seedstars International Ventures, UDD Ventures, Village Capital</t>
  </si>
  <si>
    <t>www.redcapital.pe</t>
  </si>
  <si>
    <t>509532-76</t>
  </si>
  <si>
    <t>Reental</t>
  </si>
  <si>
    <t>Provider of tokenized investment services intended to give access to investment opportunities in profitable and liquid goods. The company provides investment services in the real estate sector in the form of tokens with investment agreements, enabling customers to invest in real estate tokens to get capital gains.</t>
  </si>
  <si>
    <t>4Ventures, Almadraba Capital Holding, Blast Angels Europe, Monte-Bianco, Plug and Play Tech Center, Titan Holdings, Venturade</t>
  </si>
  <si>
    <t>www.reental.co</t>
  </si>
  <si>
    <t>506940-67</t>
  </si>
  <si>
    <t>Refine Intelligence</t>
  </si>
  <si>
    <t>Developer of an intelligent customer outreach platform designed to prevent financial crime, fraud detection, and compliance resolution. The company's platform streamlines outreach to customers for check fraud prevention, anti-money laundering, and enhanced due diligence processes, helping financial institutions quickly resolve alerts, engage customers through multiple channels, and improve productivity, while maintaining strong customer relationships and compliance with regulatory standards.</t>
  </si>
  <si>
    <t>EJF Ventures, Fin Capital, Glilot Capital, Ground Up Ventures, Ori Eisen, SYN Ventures, Valley Ventures</t>
  </si>
  <si>
    <t>www.refineintelligence.com</t>
  </si>
  <si>
    <t>802885-96</t>
  </si>
  <si>
    <t>Refundy</t>
  </si>
  <si>
    <t>Artificial Intelligence &amp; Machine Learning, Big Data, E-Commerce, FinTech, Mobile Commerce, SaaS</t>
  </si>
  <si>
    <t>Developer of an AI-based fintech platform designed to get cashback offers at quality rates. The company's platform allows users to get refunds and cashback with a single click, which helps to increase net profit, full reuse rate, and discount refunds and cashback are automatically paid, enabling sellers to give customers quality shopping experiences with valuable refunds.</t>
  </si>
  <si>
    <t>Antler, COMEUP STARS, KB Innovation HUB, New Paradigm Investment, Pangyo Techno Valley Global Accelerating Program</t>
  </si>
  <si>
    <t>www.refundy.co</t>
  </si>
  <si>
    <t>589138-12</t>
  </si>
  <si>
    <t>Refy (Energy Traders and Brokers)</t>
  </si>
  <si>
    <t>Developer of a green asset fintech platform intended to make green projects of every size easy to finance. The company's platform facilitates flexible financing solutions to support green project developers, that integrate private credit, blended finance and advisory, and leverages scalable technologies to accelerate Asset-as-a-Service, enabling users to expedite the processes of due diligence and project evaluation.</t>
  </si>
  <si>
    <t>Wavemaker Impact</t>
  </si>
  <si>
    <t>www.refycap.com</t>
  </si>
  <si>
    <t>462035-26</t>
  </si>
  <si>
    <t>Refyne</t>
  </si>
  <si>
    <t>Developer of an earned wage access platform designed to establish the link between reward and work. The company's platform helps employees, both salaried and contractors, to track and access a portion of their real-time pay any time before payday, enabling businesses to encourage employee retention by liberating them from relying on exploitative short-term borrowings that often push them into debt traps.</t>
  </si>
  <si>
    <t>Balaji Swaminathan, DST Global, Gemini Investments (Holdings), ICICI Bank, Launchbay Capital, QED Investors, Repeat Ventures, RTP Global, Siddharth Mehta, Tiger Global Management, Village Global, XYZ Venture Capital</t>
  </si>
  <si>
    <t>www.refyne.co.in</t>
  </si>
  <si>
    <t>465386-86</t>
  </si>
  <si>
    <t>Regtank</t>
  </si>
  <si>
    <t>Developer of a compliance automation platform designed to manage regulatory risk and streamline onboarding processes. The company offers digital onboarding, identity verification, transaction monitoring, API integration, and analytics-driven risk assessments, enabling financial institutions and regulated businesses to maintain compliance and improve operational efficiency.</t>
  </si>
  <si>
    <t>NTUitive, SuperChain Capital, Village Capital</t>
  </si>
  <si>
    <t>www.regtank.com</t>
  </si>
  <si>
    <t>470975-68</t>
  </si>
  <si>
    <t>Regxta</t>
  </si>
  <si>
    <t>Developer of a financial inclusion platform designed to provide accessible digital banking and financial services to underserved communities. The company's platform offers mobile banking for account access and transactions, microloans to support small business funding needs, savings tools to encourage financial planning, agent-led onboarding to help users register and access services in local communities, and monitoring features to track income and expenses, enabling microbusinesses and individuals to access financial services, improve participation, and support economic growth within emerging markets.</t>
  </si>
  <si>
    <t>Access ARM Pensions, Advansio, ARM Labs, Chui Ventures, Female Founders Accelerator, Female Founders Growth Programme, GetEquity, Google Accelerator, Grooming Endowment Trust, Hindsight Ventures, Midlothian Angel Network, MTN Cloud Accelerator, Nubia Capital, Seedstars, Standard Chartered, The Mastercard Foundation Africa Growth Fund, TrechCircle, TVC Labs, Unsung Heroes Foundation, Village Capital</t>
  </si>
  <si>
    <t>www.regxta.com</t>
  </si>
  <si>
    <t>599871-79</t>
  </si>
  <si>
    <t>Reinvent</t>
  </si>
  <si>
    <t>Operator of a B2C AI-powered financial advisory firm intended to improve the financial advice process. The company's platform offers financial advice and scales all necessary activities, enabling investors to gain the insights they need to make informed decisions.</t>
  </si>
  <si>
    <t>Canary (Brazil)</t>
  </si>
  <si>
    <t>www.reinvent.com.br</t>
  </si>
  <si>
    <t>439345-36</t>
  </si>
  <si>
    <t>Relay Financial</t>
  </si>
  <si>
    <t>Developer of an online business banking and money management platform designed to automate finances for small businesses. The company's platform provides banking services, including current account transactions, cash withdrawals, the issue of debit cards, remote check deposits, and tracking expenses, enabling small firm owners to transact with no minimum balances and transfer fees.</t>
  </si>
  <si>
    <t>Amaranthine, Bain Capital Ventures, Better Tomorrow Ventures, C100 (Commercial Services), Craig Hunter, Garage Capital, General Catalyst, Industry Ventures, Inovia Capital, Panache Ventures, Realm Capital Ventures, Recall Capital, Roach Capital, Tapestry VC, Tribe Capital, Wedbush Ventures</t>
  </si>
  <si>
    <t>www.relayfi.com</t>
  </si>
  <si>
    <t>470850-67</t>
  </si>
  <si>
    <t>Relief (Financial Software)</t>
  </si>
  <si>
    <t>Developer of an AI-enabled debt resolution platform designed to improve monetary decisions through debt-elimination commitment. The company's platform automates the credit-card debt collection process for users, negotiating with lenders and collectors to settle outstanding balances on their behalf, enabling customers to settle multiple debts with lenders at once.</t>
  </si>
  <si>
    <t>Animal Capital, Brand Foundry Ventures, Collaborative Ventures, Everywhere Ventures, Interplay Ventures, Justin Kan, Kenneth Chenault, National Debt Relief, Nava Ventures (California), Necessary Ventures, Vaidya Capital Partners, Vikram Pandit</t>
  </si>
  <si>
    <t>www.relief.app</t>
  </si>
  <si>
    <t>535368-43</t>
  </si>
  <si>
    <t>Relif</t>
  </si>
  <si>
    <t>Developer of financial software designed to improve credit and organize finances. The company's platform offers to refinance debts, improving the conditions of credits to date with artificial intelligence and open data, enabling clients to improve their credit scores.</t>
  </si>
  <si>
    <t>ChileGlobal Angels, Grupo-imagine, Imagine Ventures Management, Krealo, Start-Up Chile</t>
  </si>
  <si>
    <t>www.relif.com</t>
  </si>
  <si>
    <t>535209-04</t>
  </si>
  <si>
    <t>RELLAI</t>
  </si>
  <si>
    <t>Developer of financial software designed to pay and collect money for hassle-free home renovations. The company's software helps users to keep control of renovation by managing payments and, in turn, brings transparency to the execution and management of real estate projects, enabling users to pay for their houses securely.</t>
  </si>
  <si>
    <t>I3P, Vento (Venture Capital)</t>
  </si>
  <si>
    <t>www.rellai.com</t>
  </si>
  <si>
    <t>172840-87</t>
  </si>
  <si>
    <t>Reloyalty</t>
  </si>
  <si>
    <t>Operator of a brand loyalty platform intended to automatically get rewarded for staying loyal. The company's platform acts as a mobile wallet that facilitates earning value for loyalty by simply paying with an existing bank card, while retailers get a loyalty segmentation and suggestion engine with measurable return on investment that truly increases revenue, enabling clients to identify their frequent customers and analyze their payment behavior.</t>
  </si>
  <si>
    <t>Bulgarian Angels Club, Eleven Ventures, George Zahariev, LAUNCHub Ventures, Marc Sanz Lopez, Sasha Bezuhanova, Srebrin Vatralov, Start It Smart, Svetozar Georgiev, Thijs Essens, Vassil Terziev, Veselina Kostadinova, Visa Innovation Program, Vladimir Balchev, VTI Capital</t>
  </si>
  <si>
    <t>www.reloyalty.com</t>
  </si>
  <si>
    <t>223986-07</t>
  </si>
  <si>
    <t>RemitRix</t>
  </si>
  <si>
    <t>Developer of a cloud-native financial risk management platform designed to support analysis and planning of risk and capital positions. The company offers automated risk modeling, scenario analysis, and narrative reporting tools, enabling insurance companies, pension funds, and financial institutions to interpret complex data and support decision-making.</t>
  </si>
  <si>
    <t>Eli Mordechai, Eliezer Heiselbeck, Eran Mordechai, Meir Mordechai, Micha K, Plug and Play Tech Center, RevTech Labs Capital, Shmuel Heiselbeck, The Israeli Insurtech Accelerator, Zohar Rapport</t>
  </si>
  <si>
    <t>www.remitrix.com</t>
  </si>
  <si>
    <t>516130-48</t>
  </si>
  <si>
    <t>Remynt</t>
  </si>
  <si>
    <t>Developer of a digital collections platform designed to improve debt recovery and consumer financial health for financial institutions. The company offers omnichannel customer engagement, embedded financial education, flexible self-repayment options, credit rebuilding support, and personal finance tools, enabling financial institutions to increase recoveries while helping consumers build long-term financial stability.</t>
  </si>
  <si>
    <t>Commerce Ventures, Dreamward Ventures, Founder Institute, James Kreissman, Kirsten Strobel, Larsen Lam ICONIQ Impact Award, Loyal VC, One Washington Financial, Symphonic Capital, Teachers Insurance and Annuity Association of America, The Pitch Fund &amp; Syndicate, TruStage Ventures, Village Capital, Visa Everywhere Initiative, WMNfintech, Zeal Capital Partners</t>
  </si>
  <si>
    <t>www.getremynt.com</t>
  </si>
  <si>
    <t>1159501-24</t>
  </si>
  <si>
    <t>Renno (Financial Software)</t>
  </si>
  <si>
    <t>Artificial Intelligence &amp; Machine Learning, Construction Technology, FinTech, Mobile</t>
  </si>
  <si>
    <t>Developer of a construction finance and workflow platform designed to ensure reliable cash flow and reduce operational risks for contractors. The company offers a digital platform with escrow-secured payments, milestone-based payout automation, centralized communication tools and AI-driven compliance support, enabling customers to get paid on time, streamline project management and eliminate delays and disputes in construction workflows.</t>
  </si>
  <si>
    <t>āltitude, Angel Invest, Angel Investors, Seed X Liechtenstein, Seed-X, Tenity, TipTop Ventures</t>
  </si>
  <si>
    <t>www.renno.pro</t>
  </si>
  <si>
    <t>435143-80</t>
  </si>
  <si>
    <t>RenRenAiJia Finance</t>
  </si>
  <si>
    <t>Developer and operator of a wealth management platform. The company's wealth management platform provides users with professional integrated financial services, covering multiple businesses such as investment and wealth management, home insurance and consumer finance, providing users with a comprehensive one-stop platform for wealth management.</t>
  </si>
  <si>
    <t>Wanzhong Holdings, ZOECO</t>
  </si>
  <si>
    <t>www.renrenaijia.com</t>
  </si>
  <si>
    <t>61010-74</t>
  </si>
  <si>
    <t>Renrendai.com</t>
  </si>
  <si>
    <t>Provider of an online peer to peer lending platform designed to offer financial services such as loans, debts, investment and others. The company's platform offers professional online credit and lending services to high-growth groups, enabling customers to get hassle free loans.</t>
  </si>
  <si>
    <t>Beijing Dongfang Hongdao Asset Management, Tencent Holdings, Trustbridge Partners</t>
  </si>
  <si>
    <t>www.renrendai.com</t>
  </si>
  <si>
    <t>1317249-10</t>
  </si>
  <si>
    <t>Renrunkeji</t>
  </si>
  <si>
    <t>Developer of internet finance software platforms designed to support digital lending, supply chain finance, and financial transaction management for enterprise clients. The company offers proprietary fintech system architectures, integrated risk control functions, and scalable platform deployment capabilities, enabling financial institutions to enhance operational efficiency and improve digital finance management.</t>
  </si>
  <si>
    <t>Dingju Investment</t>
  </si>
  <si>
    <t>www.renrunkeji.com</t>
  </si>
  <si>
    <t>500208-85</t>
  </si>
  <si>
    <t>Rentablo</t>
  </si>
  <si>
    <t>Developer of an automated wealth management platform designed for private companies to track their portfolios. The company's platform connects with the user's financial accounts of insurance or investment to provide an inclusive dashboard, enabling clients to integrate their accounts and portfolios into a single platform and get transparency regarding their current asset allocation.</t>
  </si>
  <si>
    <t>The House of Finance and Tech Berlin</t>
  </si>
  <si>
    <t>www.rentablo.de</t>
  </si>
  <si>
    <t>442332-46</t>
  </si>
  <si>
    <t>Repatient</t>
  </si>
  <si>
    <t>Developer of a digital platform designed to offer flexible payment plans to help hospital and clinic patients pay their rising expenses. The company's platform facilitates interest and fee-free payment plans that cover both essential and elective procedures with no credit checks or denials, enabling hospitals and providers to strengthen their relationships with patients while increasing cash flow and reducing collections overhead.</t>
  </si>
  <si>
    <t>Health Engine Accelerator, Keyhorse Capital, Village Capital, XLerateHealth</t>
  </si>
  <si>
    <t>www.repatient.com</t>
  </si>
  <si>
    <t>182768-95</t>
  </si>
  <si>
    <t>Reportability</t>
  </si>
  <si>
    <t>Developer of a digital auditing platform intended to create sustainable digital communication and build bridges between business and legislation. The company's platform is an online tool that helps optimize tax, ensures the right deductions, and helps with reporting to the business authority, enabling clients to prepare advance statements, tax returns, and annual reports.</t>
  </si>
  <si>
    <t>Innovationsfonden, Startuplab Ventures</t>
  </si>
  <si>
    <t>www.reportability.dk</t>
  </si>
  <si>
    <t>489644-83</t>
  </si>
  <si>
    <t>Requity</t>
  </si>
  <si>
    <t>Operator of a technology-enabled real estate platform intended to help turn renters into homeowners through a modernized rent-to-own program. The company's platform offers alternative paths to homeownership by covering land transfer taxes, lawyer fees, and other closing costs at the time of home purchase, allowing homeowners to save money monthly for a down payment and later buy back the home with their savings.</t>
  </si>
  <si>
    <t>Archangel Network of Funds, Boardwalk Investment, Community Safety &amp; Wellness Accelerator, Conconi Growth Partners, FoundersBoost, Highline Beta, IFH Lab, Intuit Canada, Michael Dobbins, Sam Hanhui Sun, Scale Good Fund, Velocity Incubator, ventureLAB Innovation Centre</t>
  </si>
  <si>
    <t>www.requityhomes.com</t>
  </si>
  <si>
    <t>483212-80</t>
  </si>
  <si>
    <t>Restock.ID</t>
  </si>
  <si>
    <t>Developer of a peer-to-peer lending platform designed to connect SMEs to financiers. The company offers financing to SMEs to develop their business with a collection of financiers who have more funds to finance the business by utilizing business assets and inventory as collateral, enabling companies to provide financing to the Indonesian people to obtain attractive returns.</t>
  </si>
  <si>
    <t>Amanah Investment Story, BRI Ventures, Kumpul, PT Media Kapital Nusantara, Qatar FinTech Hub Wave, Silverbacks Ventures, SYNRGY Accelerator, Tunas Nusantara Kapital</t>
  </si>
  <si>
    <t>www.restock.id</t>
  </si>
  <si>
    <t>897333-22</t>
  </si>
  <si>
    <t>RetailPath</t>
  </si>
  <si>
    <t>Developer of a dispute platform designed to automatically recover revenue from invalid retail chargebacks and deductions. The company's platform offers a dashboard that integrates with business tools to process bills of lading, purchase orders, and invoices, identify and resolve issues related to invoicing, generate reports, and track every claim and dispute, helping wholesale businesses track important details to pinpoint logistics pain points in one central place and increase efficiency by taking data-driven decisions.</t>
  </si>
  <si>
    <t>Gutter Capital, SuperAngel.Fund</t>
  </si>
  <si>
    <t>www.retailpath.ai</t>
  </si>
  <si>
    <t>540017-83</t>
  </si>
  <si>
    <t>Retorna</t>
  </si>
  <si>
    <t>Developer of a mobile money transfer application designed to streamline international remittances for migrants across borders. The company offers a secure, transparent and efficient platform to facilitate money transfers between countries through easy, quick and secure transactions with fair rates for all levels of the population, enabling users with safety and identity verification and accessible customer support.</t>
  </si>
  <si>
    <t>Amplifica Capital, Cartier, Colectivo Jaguara, Impacta VC, Morro Ventures, SOCAP Global, Start-Up Chile</t>
  </si>
  <si>
    <t>retorna-web2024.webflow.io</t>
  </si>
  <si>
    <t>680447-44</t>
  </si>
  <si>
    <t>RetroRate</t>
  </si>
  <si>
    <t>Operator of a real estate financing platform intended for identifying and facilitating mortgage assumptions. The company's platform offers home search capabilities focused on assumable loans, loan scoring and comparison tools, listing prospecting features, website integration via widgets or APIs, and end-to-end transaction support through a dedicated concierge team, enabling agents, buyers, and sellers to access and transfer existing low-rate mortgages, thereby increasing affordability and maximizing property value.</t>
  </si>
  <si>
    <t>ArkusNexus, CONNECT (San Diego), Cooley, Eniac Ventures, Interlock Capital, Keshif Ventures, Launch Factory, Swift Ventures, Swiss Ventures Group</t>
  </si>
  <si>
    <t>www.retrorate.com</t>
  </si>
  <si>
    <t>484078-42</t>
  </si>
  <si>
    <t>RetryPay</t>
  </si>
  <si>
    <t>Developer of finance software designed to boost payment conversion without increasing fraud for e-commerce stores. The company's software brings together multiple processors and alternative payment methods in a single technical integration, enabling e-commerce to increase its acceptance rate, decrease rejection rates, and increase sales.</t>
  </si>
  <si>
    <t>www.retrypay.com</t>
  </si>
  <si>
    <t>529149-70</t>
  </si>
  <si>
    <t>Revenew (Financial Software)</t>
  </si>
  <si>
    <t>Operator of payment operations and optimization platform intended to improve the efficiency and profitability of digital platforms and marketplaces. The company's platform provides pricing control and automated reconciliation, including fraud prevention, chargeback management, and reporting, enabling finance, sales, and customer success teams to collaboratively plan, execute, and expand revenue growth with continuous data-driven insights and actionable guidance.</t>
  </si>
  <si>
    <t>Dash Fund, Fika Ventures, TTV Capital</t>
  </si>
  <si>
    <t>revenew.co</t>
  </si>
  <si>
    <t>432774-01</t>
  </si>
  <si>
    <t>Revenir</t>
  </si>
  <si>
    <t>Developer of a tax processing platform designed to facilitate fast and easy tax refunds. The company platform features an in-app camera that allows users to take photos of their shopping receipts and get a refund on their value-added tax, enabling travelers to get travel cashback and rewards on their spending.</t>
  </si>
  <si>
    <t>Aditum Investment Management, Chris Adelsbach, Creator Fund, FinTech Innovation Lab, Grow London, Imperial Enterprise Lab, Palm Drive Capital, Y Combinator</t>
  </si>
  <si>
    <t>www.revenir.ai</t>
  </si>
  <si>
    <t>706682-35</t>
  </si>
  <si>
    <t>Revenya Capital</t>
  </si>
  <si>
    <t>Operator of a data-driven revenue-based financing platform intended to provide non-dilutive capital to startups and growing businesses. The company offers AI-driven financing that analyses business performance and future revenue to deliver flexible funding with customizable terms, enabling companies to scale operations and fund growth while retaining full ownership.</t>
  </si>
  <si>
    <t>Arzan Financial Group for Financing &amp; Investment, Arzan Venture Capital</t>
  </si>
  <si>
    <t>www.revenya.com</t>
  </si>
  <si>
    <t>458412-85</t>
  </si>
  <si>
    <t>RevKeep</t>
  </si>
  <si>
    <t>Digital Health, FinTech, HealthTech, SaaS</t>
  </si>
  <si>
    <t>Developer of medical audit management software designed to empower healthcare providers to manage their claims and preserve revenue from clinical services comprehensively. The company's software takes the process of documentation and streamlines it in a way that deadlines aren't missed, the documentation submitted is complete, money is retained by the healthcare providers, and both scaling and corporate oversight are accomplished, enabling healthcare providers to control post-payment medical audits.</t>
  </si>
  <si>
    <t>Jumpstart Foundry, Right Side Capital Management, Small Business Development Corporation of Michigan, TechTown Detroit</t>
  </si>
  <si>
    <t>www.revkeepsoftware.com</t>
  </si>
  <si>
    <t>495573-49</t>
  </si>
  <si>
    <t>Revolv3</t>
  </si>
  <si>
    <t>Developer of a full-stack SaaS payment optimization platform designed to optimize transaction approval rates for recurring billing. The company's platform offers dynamic routing across multiple payment processors, account range routing logic, and subscription billing management with a flat-fee-per-approval pricing model, enabling SaaS and subscription-based businesses to reduce churn and increase recurring revenue.</t>
  </si>
  <si>
    <t>Endless Frontier Labs, Rosecliff Venture Partners</t>
  </si>
  <si>
    <t>www.revolv3.com</t>
  </si>
  <si>
    <t>433899-28</t>
  </si>
  <si>
    <t>Revuto</t>
  </si>
  <si>
    <t>Developer of a fintech platform designed to revolutionize financial services and save money. The company's application lets users control the subscriptions and pay only to those they approve, enabling customers to have more control over their money.</t>
  </si>
  <si>
    <t>Alpha Token Capital, BlackDragon (Zagreb)</t>
  </si>
  <si>
    <t>www.revuto.com</t>
  </si>
  <si>
    <t>1308553-48</t>
  </si>
  <si>
    <t>Rewa</t>
  </si>
  <si>
    <t>Provider of a payment services intended for rent payment and reward. The company offers rent payment by credit card or bank transfer, and users can accumulate standard credit card reward points while simultaneously accessing platform-specific bonuses, enabling consumers to earn credit card points, rewards, a bonus cashback opportunity, and partner perks delivered monthly to maximize benefits.</t>
  </si>
  <si>
    <t>Neocity Group, NeoCity Invest, Plug and Play Tech Center, Qatar Development Bank, REACH, Second Century Ventures, Startup Wise Guys</t>
  </si>
  <si>
    <t>www.rewa.rent</t>
  </si>
  <si>
    <t>157400-11</t>
  </si>
  <si>
    <t>REX Shares</t>
  </si>
  <si>
    <t>Provider of exchange-traded product strategy services intended to democratize access to compelling investments. The company creates investment vehicles that solve specific access or efficiency challenges in investor and trader portfolios and combine stock exposure with the potential for enhanced income by harnessing volatility through option-based income strategies, enabling users to make sound investment decisions.</t>
  </si>
  <si>
    <t>FinRebel</t>
  </si>
  <si>
    <t>www.rexshares.com</t>
  </si>
  <si>
    <t>458673-22</t>
  </si>
  <si>
    <t>Rextie</t>
  </si>
  <si>
    <t>Developer of a currency exchange platform designed to facilitate buying and selling dollars online. The company's platform allows individuals to register their dollar exchange operation and execute transactions through bank transfers at competitive exchange rates, enabling users to safely exchange currency and avoid the use of cash, risk of robberies, and counterfeit bills.</t>
  </si>
  <si>
    <t>Citigroup, Emprende UP, Endeavor Perú, Fintech Cadence, GrupoRPP</t>
  </si>
  <si>
    <t>www.rextie.com</t>
  </si>
  <si>
    <t>491506-57</t>
  </si>
  <si>
    <t>Rhino Eco</t>
  </si>
  <si>
    <t>Artificial Intelligence &amp; Machine Learning, CleanTech, Climate Tech, FinTech</t>
  </si>
  <si>
    <t>Developer of an artificial intelligence-powered digital financing and management platform designed to make solar energy accessible to all. The company offers a flexible financing alternative for homeowners seeking to install solar systems and start producing cheap renewable energy while helping to solve our climate crisis, providing customers with easy, flexible, and affordable solar power to millions of homes worldwide.</t>
  </si>
  <si>
    <t>Good Company (Israel), WorldQuant Ventures</t>
  </si>
  <si>
    <t>www.rhino-eco.com</t>
  </si>
  <si>
    <t>1241971-84</t>
  </si>
  <si>
    <t>Rhythmic</t>
  </si>
  <si>
    <t>Developer of a stablecoin-powered embedded finance platform designed to help consumer brands launch integrated financial products. The company enables businesses to offer stored-value accounts, payments, rewards, credit, and lending through a modular infrastructure that abstracts crypto complexity, enabling brands to deliver scalable, programmable financial services without becoming a bank.</t>
  </si>
  <si>
    <t>Dragonfly Capital (San Francisco), Gammite Ventures, Mirana Ventures, The Fintech Fund, The Venture Dept</t>
  </si>
  <si>
    <t>rhythmic.io</t>
  </si>
  <si>
    <t>279687-88</t>
  </si>
  <si>
    <t>Ridgeline (Business/Productivity Software)</t>
  </si>
  <si>
    <t>Developer of an investment management platform designed for buy-side asset management firms, primarily focused on institutional investors. The company's platform features client engagement, portfolio construction, portfolio accounting, reconciliation, revenue management, workflow management, and trading, enabling businesses to eliminate blockers and stay focused on beating market benchmarks and delivering positive returns.</t>
  </si>
  <si>
    <t>Positive Sum</t>
  </si>
  <si>
    <t>www.ridgeline.ai</t>
  </si>
  <si>
    <t>711958-24</t>
  </si>
  <si>
    <t>Rime Finance</t>
  </si>
  <si>
    <t>Developer of an issuance platform designed to eliminate the need for traditional intermediaries such as centralized custodians, central securities depositories, and clearing parties. The company's platform offers UCITS ETFs tailored to capture opportunities in the most transformative trends of our time, and has a robust ecosystem of partners for fund management, audits, and custody, enabling brokers and distributors to build an asset universe tailored to their audience and capture more fund revenue at lower fees.</t>
  </si>
  <si>
    <t>Axeleo Capital, Serena</t>
  </si>
  <si>
    <t>www.rime.finance</t>
  </si>
  <si>
    <t>572131-90</t>
  </si>
  <si>
    <t>Rise (Cairo)</t>
  </si>
  <si>
    <t>Developer of a credit-led consumer finance platform designed to provide installment-based purchasing power for underserved consumers in Egypt. The company's platform offers mobile-first onboarding, instant approval, and flexible repayment via cards, e-wallets, or cash for shopping at partner brands, enabling consumers without bank accounts or credit cards to access transparent, short-term financing and build their credit while managing everyday spending more flexibly.</t>
  </si>
  <si>
    <t>Alumni Ventures, Global Brain, Uncovered Fund</t>
  </si>
  <si>
    <t>www.riseco.ai</t>
  </si>
  <si>
    <t>433471-06</t>
  </si>
  <si>
    <t>Rise (Financial Services)</t>
  </si>
  <si>
    <t>Operator of a wealth management platform intended to solve the financial problems of migrants. The company's platform offers banking and financial services to low-income, unbanked, and underbanked migrant workers, enabling users to manage their finances, learn new skills, and build a better future.</t>
  </si>
  <si>
    <t>500 Global, Dubai International Finance Centre, Future100, Khwarizmi Ventures, Middle East Venture Partners, More Capital, MS&amp;AD Ventures, Phoenician VC, Sharjah Entrepreneurship Center</t>
  </si>
  <si>
    <t>www.gorise.co</t>
  </si>
  <si>
    <t>433532-53</t>
  </si>
  <si>
    <t>Rise (George Town)</t>
  </si>
  <si>
    <t>Developer of an investment application platform designed to connect users to the wealth-creating opportunities in the world. The company's platform offers investment plans that break down the constraints of geography and combine the precision of complex algorithms and the experience of finance experts, enabling investors to easily pick and invest money in different markets that provide high-performing and long-term opportunities.</t>
  </si>
  <si>
    <t>Archangel Fund, ARM Labs, Future Africa, Hi2 Global, HoaQ, Kola Aina, Microtraction, Rally Cap VC, Sutton Capital, Techstars, TVC Labs, Ventures Platform</t>
  </si>
  <si>
    <t>www.risevest.com</t>
  </si>
  <si>
    <t>277268-68</t>
  </si>
  <si>
    <t>RISK</t>
  </si>
  <si>
    <t>Operator of an insurance-tech platform intended to compare the offers of different insurers, credit providers, and energy suppliers. The company's offerings include comparing the market so that customers can buy important financial products instantly, directly, or with help from a broker or platform, and combine online and offline distribution with an API-based platform, enabling clients to take on challenges and stay mentally and physically well.</t>
  </si>
  <si>
    <t>Aegon Growth Capital</t>
  </si>
  <si>
    <t>www.risk.nl</t>
  </si>
  <si>
    <t>464428-36</t>
  </si>
  <si>
    <t>RiskScout</t>
  </si>
  <si>
    <t>Developer of a compliance management platform intended to streamline fraud and risk monitoring for financial institutions. The company's platform offers features such as real-time customer communication, automated document collection, integrated transaction monitoring, and detailed reporting, enabling financial institutions to enhance their compliance, reduce operational costs, and protect their communities from financial crimes while optimizing their growth and efficiency.</t>
  </si>
  <si>
    <t>Alloy Labs, ATX Venture Partners, Bankers Helping Bankers Fund, Castle Creek Capital, Fidelity National Information Services, Independent Community Bankers of America, Integrated Financial Holdings, Launchpad Capital</t>
  </si>
  <si>
    <t>www.riskscout.com</t>
  </si>
  <si>
    <t>742109-86</t>
  </si>
  <si>
    <t>Rispo</t>
  </si>
  <si>
    <t>Operator of a software-as-a-service payment platform designed to integrate and implement a savings payment function into their e-commerce platforms. The company offers a system where consumers plan their savings and make purchases only once sufficient funds are prepared, enabling e-commerce businesses to increase sales and cultivate loyal customers.</t>
  </si>
  <si>
    <t>Colony Interactive, CyberAgent Capital, East Ventures, Global Brain, JP Life Next Fund, Norinchukin Capital, Shinhan Venture Investment, Shota Horii, W inc., Yu Sakai, Yusuke Sato</t>
  </si>
  <si>
    <t>respo.io</t>
  </si>
  <si>
    <t>460141-75</t>
  </si>
  <si>
    <t>Risü</t>
  </si>
  <si>
    <t>Operator of a social business platform intended to enhance online consumption from donations to social institutions. The company's platform connects consumers, stores, and social institutions by transforming part of the value of online shopping into a donation to civic organizations, enabling users to increase the retail shopping experience and connect common values of companies and people.</t>
  </si>
  <si>
    <t>Start-Up Brasil, WOW Aceleradora de Startups</t>
  </si>
  <si>
    <t>www.risu.com.br</t>
  </si>
  <si>
    <t>752634-91</t>
  </si>
  <si>
    <t>Riva Money</t>
  </si>
  <si>
    <t>Developer of business and domestic software designed to make money work efficiently for businesses. The company's tool aims to streamline international money transfers, focusing on speed and near-zero costs, enabling businesses across the globe to experience seamless financial transactions that outperform expectations and solve the problems that need solving</t>
  </si>
  <si>
    <t>JP Morgan Chase, Monzo Bank, Project A Ventures, Revolut</t>
  </si>
  <si>
    <t>www.rivamoney.com</t>
  </si>
  <si>
    <t>1317163-42</t>
  </si>
  <si>
    <t>Rivage (Financial Software)</t>
  </si>
  <si>
    <t>Developer of a payroll software platform designed to support digital transformation through automation and AI-driven capabilities. The company's platform reconciles functional and conventional depth with a modern and intuitive experience, co-developed with consulting firms and industry experts to remain as close as possible to real-world situations that reduces administrative burden, enabling users to improve payroll efficiency.</t>
  </si>
  <si>
    <t>www.rivage.tech</t>
  </si>
  <si>
    <t>464065-75</t>
  </si>
  <si>
    <t>Rivium</t>
  </si>
  <si>
    <t>Developer of a micro-investing platform designed to round up transactions and automatically invest the spare change into a portfolio of publicly traded equities. The company's platform offers automatic rounding and inversion, portfolios made by professionals, no minimums, and on-demand withdrawal, enabling investors to learn about finance and enter the stock market.</t>
  </si>
  <si>
    <t>11 Tribes Ventures, OCEAN Accelerator, Paradox Ventures, Tenity</t>
  </si>
  <si>
    <t>www.rivium.mx</t>
  </si>
  <si>
    <t>455214-61</t>
  </si>
  <si>
    <t>Rivy</t>
  </si>
  <si>
    <t>Developer of a carbon credit aggregation platform designed to provide loans and solar energy financing to small and medium-sized businesses (SMEs) and households. The company's platform provides SMEs with working capital loans, asset financing, and inventory financing, enabling small businesses to access clean energy in Africa through quick loans for equipment purchases and carbon market access.</t>
  </si>
  <si>
    <t>Aidi Ventures, All On, Beta.Ventures, Black Angel Group, ByTheTower, Century Oak Ventures, DFS Lab, Dispatch Ventures, EarlyBird Venture Lab, EchoVC Partners, Envision Accelerator, Five Two Five, Future Africa, Goodwater Capital, Ground Squirrel Ventures, Hakeem Belo-Osagie, Ham Serunjogi, Healthcap Africa, HoaQ, Hustle Fund, Launch Africa Ventures, Mac Bolak, Maijid Moujaled, Mercy Corps, Metis Capital Partners, Mobolaji Balogun, Olugbenga Agboola, Prodigio Capital, Proximity Ventures, Realm Capital Ventures, Resilience17, Serunjogi Ventures, Sherpa Ventures, TEN13, Thrive Africa Fund, Velocity Digital, Ventures Platform, VentureSouq, Village Capital, XRM Media, Y Combinator</t>
  </si>
  <si>
    <t>www.rivy.co</t>
  </si>
  <si>
    <t>1154162-26</t>
  </si>
  <si>
    <t>Rizon (Financial Software)</t>
  </si>
  <si>
    <t>Developer of a global financial application designed to simplify international money management and cross-border payments. The company's platform offers a USD account, instant international transfers, worldwide cash withdrawals, and transparent fees, enabling individuals and businesses with cross-border financial needs to have seamless access to global money movement and spending.</t>
  </si>
  <si>
    <t>Market One Capital</t>
  </si>
  <si>
    <t>www.getrizon.com</t>
  </si>
  <si>
    <t>527122-00</t>
  </si>
  <si>
    <t>RLS Capital</t>
  </si>
  <si>
    <t>Developer of a private real estate lending platform designed to provide quick, reliable financing for property investors and developers. The company's platform offers flexible loan programs for fix-and-flip projects, new construction, multifamily properties, and bridge financing, enabling real estate professionals to access quick capital, streamline transactions, and maximize investment returns.</t>
  </si>
  <si>
    <t>www.rlscapital.com</t>
  </si>
  <si>
    <t>493660-90</t>
  </si>
  <si>
    <t>RoadFlex</t>
  </si>
  <si>
    <t>Developer of a risk management platform designed to optimize fleet operations. The company's platform offers automated fuel management and optimizes fleet and financial reporting to make fleet management more convenient and cost-efficient compared to traditional financial services, enabling fleet owners to save money while optimizing fleet operations.</t>
  </si>
  <si>
    <t>20VC, Flexport, Liquid 2 Ventures, Position Ventures, StartX (US), Wayfinder Ventures</t>
  </si>
  <si>
    <t>www.roadflex.com</t>
  </si>
  <si>
    <t>537553-45</t>
  </si>
  <si>
    <t>Robbin</t>
  </si>
  <si>
    <t>Provider of financial services intended to provide credit cards for small and medium businesses. The company provides inclusive and transparent credit cards without any deposit, annual fee, or revolving interest, enabling businesses to access financial management services that are sold through the machine or payment links.</t>
  </si>
  <si>
    <t>A.B.Seed Ventures, Atlantic (Berlin), Canary (Brazil), Caravela Capital, Clocktower Ventures, Crescera Capital, Norte Ventures, Tomorrow Capital (London)</t>
  </si>
  <si>
    <t>www.robbin.com.br</t>
  </si>
  <si>
    <t>1237033-18</t>
  </si>
  <si>
    <t>Rocket (Financial Software)</t>
  </si>
  <si>
    <t>Developer of a next-generation prediction market platform designed to enable cryptocurrency price prediction and trading through a redistribution market concept. The company offers continuous revenue sharing tied to forecast accuracy, non-binary betting frameworks, zero liquidation mechanisms, uncapped position sizes, and instant payouts, enabling traders and crypto enthusiasts to profit from accurate predictions, redeploy capital across multiple forecasts for enhanced liquidity efficiency, and experience a mobile-first, social approach to market engagement.</t>
  </si>
  <si>
    <t>Amber Group, Bodhi Ventures, Electric Capital, Jsquare Capital, Ludlow Ventures, Tangent Ventures</t>
  </si>
  <si>
    <t>userocket.app</t>
  </si>
  <si>
    <t>489065-86</t>
  </si>
  <si>
    <t>Rocketfy</t>
  </si>
  <si>
    <t>Developer of an online selling platform designed for businesses to have their own online store. The company's platform integrates virtual payments, shipping management, customer management, virtual courses, online sales training, and catalogs in one place, enabling businesses to sell products online easily and freely.</t>
  </si>
  <si>
    <t>Chile Ventures, Redwood Kapital, Rockstart, The Ark Fund</t>
  </si>
  <si>
    <t>www.rocketfy.com</t>
  </si>
  <si>
    <t>484543-36</t>
  </si>
  <si>
    <t>RockFlow</t>
  </si>
  <si>
    <t>Developer of investment and financing services software designed to create a comfortable investment environment for Generation Z users. The company uses artificial intelligence (AI) technology to provide tools that meet users' demands for pricing, alternative data, financial product innovation and customized asset management services and provides global investors with comprehensive cross-market, multi-asset investment and Financial Services, enabling users to make investment decisions efficiently and carry out accurate risk control.</t>
  </si>
  <si>
    <t>Ant Group, Evergreen, Forwest Capital, Lanchi Ventures, Monolith Capital</t>
  </si>
  <si>
    <t>www.rockflow.ai</t>
  </si>
  <si>
    <t>534783-70</t>
  </si>
  <si>
    <t>Rockhopper</t>
  </si>
  <si>
    <t>Developer of a workflow management platform designed to streamline review, tracking, and collaboration processes for finance teams. The company's platform features real-time collaboration, built-in review tools, version control, audit capabilities, error identification, cell-level insights, automation for key spreadsheets, and compliance with industry security standards, enabling finance teams in spreadsheet-intensive environments to achieve greater accuracy, transparency, and efficiency in their financial operations while reducing manual effort and operational risk.</t>
  </si>
  <si>
    <t>Cascade Seed Fund, Howard Hughes, Precursor Ventures, Techstars</t>
  </si>
  <si>
    <t>www.rockhopper.co</t>
  </si>
  <si>
    <t>225677-62</t>
  </si>
  <si>
    <t>Rollet</t>
  </si>
  <si>
    <t>Operator of an electronic parking payment system designed to reduce the hassles involved with driving and parking. The company's system creates visual identities of registered vehicles to facilitate instant transactions and transform any car into a payment token for parking, fuelling, and toll roads, enabling users to focus on the road and destination without cash or contact.</t>
  </si>
  <si>
    <t>Hiventures, Solus Capital Venture Capital Fund Management</t>
  </si>
  <si>
    <t>www.rollet.hu</t>
  </si>
  <si>
    <t>438257-71</t>
  </si>
  <si>
    <t>Roma Credit</t>
  </si>
  <si>
    <t>Provider of financial service solutions focused on the car-loan market. The company provides solutions that integrate big data, artificial intelligence and the company's self developed risk management model, allowing enterprises to decrease the risks in providing loans.</t>
  </si>
  <si>
    <t>Innoangel Fund, Tsinghua Capital, ZhenFund</t>
  </si>
  <si>
    <t>www.romacredit.com</t>
  </si>
  <si>
    <t>224489-44</t>
  </si>
  <si>
    <t>Rongjinsuo</t>
  </si>
  <si>
    <t>Operator of an online peer to peer (P2P) lending platform designed to offer private credit lending services for individuals and SME owners. The company offers a variety of P2P lending solutions including personal short-term loans, mortgage, and auto loans with flexible fee structure and transparent terms, providing easy access to capital for individuals with immediate financial needs.</t>
  </si>
  <si>
    <t>Tianye Group</t>
  </si>
  <si>
    <t>www.rjs.com</t>
  </si>
  <si>
    <t>342148-96</t>
  </si>
  <si>
    <t>RongYiSuan</t>
  </si>
  <si>
    <t>Developer of a one-stop SaaS enterprise service platform intended for corporate finance and taxation services. The company's platform provides customized financial and taxation service solutions by integrating big data technology and talent intelligent resources, enabling small to medium size enterprises to reduce costs of taxation and fiscal services by using the company's platform.</t>
  </si>
  <si>
    <t>Daocin Capital, Eastern Bell Venture Capital, Granite Asia, HSG (Hong Kong), Sunyard Technology</t>
  </si>
  <si>
    <t>www.rys.com</t>
  </si>
  <si>
    <t>120416-77</t>
  </si>
  <si>
    <t>Rongzi.com</t>
  </si>
  <si>
    <t>Provider of online platform for offline investors to find small businesses to fund. The company serves banks, security firms, and trust and leasing companies and offers services including loan products, equity funding, and policy funding.</t>
  </si>
  <si>
    <t>Greenwoods Investment, New Access Capital</t>
  </si>
  <si>
    <t>www.rongzi.com</t>
  </si>
  <si>
    <t>894164-32</t>
  </si>
  <si>
    <t>Roomiy Finance</t>
  </si>
  <si>
    <t>Developer of a hotel distribution platform intended to offer commission-free trading opportunities for hotel owners. The company's platform helps hotel owners turn future stays into upfront cash and get cashbacks, fund renovations, cover payroll, manage seasonality, and boost cash flow before refinancing, enabling clients to connect their hotel directly to bulk travel buyers, fintechs, and multi-nationals.</t>
  </si>
  <si>
    <t>Better Tomorrow Ventures, Endurance Ventures (UK), Slow Ventures</t>
  </si>
  <si>
    <t>www.roomiy.com</t>
  </si>
  <si>
    <t>1156375-36</t>
  </si>
  <si>
    <t>Root (Specialized Finance)</t>
  </si>
  <si>
    <t>Operator of a money transfer platform intended for businesses to move money instantly. The company develops an instant money movement platform and offers money transfer directly from bank accounts, without intermediaries, delays, and hidden fees, with real-time settlements, enterprise-grade reliability, and more.</t>
  </si>
  <si>
    <t>Anurag Bajpayee, BlueSky Capital Management, Daniel Petrozzo, Dimitry Goulandris, Gilgamesh Ventures, Girish Reddy, Harit Talwar, Miguel Armaza, Omar Darwazah, Punch Capital, Ram Shriram, Ram Sundaram, Singh Capital Partners, Thejo Kote, Vasant Prabhu, Vivek Goyal</t>
  </si>
  <si>
    <t>www.useroot.com</t>
  </si>
  <si>
    <t>469433-44</t>
  </si>
  <si>
    <t>Root Energy</t>
  </si>
  <si>
    <t>Operator of a renewable energy crowdfunding platform intended to help everyone benefit from renewable energy. The company's platform connects generators such as solar, energy storage systems, and wind power with hosts that have a suitable place for their installation, and also conducts power plant direct investment, construction management, and management operations, enabling residents to build power stations.</t>
  </si>
  <si>
    <t>Conar Investment, D3 Jubilee Partners, ETRI Holdings, Hyundai Marine &amp; Fire Insurance USA, Korea Development Bank, KPX Holdings, Lighthouse Combined Investment, MYSC, Shinhan Futures Lab</t>
  </si>
  <si>
    <t>www.rootenergy.co.kr</t>
  </si>
  <si>
    <t>510205-78</t>
  </si>
  <si>
    <t>Rootopia</t>
  </si>
  <si>
    <t>Developer of an ed-fintech platform designed to support education in Vietnam. The company's platform helps to eliminate financial barriers in education and guides anyone to have the opportunity to study by bringing flexible capital with reasonable interest for the parents and learners, enabling parents to do smart investing in education by creating healthy financial habits for their children.</t>
  </si>
  <si>
    <t>BK Fund, Genesia Ventures, ThinkZone Ventures</t>
  </si>
  <si>
    <t>www.rootopia.vn</t>
  </si>
  <si>
    <t>500698-72</t>
  </si>
  <si>
    <t>Roumit</t>
  </si>
  <si>
    <t>Developer of an accounting and tax management platform designed to provide novel tax savings and evidence-based calculations. The company's platform features a security system and automated tax calculation, enabling companies to manage their accounts and tax information systematically.</t>
  </si>
  <si>
    <t>1Q Agile Lab, Daegyeong Investment, DS Asset Management, Industrial Bank of Korea, WebCash</t>
  </si>
  <si>
    <t>www.roumit.com</t>
  </si>
  <si>
    <t>525387-07</t>
  </si>
  <si>
    <t>Route.Money</t>
  </si>
  <si>
    <t>Developer of a financial platform intended to provide dynamic marketing and payments technology for businesses. The company offers swift money transfers from the account to any bank, easy group payments, bill splitting, and easy and secure peer-to-peer transactions without the need to share personal credentials, enabling eateries to boost sales and maximise underutilised time while rewarding members through cash back offers.</t>
  </si>
  <si>
    <t>GreenHouse Capital, Orbit Ventures (Venture Capital)</t>
  </si>
  <si>
    <t>www.route.money</t>
  </si>
  <si>
    <t>1153326-43</t>
  </si>
  <si>
    <t>Routesense</t>
  </si>
  <si>
    <t>Developer of a payments data infrastructure platform designed to standardize and monitor merchant account health across the payments ecosystem. The company offers full-stack transaction data aggregation, real-time account health scoring, and intelligent routing controls, enabling merchants, independent sales organizations, payment service providers, and acquiring banks to improve approval performance and maintain compliance visibility.</t>
  </si>
  <si>
    <t>Allen Angel Capital, Cultivation Capital, FOVC, Redbud VC, Service Provider Capital</t>
  </si>
  <si>
    <t>www.routesense.ai</t>
  </si>
  <si>
    <t>588667-24</t>
  </si>
  <si>
    <t>Rowan (Henderson)</t>
  </si>
  <si>
    <t>Developer of a business succession platform designed to simplify the process of selling businesses. The company's platform automates collections, reminders, and follow-ups, standardizes messy financials, recategorizes accounts, and ensures accuracy across systems, automates personalized email and text campaigns to acquire new customers and engage current ones, and offers curated matches to speed up deals, enabling business owners to connect with ideal buyers efficiently while maximizing value.</t>
  </si>
  <si>
    <t>DRW Holdings, Edward Lou, Mercury Fund, Motivate Venture Capital</t>
  </si>
  <si>
    <t>www.trustrowan.com</t>
  </si>
  <si>
    <t>503143-12</t>
  </si>
  <si>
    <t>RQD*</t>
  </si>
  <si>
    <t>Developer of clearing, custody, and execution platform designed to deliver scalable and customizable clearing and custody services. The company's platform offers custody and execution services with direct API integration to instantly process trade data, enabling broker-dealers, institutional and active traders, foreign financial institutions, and proprietary trading firms to meet the most demanding regulatory requirements.</t>
  </si>
  <si>
    <t>ABN AMRO Bank, Belvedere Strategic Capital, Nyca Partners</t>
  </si>
  <si>
    <t>www.rqdclearing.com</t>
  </si>
  <si>
    <t>232097-68</t>
  </si>
  <si>
    <t>RTC</t>
  </si>
  <si>
    <t>Developer of mortgage purchase software designed to help people get a home equity loan. The company's software provides a form for basic information about the current mortgage credit and helps in finding bidders with the financial institution to close the terms of the transfer of the mortgage, enabling homebuyers to receive advice on all of their mortgage-related queries.</t>
  </si>
  <si>
    <t>Endeavor Perú, Winnipeg Capital</t>
  </si>
  <si>
    <t>www.rtc.pe</t>
  </si>
  <si>
    <t>510638-77</t>
  </si>
  <si>
    <t>Ruba (Financial Software)</t>
  </si>
  <si>
    <t>Developer of an education fee payment platform designed to offer convenient education funding for all parents. The company's platform offers payment options for children's school tuition fees in easy monthly installments at no cost and provides a smart directory to help make educated decisions about suitable schools for a child's future, enabling parents to manage and track all educational payments through a single digital platform and facilitate access to quality education.</t>
  </si>
  <si>
    <t>www.rubapay.com</t>
  </si>
  <si>
    <t>519969-16</t>
  </si>
  <si>
    <t>RubiLabs</t>
  </si>
  <si>
    <t>Developer of a data unification platform intended to help organizations monitor and analyze complex information across operational functions. The company offers tools that consolidate fragmented datasets, support real-time collaboration for risk, compliance, and security teams, and provide workflow features for detection and investigation, enabling institutional users to interpret large volumes of data, strengthen oversight, and maintain continuous situational awareness.</t>
  </si>
  <si>
    <t>www.rubilabs.io</t>
  </si>
  <si>
    <t>895393-27</t>
  </si>
  <si>
    <t>Rudiq</t>
  </si>
  <si>
    <t>CloudTech &amp; DevOps, Cryptocurrency/Blockchain, FinTech, SaaS</t>
  </si>
  <si>
    <t>Developer of asset tokenization platforms designed to digitize real-world assets, with fractional ownership, liquidity, and accessibility. The company offers decentralized finance applications with transparency, security, and efficiency with blockchain technology, including regulated institution integration, delivering tokenization, launchpad, and peer-to-peer tools, enabling businesses to seek reliable asset management.</t>
  </si>
  <si>
    <t>Finesta Yatırım, ForInvest (Financial Software), Garanti BBVA Partners, Mohammed Bin Rashid Innovation Fund, RePie GSYO, Savco Yatırım, Simya, Turkiye Is Bankasi, Workup (Turkey)</t>
  </si>
  <si>
    <t>www.rudiq.com</t>
  </si>
  <si>
    <t>570126-07</t>
  </si>
  <si>
    <t>RuDo Wealth</t>
  </si>
  <si>
    <t>Developer of a data-driven wealthtech platform designed for UAE-based NRIs to manage, grow, and optimize their financial assets across global markets. The company offers digital portfolio management, investment advisory, and cross-border financial solutions, enabling NRIs to access diversified investment opportunities, streamline wealth administration, and achieve their financial goals efficiently.</t>
  </si>
  <si>
    <t>www.rudowealth.com</t>
  </si>
  <si>
    <t>1083623-05</t>
  </si>
  <si>
    <t>RUGR Fintech</t>
  </si>
  <si>
    <t>Operator of digital financial infrastructure intended for rural banking and agricultural advisory services. The company's platform includes instant and bulk payout systems, UPI-based transaction tools, POS services, remote banking access, fraud prevention protocols, and crop risk insurance features, enabling rural communities to conduct secure, efficient, and inclusive financial operations across underserved regions.</t>
  </si>
  <si>
    <t>VIKASA Capital</t>
  </si>
  <si>
    <t>www.rugr.com</t>
  </si>
  <si>
    <t>233158-96</t>
  </si>
  <si>
    <t>Ruicao Network</t>
  </si>
  <si>
    <t>Provider of financial planning services intended for taxation and policy advocacy. The company's services focus on policy popularization for continuous tax planning and policy science to translate into actual business benefits, grasp policy trends, enabling high-tech enterprises to get a financial solution and increase competitiveness in the market.</t>
  </si>
  <si>
    <t>Shanghai Huaxiaranchuang Information Technology</t>
  </si>
  <si>
    <t>502901-83</t>
  </si>
  <si>
    <t>Running Lab</t>
  </si>
  <si>
    <t>Provider of offline-to-online(O2O) services and integrated software and hardware support intended to create mutually beneficial business value for small business owners. The company offers O2O commerce support, operational software, and connected devices, enabling neighborhood supermarkets, retailers, restaurants, and food delivery operators to improve daily operations and build sustainable partnerships.</t>
  </si>
  <si>
    <t>runninglab.co.kr</t>
  </si>
  <si>
    <t>336684-34</t>
  </si>
  <si>
    <t>RupeeRedee</t>
  </si>
  <si>
    <t>Operator of a digital lending platform intended to make lending safe, quick and hassle-free and help customers borrow money for their short-term needs at the click of a button. The company's platform leverages state-of-the-art technology and data sciences to facilitate the disbursal of short-term personal loans along with brokerage services to various customer segments commensurate with risk profile, enabling users to get instant cash through a completely online and secure process by avoiding unexpected financial expenses.</t>
  </si>
  <si>
    <t>Digital Finance International</t>
  </si>
  <si>
    <t>www.rupeeredee.com</t>
  </si>
  <si>
    <t>185362-57</t>
  </si>
  <si>
    <t>Rupiah Plus</t>
  </si>
  <si>
    <t>FinTech, Mobile, Mortgage Tech, Real Estate Technology</t>
  </si>
  <si>
    <t>Developer of an unsecured credit loan platform intended for the Indonesian market. The company develops an mobile application that provides Indonesian white collars and blue collars with unsecured credit loans and small cash loans, enabling users to meet cash needs.</t>
  </si>
  <si>
    <t>01VC</t>
  </si>
  <si>
    <t>www.rupiahplus.com</t>
  </si>
  <si>
    <t>527321-89</t>
  </si>
  <si>
    <t>Rupicard</t>
  </si>
  <si>
    <t>Provider of a blockchain-based credit card intended to manage finances. The company's platform uses blockchain technology to store and process transactions, enabling users to save money, such as cashback rewards and interest-free financing.</t>
  </si>
  <si>
    <t>Peak XV Partners, Saison Capital, Sprint VC, Stellaris Venture Partners, Ujwal Sutaria</t>
  </si>
  <si>
    <t>www.rupicard.com</t>
  </si>
  <si>
    <t>501574-60</t>
  </si>
  <si>
    <t>RUUF</t>
  </si>
  <si>
    <t>Operator of a financial technology company intended to offer gradual homeownership for first-time homebuyers. The company makes homeownership accessible to everyone by providing a monthly payment plan that fits buyers' budgets without a down payment, enabling users to own a house instead of renting.</t>
  </si>
  <si>
    <t>AC Ventures (EU), Boost the Future, Startupfon</t>
  </si>
  <si>
    <t>www.ruuf.com.tr</t>
  </si>
  <si>
    <t>938615-32</t>
  </si>
  <si>
    <t>Ruvo</t>
  </si>
  <si>
    <t>Developer of a fintech platform designed to receive, store, and withdraw dollars. The company's platform provides money or crypto receiving and conversion facilities in dollars, which can be stored and withdrawn in currency, Brazilian real (BRL), and a global visa card, enabling remote workers, freelancers, software engineers, and content creators to do secure transactions from wherever they are earning from geographically.</t>
  </si>
  <si>
    <t>1Confirmation, BLAST, Coinbase Ventures, First Check Ventures, Maiora Ventures, Mission Street Capital, Neer Venture Partners, Rebel Fund, Y Combinator</t>
  </si>
  <si>
    <t>www.ruvo.com</t>
  </si>
  <si>
    <t>1159499-80</t>
  </si>
  <si>
    <t>RWALayer</t>
  </si>
  <si>
    <t>Developer of a blockchain-based infrastructure designed for automated and diversified yield generation across decentralized and traditional financial markets. The company's platform integrates dual yield mechanisms through auto-rebasing protocols, restaking-secured Layer-2 architecture, and SDKs for native product development, enabling users to access real-time yield from crypto staking, government and corporate bonds, commodities, and private credit markets without manual intervention, and offering seamless bridging and redemption functionalities.</t>
  </si>
  <si>
    <t>RR2 Capital</t>
  </si>
  <si>
    <t>www.rwalayer.com</t>
  </si>
  <si>
    <t>527637-88</t>
  </si>
  <si>
    <t>SaasPay</t>
  </si>
  <si>
    <t>Operator of a subscription-based financial platform intended to provide buy now pay later service. The company's platform specializes in offering full 
payments on behalf of the buyer and in providing services related to loans, enabling buyers and sellers to unlock and negotiate tech expenses, increase capital productivity, and achieve better financial health.</t>
  </si>
  <si>
    <t>Astir Ventures, Cloud Capital (India), Hustle Fund, iSeed (India), Kube VC, Purple Seed Capital, V Hospitality Company</t>
  </si>
  <si>
    <t>www.saaspay.com</t>
  </si>
  <si>
    <t>437405-68</t>
  </si>
  <si>
    <t>Sacra</t>
  </si>
  <si>
    <t>Developer of an information infrastructure platform designed to offer research information for private markets. The company's platform offers research on venture capital and private equity firms, enabling clients to make informed decisions while investing in private markets.</t>
  </si>
  <si>
    <t>Andromeda Fintech, Autopilot Fund, Bossa Invest, Carta, Coughdrop Capital, Expansion Venture Capital, Hustle Fund, Tribe Capital</t>
  </si>
  <si>
    <t>www.sacra.com</t>
  </si>
  <si>
    <t>279629-65</t>
  </si>
  <si>
    <t>Safely Finance</t>
  </si>
  <si>
    <t>Developer of a pay-over-time platform designed to help multifamily and single-family real estate companies remove price as a barrier to leasing. The company offers financial security deposits for renters, loans for home rentals and shifting on monthly repayment plans, credit score improvement services for periodic loan repayments, and various other services, enabling users to avoid expensive upfront payments and property managers to reduce the time between leases.</t>
  </si>
  <si>
    <t>www.safelyfinance.co</t>
  </si>
  <si>
    <t>226346-95</t>
  </si>
  <si>
    <t>SAFIO Solutions</t>
  </si>
  <si>
    <t>AdTech, FinTech, Marketing Tech, SaaS</t>
  </si>
  <si>
    <t>Developer of sales analysis and forecasting software designed to improve operational performance. The company's software provides a technology that is focused on forecasting, demand planning, optimizing inventory, and maximizing purchase dollars, enabling clients to improve the accuracy of forecasts, align inventory with demand, and enhance profitability.</t>
  </si>
  <si>
    <t>Wisconsin Economic Development</t>
  </si>
  <si>
    <t>www.safiosolutions.com</t>
  </si>
  <si>
    <t>1241196-85</t>
  </si>
  <si>
    <t>Safqah</t>
  </si>
  <si>
    <t>Developer of a digital investment platform designed to provide financial services to real estate developers. The company's platform specializes in structuring and distributing Sharia-compliant Sukuk for small and medium-sized real estate developers, allows secure participation from both retail and institutional investors, backed by rigorous due diligence, transparency, and smart governance, enabling users to start their investment journey effectively.</t>
  </si>
  <si>
    <t>500 Global, AL Maather, ANB Capital, Bedaya Center for Entrepreneurship and Career Development, COTU Ventures, Imena, Joa Capital, Middle East Venture Partners, Prime Venture Partners, Sadu Capital, Sharaka Capital, Shorooq Partners, Suhail Ventures, Waad Investment</t>
  </si>
  <si>
    <t>www.safqah.co</t>
  </si>
  <si>
    <t>819984-79</t>
  </si>
  <si>
    <t>SahmAlgo</t>
  </si>
  <si>
    <t>Developer of a stock market platform designed to analyze market data using data science. The company offers tools to evaluate the impact of company news as positive, negative, or neutral, analyzes stock movement direction using technical indicators, and estimates price ranges based on volatility, enabling clients to assess news sentiment, perform technical analysis, and measure stock price volatility.</t>
  </si>
  <si>
    <t>Gharesah Investment, Monshaat</t>
  </si>
  <si>
    <t>www.sahmalgo.com</t>
  </si>
  <si>
    <t>640477-99</t>
  </si>
  <si>
    <t>Sail</t>
  </si>
  <si>
    <t>Artificial Intelligence &amp; Machine Learning, Big Data, CloudTech &amp; DevOps, Cryptocurrency/Blockchain, FinTech, SaaS</t>
  </si>
  <si>
    <t>Developer of a decentralized finance assistant designed to provide seamless access to the entire defi ecosystem through natural language. The company offers on-chain operations, investment strategy connections, and real-time blockchain information, enabling users to interact with Defi platforms and access a wide range of investment strategies.</t>
  </si>
  <si>
    <t>sail.money</t>
  </si>
  <si>
    <t>608713-75</t>
  </si>
  <si>
    <t>Sail (Healthcare Technology Systems)</t>
  </si>
  <si>
    <t>Developer of a healthcare payment platform designed to simplify and optimize the reimbursement process for patients and providers. The company's platform offers automated receipt collection, AI-based expense qualification, and tax-saving estimations, enabling users to manage eligible medical expenses efficiently, reduce financial stress, and increase savings.</t>
  </si>
  <si>
    <t>AZ Venture Capital, RevTech Labs</t>
  </si>
  <si>
    <t>www.savewithsail.com</t>
  </si>
  <si>
    <t>491778-10</t>
  </si>
  <si>
    <t>Salarium (Financial Software)</t>
  </si>
  <si>
    <t>Developer of a fintech platform designed to disburse employee salaries. The company's software offers payroll automation that allows instant access to salary and improves employee financial flexibility without operational effort, enabling businesses with financial mobility and providing employees with financial education.</t>
  </si>
  <si>
    <t>Launch Romania, Neogen (Romania)</t>
  </si>
  <si>
    <t>www.salarium.ro</t>
  </si>
  <si>
    <t>133085-35</t>
  </si>
  <si>
    <t>Salary Finance</t>
  </si>
  <si>
    <t>Operator of a financial services platform intended to improve employee financial well-being through workplace benefits. The company partners with employers to provide responsible financial products, including loans, salary advances, savings accounts, and financial education directly through payroll systems, enabling workers to access credit, manage cash flow, build savings, and take control of their finances.</t>
  </si>
  <si>
    <t>BCI Capital, Blenheim Chalcot, Brightbridge Ventures, Experian Ventures, Global Reach Investments, Hive Learning, Legal &amp; General Group, Police Mutual Assurance Society, Tech Nation Group, The Goldman Sachs Group</t>
  </si>
  <si>
    <t>www.salaryfinance.com</t>
  </si>
  <si>
    <t>494678-71</t>
  </si>
  <si>
    <t>Salary Hero</t>
  </si>
  <si>
    <t>Developer of an employee wellness platform designed to offer financial health services for corporate employees. The company's platform provides access to quick liquidity when and where needed, reduces financial stress, increases savings via reduced employee turnover, improves staff financial health and independence, hassle-free payroll process for the HR team, enabling firms to drive positive economic outcomes for both employers and employees.</t>
  </si>
  <si>
    <t>1982 Ventures, 500 Global, 500 TukTuks, Global Founders Capital, Loyal VC, M Venture Partners, Titan Capital, Z Venture Capital</t>
  </si>
  <si>
    <t>www.salary-hero.com</t>
  </si>
  <si>
    <t>1325838-79</t>
  </si>
  <si>
    <t>Saldi Tech</t>
  </si>
  <si>
    <t>Developer of financial automation software designed to streamline bank reconciliation and payment workflows for enterprises. The company's platform integrates with corporate bank accounts and ERP systems using Open Banking APIs to automate transaction matching, accounts receivable and payable reconciliation, payment execution, and cash-flow monitoring, enabling finance teams to reduce manual processing, improve reporting accuracy, and gain real-time visibility into financial operations.</t>
  </si>
  <si>
    <t>Fatima Gobi Ventures</t>
  </si>
  <si>
    <t>www.saldi.tech</t>
  </si>
  <si>
    <t>492598-63</t>
  </si>
  <si>
    <t>SalesCloud</t>
  </si>
  <si>
    <t>Developer of a cloud-based sales and management platform designed to provide real-time business information and tools to help businesses in decision-making. The company's platform includes an electronic point of sale, mobile point of sale, web point of sale and work tracking with features like invoicing, pay links, gift cards, estimates and coupons, enabling small and medium businesses to increase sales in-store and online with actionable insights and solutions.</t>
  </si>
  <si>
    <t>www.salescloud.is</t>
  </si>
  <si>
    <t>645595-30</t>
  </si>
  <si>
    <t>SalesFine</t>
  </si>
  <si>
    <t>Developer of a B2B fintech application designed to streamline the payment flow of merchants securely. The company's application offers features such as payment facilitation, a real-time dashboard offering vendors instant insights into financial transactions and an automated payment system, enabling B2B wholesalers, suppliers and marketplaces to offer flexible payment terms and automate the collection process.</t>
  </si>
  <si>
    <t>Middle East Venture Partners, Sadu Capital, Scene Holding Company</t>
  </si>
  <si>
    <t>salesfine.co</t>
  </si>
  <si>
    <t>481671-28</t>
  </si>
  <si>
    <t>Sallus Retirement</t>
  </si>
  <si>
    <t>Provider of retirement planning services intended to offer a single solution for advisors and their small business clients. The company's solution reduces the high cost, risk, and complexity of traditional retirement plans, offering working-class people affordable retirement plans, enabling customers to save what they need for the retirement they want.</t>
  </si>
  <si>
    <t>Magis Capital Partners</t>
  </si>
  <si>
    <t>www.sallus.com</t>
  </si>
  <si>
    <t>558071-29</t>
  </si>
  <si>
    <t>Sally (Financial Services)</t>
  </si>
  <si>
    <t>Provider of financial services intended to empower employees by promoting financial wellness through innovative services. The company offers individuals greater control over their finances, reduces financial stress, and inspires financial confidence, enabling employees to have access to their hard-earned wages, reducing financial stress and increasing productivity.</t>
  </si>
  <si>
    <t>Endeavor Greece, Envolve Entrepreneurship, Gaze Capital, Genesis Ventures (Greece), Theti Club Angels</t>
  </si>
  <si>
    <t>www.meet-sally.com</t>
  </si>
  <si>
    <t>512155-27</t>
  </si>
  <si>
    <t>Salmon</t>
  </si>
  <si>
    <t>Operator of a digital banking platform intended to provide consumer lending and financial services through mobile access. The company offers app-based banking, data-driven lending, secure infrastructure, and user-focused product design, enabling consumers in Southeast Asia to access financial services conveniently and manage their finances efficiently.</t>
  </si>
  <si>
    <t>Antler, Back in Black Capital, FJ Labs, International Finance Corporation, Lunate, Moore Strategic Ventures, Northstar (Singapore), Spice Expeditions, TNB Aura, Washington University in St. Louis</t>
  </si>
  <si>
    <t>salmon.group</t>
  </si>
  <si>
    <t>513197-11</t>
  </si>
  <si>
    <t>Salus</t>
  </si>
  <si>
    <t>Developer of automated digital underwriting technology intended for facilitating real-time small-dollar lending within credit unions. The company's platform uses cash-flow-based data, integrates with core systems, and automates loan decisions, enabling credit unions to provide accessible credit to members more efficiently.</t>
  </si>
  <si>
    <t>2ndF, Alumni Ventures, Antler, CAFE Fintech Accelerator, NC Idea, Red Cedar Ventures, TruStage Ventures, US National Science Foundation</t>
  </si>
  <si>
    <t>www.salusfintech.com</t>
  </si>
  <si>
    <t>327166-75</t>
  </si>
  <si>
    <t>Salv</t>
  </si>
  <si>
    <t>Developer of an anti-money laundering technology designed to cure the world of financial crime. The company's technology covers online transaction screening, offline monitoring, sanctions screening, risk-based approach, and governance to centralize AML data, exchange intelligence, automate repetitive tasks, and reduce false positive alerts, enabling banks and fintech companies to take charge of anti-money laundering with modern tools and reduce money laundering and financial crime.</t>
  </si>
  <si>
    <t>Andrew Prozes, BD Partners, EIC Scaling Club, ff Venture Capital, Fly Ventures, Flyer One Venture, Giesecke+Devrient Ventures, Grow in EMEA, Mastercard Lighthouse, Maximilian Tayenthal, Ott Kaukver, Passion Capital, Producement, Rain Lõhmus, Seedcamp, Specialist VC, Superangel, Taavi Kotka, Toivo Annus</t>
  </si>
  <si>
    <t>www.salv.com</t>
  </si>
  <si>
    <t>157761-28</t>
  </si>
  <si>
    <t>Samlino Group</t>
  </si>
  <si>
    <t>Developer of an online comparison platform designed to raise financial literacy. The company's platform offers free and independent online comparison tools for insurance, credit cards, personal loans, and other financial products essential for modern living, enabling Europeans to save money and make choices about personal finance.</t>
  </si>
  <si>
    <t>www.samlinogroup.com</t>
  </si>
  <si>
    <t>179432-74</t>
  </si>
  <si>
    <t>Samoyed Financial</t>
  </si>
  <si>
    <t>Provider of balance transfer and credit card services intended for young white-collar professionals. The company offers services including credit card management and bill cycle management through its mobile application as well as provides customized services such as credit loans, life and entertainment rights and discount guidelines with lower interest rates, enabling users to plan and organize their spending.</t>
  </si>
  <si>
    <t>CITIC Capital, PAG, Renrendai.com, Shenzhen Fortune Venture Capital, Vision Plus Capital, Welight Capital, Yonghua Capital</t>
  </si>
  <si>
    <t>www.smycloud.com</t>
  </si>
  <si>
    <t>1326644-20</t>
  </si>
  <si>
    <t>Sanadk</t>
  </si>
  <si>
    <t>Developer of an AI-powered SaaS accounting platform designed to automate bookkeeping and tax management for businesses seeking a professional alternative to traditional staffing. The company offers an all-in-one integrated accounting platform that leverages years of expertise, enabling clients to manage financial operations, tax returns, and real-time statistics with professional accuracy and without the overhead of hiring a full-time accountant.</t>
  </si>
  <si>
    <t>F6 Ventures</t>
  </si>
  <si>
    <t>sanadk.ai</t>
  </si>
  <si>
    <t>820768-24</t>
  </si>
  <si>
    <t>Sandia Insights</t>
  </si>
  <si>
    <t>Developer of an infrastructure layer designed to assist in capital risk assessment. The company offers tools to transform fragmented, manual, and opaque risk workflows into scalable, data-driven intelligence, enabling clients to bring clarity, consistency, and confidence to risk assessment in the private capital markets.</t>
  </si>
  <si>
    <t>www.sandiainsights.com</t>
  </si>
  <si>
    <t>501485-86</t>
  </si>
  <si>
    <t>Sanifu</t>
  </si>
  <si>
    <t>Developer of a process automation platform designed to streamline sales order management. The company's platform uses artificial intelligence to capture orders from multiple channels, extract relevant details like customer information, product stock-keeping unit, and order quantities, and validate data by matching it with existing records in enterprise resource planning and customer relationship management systems, enabling businesses to improve operational efficiency, reduce costs, and ensure accurate, timely fulfillment.</t>
  </si>
  <si>
    <t>sanifu.ai</t>
  </si>
  <si>
    <t>622017-73</t>
  </si>
  <si>
    <t>Sansbank</t>
  </si>
  <si>
    <t>Operator of a financial technology platform intended for managing and engaging in alternative financial transactions. The company's platform offers real-time analytics and comprehensive reports for informed decision-making, alongside customizable lending and investment options tailored to individual financial goals and risk profiles. It further integrates advanced AI-driven restaking capabilities and autonomous financial bots, ensuring secure and transparent transactions through blockchain and smart contracts, enabling everyday investors and business owners to access diverse income-generating assets and acquire necessary capital without relinquishing equity.</t>
  </si>
  <si>
    <t>BoCG Ventures, Maracuja</t>
  </si>
  <si>
    <t>sansbank.io</t>
  </si>
  <si>
    <t>534525-76</t>
  </si>
  <si>
    <t>Sante</t>
  </si>
  <si>
    <t>Developer of an artificial intelligence-powered point-of-sale platform designed to manage multi-channel sales. The company's platform unifies specialized inventory management, e-commerce storefronts, and payment processing into a single interface for automated product cataloging with pre-populated images and descriptions for spirits and wines, enabling beverage alcohol retailers to maintain regulatory compliance and streamlining complex back-office workflows.</t>
  </si>
  <si>
    <t>Allison Allen, Basile Senesi, Bonfire Ventures, Coughdrop Capital, Crescent Fund, Kima Ventures, Meridian Ventures, Operator Collective, Soda Cap Ventures, Sunstone Management, Team Ignite Ventures, UpHonest Capital, Veridical Ventures, Y Combinator</t>
  </si>
  <si>
    <t>www.santehq.com</t>
  </si>
  <si>
    <t>522379-99</t>
  </si>
  <si>
    <t>Sarna Finance</t>
  </si>
  <si>
    <t>Developer of a digital trading platform designed for users to have a virtual trading experience. The company's platform exchanges-traded stocks, traded equities, and options through advanced mobile trading applications, enabling investors to practice trading, manage their portfolios, and access key market data, all within a trusted, regulated environment.
.</t>
  </si>
  <si>
    <t>Motivate Venture Capital, Simplex Trading, Wedbush Ventures</t>
  </si>
  <si>
    <t>www.sarnafinance.com</t>
  </si>
  <si>
    <t>522378-10</t>
  </si>
  <si>
    <t>Sarna Technologies</t>
  </si>
  <si>
    <t>Developer of buying power and risk monitoring engine designed to provide end-of-day, intraday, and real-time pre-trade margin calculations for securities and complex derivatives. The company's platform takes inputs such as account type, existing and proposed positions, and balances and outputs calculations that can be used for pre-trade monitoring and settlement, enabling broker-dealers, professional traders, clearing firms, and exchanges to utilize the latest technological advancements available to respond to the growing needs.</t>
  </si>
  <si>
    <t>Motivate Venture Capital, Simplex Ventures, Simplexity Ventures, Wedbush Securities, Wedbush Ventures</t>
  </si>
  <si>
    <t>www.sarna.io</t>
  </si>
  <si>
    <t>227053-27</t>
  </si>
  <si>
    <t>Sarwa</t>
  </si>
  <si>
    <t>Developer of an automated investment management platform designed to offer a way to invest money for long-term financial growth. The company's platform combines proven investment strategies with technology that drives down costs and educates the public about the different aspects of personal finance and investment, enabling customers to make diversified investments and get better returns.</t>
  </si>
  <si>
    <t>500 Global, Abu Dhabi Investment Office, ADQ, David Gibson-Moore, Dubai International Finance Centre, Future100, Hala Ventures, Hub71, Kuwait Projects Company Holding, MIC Capital, Middle East Venture Partners, Mohammed Bin Rashid Innovation Fund, More Capital, Mubadala Investment Company, Oryx Fund, Phoenician VC, Salica Investments, Saned Partners, Shorooq Partners, Station F, VentureSouq, Vision Ventures (Saudi Arabia), Women's Angel Investor Network</t>
  </si>
  <si>
    <t>www.sarwa.co</t>
  </si>
  <si>
    <t>865729-81</t>
  </si>
  <si>
    <t>SaturnX</t>
  </si>
  <si>
    <t>Developer of a stablecoin-based payments infrastructure designed to facilitate cross-border payments for businesses. The company offers an API-first platform that allows users to accept fiat or stablecoins, convert or swap across chains, disburse in local currencies, and fund global bank accounts, enabling businesses to facilitate cross-border payments and remittances through blockchain-based settlement infrastructure.</t>
  </si>
  <si>
    <t>www.saturnx.money</t>
  </si>
  <si>
    <t>1153812-43</t>
  </si>
  <si>
    <t>Sava (San Francisco)</t>
  </si>
  <si>
    <t>Developer of an AI-powered agentic trust company intended to provide a real-time dashboard for all client trusts. The company treats the trust charter as programmable infrastructure and provides the complex, regulated trust administration services through a simple API, enabling companies to build applications to innovate on the client-facing experience.</t>
  </si>
  <si>
    <t>Avalanche VC, DG Daiwa Ventures, Earl Grey Capital, J20 Ventures, Lombardstreet Ventures, Orange Collective, Pioneer Fund, Rebel Fund, SurgePoint Capital, Team Ignite Ventures, The Explorer Fund, Y Combinator</t>
  </si>
  <si>
    <t>www.savahq.com</t>
  </si>
  <si>
    <t>493619-14</t>
  </si>
  <si>
    <t>Sava Africa</t>
  </si>
  <si>
    <t>Developer of a spend-management platform designed for the management of business spending. The company's platform uses business accounting software to maintain absolute control over the company's finances, classify transactions, and reconcile accounting automatically, enabling businesses to grow with the tools and credit they need.</t>
  </si>
  <si>
    <t>Breega, Chandaria Capital, CRE Venture Capital, Ingressive (Nigeria), Innovate UK, Quona Capital, Rally Cap VC, Resilience17, Sherpa Ventures, The MBA Fund, Unicorn Growth Capital</t>
  </si>
  <si>
    <t>www.sava.africa</t>
  </si>
  <si>
    <t>439062-85</t>
  </si>
  <si>
    <t>Save Advisers</t>
  </si>
  <si>
    <t>Developer of investment-linked savings platforms designed to help individuals grow their savings with principal protection. The company's platform features FDIC-insured deposit accounts, automated investment matching, performance tracking, and personalized portfolio options, enabling retail savers and investors with access to market returns, risk management, and transparent account management while enabling them to achieve higher yields without risking their initial deposits.</t>
  </si>
  <si>
    <t>BNP Paribas, Natixis, Pacer Financial, Webster Financial</t>
  </si>
  <si>
    <t>www.joinsave.com</t>
  </si>
  <si>
    <t>820431-55</t>
  </si>
  <si>
    <t>Savea (Financial Software)</t>
  </si>
  <si>
    <t>Developer of a fintech platform designed to regulate investment products based on tokenized high-value, real-world assets. The company's platform tracks the performance of the benchmark wine index and is fully backed by physical reserves, their onchain infrastructure brings increased accessibility, scalability, and liquidity to real-world asset investments, enabling investors to get cutting-edge infrastructure to ensure security, stability, and transparency.</t>
  </si>
  <si>
    <t>EmergentX</t>
  </si>
  <si>
    <t>www.savea.com</t>
  </si>
  <si>
    <t>166435-75</t>
  </si>
  <si>
    <t>SaveDay</t>
  </si>
  <si>
    <t>Operator of a retirement planning platform intended to help small business employees save for retirement easily and affordably. The company's platform focuses on combining different assets in a portfolio to maximize estimated returns while reducing the level of risk and acts as an advisor, administrator, and broker-dealer for clients' plans, enabling self-employed, small business owners, and their employees to save automatically for their future.</t>
  </si>
  <si>
    <t>Linden Ventures, Quansight Initiate, Sputnik ATX</t>
  </si>
  <si>
    <t>www.saveday.com</t>
  </si>
  <si>
    <t>466686-73</t>
  </si>
  <si>
    <t>SaveIN</t>
  </si>
  <si>
    <t>Digital Health, FinTech, HealthTech, LOHAS &amp; Wellness, Mobile</t>
  </si>
  <si>
    <t>Developer of a marketplace and embedded commerce and fintech platform designed for healthcare procedures and services. The company's platform helps people to connect with quality healthcare facilities near them and provides them with an opportunity to split their entire medical and wellness expenses into flexible, low-cost repayment plans, enabling users to get timely and quality care through enhanced affordability.</t>
  </si>
  <si>
    <t>10x Founders, 10X Group, AG Collective Capital, Bayhouse Capital, Goodwater Capital, Grant Park Ventures, Inversa Prime Socimi, Karthikeyan Sathyamoorthy, Kube VC, Kubera Venture Capital, Leonis Investissement, Loric Ventures, Mohandass Kalaichelvan, MyAsiaVC, Nordstar Partners, Oliver Jung, Pioneer Fund, Rebel Fund, Rise Capital, SCM Advisors (UK), Soma Capital, Stem AI, Vimal Kavuru, Y Combinator</t>
  </si>
  <si>
    <t>www.savein.money</t>
  </si>
  <si>
    <t>470818-63</t>
  </si>
  <si>
    <t>Savle</t>
  </si>
  <si>
    <t>Developer of a wealth management platform designed to make savings fun. The company's platform allows setting different saving goals for trips, vacations, and visiting restaurants, as well as splitting bills for increasing the amount of savings as long as needed, enabling users to form a positive habit of saving and become proficient investors.</t>
  </si>
  <si>
    <t>www.savle.net</t>
  </si>
  <si>
    <t>495607-24</t>
  </si>
  <si>
    <t>SAVVII</t>
  </si>
  <si>
    <t>Operator of a financial technology company intended to keep customers in control of their financial health. The company aims to provide security, AI-powered advice, and dynamic tools that virtually impact all elements of their financial journey, with its scope in banking, shopping, travel, savings, and budgeting, enabling users to make informed financial decisions.</t>
  </si>
  <si>
    <t>www.savvii.ca</t>
  </si>
  <si>
    <t>225873-55</t>
  </si>
  <si>
    <t>Savvyy</t>
  </si>
  <si>
    <t>Artificial Intelligence &amp; Machine Learning, FinTech, Mortgage Tech, Real Estate Technology, TMT</t>
  </si>
  <si>
    <t>Developer of a digital lending platform designed to provide a modern loan origination system and loan management system to power banks and institutional lenders. The company's platform uses data intelligence and user experience design to reduce loan processing costs, improve the customer journey, and increase employee and customer satisfaction, enabling lenders to underwrite and service mortgages intelligently and efficiently.</t>
  </si>
  <si>
    <t>C100 (Commercial Services), DMP Startups, DMZ (Toronto), Joseph Canavan, Kevin Walton, Michael Vanderkaden, Michael Zych, Plug and Play Tech Center, ScaleUP Ventures, Station FinTech Montreal, The Lazaridis Institute</t>
  </si>
  <si>
    <t>www.savvyy.ai</t>
  </si>
  <si>
    <t>464283-37</t>
  </si>
  <si>
    <t>Scallop</t>
  </si>
  <si>
    <t>Developer of a blockchain-based banking platform designed to enable users to manage their fiat and crypto assets in a single account. The company's platform provides a debit card that can be used to spend fiat or crypto anywhere in the world, as well as a crypto wallet that offers interest rates, enabling individuals and businesses to take advantage of the benefits of both traditional banking and cryptocurrencies.</t>
  </si>
  <si>
    <t>Alpha Token Capital, Amesten Capital, Animoca Brands, Asva Ventures, AU21 Capital, Automatic Venture Group, Banter Capital, Basics Capital, Bitcoin.com, Black Dragon Capital, BlackDragon (Zagreb), Blockchain Founders Fund, Cetus Technology, Criterion VC, CRT Labs, CSP DAO, CTS Capital Management, EtH Design, Foundership, GBV Capital, Hexxion, International Blockchain Consulting, J8 Capital Management, KuCoin Labs, Magnus Capital, Maha (Financial Software), MarketAcross, Momentum 6, Morningstar Ventures, NetZero Capital, Nordl, Octopus Crypto Capital, Oracles Investment Group, Oriole Ventures, Passbook Ventures, PMZ Capital, Spark Digital Capital, Stakez Capital, Symbiote, Tsing Song Capital, UniLend Finance, X21 Digital, ZBS Capital</t>
  </si>
  <si>
    <t>www.scallopx.com</t>
  </si>
  <si>
    <t>739693-72</t>
  </si>
  <si>
    <t>Scaylor</t>
  </si>
  <si>
    <t>Developer of a role-specific agentic platform designed to automate and modernize critical workflows in financial services. The company offers AI-powered tools for data extraction, diligence review, financial modeling, trade analysis, and communication, enabling private equity firms, investment banks, hedge funds, credit lenders, venture capital investors, and trading desks to streamline processes, accelerate transactions, and make data-driven decisions.</t>
  </si>
  <si>
    <t>Brickyard, LOI Venture, Real Tech Capital</t>
  </si>
  <si>
    <t>www.scaylor.com</t>
  </si>
  <si>
    <t>523247-95</t>
  </si>
  <si>
    <t>Scenario X</t>
  </si>
  <si>
    <t>Developer of a risk management platform designed to offer regulatory stress tests. The company's platform leverages artificial intelligence to provide automated compliance reporting, predictive financial modeling, risk diversification analysis and enhanced liquidity management and incorporates quantum computing capabilities for enhanced predictive modeling and market analysis, enabling financial institutions to mitigate risk and drive growth by leveraging data to create and analyze adverse scenarios.</t>
  </si>
  <si>
    <t>500 Global, BlueLion Incubator, Fongit, QAI Ventures, Sanabil 500 MENA Seed Accelerator, SICTIC</t>
  </si>
  <si>
    <t>www.scenario-x.ai</t>
  </si>
  <si>
    <t>465345-01</t>
  </si>
  <si>
    <t>Scientific Financial Systems</t>
  </si>
  <si>
    <t>Developer of financial analysis platform designed to handle complex modeling processes with intuitive report builders for collaboration. The company offers sufficient flexibility and extensibility to leverage the advanced, creative techniques needed to identify and exploit newer alpha opportunities, enabling organizations to research and implement quantitative strategies in a flexible, efficient, and extensible environment.</t>
  </si>
  <si>
    <t>Harvard Innovation Launch Lab, Snowflake Ventures</t>
  </si>
  <si>
    <t>scifincap.com</t>
  </si>
  <si>
    <t>96988-51</t>
  </si>
  <si>
    <t>Scorista</t>
  </si>
  <si>
    <t>Developer of an online credit assessment platform designed to improve the quality of credit scoring. The company's platform effectively addresses all issues related to risk assessment while providing the possibility to solve any specific task, enabling non-bank lenders to avail considerable revenue increase and reduction of losses from non-performing loans.</t>
  </si>
  <si>
    <t>Internet Initiatives Development Fund, Moscow Venture Fund, Skolkovo Foundation, Starta Ventures, SWIFT (Telecommunications Service Providers)</t>
  </si>
  <si>
    <t>www.scorista.ru</t>
  </si>
  <si>
    <t>491419-09</t>
  </si>
  <si>
    <t>Scramble</t>
  </si>
  <si>
    <t>Operator of a consumer-packaged-investments company intended to help the general public invest in working capital loans. The company offers a pre-approved startup credit limit based on the estimated lifetime income of each co-founder, allowing startups to set their fundraising goal, and private investors can allocate capital to startups via monthly fundraising rounds, enabling businesses to raise funds using secured high-yield debt financing.</t>
  </si>
  <si>
    <t>FJ Labs, K2 syndicators, Michael van Swaaij, Pareto Holdings, Prosto Venture Club, Quiet Capital, Selective VC, Skaala</t>
  </si>
  <si>
    <t>www.scrambleup.com</t>
  </si>
  <si>
    <t>343579-33</t>
  </si>
  <si>
    <t>Sea Shell Technologies</t>
  </si>
  <si>
    <t>Artificial Intelligence &amp; Machine Learning, Big Data, HR Tech</t>
  </si>
  <si>
    <t>Developer of a digital online trust testing platform designed to detect and analyze various business-related risks. The company's platform allows financial companies to receive, register, process, and analyze the credit risk of its users through an evaluation of candidates by artificial intelligence, enabling clients to design ideal profiles according to the needs of the organization, with a positive or negative effect.</t>
  </si>
  <si>
    <t>G2 Momentum Capital, MassChallenge</t>
  </si>
  <si>
    <t>nauphilus.io</t>
  </si>
  <si>
    <t>791825-50</t>
  </si>
  <si>
    <t>Seapoint</t>
  </si>
  <si>
    <t>Advanced Manufacturing, Artificial Intelligence &amp; Machine Learning, FinTech, SaaS</t>
  </si>
  <si>
    <t>Developer of a finance stack designed to help European founders move fast and scale better in their operations. The company's platform integrates banking products with the fintech application, enabling business founders to run core processes in one place.</t>
  </si>
  <si>
    <t>13books Capital, Andrena Ventures, Angel Invest, Claire Johnson, Colm Long, Des Traynor, Frontline Ventures, George Bevis, Laurence Krieger, Luke Mackey, nFront Ventures, Nomad Capital (San Juan), Portfolio Ventures, Tapestry VC, Ventures Together</t>
  </si>
  <si>
    <t>www.seapoint.co</t>
  </si>
  <si>
    <t>491029-48</t>
  </si>
  <si>
    <t>SecondSTAX</t>
  </si>
  <si>
    <t>Developer of a capital market platform and gateway designed to access and trade debt and equity securities across multiple African bonds and stock exchanges. The company's platform offers features such as business-to-business securities trading infrastructure as well as business-to-consumer retail customer operations, enabling clients to trade in the capital markets infrastructure in compliance with local regulations.</t>
  </si>
  <si>
    <t>Delwik Group, GMAK Capital Partners, LoftyInc Capital Management, STEMeIn</t>
  </si>
  <si>
    <t>www.secondstax.com</t>
  </si>
  <si>
    <t>718160-41</t>
  </si>
  <si>
    <t>Securely (Financial Software)</t>
  </si>
  <si>
    <t>Developer of a payment processing platform designed to help businesses cut costs, simplify operations, and stay compliant. The company offers an embedded finance platform that helps middle-market and large enterprises control costs, simplifying operations and compliance, enabling clients to reduce fraud risks while enabling zero-cost processing, finance on demand, rapid account funding, and infrastructure consolidation all through a single point of integration.</t>
  </si>
  <si>
    <t>www.securely.io</t>
  </si>
  <si>
    <t>840296-35</t>
  </si>
  <si>
    <t>Securely Holdings</t>
  </si>
  <si>
    <t>Developer of data orchestration technology intended to combat financial fraud. The company's platform utilizes advanced data analytics and security protocols to identify and prevent fraudulent activities, enabling individuals and businesses to conduct secure transactions and mitigate significant financial losses from scams.</t>
  </si>
  <si>
    <t>RSB Capital</t>
  </si>
  <si>
    <t>www.securely.group</t>
  </si>
  <si>
    <t>227068-12</t>
  </si>
  <si>
    <t>Securitize</t>
  </si>
  <si>
    <t>Developer of a digital security issuance and compliance platform designed to provide security tokens to investors. The company's platform delivers a global approach for creating compliant digital securities through a digital security offering that provides a stack method for issuing and managing digital securities, enabling investors to essentially tokenize shares with additional transparency, increased trading, liquidity, and an efficient process.</t>
  </si>
  <si>
    <t>Arche Capital, Cantor Equity Partners II, Hanwha Investment &amp; Securities Company, InterVest Capital Partners</t>
  </si>
  <si>
    <t>www.securitize.io</t>
  </si>
  <si>
    <t>433062-55</t>
  </si>
  <si>
    <t>SeedBlink</t>
  </si>
  <si>
    <t>Developer of an investing platform intended to democratize access to early-stage investments for investors. The company's platform offers the reach of crowdfunding, the flexibility of angel investors, and the structure of venture capital, enabling startups to raise funds.</t>
  </si>
  <si>
    <t>Catalyst Romania, Gecad Ventures, RebelVentures, Smart Impact Capital, V7 Capital</t>
  </si>
  <si>
    <t>www.seedblink.com</t>
  </si>
  <si>
    <t>494421-22</t>
  </si>
  <si>
    <t>Seedbox</t>
  </si>
  <si>
    <t>Operator of a wealth management platform intended to make investing easy. The company's platform is a fully digital marketplace for investments and financial products in the Philippines and aims to help Filipinos reach their financial goals by providing various managed funds, such as mutual funds, UITF, and PERA products, enabling customers to invest in mutual funds online as per their convenience.</t>
  </si>
  <si>
    <t>ATR Asset Management, Philippine Equity Partners, PT Indivara, Rampver Financials, Rex Ma Mendoza, SBI Ven Capital</t>
  </si>
  <si>
    <t>www.seedbox.ph</t>
  </si>
  <si>
    <t>897239-35</t>
  </si>
  <si>
    <t>SeedFi</t>
  </si>
  <si>
    <t>Operator of digital lending platform intended for affordable credit and savings access. The company's platform offers flexible repayment schedules, competitive interest rates, data-driven credit decisioning architecture, mobile access, no collateral or paperwork requirements, rapid online approval and disbursement, and comprehensive educational resources, enabling individuals and small business owners to access affordable financing, build credit history, and manage their financial lives more effectively.</t>
  </si>
  <si>
    <t>The Chrysalis Capital</t>
  </si>
  <si>
    <t>www.theseedfi.com</t>
  </si>
  <si>
    <t>562666-87</t>
  </si>
  <si>
    <t>Seedflex</t>
  </si>
  <si>
    <t>Developer of a financing platform designed to provide flexible funding for online merchants to support business growth. The company's platform offers a pay-as-you-sell repayment structure, automatic collection from future sales, and partner integration capabilities and allows users to apply and get funded for emergencies, seasonal fluctuations, payroll, and marketing equipment, enabling online merchants and platform partners to access capital while maintaining control over cash flow and strengthening platform relationships.</t>
  </si>
  <si>
    <t>500 Global, 500 Southeast Asia, Iterative Accelerator, Z Venture Capital</t>
  </si>
  <si>
    <t>www.seedflex.com</t>
  </si>
  <si>
    <t>529099-48</t>
  </si>
  <si>
    <t>Seeds (Financial Software)</t>
  </si>
  <si>
    <t>Cryptocurrency/Blockchain, FinTech, Gaming, Mobile, SaaS</t>
  </si>
  <si>
    <t>Developer of a social marketplace application designed to give access to stocks and cryptocurrencies. The company's application is accessible for multiple investment asset classes, allows discussion and sharing of information, provides a customizable interface and promotes market transparency, enabling users to participate in a diversified range of financial products.</t>
  </si>
  <si>
    <t>Crestone Venture Capital, DeVC, Five Two Five, Iterative Accelerator, Panoray Ventures, Ruvento Ventures, Seven Capital Valor</t>
  </si>
  <si>
    <t>seeds.finance</t>
  </si>
  <si>
    <t>471324-79</t>
  </si>
  <si>
    <t>Seeds Investor</t>
  </si>
  <si>
    <t>Operator of an investment management platform designed to provide personalized financial planning and portfolio management. The company's platform offers investor behavior analysis, preference-based portfolio alignment, and automated portfolio management tools, enabling financial advisors to make informed investment decisions and deliver personalized client guidance.</t>
  </si>
  <si>
    <t>Bá Minuzzi, Blank Ventures, Colibri Equity Ventures, DuContra Ventures, Odenn Ventures, Paul Walker, Portage, Ritholtz Wealth Management, Ryan Shanks, Social Leverage, Umana</t>
  </si>
  <si>
    <t>useseeds.com</t>
  </si>
  <si>
    <t>436660-21</t>
  </si>
  <si>
    <t>Seeyii Financial</t>
  </si>
  <si>
    <t>Provider of financial data and information solutions focused on the primary market. The company's platform provides data collected and processed through machine-learning and natural language processing technology, covering domestic and foreign enterprises in the financial market, in addition, the company provides application development service and consulting services related to data analytics, enabling clients to make better investment decisions.</t>
  </si>
  <si>
    <t>Capital Securities (Beijing), Koala Fund, Shanda (Private Equity), THG Ventures, Yonghua Capital, Youcheng Venture Capital</t>
  </si>
  <si>
    <t>www.seeyii.com</t>
  </si>
  <si>
    <t>894768-58</t>
  </si>
  <si>
    <t>SegTax</t>
  </si>
  <si>
    <t>Developer of a software designed to automate and streamline cost segregation studies for accelerated depreciation. The company's platform offers an AI powered workflow with automated data extraction, asset classification, and professional review, enabling tax professionals and real estate investors to complete compliant studies faster while improving cash flow.</t>
  </si>
  <si>
    <t>ShockVentures, Startup Virginia, Virginia Innovation Partnership Corporation</t>
  </si>
  <si>
    <t>www.seg.tax</t>
  </si>
  <si>
    <t>490802-23</t>
  </si>
  <si>
    <t>Self Learning Solutions</t>
  </si>
  <si>
    <t>Developer of global technology software designed to automate and orchestrate business workflows. The company provides risk management and debt collection process optimization, thereby saving time, money, and resources with business process automation, improving and speeding up decision-making with a self-learning robot-advisor, scaling the business globally, enabling fintech and other institutions to transfer key processes to the cloud, and entrusting them to business people.</t>
  </si>
  <si>
    <t>Accelpoint, Bulgarian Expansion Bridge, SMOK Ventures, WP2 Investments</t>
  </si>
  <si>
    <t>www.slsolutions.io</t>
  </si>
  <si>
    <t>1131636-61</t>
  </si>
  <si>
    <t>Selfin (Financial Software)</t>
  </si>
  <si>
    <t>Developer of an artificial intelligence-based banking platform designed to unify and optimize personal finance management. The company offers a smart system that connects users' financial products and delivers personalized recommendations, enabling businesses to automate decisions, improve outcomes, and experience the future of banking from a single intelligent interface.</t>
  </si>
  <si>
    <t>Ripple Impact Investments, Transpose Platform Management, Y Combinator</t>
  </si>
  <si>
    <t>www.selfin.app</t>
  </si>
  <si>
    <t>1231451-02</t>
  </si>
  <si>
    <t>SemiLiquid</t>
  </si>
  <si>
    <t>Developer of custody-native credit infrastructure designed to enable institutional credit activation on tokenized collateral without asset movement. The company's platform utilizes confidential compute technology and programmable protocols to manage collateral locking, automated margin calls, liquidation triggers, policy enforcement, and breach monitoring, enabling financial institutions to conduct bilateral lending with on-chain verifiability and privacy throughout the credit lifecycle.</t>
  </si>
  <si>
    <t>Oasis Labs, Veris Ventures</t>
  </si>
  <si>
    <t>www.semiliquid.com</t>
  </si>
  <si>
    <t>170327-44</t>
  </si>
  <si>
    <t>Sempli</t>
  </si>
  <si>
    <t>Operator of an online lending platform intended to help small and medium-sized businesses access capital. The company's platform transforms the access to capital of small and medium enterprises, making it an efficient and convenient way through technology and information, enabling entrepreneurs to get help in their process of growth and value generation.</t>
  </si>
  <si>
    <t>AlphaMundi, Bancóldex, Charlotte Angel Fund, Comfama, Corporación Andina de Fomento, Enabling Qapital, EWA Capital, Generación Exponencial, IDB Lab, Impulsum Ventures (Medellin), Incofin Investment Management, Oikocredit, Rijksdienst voor Ondernemend Nederland, Symbiotics (Other Financial Services), Triple Jump, XPT1 Fund</t>
  </si>
  <si>
    <t>www.sempli.co</t>
  </si>
  <si>
    <t>515541-61</t>
  </si>
  <si>
    <t>Senken</t>
  </si>
  <si>
    <t>Operator of a platform designed to help corporate buyers source verified high-quality carbon credits with aligned documentation and traceability. The company offers portfolio design, due diligence, transaction execution, and evidence generation, enabling corporate buyers to access verified supply with purchase-to-retirement transparency for internal audits and external disclosures.</t>
  </si>
  <si>
    <t>Climate Capital, Earth (Berlin), Fos Finance, Four Acres Capital, Future Forest Initiative, Inflection, NxGen Ventures, Obvious Ventures, Offline Ventures, Triton Capital (San Francisco), Vanagon Ventures Management, w3.fund</t>
  </si>
  <si>
    <t>www.senken.io</t>
  </si>
  <si>
    <t>431352-82</t>
  </si>
  <si>
    <t>Sense Deal</t>
  </si>
  <si>
    <t>Developer of intelligent data processing technology designed for financial digital innovation. The company's research and development focuses on natural language processing, knowledge graph, and deep learning technology innovation to achieve intelligent analysis and semantic understanding of massive, multi-source, heterogeneous unstructured data, which can be applied in the fields of financial credit management, wealth management, and asset management businesses, providing customers with intelligent and creative products.</t>
  </si>
  <si>
    <t>Fenghou Capital, Frees Fund, Hydsoft Technology, Oriental Fortune Capital, Qianhai FoF, Sinovation Ventures, Startup Black Horse Technology Group, Turing Ventures</t>
  </si>
  <si>
    <t>www.sensedeal.cn</t>
  </si>
  <si>
    <t>471103-48</t>
  </si>
  <si>
    <t>SensePass</t>
  </si>
  <si>
    <t>Developer of a digital payment gateway platform designed to simplify alternative transactions. The company's platform offers on-demand payouts and recurring payments as well as facilitates payments via several payment methods, including credit and debit cards, bank transfers, and digital wallets, enabling customers to execute payments seamlessly.</t>
  </si>
  <si>
    <t>IDI Insurance, Israel Investment Fund Group, Menara Ventures Xl, Meta Platforms, Mivtach Shamir Holdings, Start Path</t>
  </si>
  <si>
    <t>www.sensepass.com</t>
  </si>
  <si>
    <t>455142-70</t>
  </si>
  <si>
    <t>Senses-AI</t>
  </si>
  <si>
    <t>Operator of a data intelligence service provider designed to provide enterprise-level data and artificial intelligence services for the banking industry. The company provides helps to build and improve data assets and AI intelligent service capabilities, realizes intelligent risk control and intelligent marketing, smart operation, smart pricing, smart analysis, and other business areas to innovate, enabling financial institutions to improve efficiency and digital upgrade of the industry and customers to build a future-oriented bank's intelligent center to lead the financial reform.</t>
  </si>
  <si>
    <t>Global Founders Capital, Haichuang Tiancheng, Jiangmen Ventures, Rocket Internet Capital Partners, Sunyard Technology, Suzhou Oriza Holdings Corporation, Yonghua Capital, Zizhu Xiaomiao PE</t>
  </si>
  <si>
    <t>www.senses-ai.com</t>
  </si>
  <si>
    <t>470561-50</t>
  </si>
  <si>
    <t>Seoul Exchange Unlisted</t>
  </si>
  <si>
    <t>Operator of an online stock brokerage platform intended to trade pre-IPO company shares. The company's platform allows users to invest in or sell stocks through the Seoul Exchange, and shareholders can sell a portion of shares without having to wait until an IPO or acquisition, enabling users to gain access to private company stocks and earn a profit.</t>
  </si>
  <si>
    <t>Capstone Partners Korea, Hashed, Korea Technology Finance, Posco Investment, SBVA, Shinhan Futures Lab</t>
  </si>
  <si>
    <t>www.seoulexchange.kr</t>
  </si>
  <si>
    <t>535196-80</t>
  </si>
  <si>
    <t>Seoul Property Insight</t>
  </si>
  <si>
    <t>Developer of a commercial real estate information platform designed for investment analysis and market understanding. The company's platform provides structured and curated content on commercial real estate markets, including in-depth articles that share professional perspectives, as well as transparent real estate investment trust data and personal finance-related informational materials, enabling individual and institutional real estate market participants to broaden their investment insight and make more informed, self-directed decisions.</t>
  </si>
  <si>
    <t>Aju Continuum, City Housing (Korea), Jinwon, J-ONE Capital Invest, KB Innovation HUB, Kukbo Design, Pangea Accelerator, Samkoo, Tech Incubator Program for Startup, The Invention Lab, Woomi</t>
  </si>
  <si>
    <t>www.seoulpi.io</t>
  </si>
  <si>
    <t>623338-12</t>
  </si>
  <si>
    <t>SeraPay</t>
  </si>
  <si>
    <t>Operator of social commerce payment and inventory management platforms designed to support small and medium-sized enterprises selling via social media channels. The company offers a platform that enables merchants to sell directly from supplier inventory without holding stock, integrates secure payment tokens for seamless transactions within chat apps, and facilitates same-day last-mile delivery within Nairobi, enabling African social media merchants to overcome upfront inventory costs and payment trust barriers while scaling their businesses efficiently.</t>
  </si>
  <si>
    <t>MARL Accelerator, Open Startup International, Right Side Capital Management</t>
  </si>
  <si>
    <t>www.serapay.co</t>
  </si>
  <si>
    <t>495425-62</t>
  </si>
  <si>
    <t>Setpoint</t>
  </si>
  <si>
    <t>Operator of a real estate transaction platform intended to unlock speed, efficiency, and accuracy for proptech companies and their lenders. The company's platform supports funding and operations for various modern real estate models by verifying and storing documents, automating interest rate calculations, and digitizing assets like homes, enabling lenders and borrowers to manage their capital requirements easily.</t>
  </si>
  <si>
    <t>645 Ventures, 75 &amp; Sunny, Andreessen Horowitz, ATX Venture Partners, Capital Factory, Citi Ventures, Citigroup, Eltura Capital Management, Fifth Wall, Floating Point (Boston), Henry Kravis, Jon Steinback, Joseph Lonsdale, LiveOak Ventures, NextView Ventures, Outrunner Capital, Spencer Rascoff, Stonecroft Management, Vesta Ventures, Wells Fargo, Wild Basin Investments</t>
  </si>
  <si>
    <t>www.setpoint.io</t>
  </si>
  <si>
    <t>494707-33</t>
  </si>
  <si>
    <t>Setscale</t>
  </si>
  <si>
    <t>Provider of funding services intended to partner with brands and suppliers on their inventory and purchase orders. The company analyzes supply chain and funding needs and offers capital funding services for purchase order completion on the verge of growth, scaling from small to medium-sized enterprises and large or established businesses, enabling companies to have non-dilutive growth for their businesses.</t>
  </si>
  <si>
    <t>Ankush Gera, Corse Ventures, Ethos VC, Fin Capital, Great Oak Funding, Hippolyte Genêt, Jaime Matus, Jaws Capital, JAWS Estates Capital, Kube VC, Mantis VC, Maxim Abukhovsky, Preetham Gaddam, Realm Capital Ventures, Red Beard Ventures, Riverside Ventures, Ryan Mozzetti, The MBA Fund, TJ Larkin, WndrCo</t>
  </si>
  <si>
    <t>setscale.com</t>
  </si>
  <si>
    <t>600014-62</t>
  </si>
  <si>
    <t>Settle Payments</t>
  </si>
  <si>
    <t>Developer of a payment tracking platform designed to facilitate the management and prioritisation of payments for businesses. The company offers features including instant cash position updates, data-driven decision tools, system-to-system communication, and approval workflows with multiple user roles, enabling businesses and financial teams to monitor cash flow, streamline accounts payable and receivable processes, and improve overall financial control.</t>
  </si>
  <si>
    <t>Acasia Ventures, Accelerate Africa, Banque Misr, Elsewedy Capital, Plus Venture Capital, Shorooq Partners</t>
  </si>
  <si>
    <t>www.settle-payments.com</t>
  </si>
  <si>
    <t>721118-89</t>
  </si>
  <si>
    <t>Seva money</t>
  </si>
  <si>
    <t>Operator of a financial technology platform intended to improve remittance services for money transfer operators. The company offers remittance-powered cards in local currencies, real-time top-ups by senders, and access to digital payments, health insurance, and credit lines, enabling money transfer operators to lower payout costs and improve customer retention.</t>
  </si>
  <si>
    <t>Ada Ventures, Chris Adelsbach</t>
  </si>
  <si>
    <t>www.sevamoney.com</t>
  </si>
  <si>
    <t>531022-15</t>
  </si>
  <si>
    <t>Sevi</t>
  </si>
  <si>
    <t>Developer of a fintech application designed to empower small entrepreneurs with buy now, pay later options. The company's application offers an order now, pay later service, which allows small shops and kiosks to purchase stock on credit from their suppliers and pay later, enabling businesses to increase their capital by being able to order stock on credit from many renowned suppliers.</t>
  </si>
  <si>
    <t>Building Better, DeveloPPP Ventures, LenHold, Oxano Capital, Renew Capital, Truvalu, Visa Accelerator</t>
  </si>
  <si>
    <t>www.sevi.io</t>
  </si>
  <si>
    <t>494318-08</t>
  </si>
  <si>
    <t>Shadhin Fintech</t>
  </si>
  <si>
    <t>Operator of a peer-to-peer lending and borrowing platform intended for the unbanked population. The company's platform has been providing uncollateralized loans from investors and is following full end-to-end matchmaking with investors and borrowers, and has introduced its proprietary artificial intelligence-powered credit-scoring engine to evaluate, assess, and maintain records for its users, enabling customers to streamline their financial needs.</t>
  </si>
  <si>
    <t>Bangladesh Angels Network, SDG Impact Accelerator</t>
  </si>
  <si>
    <t>www.shadhinbd.com</t>
  </si>
  <si>
    <t>234140-77</t>
  </si>
  <si>
    <t>Shannon.ai</t>
  </si>
  <si>
    <t>Developer and provider of a platform to analyze, extract and integrate massive financial information. The company's platform is a natural-language-based question-and-answer system that provides analysts with information at a much faster speed, broader coverage, and deeper penetration, enabling business clients to quickly grasp information the rapidly changing financial markets.</t>
  </si>
  <si>
    <t>HSG (Hong Kong), Tencent Investment</t>
  </si>
  <si>
    <t>www.shannonai.com</t>
  </si>
  <si>
    <t>437809-87</t>
  </si>
  <si>
    <t>Shara</t>
  </si>
  <si>
    <t>Developer of a financial platform designed to help send receipts and invoices, track who owes money, and send free reminders and statements to clients. The company's platform sends free scheduled reminders and customized professional statements and provides a free and secure wallet and a straightforward loan application process, enabling clients to organize, increase sales, and grow their businesses systematically.</t>
  </si>
  <si>
    <t>Annelies Gamble, BYLD (Dubai), Canaan Partners, Chandaria Capital, Endeavor Catalyst, Enza Capital, Formus Capital, Future Africa, Index Ventures, Musha Ventures, Norrsken22, Scribble Ventures, Sherpa Ventures, Speedinvest, The Raba Partnership, Timon Capital, TLcom Capital, UNIQA Ventures, Village Global</t>
  </si>
  <si>
    <t>www.shara.co</t>
  </si>
  <si>
    <t>552127-60</t>
  </si>
  <si>
    <t>Shareable</t>
  </si>
  <si>
    <t>Developer of digital software intended to manage deals and operations. The company's platform allows businesses to connect to entrepreneurs and investors, manage their LPs, boost their deal flow, share sensitive data and KPIs with their stakeholders at a glance, and accelerate their due diligence operations, among others, enabling businesses to centralize their legal and financial data to improve communication and collaboration.</t>
  </si>
  <si>
    <t>One Green (Paris), Super Capital</t>
  </si>
  <si>
    <t>www.shareable.vc</t>
  </si>
  <si>
    <t>163459-54</t>
  </si>
  <si>
    <t>ShareNett</t>
  </si>
  <si>
    <t>Operator of an investment platform intended to connect investors with investment opportunities. The company's platform provides a trusted and collaborative environment for members to share actionable investment ideas, content, relationships, and resources, enabling clients and family offices to have access to company news and information in a personal and secure digital repository.</t>
  </si>
  <si>
    <t>www.sharenett.com</t>
  </si>
  <si>
    <t>535936-06</t>
  </si>
  <si>
    <t>Sharpei</t>
  </si>
  <si>
    <t>Developer of a sustainable fintech platform designed to simplify circular economy models, including rentals, subscriptions, and second-hand sales, directly through the website. The company's platform helps brands launch flexible ownership models like leasing and subscriptions by equipping businesses with the tools to offer circular consumption models to their customers, enabling retailers and manufacturers to launch, manage, and scale new revenue streams.</t>
  </si>
  <si>
    <t>Everywhere Ventures, Innovent Capital Group, Ship2B Ventures, Swell Partners, Tetuan Valley, Visa Innovation Program</t>
  </si>
  <si>
    <t>www.gosharpei.com</t>
  </si>
  <si>
    <t>518093-38</t>
  </si>
  <si>
    <t>SharpGrid</t>
  </si>
  <si>
    <t>Developer of on-trade market research and reporting software products designed to provide vendors with insights and transparency about the on-trade or out-of-home channel. The company's product helps to measure performance, analyze the market, set strategy, and navigate easily, providing clients with various services including data linking and enrichment, archetype analysis, data integration, and channel analysis.</t>
  </si>
  <si>
    <t>Czech Founders VC, Technologické inkubace, ZAKA VC</t>
  </si>
  <si>
    <t>www.sharpgrid.com</t>
  </si>
  <si>
    <t>492619-15</t>
  </si>
  <si>
    <t>Shelton AI</t>
  </si>
  <si>
    <t>Developer of AI/ML valuation and projection software designed to enhance your investment strategy by automating processes, uncovering new opportunities, and safeguarding against risks. The company offers surgically precise insights that supercharge a fund's ability to forecast IRR and uncover dislocation in investment opportunities, enabling investment teams through the simple process of pairing investors with valuation and risk management software.</t>
  </si>
  <si>
    <t>EnvisionX Capital, KDX Ventures</t>
  </si>
  <si>
    <t>www.sheltonai.com</t>
  </si>
  <si>
    <t>399161-98</t>
  </si>
  <si>
    <t>ShengLi Finance</t>
  </si>
  <si>
    <t>Developer of SaaS Fintech system intended for financial institutions and professional investors. The company focuses on the development of financial products trading and quotation systems, financial asset management systems and quantitative strategy platform, enabling users to access professional trading software for their financial products.</t>
  </si>
  <si>
    <t>Caitong Securities, Eastmoney Innovation Capital, Fortune Capital, Guochuang Zhongding, Guotai Junan Securities, HSG (Hong Kong), Huatai Securities, Industrial Securities Company, Suzhou Oriza Holdings Corporation, Tebon Securities, Tianjin Venture Capital, Yuerong Capital, Zhejiang Silicon Paradise Asset Management Group, Zhejiang United Investment Group</t>
  </si>
  <si>
    <t>www.shenglisoft.cn</t>
  </si>
  <si>
    <t>169761-70</t>
  </si>
  <si>
    <t>Shenma Finance</t>
  </si>
  <si>
    <t>Provider of a financial services platform designed to focus on China's rural population. The company's platform focuses on the channels of counties and townships and serves 800 million farmers and provides high-quality, high-efficiency and low-cost financial services for the majority of farmers through inclusive financial methods, enabling farmers to have the same financial services as urban residents.</t>
  </si>
  <si>
    <t>CE Innovation Capital, ChinaEquity Group, CreditEase, Frees Fund, Hangzhou Tongbanjie Network Technology Co., Northern Light Venture Capital, Shunwei Capital, The Hina Group</t>
  </si>
  <si>
    <t>www.shenmajr.com</t>
  </si>
  <si>
    <t>1153776-97</t>
  </si>
  <si>
    <t>Sherlock.ai</t>
  </si>
  <si>
    <t>Developer of an AI-powered data analytics software designed for financial decision-making and investment research. The company's software leverages AI technology to build financial models, analyzes market data to assess the right valuation, pricing, and cost structures, enabling institutional investors, analysts, and asset managers to monitor market trends and make informed decisions with reduced manual effort and improved analytical precision.</t>
  </si>
  <si>
    <t>Lightbank (Venture Capital)</t>
  </si>
  <si>
    <t>www.sherlockai.app</t>
  </si>
  <si>
    <t>552841-93</t>
  </si>
  <si>
    <t>Sherpas</t>
  </si>
  <si>
    <t>Developer of a wealth management software designed for both advisors and clients. The company's cloud-based platform allows advisors to manage client portfolios, including investment analysis, rebalancing, and reporting, and helps advisors comply with regulations and manage risk through features like account monitoring and automated alerts, enabling advisors to communicate effectively with clients through secure messaging, document sharing, and online portals.</t>
  </si>
  <si>
    <t>1248 Holdings, AUA Capital Management, GoHub Ventures, Mission (Spain)</t>
  </si>
  <si>
    <t>www.sherpaswealth.com</t>
  </si>
  <si>
    <t>170946-82</t>
  </si>
  <si>
    <t>Shift (Financial Services)</t>
  </si>
  <si>
    <t>Developer of a credit and payments platform designed to help small and medium-sized businesses trade, pay, and access funds. The company's platform provides the working capital facility, manages the ups and downs of cash flow, helps to grow and expand the business, revives line of credit to pay overseas suppliers, business finance for cars, trucks, trailers, equipment finance, and pays shift payments, enabling business owners to access the finance they need to operate and grow.</t>
  </si>
  <si>
    <t>Analog Capital, John Prendiville, Michael Carapiet, Patrick Tuttle, Peak XV Partners</t>
  </si>
  <si>
    <t>www.shift.com.au</t>
  </si>
  <si>
    <t>915786-37</t>
  </si>
  <si>
    <t>Shiftmate</t>
  </si>
  <si>
    <t>Developer of a financial software designed to transform how community banks and credit unions serve their communities. The company's platform unifies integration, intelligence, and automation in a modular, scalable system built for real operational impact, enabling financial intermediaries to connect systems, understand their team, and respond in real time.</t>
  </si>
  <si>
    <t>www.shiftmate.ai</t>
  </si>
  <si>
    <t>608157-64</t>
  </si>
  <si>
    <t>Shiga Digital</t>
  </si>
  <si>
    <t>Developer of a decentralized wallet designed to provide access to digital currencies and stablecoins. The company offers multichain transfers, fiat conversion features, and privacy-focused tools, enabling clients to conduct cross-border transactions autonomously and consistently.</t>
  </si>
  <si>
    <t>Celo Camp, DFS Lab, Plug and Play Tech Center, Tether Investments, Visa Accelerator</t>
  </si>
  <si>
    <t>www.shiga.io</t>
  </si>
  <si>
    <t>551373-76</t>
  </si>
  <si>
    <t>Shopbook</t>
  </si>
  <si>
    <t>Developer of a finance management application designed to help small business owners keep track of finances and make informed decisions. The company offers a hassle-free credit management system to manage credit accounts in one place, saving time, reducing errors, and collecting payments faster, enabling medium and small management enterprises to improve their business and manage their operations correctly.</t>
  </si>
  <si>
    <t>www.shopbook.lk</t>
  </si>
  <si>
    <t>532568-89</t>
  </si>
  <si>
    <t>ShopOkoa</t>
  </si>
  <si>
    <t>Developer of financial software designed to improve access to finance for informal retailers. The company develops a digital platform that offers inventory financing, embedded lending, credit scoring, merchant payments, and working capital management, enabling small retailers and distributors to access financing and manage their operations.</t>
  </si>
  <si>
    <t>BimaLab, Directorate of Innovation Incubation and University Industry Linkages, Giving Desk, MIT Solve, Timbuktoo Fintech Startup Accelerator Programme, Visa Accelerator</t>
  </si>
  <si>
    <t>www.shopokoa.com</t>
  </si>
  <si>
    <t>439324-21</t>
  </si>
  <si>
    <t>Shuming</t>
  </si>
  <si>
    <t>Developer of a SaaS platform intended to analyze and predict user consumption behaviors. The company analyzes and predicts user consumption behaviors based on artificial intelligence algorithm and data mining, providing customer acquisition solutions to clients in insurance, healthcare, and financial industries.</t>
  </si>
  <si>
    <t>China Zhongji Investment, Dongyi Capital, Midas Capital (China), Zeyue Venture Capital</t>
  </si>
  <si>
    <t>www.shumingdata.com</t>
  </si>
  <si>
    <t>483555-88</t>
  </si>
  <si>
    <t>Sibill</t>
  </si>
  <si>
    <t>Developer of a web-based financial platform designed to streamline invoicing and administrative management for businesses. The company's platform offers an interface with real-time cash flow monitoring, automated payments, invoice and deadline management, integration with banks and accounting tools, and data sharing with accountants, enabling small and medium-sized businesses, microenterprises, and accountants to centralize their financial operations, maintain compliance, improve efficiency, reduce errors, and focus on business growth.</t>
  </si>
  <si>
    <t>Creandum, Endeavor Italy, Exor, Federico Sargenti, Founders, Giuseppe Lacerenza, Keen Venture Partners, Matteo Cera, Plug and Play Tech Center, Raffaele Mauro, Vento (Venture Capital)</t>
  </si>
  <si>
    <t>www.sibill.com</t>
  </si>
  <si>
    <t>819016-21</t>
  </si>
  <si>
    <t>Sieve Data</t>
  </si>
  <si>
    <t>Developer of a human-validated data platform designed to offer clean and reliable data for financial institutions. The company offers an application programming interface that uses an artificial intelligence-led process to find and extract relevant data that is reviewed by a team of human experts and followed by a consensus validation step to ensure data quality and accuracy with custom integrations, enabling hedge funds and financial institutions to facilitate access to verified data.</t>
  </si>
  <si>
    <t>Clocktower Ventures, Restive Ventures, SBXi, Y Combinator</t>
  </si>
  <si>
    <t>www.usesieve.com</t>
  </si>
  <si>
    <t>491218-39</t>
  </si>
  <si>
    <t>SiFi (Financial Software)</t>
  </si>
  <si>
    <t>Developer of financial software intended to manage expenses with better visibility and savings. The company's software specializes in providing virtual and physical corporate cards with built-in rules, managing spending, automating expense reporting, and reconciling accounting automatically through built-in integration capabilities, enabling companies, startups, SMEs, and governments to control and manage their corporate spending effectively.</t>
  </si>
  <si>
    <t>AL Maather, Arab National Bank, Breyer Capital, BYLD (Dubai), KBW Ventures, Khwarizmi Ventures, Mazen AlJubeir, Middle East Venture Partners, QED Investors, Raed Ventures, Rumer (New Zealand), Sanabil Investments, Seedra Ventures, Tech Invest Com</t>
  </si>
  <si>
    <t>www.sifi.app</t>
  </si>
  <si>
    <t>498481-93</t>
  </si>
  <si>
    <t>SigmaMind AI</t>
  </si>
  <si>
    <t>Developer of an artificial intelligence platform designed to automate customer support. The company platform generates responses to customer queries via chat or email by learning from past tickets, FAQs, help docs and other third-party systems, enabling e-commerce brands to offer accurate and personalized support.</t>
  </si>
  <si>
    <t>Goodwater Capital, Kevin Moore, Kube VC, Soma Capital, Unpopular Ventures, Y Combinator</t>
  </si>
  <si>
    <t>www.sigmamind.ai</t>
  </si>
  <si>
    <t>645296-14</t>
  </si>
  <si>
    <t>SIGN3</t>
  </si>
  <si>
    <t>Developer of customer intelligence software designed for fraud prevention and financial decisioning purposes. The company's platform uses artificial intelligence and machine learning architecture combining device intelligence, behavioural biometrics, and alternative data signals to generate pre-emptive risk insights, enabling financial institutions and marketplaces to improve risk assessment and decision accuracy.</t>
  </si>
  <si>
    <t>Anup Agarwal, Cedar Hill Capital, Dinesh Agarwal, Rajesh Sawhney, Smile Group, Vinay Bagri</t>
  </si>
  <si>
    <t>www.sign3.ai</t>
  </si>
  <si>
    <t>484653-34</t>
  </si>
  <si>
    <t>Signal Rank</t>
  </si>
  <si>
    <t>Developer of a systematic investment platform designed to identify and invest in high-potential Series B venture-backed companies. The company offers a live model that analyzes investor patterns and accesses pro-rata rights from numerous partnerships, enabling venture investors to participate in promising startups with enhanced investment opportunities.</t>
  </si>
  <si>
    <t>A&amp;E Investments, AltaIR Capital, Andrew Vilcsak, Blake Grossman, Blue Star Group Ventures, Candou Ventures, Charlie Jadallah, Daniel Rose, Draper Richards Kaplan Foundation, Erez Galonska, Eric Archambeau, Faraj Allaei, Garry Tan, George Coelho, Glen Kacher, H. Barton Asset Management, Harris Barton, Igor Ryabenkiy, John P. Keiserman, JuneX Capital Partners GP, Karol Marcin, Lip-Bu Tan, Michael Robbins, Mohammed Al-Khater, Polen Capital, Raymond Lane, Robert McRae, Sanjay Jha, SanTuri Ventures, Sterling Oak Group, ThinkTank Holdings, Vinton Cerf, Wade Tetsuka</t>
  </si>
  <si>
    <t>www.signalrank.com</t>
  </si>
  <si>
    <t>1153349-83</t>
  </si>
  <si>
    <t>Signet California</t>
  </si>
  <si>
    <t>Developer of an AI-native operations platform designed to streamline the management of digital asset funds. The company's platform offers automated operational workflows, data management capabilities, and AI-driven processing tools, enabling digital asset fund managers to improve operational efficiency and oversight.</t>
  </si>
  <si>
    <t>Plug and Play Tech Center, Tampa Bay Wave</t>
  </si>
  <si>
    <t>www.getsignet.xyz</t>
  </si>
  <si>
    <t>433117-81</t>
  </si>
  <si>
    <t>Silicon Prairie</t>
  </si>
  <si>
    <t>Operator of an online crowdfunding platform intended to assist companies in raising funds. The company's platform facilitates companies in raising capital from both accredited and non-accredited investors using regulation crowdfunding exemptions such as MNvest or SCOR, enabling businesses to manage their investors easily and representing companies in the execution of transactions with institutional and professional investors and lenders.</t>
  </si>
  <si>
    <t>Johnson Venture Partners</t>
  </si>
  <si>
    <t>www.sphi.io</t>
  </si>
  <si>
    <t>497334-34</t>
  </si>
  <si>
    <t>Silta</t>
  </si>
  <si>
    <t>Operator of a financial platform intended to connect the world of decentralized finance with infrastructure investments. The company's platform leverages artificial intelligence (AI) to streamline preparation and due diligence for infrastructure projects, enabling clients to improve efficiency and support sustainable development.</t>
  </si>
  <si>
    <t>ADB Ventures, Cerulean Ventures, Chapter One, Climate Capital, Coinsilium Group, Concave, Draft Ventures, Streamr</t>
  </si>
  <si>
    <t>www.silta.finance</t>
  </si>
  <si>
    <t>167636-17</t>
  </si>
  <si>
    <t>Silver Bearing Library</t>
  </si>
  <si>
    <t>Operator of an online platform that provides financial services for corporate users. The company's online platform provides notes financing and inter-enterprise bill payment services, enabling enterprises to improve the liquidity of large amount stock notes and increase the efficiency of the corporate funds.</t>
  </si>
  <si>
    <t>China Capital Group, China Growth Capital, Empower Investment, IDG Capital, Linear Capital, Microsoft for Startups</t>
  </si>
  <si>
    <t>www.yinchengku.com</t>
  </si>
  <si>
    <t>527817-07</t>
  </si>
  <si>
    <t>Silverguard</t>
  </si>
  <si>
    <t>Developer of a digital fintech platform intended to protect individuals and valuable data. The company's platform offers cybersecurity and financial insurance technology and connects victims and guardians of the financial system, shortening the reporting journey, blocking scam accounts faster, reducing service costs, and increasing the efficiency of anti-fraud teams, enabling users and their families to use the internet from anywhere and carry out their digital transactions without worrying.</t>
  </si>
  <si>
    <t>Astella Investimentos, BetaVentures, Endeavor Promessas, Latitud, Seedstars International Ventures, Sororité</t>
  </si>
  <si>
    <t>www.sosgolpe.com.br</t>
  </si>
  <si>
    <t>306787-69</t>
  </si>
  <si>
    <t>SimFin</t>
  </si>
  <si>
    <t>Developer of a financial research platform designed to make fundamental financial data available to private investors, researchers, and students. The company's platform uses automatic data collection processes, machine learning, and artificial intelligence to offer fundamental and technical financial data, enabling users to access data and make decisions.</t>
  </si>
  <si>
    <t>bmp Ventures, IBG Beteiligungsgesellschaft Sachsen-Anhalt</t>
  </si>
  <si>
    <t>www.simfin.com</t>
  </si>
  <si>
    <t>230121-37</t>
  </si>
  <si>
    <t>Simpaisa</t>
  </si>
  <si>
    <t>Developer of a payment facilitation platform designed to enable acquiring, disbursements, and remittances in frontier markets. The company offers technology-driven financial services that enhance accessibility and operational efficiency, enabling businesses to expand their reach and drive economic growth.</t>
  </si>
  <si>
    <t>KEN (Private Equity &amp; Venture Capital), LUMS Center For Entrepreneurship, Planet N Group, Sarmayacar</t>
  </si>
  <si>
    <t>www.simpaisa.com</t>
  </si>
  <si>
    <t>174726-64</t>
  </si>
  <si>
    <t>SimpleFinance</t>
  </si>
  <si>
    <t>Developer of a micro-credit platform designed to offer Russian small enterprises short-term financing instruments. The company's platform offers affordable financing tools like factoring, asset-backed loans, commercial mortgages, unsecured loans and tender loans, enabling Russian small and medium-sized businesses to get access to financial products within a day.</t>
  </si>
  <si>
    <t>SBI Holdings, SBI Investment</t>
  </si>
  <si>
    <t>www.simplefinance.ru</t>
  </si>
  <si>
    <t>471000-07</t>
  </si>
  <si>
    <t>SimpliFi</t>
  </si>
  <si>
    <t>Developer of a cards-as-a-service platform designed to democratize card issuance. The company's platform takes care of the entire end-to-end process from managing the partners like banks, schemes, processors, and identity verification to fulfillment and delivery in addition to providing a purpose-built tech stack, it also handles card operations and compliance functions, enabling clients to focus on their core business more.</t>
  </si>
  <si>
    <t>4DX Ventures, 500 Global, Abdullah Abdullah Mohammed Al-Dosari, Chris Adelsbach, Global Founders Capital, Idris Ayodeji Bello, LoftyInc Capital Management, NOMD Holdings, Osama Alraee, Raed Ventures, Rally Cap VC, Sukna Ventures</t>
  </si>
  <si>
    <t>www.simplifipay.com</t>
  </si>
  <si>
    <t>235267-30</t>
  </si>
  <si>
    <t>Simpliphy</t>
  </si>
  <si>
    <t>Developer of a physician compensation management platform designed to simplify physician contracts and compensation. The company's platform offers customizable dashboards and reports to handle any settlement model that integrates with national average survey data to provide an overview, enabling healthcare organizations to manage physician recompense and reduce the number of possibilities for error associated with their principal expenses.</t>
  </si>
  <si>
    <t>NextGen Accelerator, SC Launch, South Carolina Research Authority</t>
  </si>
  <si>
    <t>www.simpliphy.com</t>
  </si>
  <si>
    <t>571670-92</t>
  </si>
  <si>
    <t>Simply Global</t>
  </si>
  <si>
    <t>Operator of a wealth optimization platform intended to provide services to high-net-worth individuals. The company's platform leverages data analytics and client insights to create personalized investment strategies, enabling individuals to achieve their financial goals.</t>
  </si>
  <si>
    <t>www.simply-global.com</t>
  </si>
  <si>
    <t>1012906-36</t>
  </si>
  <si>
    <t>Sindbad.Tech</t>
  </si>
  <si>
    <t>Developer of automated trading and investment management software intended to reduce human error and support data-driven financial decision-making. The company's platform automates the execution of trading strategies using artificial intelligence and robotic process automation, provides tools for analyzing market data, minimizes manual intervention in investment activities, and offers a digital interface for users to monitor and manage automated trades, enabling investors to streamline their trading processes and make more informed decisions.</t>
  </si>
  <si>
    <t>Alkhabeer Capital</t>
  </si>
  <si>
    <t>www.sindbad.tech</t>
  </si>
  <si>
    <t>529606-27</t>
  </si>
  <si>
    <t>Singularity (Financial Software)</t>
  </si>
  <si>
    <t>Developer of a decentralized compliance platform designed to enable compliant and private digital asset transfers. The company's platform uses zero-knowledge proofs to verify wallet ownership without sharing personally identifiable information, enabling users to maintain their privacy while complying with regulations.</t>
  </si>
  <si>
    <t>Apollo Crypto, Comma3 Ventures, Digital Asset Capital Management, Eureka Corporate Group, Fork Ventures, Gandel Invest, Greythorn Asset Management, gumi Cryptos Capital, Laser Digital, Pellar, Rebase D. Ventures, ScalingX, Upside (Melbourne)</t>
  </si>
  <si>
    <t>www.thesingularity.network</t>
  </si>
  <si>
    <t>847317-43</t>
  </si>
  <si>
    <t>Sinky</t>
  </si>
  <si>
    <t>Developer of artificial intelligence data verification and risk analysis tools designed for decision-making support. The company's platform offers access to information about individuals and legal entities, including registration data, credit history, tax liabilities, legal proceedings, and AI-powered anomaly detection, enabling businesses in Brazil to reduce fraud, streamline verification processes, and make secure and informed operational and financial decisions.</t>
  </si>
  <si>
    <t>Randon Ventures, SaaSholic</t>
  </si>
  <si>
    <t>www.besinky.com</t>
  </si>
  <si>
    <t>599742-91</t>
  </si>
  <si>
    <t>SIX (Brokerage)</t>
  </si>
  <si>
    <t>Operator of a share trading platform intended for investors who want to align their investments with their social and environmental values. The company's platform allows users to find and trade listed companies and exchange-traded funds, manage share portfolios, and build watchlists of their favorite companies, provides ethical profiles on companies, enabling investors to make informed investment decisions based on both financial and social environmental factors.</t>
  </si>
  <si>
    <t>www.six-invest.com.au</t>
  </si>
  <si>
    <t>820828-27</t>
  </si>
  <si>
    <t>Sizu High-tech</t>
  </si>
  <si>
    <t>Developer of AI-driven robotic process automation systems designed for financial operations and enterprise workflow optimization. The company's platform features intelligent task scheduling, cross-system data reconciliation, automated document processing, and adaptive learning algorithms that simulate human interactions with financial software, enabling corporate finance departments and service providers to reduce manual workload, minimize error rates, and improve operational efficiency in high-volume, rule-based accounting and reporting environments.</t>
  </si>
  <si>
    <t>537424-75</t>
  </si>
  <si>
    <t>Skattio</t>
  </si>
  <si>
    <t>Developer of automated tax declaration software designed to support accurate preparation of personal tax filings. The company's platform provides guided data input flows, automated calculation of deductions, form completion, validation checks against tax rules, secure data handling, document export in accepted filing formats, and integration with government submission processes, enabling private individuals in Sweden to complete income declarations with reduced administrative effort while improving compliance, calculation accuracy, and confidence in reported tax positions.</t>
  </si>
  <si>
    <t>Chalmers Ventures, Foundry Ventures</t>
  </si>
  <si>
    <t>www.skattio.se</t>
  </si>
  <si>
    <t>465595-66</t>
  </si>
  <si>
    <t>SkipCash</t>
  </si>
  <si>
    <t>Developer of a digital payment application platform intended to provide a convenient payment experience. The company's platform offers to make digital payments using a proprietary QR code, thereby reducing the need for cash and physical cards, enabling consumers and merchants to link their cards securely and avail of instant cashless payment services.</t>
  </si>
  <si>
    <t>Digital Incubation Center, Doha Tech Angels, Finjan Venture Investments, KBN Group Holding, Qatar Development Bank, Qatar FinTech Hub Wave, Qatar International Islamic Bank, Qatar Science &amp; Technology Park, QIC Islamic Asset Management, Risin Ventures</t>
  </si>
  <si>
    <t>skipcash.app</t>
  </si>
  <si>
    <t>519534-82</t>
  </si>
  <si>
    <t>Sky Trading</t>
  </si>
  <si>
    <t>Developer of a no-code algo trading platform designed for equity, forex, and crypto trading. The company's platform builds, compares, backtests, automates research, and optimizes trading strategies to achieve better trading results, enabling customers to earn profit with minimal losses.</t>
  </si>
  <si>
    <t>European Union, Government of the Republic of Poland, Polish Agency for Enterprise Development</t>
  </si>
  <si>
    <t>www.skytrading.io</t>
  </si>
  <si>
    <t>539069-05</t>
  </si>
  <si>
    <t>SkyBlue Analytics</t>
  </si>
  <si>
    <t>Developer of an investment infrastructure and market-embedded data analytics tools designed for financial institutions that want to modernize. The company offers a white-label investment platform, a robo-advisor, real-time data analysis of stocks, and artificial intelligence-powered financial reporting, focusing on customizable and practical offerings, enabling institutions to deliver tailored investment experiences for their clients in a competitive financial environment.</t>
  </si>
  <si>
    <t>A3 Mercados, MANA Tech, Matba Rofex, Merchant Seven, Parallel18, Primary x, Start-Up Chile, Techstars, ThalesLab, V Hospitality Company</t>
  </si>
  <si>
    <t>www.skyblueanalytics.com</t>
  </si>
  <si>
    <t>501563-35</t>
  </si>
  <si>
    <t>Skyfire Systems</t>
  </si>
  <si>
    <t>Developer of a financial infrastructure designed to support autonomous AI-driven commerce without human involvement. The company offers instant, global, and secure payment capabilities without needing credit cards or bank accounts, enabling AI agents to transact across digital ecosystems independently.</t>
  </si>
  <si>
    <t>Andreessen Horowitz, Arca (Asset Management), Arrington Capital, Blitzscaling Ventures, BlockFi Ventures, Brevan Howard Asset Management, Circle Ventures, Coinbase Ventures, DCVC, Draper Associates, DRW Venture Capital, Ellipsis Venture, Everyrealm, Evolution Equity Partners, Experian Ventures, FBG Capital, FinTech Innovation Lab, FJ Labs, Gallery Ventures, Gemini Frontier Fund, Gemini Space Station, Hidden River, Inception Capital (British Virgin Islands), Intersection Growth Partners, Neuberger Berman Group, Outpost Ventures, Plug and Play Tech Center, Red Beard Capital, Red Beard Ventures, Ripple, Sarah Smith Fund, Sfermion, W23</t>
  </si>
  <si>
    <t>www.skyfire.xyz</t>
  </si>
  <si>
    <t>533442-34</t>
  </si>
  <si>
    <t>SlashPay (Financial Software)</t>
  </si>
  <si>
    <t>Operator of a payment platform intended to send, spend, shop, and split expenses easily. The company's platform helps users focus on their business growth while offering a convenient and unified way to handle transactions, enabling small brands and online creators to monetize their products, skills, and services.</t>
  </si>
  <si>
    <t>www.slashpay.app</t>
  </si>
  <si>
    <t>969848-92</t>
  </si>
  <si>
    <t>Slice (Commercial Service)</t>
  </si>
  <si>
    <t>Provider of credit infrastructure intended to offer HELOC (Home Equity Line Of Credit) infrastructure, integrating via API as a credit engine and intelligence layer for partners. The company is currently operating in Stealth Mode.</t>
  </si>
  <si>
    <t>Norte Ventures, Supera Capital</t>
  </si>
  <si>
    <t>www.slicepay.com.br</t>
  </si>
  <si>
    <t>156127-87</t>
  </si>
  <si>
    <t>Slice (New York)</t>
  </si>
  <si>
    <t>Developer of a cloud-based insurance platform designed to provide on-demand insurance services. The company's platform leverages artificial intelligence, machine learning, and behavioral science to offer real-time policy customization, automated claims processing, and seamless integration with distribution partners, enabling businesses to access tailored, efficient, and transparent insurance coverage.</t>
  </si>
  <si>
    <t>Co-operators, Flight Ventures, Grupo de Inversiones Suramericana, Horizons Ventures, Munich Re Ventures, Plug and Play Tech Center, SKY VC, Sompo Japan Insurance, Veronorte</t>
  </si>
  <si>
    <t>sliceinsurance.com</t>
  </si>
  <si>
    <t>121401-01</t>
  </si>
  <si>
    <t>Slice Capital</t>
  </si>
  <si>
    <t>Operator of an equity crowdfunding platform intended to assist individuals in buying shares in pre-vetted startups. The company's platform helps users to surf and invest in selected projects that are started by verified entrepreneurs and offer reviews, providing investors with alternative investment avenues.</t>
  </si>
  <si>
    <t>1517 Fund, GC Venture Fellows, General Catalyst, JEL1, PennApps Accelerator, Venture Initiation Program, WeissLabs</t>
  </si>
  <si>
    <t>slice.capital</t>
  </si>
  <si>
    <t>571425-13</t>
  </si>
  <si>
    <t>Slice Global</t>
  </si>
  <si>
    <t>Developer of global equity management platform designed to automate and simplify employee equity grants. The company's platform offers features such as continuous global compliance, global tax optimization, exposure intelligence, and secure equity lifecycle automation, enabling companies to issue equity to their teams anywhere, stay in compliance locally, and optimize tax for their employees easily and quickly.</t>
  </si>
  <si>
    <t>Cooley, Deloitte Launchpad, Eynat Guez, Fenwick &amp; West, ICON (Other Commercial Services), Insight Partners (New York), Jibe Ventures, Meitar Liquornik, R-Squared Ventures, TLV Partners, Wilson Sonsini Goodrich &amp; Rosati Professional</t>
  </si>
  <si>
    <t>www.sliceglobal.com</t>
  </si>
  <si>
    <t>515064-52</t>
  </si>
  <si>
    <t>Smally</t>
  </si>
  <si>
    <t>Developer of crowdlending platform designed for providing loans directly to those who need financing. The company's platform specializes in earning the commission from the volume of the financed means at the time of loan repayment, enabling investors with a line of credit, separating risks from the investor and a real alternative to the stock market by investing in the real sector.</t>
  </si>
  <si>
    <t>Altus Capital Group, KAMA FLOW</t>
  </si>
  <si>
    <t>www.smally.me</t>
  </si>
  <si>
    <t>462581-65</t>
  </si>
  <si>
    <t>Smart idea</t>
  </si>
  <si>
    <t>Developer of financial technology software designed to provide convenient ideas that enrich the lives of people. The company's software offers various software solutions such as a robotic assistant service, a shopping calculator application, and a quick money recorder application, enabling users to navigate and automate their finances and get a good understanding of their financial situation.</t>
  </si>
  <si>
    <t>AG Capital (Tokyo), Aucfan, Loadstar Capital, MUFG Digital Accelerator, Oak Fan Co., Ltd</t>
  </si>
  <si>
    <t>www.smart-idea-apps.com</t>
  </si>
  <si>
    <t>183031-30</t>
  </si>
  <si>
    <t>Smart Trade</t>
  </si>
  <si>
    <t>Operator of an online investment platform intended to offer asset management services. The company's platform offers advanced and personalized quantitative investment analysis based on its deep learning engine, enabling investors to make informed trade and investment decisions.</t>
  </si>
  <si>
    <t>DBJ Capital, Matsui Securities, Minkabu The Infonoid, Nippon Information Development, Startupbootcamp Holding</t>
  </si>
  <si>
    <t>www.smarttrade.co.jp</t>
  </si>
  <si>
    <t>491733-01</t>
  </si>
  <si>
    <t>Smartbrain (Financial Software)</t>
  </si>
  <si>
    <t>Developer of an investment management platform designed to consolidate investment portfolios, perform intelligent analysis, and delight customers. The company's platform offers tools that generate qualified information for complete asset management and wealth generation, helps to control and consolidate investments, enabling professionals to create strategies, risk levels, and configure the assets.</t>
  </si>
  <si>
    <t>2bCapital, Asterisk Partners</t>
  </si>
  <si>
    <t>www.smartbrain.com.br</t>
  </si>
  <si>
    <t>694358-02</t>
  </si>
  <si>
    <t>Smartdata</t>
  </si>
  <si>
    <t>Developer of a data collection platform designed to streamline financial data aggregation for financial advisors. The company's platform leverages artificial intelligence to offer features such as instant access to critical client information, automated data-intensive tasks, and comprehensive portfolio management tools, enabling financial professionals to onboard clients, provide financial analysis, enhance efficiency, and focus on client relationships and reduce administrative burdens.</t>
  </si>
  <si>
    <t>www.smartdatawealth.com</t>
  </si>
  <si>
    <t>1317240-55</t>
  </si>
  <si>
    <t>Smartfy</t>
  </si>
  <si>
    <t>Developer of an online financing automation platform designed to digitize and streamline customer financing from proposal through electronic signature and completion. The company automates end-to-end workflows with digital proposal generation, intelligent offer ranking, bank integrations, real-time activity tracking, and configurable tools for sectors including automotive, energy, and consumer markets, enabling businesses and financial partners to accelerate funding cycles, improve approval efficiency, and optimize capital deployment with greater transparency within the financial technology and embedded finance market.</t>
  </si>
  <si>
    <t>Cáceres Investor Hub, Coben Ventures</t>
  </si>
  <si>
    <t>www.smartfy.tech</t>
  </si>
  <si>
    <t>484884-01</t>
  </si>
  <si>
    <t>SmartPay (Ho Chi Minh City)</t>
  </si>
  <si>
    <t>Developer of an e-commerce platform designed to connect merchants and users to optimize the cashless economy. The company offers an e-wallet platform that allows merchants to accept digital payments and users to pay directly from their bank accounts, enabling users to get a cashless and convenient way for transactions.</t>
  </si>
  <si>
    <t>Sumitomo Mitsui Banking</t>
  </si>
  <si>
    <t>www.smartpayvn.com</t>
  </si>
  <si>
    <t>158697-82</t>
  </si>
  <si>
    <t>SmartProperty</t>
  </si>
  <si>
    <t>Developer of a financial forecasting tool designed to suggest and facilitate capital funding introductions to lenders. The company offers comprehensive financial forecasting, scenario simulation, and reserve management toolset for condo community associations managing financial reserves, enabling clients to understand and prioritize the financial requirements of condo home associations and avoid potential financial disasters.</t>
  </si>
  <si>
    <t>CONNECT (San Diego), EvoNexus, Franklin Templeton Investments United Kingdom</t>
  </si>
  <si>
    <t>www.smartproperty.com</t>
  </si>
  <si>
    <t>171523-54</t>
  </si>
  <si>
    <t>SmartRIA</t>
  </si>
  <si>
    <t>Developer of a cloud-based compliance software designed for the wealth management and financial services industries. The company's software offers navigation and sophisticated tools to integrate secure document storage and organize compliance and practice management with compliance alerts that help to complete the task on time, enabling consultants and investment advisors to conduct the processes effectively with less time and money.</t>
  </si>
  <si>
    <t>Connetic Ventures, Dynasty Financial Partners, Golden Angels Investors, Innov865 Alliance, Marketcounsel, RevTech Labs Capital, Ritholtz Wealth Management, TennesSeed Partners, Timothy Keane, VentureOut (US)</t>
  </si>
  <si>
    <t>www.smart-ria.com</t>
  </si>
  <si>
    <t>453418-21</t>
  </si>
  <si>
    <t>Smeo</t>
  </si>
  <si>
    <t>Developer of an online invoice-finance factoring platform designed for small and medium-sized enterprises to manage their cash flow challenges. The company's platform is blockchain technology and uses artificial intelligence, machine learning, and automated data-driven algorithms without currency conversion and recurring fees, enabling clients to improve their cash flow, grow their business, and compete more effectively.</t>
  </si>
  <si>
    <t>Finch Capital, PFR Ventures, Precapital Partners</t>
  </si>
  <si>
    <t>www.smeo.pl</t>
  </si>
  <si>
    <t>95221-00</t>
  </si>
  <si>
    <t>Smooth Commerce</t>
  </si>
  <si>
    <t>Developer of a mobile application designed to offer mobile commerce and engagement functionality for regional and national operators in multiple verticals. The company's application is powered by a robust customer activation system encompassing mobile payment, orders, loyalty offers and engagement, taking orders to the next level with personalized customer engagement, making the digital storefront the cornerstone of restaurant brands and solving more pain points in one digital platform than anyone else, enabling restaurants to promote profitable sales growth.</t>
  </si>
  <si>
    <t>DMZ (Toronto), DMZ Ventures, Dream Maker Ventures, Georgian Angel Network, Ontario Centre of Innovation, Peter Empey, Quig Tingley, Skunkworks Investment</t>
  </si>
  <si>
    <t>www.smooth.tech</t>
  </si>
  <si>
    <t>490242-79</t>
  </si>
  <si>
    <t>Snab</t>
  </si>
  <si>
    <t>Artificial Intelligence &amp; Machine Learning, B2B Payments, CloudTech &amp; DevOps, FinTech, SaaS</t>
  </si>
  <si>
    <t>Developer of a cloud-based financial software designed to automate, digitize &amp; simplify business payments cash collections, and treasury management. The company's platform integrates invoicing, payments, approvals, and treasury in one single integrated platform safely, enabling the business owner to pay and get paid in one click, remove manual tasks, and reduce errors while entering data.</t>
  </si>
  <si>
    <t>4Founders Capital, Glenfarne Group, TheVentureCity, Toubkal Partners, Y Combinator</t>
  </si>
  <si>
    <t>www.snabfinance.com</t>
  </si>
  <si>
    <t>455522-59</t>
  </si>
  <si>
    <t>SnapB2B</t>
  </si>
  <si>
    <t>Developer of a cloud-based financial platform designed to automate the problem of inefficiencies in purchasing and payment processing. The company's platform streamlines the entire procurement to payment workflow for mid-tier and enterprise market clients, enabling customers to communicate as buyers with their global suppliers and share payment information.</t>
  </si>
  <si>
    <t>Clear Future, Invest Nova Scotia, New Brunswick Innovation Foundation, Propel ICT</t>
  </si>
  <si>
    <t>www.snapb2b.com</t>
  </si>
  <si>
    <t>502714-63</t>
  </si>
  <si>
    <t>SnappRetail</t>
  </si>
  <si>
    <t>Developer of a retail fintech platform designed to digitize the operations of traditional trade retailers. The company's products include point-of-sale (POS) devices and an end-to-end operations platform for inventory management, sales recording, stock ordering, credit management, micro-lending, and analytics, helping retailers better manage inventory improve their cash flows, and access micro-credit.</t>
  </si>
  <si>
    <t>Antler, Century Oak Ventures, Stryde71, Taarah Ventures, Zayn Venture Capital</t>
  </si>
  <si>
    <t>www.snappretail.io</t>
  </si>
  <si>
    <t>300301-39</t>
  </si>
  <si>
    <t>SnapTrade</t>
  </si>
  <si>
    <t>Developer of a unified trading API (Application Programming Interface) platform intended to work with existing brokerage accounts. The company's software helps investors connect brokerage accounts to investing tools that run on API, enabling investors to build a new infrastructure layer that enables software-defined investing around the world.</t>
  </si>
  <si>
    <t>East Valley Ventures, Mistral Venture Partners, New Brunswick Innovation Foundation, Propel ICT, TLT East Ventures, Uncorrelated Ventures, Y Combinator</t>
  </si>
  <si>
    <t>www.snaptrade.com</t>
  </si>
  <si>
    <t>265128-22</t>
  </si>
  <si>
    <t>Snowball Wealth</t>
  </si>
  <si>
    <t>Developer of a financial management platform designed to help tackle student and consumer debt. The company's platform helps individuals tackle difficult financial decisions from managing student debt to retirement and offers investment and savings advice, enabling individuals to effectively build wealth and achieve their financial goals.</t>
  </si>
  <si>
    <t>Bumble, Cleo Capital, Collide Capital, DivInc, Eliana Murillo, Flybridge (New York), Goodwater Capital, Google Accelerator, Late Checkout, Rafael Moreira, Reign Ventures, Shivani Siroya, StartX (US), The Community Fund, Ulu Ventures</t>
  </si>
  <si>
    <t>www.snowballwealth.com</t>
  </si>
  <si>
    <t>504027-01</t>
  </si>
  <si>
    <t>Social Common Capital</t>
  </si>
  <si>
    <t>Operator of a loan-type crowdfunding platform intended to create a sustainable society with digital finance. The company's platform provides growth capital to companies that pursue both economic and social returns and connects companies that want to borrow money with individuals that want to lend, enabling businesses to find funding and lenders easily.</t>
  </si>
  <si>
    <t>Impact Circle, LAETOLI, Route Style Co, Triad (Asset Management)</t>
  </si>
  <si>
    <t>www.scc.inc</t>
  </si>
  <si>
    <t>600741-82</t>
  </si>
  <si>
    <t>Sofie (Financial Software)</t>
  </si>
  <si>
    <t>Developer of a digital platform designed to support users in managing their finances. The company's platform provides personalized financial coaching, goal-setting tools, and behavioral nudges, enabling individuals to track their spending, save for specific objectives, and receive guidance on financial decisions, thereby promoting improved economic health and well-being.</t>
  </si>
  <si>
    <t>DoubleOSeven Holding, YoV Capital</t>
  </si>
  <si>
    <t>www.mijnsofie.nl</t>
  </si>
  <si>
    <t>759634-30</t>
  </si>
  <si>
    <t>Sofistic.AI</t>
  </si>
  <si>
    <t>Developer of an AAI-based wealth management platform designed to enhance the efficiency of wealth advisors and family offices. The company's platform offers cash flow projections, investment simulations, notifications, and a dashboard for real-time financial insights that that enhances the efficiency and decision-making of wealth advisors, enabling users to deliver superior financial outcomes for their clients.</t>
  </si>
  <si>
    <t>Denis Gauthier, Etienne Veilleux, Investissement Quebec</t>
  </si>
  <si>
    <t>www.sofistic.ai</t>
  </si>
  <si>
    <t>234938-53</t>
  </si>
  <si>
    <t>SoftLedger</t>
  </si>
  <si>
    <t>Developer of a cloud accounting software designed to provide real-time visibility to critical financial data. The company's software offers a cloud-native business management platform and application programming interface that permit organizations to solve their distinctive business challenges, which include a full-feature general ledger, accounts receivable, accounts payable, inventory management and crypto asset management, enabling businesses to embed financials via a management system that can be implemented rapidly and is easy to use.</t>
  </si>
  <si>
    <t>Forum Ventures, Mucker Capital, Naples Technology Ventures, nvp capital, Right Side Capital Management, The Summer Institute</t>
  </si>
  <si>
    <t>www.softledger.com</t>
  </si>
  <si>
    <t>517913-47</t>
  </si>
  <si>
    <t>Softloans</t>
  </si>
  <si>
    <t>Developer of a financial platform designed to offer financing tools for electronic money institutions or e-commerce platforms. The company's platform facilitates revenue-based lending, focused on web-based merchants with a single sign-on experience and real-time access to clients' performance data on the loan dashboard, enabling organizations to access funds needed for business financing.</t>
  </si>
  <si>
    <t>FIRSTPICK, Mastercard Lighthouse</t>
  </si>
  <si>
    <t>www.softloans.io</t>
  </si>
  <si>
    <t>522082-09</t>
  </si>
  <si>
    <t>Solara (Financial Software)</t>
  </si>
  <si>
    <t>Developer of financial software designed to save on electricity costs without any initial investment. The company specializes in developing financial products designed to meet customer needs in emerging markets for solar energy projects in distributed generation, enabling users to access cleantech and affordable energy.</t>
  </si>
  <si>
    <t>Brainstorm Ventures, Climate Capital, GBM Ventures, Lowercarbon Capital, Lowercase Capital, Sunna Ventures</t>
  </si>
  <si>
    <t>www.solara.energy</t>
  </si>
  <si>
    <t>481744-81</t>
  </si>
  <si>
    <t>Solarize</t>
  </si>
  <si>
    <t>CleanTech, Climate Tech, FinTech, LOHAS &amp; Wellness, SaaS</t>
  </si>
  <si>
    <t>Developer of a photovoltaic solar management platform designed to support decentralized electricity supply in real estate. The company provides a digital platform that distributes solar power to multiple tenants and uses intelligent metering systems and software for allocation and automated billing of energy consumption, enabling clients to supply and sell electricity on-site.</t>
  </si>
  <si>
    <t>Future Energy Ventures, Millennium Venture Capital, Picus Capital, Point Nine Capital</t>
  </si>
  <si>
    <t>www.solarize.de</t>
  </si>
  <si>
    <t>433724-68</t>
  </si>
  <si>
    <t>Solfácil</t>
  </si>
  <si>
    <t>Operator of a solar energy financing company intended to facilitate access to solar energy installations. The company offers a platform that provides competitive payment terms, real-time credit pre-analysis, and a wide selection of solar kits, enabling integrators to efficiently implement solar projects while promoting sustainable energy solutions and reducing carbon emissions.</t>
  </si>
  <si>
    <t>Bossa Invest, Endeavor Catalyst, Fifth Wall, International Finance Corporation, QED Investors, SoftBank Group, SoftBank Latin America Fund, Spectra Investments, Valor Capital Group, VEF</t>
  </si>
  <si>
    <t>www.landing.solfacil.com.br</t>
  </si>
  <si>
    <t>501954-49</t>
  </si>
  <si>
    <t>Solusi Anak Sakti</t>
  </si>
  <si>
    <t>Developer of a financial software intended to provide services to microfinance institutions. The company's platform provides services through which customers can manage their staff, handle payments, and collect loan payments from their consumers, enabling regional cooperatives and microfinance organizations to assist in digitalization development.</t>
  </si>
  <si>
    <t>500 Global, 500 Southeast Asia</t>
  </si>
  <si>
    <t>www.djoin.id</t>
  </si>
  <si>
    <t>549867-43</t>
  </si>
  <si>
    <t>Solva (Commercial Banks)</t>
  </si>
  <si>
    <t>Operator of consumer and business financing service company intended for individuals, sole entrepreneurs, and small enterprises. The company's platform offers microloans with flexible repayment terms, secured and unsecured options, a mobile application for managing accounts and repayments, integration with retail partners for bonuses, and access to a branch network across Kazakhstan, enabling borrowers and small businesses to obtain funds, manage loans digitally, and benefit from tailored financial products.</t>
  </si>
  <si>
    <t>BlueOrchard Finance, Neo Crystal Holdings, Sawiris Family Office</t>
  </si>
  <si>
    <t>www.solva.kz</t>
  </si>
  <si>
    <t>171991-54</t>
  </si>
  <si>
    <t>Solven</t>
  </si>
  <si>
    <t>Developer of an online acquisition platform designed to originate loans through online processes. The company's platform connects users with different financial institutions offering loans at different interest rates and request offers from them, enabling individuals to get credit at competitive interest rates.</t>
  </si>
  <si>
    <t>Inca Ventures, Roberto Persivale, Village Capital, Winnipeg Capital</t>
  </si>
  <si>
    <t>www.solven.pe</t>
  </si>
  <si>
    <t>537530-95</t>
  </si>
  <si>
    <t>Solvent Global</t>
  </si>
  <si>
    <t>Developer of a consumer data infrastructure platform designed to support identity resolution, lead generation and skip-tracing activities. The company offers USPS-verified consumer records, embedded skip-tracing capabilities, real-time API access and a data platform integrated with analytics infrastructure, enabling marketing technology providers, data-driven businesses and wholesale real estate professionals to access consumer intelligence and improve contact verification processes.</t>
  </si>
  <si>
    <t>Edmond de Rothschild Private Equity</t>
  </si>
  <si>
    <t>www.solventglobal.com</t>
  </si>
  <si>
    <t>489006-37</t>
  </si>
  <si>
    <t>Solvento</t>
  </si>
  <si>
    <t>Developer of an artificial intelligence-based financial infrastructure platform designed for logistics accounts payable and freight payment optimization. The company's platform utilizes proprietary machine learning algorithms and application programming interfaces to digitize and validate complex freight documentation such as proofs of delivery and tax receipts, automated invoice reconciliation, enabling logistics providers to reduce manual administrative processing times ensuring regulatory compliance and financial transparency</t>
  </si>
  <si>
    <t>9Yards Capital Management, Alexis Patjane, BBVA Spark, Cometa (Mexico), Craig Fuller, Dynamo Ventures, Endeavor Forward, ENLACE +, Felipe Capella, Ironspring Ventures, Proeza Ventures, Quona Capital, Spectra Investments, Supply Chain Collective, Susa Ventures, Wollef, Zenda Capital</t>
  </si>
  <si>
    <t>solvento.ai</t>
  </si>
  <si>
    <t>527532-94</t>
  </si>
  <si>
    <t>Solvimon</t>
  </si>
  <si>
    <t>Developer of a billing platform designed to help fast-growing businesses manage their billing and pricing operations flawlessly. The company's platform facilitates features such as automated and transparent invoicing, customer-specific pricing in subscriptions, creating flexible pricing plans, and automated billing, enabling businesses to monitor invoices in real-time and unlock information about product usage to identify opportunities for revenue expansion and customer retention.</t>
  </si>
  <si>
    <t>Northzone Ventures</t>
  </si>
  <si>
    <t>www.solvimon.com</t>
  </si>
  <si>
    <t>722763-91</t>
  </si>
  <si>
    <t>Sonar (Financial Software)</t>
  </si>
  <si>
    <t>Developer of a data consortium designed to share fraud and counterparty risk information across financial activity. The company offers shared and anonymized transaction data and risk indicators across banks, fintechs, merchants, and digital asset services, enabling financial institutions and payment providers to identify suspicious activity and reduce fraud and misuse.</t>
  </si>
  <si>
    <t>www.joinsonar.com</t>
  </si>
  <si>
    <t>470442-07</t>
  </si>
  <si>
    <t>Sonomo</t>
  </si>
  <si>
    <t>AudioTech, FinTech, SaaS</t>
  </si>
  <si>
    <t>Developer of an online investing platform designed to aid retail investors in investing in music streaming royalties. The company's platform lets users own fractions of the songs they like, earn streaming income, and earn profits when the songs gain recognition and promote the advertisement of the music portfolio, enabling investors to earn a portion of the monthly royalties generated by those streams.</t>
  </si>
  <si>
    <t>Antler, Caesar Ventures, Gallet Capital, Peak (Amsterdam), Slingshot Ventures</t>
  </si>
  <si>
    <t>www.sonomo.com</t>
  </si>
  <si>
    <t>470873-80</t>
  </si>
  <si>
    <t>Sopiad</t>
  </si>
  <si>
    <t>Developer of a fintech platform designed to simplify investment decision-making and support investors' financial well-being. The company provides science-based investor profiling and portfolio analytics that incorporate clients' risk tolerance, investment goals, and ESG preferences, enabling wealth managers, portfolio managers, and financial advisors to deliver more tailored and consistent investment experiences.</t>
  </si>
  <si>
    <t>Le Village by CA, LeanSquare, Luxembourg House of Financial Technology, Noshaq, University of Liege</t>
  </si>
  <si>
    <t>www.sopiad.com</t>
  </si>
  <si>
    <t>571495-24</t>
  </si>
  <si>
    <t>Sorbet Holdings</t>
  </si>
  <si>
    <t>Developer of a workflow tool designed to improve efficiency and professionalism for independent creatives. The company's platform offers a suite of tools, including project management, task organization, contract and invoice handling, and streamlined client communication, enabling freelancers to focus more on their creative work and access support.</t>
  </si>
  <si>
    <t>Adaverse, Antler, DFS Lab, Outlier Ventures, Seven Capital (Texas)</t>
  </si>
  <si>
    <t>www.mysorbet.io</t>
  </si>
  <si>
    <t>1162767-43</t>
  </si>
  <si>
    <t>SOS Reforma</t>
  </si>
  <si>
    <t>Developer of an AI-driven compliance system intended for tax classification and regulatory adaptation purposes. The company's platform automates CST and cClassTrib field updates, processes large invoice batches, provides classification analysis aligned with LC 214, generates exportable reports in XLSX format, and offers integrated review workflows, enabling accounting firms and businesses to achieve rapid compliance, reduce manual effort, and create new revenue streams during tax reform transitions.</t>
  </si>
  <si>
    <t>Norte Ventures</t>
  </si>
  <si>
    <t>www.sosreforma.com.br</t>
  </si>
  <si>
    <t>167828-41</t>
  </si>
  <si>
    <t>Soudang.com</t>
  </si>
  <si>
    <t>Provider of financial technology and services designed to support pawn and small loan companies. The company's Internet "pawning" SaaS platform offer financial services, asset disposal services and transaction matching services for enterprises, enabling pawn businesses to improve their risk management and customer service quality.</t>
  </si>
  <si>
    <t>Vangoo Capital Partners</t>
  </si>
  <si>
    <t>www.soudang.com</t>
  </si>
  <si>
    <t>55959-40</t>
  </si>
  <si>
    <t>SouthStar Capital</t>
  </si>
  <si>
    <t>Provider of custom business funding services intended to solve cash flow issues of businesses. The company offers financing services from a diverse product mix of accounts receivable financing, asset-based lending, purchase order financing, government contract financing, equipment leasing, and dip financing, enabling businesses to meet their working capital needs.</t>
  </si>
  <si>
    <t>www.southstarcapital.com</t>
  </si>
  <si>
    <t>462658-51</t>
  </si>
  <si>
    <t>SparcPay</t>
  </si>
  <si>
    <t>Developer of business transaction automating systems designed to eliminate friction in transactions for small and medium-sized enterprises. The company provides end-to-end digital accounts payable that makes it easy to get started with no monthly cost, while offering deep accounting integration to handle complex transactions, enabling businesses to reduce processing time, increase efficiency, and save money on the purchase order.</t>
  </si>
  <si>
    <t>Archangel Network of Funds, Highline Beta, Intuit, Intuit Canada, MaRS Investment Accelerator Fund, Station FinTech Montreal, Verdexus</t>
  </si>
  <si>
    <t>www.sparcpay.com</t>
  </si>
  <si>
    <t>235049-50</t>
  </si>
  <si>
    <t>Spare (Financial Software)</t>
  </si>
  <si>
    <t>Developer of account information and payment initiation tools designed to develop financial products. The company's tools access transactions and personal data like account names and balances for each account from financial institutions, through the company's open banking technology, enabling developers to build their own checkout experiences.</t>
  </si>
  <si>
    <t>500 Global, ANB Capital, Boubyan Capital, Hasan Zainal, Middle East Venture Partners, Oqal Angel Investment Network, Seedra Ventures, Vision Ventures (Saudi Arabia), Wa'ed Ventures</t>
  </si>
  <si>
    <t>www.tryspare.com</t>
  </si>
  <si>
    <t>236897-38</t>
  </si>
  <si>
    <t>Spare Payments</t>
  </si>
  <si>
    <t>FinTech, Mobile, Wearables &amp; Quantified Self</t>
  </si>
  <si>
    <t>Developer of a financial platform designed to help schools implement cashless payments. The company offers a wearable device paired with financial software on smartphones that allows kids to make purchases at school through electronic payments, enabling parents to leverage modern technology to create a safer life for their children.</t>
  </si>
  <si>
    <t>500 Global, AUC Venture Lab, DIFC Innovation Hub, Patriot Financial Partners</t>
  </si>
  <si>
    <t>www.paywithspare.com</t>
  </si>
  <si>
    <t>438191-74</t>
  </si>
  <si>
    <t>Sparkle (Lagos)</t>
  </si>
  <si>
    <t>Developer of a digital banking application designed to provide freedom, flexibility, and control over finances and lifestyle. The company's application offers payments, savings, analytics, split bills option, discounts, bills payment option, instant notifications, safety, and security, enabling users to track their daily, weekly, and monthly spending patterns, with a detailed breakdown by category.</t>
  </si>
  <si>
    <t>Leadway Assurance Company, Seedstars, Trium</t>
  </si>
  <si>
    <t>www.sparkle.ng</t>
  </si>
  <si>
    <t>634520-17</t>
  </si>
  <si>
    <t>SparkReceipt</t>
  </si>
  <si>
    <t>Developer of an AI-powered receipt and expense management platform intended for automated financial record-keeping and tax readiness. The company's platform scans and categorizes physical and digital receipts and invoices, extracts key transaction details in multiple currencies and languages, bank and card statement transactions, generates filterable audit-ready reports, supports multi-workspace collaboration with live accountant access, enabling freelancers, small business owners, and entrepreneurs to maintain organized, compliant, and traceable expense records while minimizing manual work and tax-season stress.</t>
  </si>
  <si>
    <t>Business Finland Venture Capital, European Union, Trind Ventures</t>
  </si>
  <si>
    <t>www.sparkreceipt.com</t>
  </si>
  <si>
    <t>522951-31</t>
  </si>
  <si>
    <t>Sparx (Financial Software)</t>
  </si>
  <si>
    <t>Artificial Intelligence &amp; Machine Learning, Digital Health, FinTech, InsurTech, SaaS</t>
  </si>
  <si>
    <t>Developer of an actuarial and insurance automation platform designed to optimize financial performance for value-based healthcare organizations. The company's platform offers AI-driven underwriting, risk modeling, reinsurance management, stop-loss forecasting, and financial workflow automation, enabling healthcare providers and health plans to reduce capital constraints and manage risk more efficiently.</t>
  </si>
  <si>
    <t>Chris Zarou, Drive Capital, Human Capital, Thrive Capital, Wicklow Capital</t>
  </si>
  <si>
    <t>www.usesparx.com</t>
  </si>
  <si>
    <t>434721-25</t>
  </si>
  <si>
    <t>Spean</t>
  </si>
  <si>
    <t>Developer of a financial application designed to provide microloans. The company's application provides micro-finance, which does not require paperwork and permits users to compare the terms and interest rates of loan products in the credit market, enabling applicants to complete the process without visiting a physical branch location.</t>
  </si>
  <si>
    <t>Good Return And World Education Australia, Showcase Capital</t>
  </si>
  <si>
    <t>speanluy.net</t>
  </si>
  <si>
    <t>167251-78</t>
  </si>
  <si>
    <t>SpenDebt</t>
  </si>
  <si>
    <t>Developer of a loan management platform designed to assist people in paying off debt. The company's software makes debt repayment automatic through micropayment, which is added to each transaction and then routed to a selected debt, enabling customers to repay the debt on every purchase.</t>
  </si>
  <si>
    <t>American Underground, Arch Grants, Capital Innovators, Dublin Tech Summit, Essence Magazine, gener8tor, GrowthX Capital, MassChallenge, MasterCard, Nex Cubed, Polsinelli, Right Side Capital Management</t>
  </si>
  <si>
    <t>www.spendebt.com</t>
  </si>
  <si>
    <t>183562-84</t>
  </si>
  <si>
    <t>Spendee</t>
  </si>
  <si>
    <t>Developer of a budget and expense tracking application designed to empower customers to track their expenses and monitor their savings. The company's application tracks the money where it is usually spent by syncing the bank accounts and creating multiple wallets for different purposes, enabling customers to plan their transactions on different budgets.</t>
  </si>
  <si>
    <t>DEPO Ventures, Google Accelerator, Grouport Ventures, RBL_START, WeXelerate</t>
  </si>
  <si>
    <t>www.spendee.com</t>
  </si>
  <si>
    <t>466089-31</t>
  </si>
  <si>
    <t>Spendit (Financial Software)</t>
  </si>
  <si>
    <t>Developer of an expense management platform designed to manage and automate spend management. The company's platform provides compliance and expenditure monitoring and solves processes from preparation and submission of expense reports to approval work, tax reporting, and ERP integration, enabling businesses to reduce cost risk and increase employee productivity and efficiency.</t>
  </si>
  <si>
    <t>1Q Agile Lab, Alpen Route Asset Management, Hana Ventures, Kolon Investment, Korea Investment Partners, Signite Partners, Tech Incubator Program for Startup, TheVentures Company</t>
  </si>
  <si>
    <t>www.spendit.kr</t>
  </si>
  <si>
    <t>862721-47</t>
  </si>
  <si>
    <t>Spense</t>
  </si>
  <si>
    <t>Developer of a banking infrastructure platform designed for financial institutions to launch asset-backed credit products. The company provides APIs and infrastructure for secured credit cards, credit lines, prepaid cards, foreign exchange programs, and AI-powered automation for customer onboarding, servicing, collections, and support, enabling banks and fintech companies to launch and manage regulated credit products.</t>
  </si>
  <si>
    <t>Arkam Ventures, Atrium Ventures (India), GrowthCap Ventures, Kunal Shah, Madhusudan Ekambaram, QED Innovation Labs, Ravi Kravisudhakar, Ravi Shankar, Razorpay, Sayandeb Banerjee, Suresh Rayasam</t>
  </si>
  <si>
    <t>www.spense.tech</t>
  </si>
  <si>
    <t>541278-46</t>
  </si>
  <si>
    <t>Sphere (Wilmington)</t>
  </si>
  <si>
    <t>Operator of a payments infrastructure company intended to offer easy and efficient payment processes for all business needs. The company's platform provides payment alternatives through comprehensive APIs and a no-code console offering complete services for various payment needs, including currency conversion, B2B transactions, and back-office automation, enabling clients to get compliance, accounting, analytics, tax support, third-party integrations, and developer tools in one system.</t>
  </si>
  <si>
    <t>Abhay Kumar, Alex Coffman, Anagram Capital, Anatoly Yakovenko, Anza Capital, Astro Capital (NY), Big Brain Holdings, BOOGLE Syndicate, Cogitent Ventures, Coinbase Ventures, Daryl Yeo, Dean Pappas, Diego Ayala, Echo(Financial Software), Enes Toglukdemir, Hudson River Trading, Isaac Bauer, Jesse Cohen, Joey Hiller, Jordan Sexton, Jump Crypto, Logan Jastremski, Nick Garfield, Python Holdings, R89 Capital, Rajiv Gokal, Ravi M, Republic Capital Adviser, Robert Kamerschen, Solana Ventures, Stakeholder Capital, Steel DAO, Sutter Hill Ventures, Temporal Power, The Chernin Group, Tim Hwang, TJ Littlejohn, Tristan Yver, Triton Capital (San Francisco)</t>
  </si>
  <si>
    <t>www.spherepay.co</t>
  </si>
  <si>
    <t>663756-04</t>
  </si>
  <si>
    <t>Sphinx (Financial Software)</t>
  </si>
  <si>
    <t>Operator of a blockchain-based commodity derivatives trading exchange designed to enable twenty-four-seven trading with real-time on-chain settlement. The company's platform provides cross-margining, low-latency order execution, and atomic settlement, enabling institutional commodity traders to reduce capital requirements, lower trading costs, and eliminate counterparty risk.</t>
  </si>
  <si>
    <t>Andrew Durgee, Big Brain Holdings, Blizzard Avalanche Fund, Blockchain Founders Fund, CosmosID, Eckhardt Trading Company, Greentown Labs, GS Futures, London Real Ventures, Stefan Rust, TRIVE (Singapore), Zachary Keats</t>
  </si>
  <si>
    <t>www.sphx.io</t>
  </si>
  <si>
    <t>651640-24</t>
  </si>
  <si>
    <t>Spidr</t>
  </si>
  <si>
    <t>Operator of a fintech platform intended for providing banking and Fintech products. The company's platform offers card programs, bank accounts, digital wallets, lending services, money movement, authentication and verification services, enabling fintech companies and related enterprises to build, launch, and scale financial products with streamlined integration and operational efficiency.</t>
  </si>
  <si>
    <t>Charlotte Fund, Cofounders Capital, NC Tweener Fund, Service Provider Capital, Wedbush Ventures</t>
  </si>
  <si>
    <t>www.gospidr.com</t>
  </si>
  <si>
    <t>442622-98</t>
  </si>
  <si>
    <t>Spinwheel</t>
  </si>
  <si>
    <t>Developer of a financial software designed to connect, pay, and manage student debt. The company's software features payment of loans, interest rate comparisons, account linking, simplification of the loan payment system, and financial goal creation, enabling students to pay down debt every time they shop.</t>
  </si>
  <si>
    <t>Anil Aggarwal, Charley Ma, Citi Ventures, Core Innovation Capital, Experian Ventures, Fika Ventures, Firebolt Ventures, Foundation Capital, F-Prime Capital, Jonathan Stein, Jonathan Weiner, Mike Blandina, Plug and Play Tech Center, QED Investors, Youngstown Business Incubator</t>
  </si>
  <si>
    <t>www.spinwheel.io</t>
  </si>
  <si>
    <t>539210-98</t>
  </si>
  <si>
    <t>Spline Data</t>
  </si>
  <si>
    <t>Developer of a quantitative market data platform designed to combine traditional trading intuition and machine learning. The company offers market participants on both the buy-side and sell-side to extract substantial additional returns from their existing core competencies and offers a fully automated trading strategy, enabling businesses to openly measure and benchmark their curve performance against actual market movements and trade prices.</t>
  </si>
  <si>
    <t>Simplex Ventures, Tower Research Ventures</t>
  </si>
  <si>
    <t>www.splinedata.com</t>
  </si>
  <si>
    <t>1158146-02</t>
  </si>
  <si>
    <t>SpotPay</t>
  </si>
  <si>
    <t>Developer of a financial platform designed to streamline global money transfers and digital wallets. The company's platform offers seamless fund transfers, online and in-store payments, and AI-powered spending insights, along with merchant tools for accepting payments and automating cash flow, enabling users to manage finances securely and efficiently.</t>
  </si>
  <si>
    <t>Alliance (Other Capital Markets/Institutions), Founder Factor, Rebel Fund, Team Ignite Ventures, Y Combinator</t>
  </si>
  <si>
    <t>www.spotpay.ai</t>
  </si>
  <si>
    <t>522684-73</t>
  </si>
  <si>
    <t>Spresso</t>
  </si>
  <si>
    <t>Developer of a data-integrated e-commerce platform intended to support online retail operations and adapt to changing customer demand. The company offers integrated store management, order processing, and operational management capabilities, enabling online retailers and businesses selling through digital storefronts, to manage and scale their commerce activities.</t>
  </si>
  <si>
    <t>www.spresso.ai</t>
  </si>
  <si>
    <t>467685-55</t>
  </si>
  <si>
    <t>Sprinque</t>
  </si>
  <si>
    <t>Developer of a checkout platform designed to facilitate the payment process for merchants and marketplaces. The company's platform allows business buyers to decide how and when they would like to pay for a purchase, while sellers get paid instantly, upfront, regardless of how and when the business buyer pays, enabling clients to have a convenient checkout experience.</t>
  </si>
  <si>
    <t>www.mholleman.com</t>
  </si>
  <si>
    <t>507307-42</t>
  </si>
  <si>
    <t>SquareDash</t>
  </si>
  <si>
    <t>Developer of a payment and insurance restoration platform designed to increase the efficiency of claim-related files by providing managed billing services and immediate financial relief to contractors. The company's platform offers features that include automating and optimizing the roofing, which is door-to-door marketing, direct mail, CRM, follow-up, expediting payment cycles, and reducing accounts receivable from months to days, and measurements, enabling insurance companies to streamline the accounting and collection process and have a predictable revenue timeline.</t>
  </si>
  <si>
    <t>Allison Allen, Capital Factory, FINTOP (US), Hivers &amp; Strivers, Hustle Fund, I2BF Global Ventures, Pier Asset Management, The Council (San Francisco), The PenFed Foundation</t>
  </si>
  <si>
    <t>www.squaredash.com</t>
  </si>
  <si>
    <t>497806-12</t>
  </si>
  <si>
    <t>Ssomee</t>
  </si>
  <si>
    <t>Developer of a data-based installment payment platform designed to offer alternative credit to individuals. The company offers a user-friendly and flexible installment option for any online e-commerce destination, enabling youngsters to overcome the challenge of paying for consumption expenses related to self-development and experiences.</t>
  </si>
  <si>
    <t>BNK fintech lab, D-Camp, FuturePlay, iAccel (Seongnam-si), InfoBank, Korea Telecommunications Operations Association, Realwesen, Seoul Fintech Lab, Shinhan Capital, Shinsegae Information &amp; Communication, Signite Partners, Tech Incubator Program for Startup, Tenity, Y&amp;Archer</t>
  </si>
  <si>
    <t>www.ssomee.com</t>
  </si>
  <si>
    <t>865543-69</t>
  </si>
  <si>
    <t>Stable Foundation</t>
  </si>
  <si>
    <t>Developer of blockchain infrastructure designed to facilitate compliant and predictable USDT transactions. The company's tool provides features such as gasless transactions paid in the stablecoin itself, sub-second finality, throughput capability, confidential transfers, and seamless integration for institutional users, developers, and everyday consumers, enabling payment systems and financial institutions to handle digital dollar transfers with reliable performance and regulatory alignment.</t>
  </si>
  <si>
    <t>Bitfinex, Blue Pool Capital, BTSE, Bybit, Castle Island Ventures, eGirl Capital, Framework Ventures, Franklin Resources, Gabriel Abed, Gate Ventures (Gate.io), Hack VC, Kucoin Ventures, LongHash Ventures, Mirana Ventures, Nascent, Nathan McCauley, PayPal Ventures, Placeholder Venture Capital, Susquehanna</t>
  </si>
  <si>
    <t>www.stable.xyz</t>
  </si>
  <si>
    <t>770249-44</t>
  </si>
  <si>
    <t>Stablecore</t>
  </si>
  <si>
    <t>Developer of a digital asset management platform designed to bridge the gap between traditional banking and digital assets. The company provides a secure platform for banks to create, manage, and integrate stablecoins and digital assets into their existing systems, enabling financial institutions to innovate while maintaining compliance and offering easy digital asset conversion and payment assistance to their customers.</t>
  </si>
  <si>
    <t>Bank of Utah (Ogden), Bankers Helping Bankers Fund, BankTech Ventures, Capital Factory, Castle Island Ventures, Coinbase Ventures, Cross River Digital Ventures, Curql, EJF Ventures, Ensemble VC, Moonshots Capital, Naval Ravikant, Next Level Ventures, Norwest, Peterson Partners, Reflexive Capital, Stack Ventures, Witz Ventures</t>
  </si>
  <si>
    <t>www.stablecore.com</t>
  </si>
  <si>
    <t>431651-35</t>
  </si>
  <si>
    <t>Stablecorp</t>
  </si>
  <si>
    <t>Developer of a blockchain-based digital asset designed to provide a digital form of liquidity and funding. The company's stablecoin offers seamless settlement and full traceability, enforces stringent compliance policies, and requires a rigorous onboarding process by its authorized dealers, trusted transparency, and full crypto compatibility, enabling users to get stablecoins that can dependably power a digital world.</t>
  </si>
  <si>
    <t>3iQ, Algorand Foundation, Borderless Capital, Circle Internet Group, Coinbase Global, Coinbase Ventures, DV Private Investments, FTP Ventures, Genesis Global Trading, Mavennet Systems, Side Door Ventures, Stellar (Financial Software), Valour (Financial Software), VersaBank</t>
  </si>
  <si>
    <t>www.stablecorp.ca</t>
  </si>
  <si>
    <t>588649-78</t>
  </si>
  <si>
    <t>StackingDAO</t>
  </si>
  <si>
    <t>Developer of a decentralized finance platform designed to liquid-stake cryptocurrency. The company's platform features the ability to provide no minimum value staking services and no requirements to run nodes, enabling traders to earn passive income.</t>
  </si>
  <si>
    <t>Chorus One Ventures, Gossamer Capital, Modular Capital, Newman Capital, Portal Ventures</t>
  </si>
  <si>
    <t>www.stackingdao.com</t>
  </si>
  <si>
    <t>700772-23</t>
  </si>
  <si>
    <t>Stacks (Business/Productivity Software)</t>
  </si>
  <si>
    <t>Developer of an AI-powered finance and collaboration platform designed for monthly reporting of financial results. The company offers centralized documentation, segregation of duties, team collaboration, tools integration, live accounting change updates, and more, enabling businesses to streamline financial processes, improve transparency, and increase collaboration across teams.</t>
  </si>
  <si>
    <t>EQT Ventures, General Catalyst, Lightspeed Venture Partners, Mike Taylor, S16VC, Simone Rüschenberg</t>
  </si>
  <si>
    <t>www.stacks.ai</t>
  </si>
  <si>
    <t>501469-66</t>
  </si>
  <si>
    <t>Stackup (Financial Services)</t>
  </si>
  <si>
    <t>Developer of an open-source blockchain platform designed to consolidate tasks and projects in one space. The company offers tools that transform financial chaos into structured workflows, instantly transfer funds between wallets and banks, provide real-time cash flow visibility, automated compliance reports, and granular spending controls, enabling clients to manage their crypto assets while maintaining a clear overview of their work.</t>
  </si>
  <si>
    <t>1kx, Amino Capital, Big Brain Holdings, Digital Currency Group, Goodwater Capital, Pioneer Fund, SevenX Ventures, Soma Capital, Y Combinator</t>
  </si>
  <si>
    <t>www.stackup.fi</t>
  </si>
  <si>
    <t>326359-81</t>
  </si>
  <si>
    <t>Stake</t>
  </si>
  <si>
    <t>Operator of an investment platform intended to create a simple and affordable place to buy and sell listed shares. The company's tool gives access to invest in and trade shares and exchange-traded funds from outside America without any cumbersome paper forms and offers a self-managed super fund administration service via its investment platform, offering full SMSF administration and compliance support, enabling investors to get access to the United States market.</t>
  </si>
  <si>
    <t>DST Global, Gemini Investments (Holdings), Hedosophia, Kenneth Hodgson, Leigh McPherson, Sérgio Kulikovsky, Startup Réseau, Tiger Global Management</t>
  </si>
  <si>
    <t>www.hellostake.com</t>
  </si>
  <si>
    <t>458071-75</t>
  </si>
  <si>
    <t>Stake (Real Estate Services (B2C))</t>
  </si>
  <si>
    <t>Artificial Intelligence &amp; Machine Learning, Big Data, FinTech, Mobile, Real Estate Technology</t>
  </si>
  <si>
    <t>Operator of a digital real estate investment platform intended to provide a transparent way to invest in rental properties. The company's platform modernizes the way people invest in real estate by breaking up the property into smaller pieces that can be bought separately to make returns, enabling users to generate consistent cash flow and long-term capital appreciation.</t>
  </si>
  <si>
    <t>Al Jomaih Holding, B&amp;Y Venture Partners, Cacao Capital, Capital Guidance, Chalegrove Properties, Combined Growth Real Estate, Ellington Properties, Emirates NBD, Falak Investment Hub, Future100, GFH Partners, Guidance Financial Group, Jabbar Internet Group, Lama Holding, Madison Marquette, Majid Al Futtaim Launchpad, MENA Venture Investments, Middle East Venture Partners, Mishaal Alireza, Mubadala Investment Company, Omnicom Media Group Holding, Property Finder, Republic, Sotheby's International Realty, STV, Verve Ventures (London), Vivium Holding, Wa'ed Ventures</t>
  </si>
  <si>
    <t>www.getstake.com</t>
  </si>
  <si>
    <t>166405-33</t>
  </si>
  <si>
    <t>Stampli</t>
  </si>
  <si>
    <t>Developer of accounts payable automation software designed to take control of invoice and bill processing. The company leverages human collaboration and AI to create a digital conversation for each invoice and reduces manual entry by self-learning organizational patterns, enabling businesses to manage invoices and reduce invoice approval time.</t>
  </si>
  <si>
    <t>Blackstone, Bloomberg Beta, Hillsven, Insight Partners (New York), Naver, Next World Capital, Nimble Partners, SignalFire, UpWest</t>
  </si>
  <si>
    <t>www.stampli.com</t>
  </si>
  <si>
    <t>529252-12</t>
  </si>
  <si>
    <t>Standard Carbon (Business/Productivity Software)</t>
  </si>
  <si>
    <t>Developer of climate accounting software designed to help businesses measure and reduce their carbon footprint. The company's platform provides a comprehensive set of tools for tracking emissions, setting goals, and reporting progress, enabling clients to make informed decisions about climate action and demonstrate their commitment to sustainability.</t>
  </si>
  <si>
    <t>Abbi Ventures, AICPA and CPA.com Startup Accelerator, Demos Capital, Manitoba Government, National Research Council Canada, Startup TNT, The Digital Commerce Calgary Fintech Award Contest</t>
  </si>
  <si>
    <t>www.standardcarbon.ai</t>
  </si>
  <si>
    <t>1158521-23</t>
  </si>
  <si>
    <t>Standard Money</t>
  </si>
  <si>
    <t>Developer of a blockchain-based digital dollar and yield infrastructure intended for on-chain traders and savers. The company's platform offers a synthetic, collateralised digital dollar backed by assets such as USDT or USDC, employs algorithmic strategies including simultaneous long spot and short perpetual positions to generate yields, supports staking with daily compounding and zero lock-up periods, and integrates global payments and non-custodial wallet control, enabling crypto-native users access to yield-enhanced stable assets and spending capabilities in a digital finance ecosystem.</t>
  </si>
  <si>
    <t>Animoca Brands, Gate Technology, YZi Labs</t>
  </si>
  <si>
    <t>standardmoney.com</t>
  </si>
  <si>
    <t>280062-64</t>
  </si>
  <si>
    <t>Starcave Global</t>
  </si>
  <si>
    <t>Developer of hack-proof payment systems and structures relying on MCCX-powered services such as its unique Color Code Technology, Ghost Wallet, Ghost Payments, Chost Card, MCC app, and Starlight app. The company provides fintech solutions to a highly secure environment for digital transactions where user's smartphone shows a unique and temporary color grid box for the signature pattern with hundreds of colors to prevent any hacking attempts.</t>
  </si>
  <si>
    <t>LDJ Capital</t>
  </si>
  <si>
    <t>starcaveglobal.com</t>
  </si>
  <si>
    <t>436232-44</t>
  </si>
  <si>
    <t>Stargazr</t>
  </si>
  <si>
    <t>Developer of artificial intelligence-based financial data forecasting software designed to help finance teams with forecasting. The company's software accelerates outcomes by connecting financial and operational data streams to empower the process of decision-making, enabling companies to understand essential value drivers within their operations and make the right decisions.</t>
  </si>
  <si>
    <t>Alchemist Accelerator, InnoFinTech, Innovationsstarter, Iron Prairie Ventures, K5 Global, Motivate Venture Capital, New Forge, OSS Ventures, ProChain Ventures, USC Viterbi School of Engineering</t>
  </si>
  <si>
    <t>www.stargazr.ai</t>
  </si>
  <si>
    <t>538188-40</t>
  </si>
  <si>
    <t>Starlight (Commercial Services)</t>
  </si>
  <si>
    <t>Developer of a personalized guidance platform designed to help households navigate and access government benefits efficiently. The company offers proactive benefit identification and seamless application support, enabling financial institutions and their members in California to unlock critical financial resources and improve financial stability.</t>
  </si>
  <si>
    <t>Blue Ridge Labs, CAFE Fintech Accelerator, Caffeinated Capital, Commerce Ventures, Garuda, Hustle Fund, Invanti, Looking Glass Capital, New York Business Plan Competition, One Washington Financial, Outside Venture Capital, Propel Capital Network, Symphonic Capital, The Workers Lab, TruStage Ventures</t>
  </si>
  <si>
    <t>www.get-starlight.com</t>
  </si>
  <si>
    <t>912945-97</t>
  </si>
  <si>
    <t>Staxiom</t>
  </si>
  <si>
    <t>Developer of an automated tax and financial process platform designed to help businesses streamline operations. The company's platform connects to payroll and accounting systems, automating complex calculations and simplifying the discovery and optimization of tax credits, enabling clients to efficiently identify, claim, and optimize tax credits, reducing manual workload and increasing potential savings.</t>
  </si>
  <si>
    <t>Founder Institute, Gumshoe Ventures, Sovereign's Capital</t>
  </si>
  <si>
    <t>www.staxiom.com</t>
  </si>
  <si>
    <t>571589-47</t>
  </si>
  <si>
    <t>Stay Technologies</t>
  </si>
  <si>
    <t>Developer of a digital financial management platform designed to help businesses and their employees invest for the future. The company's platform helps companies offer a variety of benefits to help employees make informed financial decisions, including retirement savings, health insurance, and financial education, enabling businesses to reduce costs and engage their employees.</t>
  </si>
  <si>
    <t>17Sigma, Aaron Schumm, Better Tomorrow Ventures, Grão (São Paulo), InovaBRA, Maya Capital (Brazil), Norte Ventures, Rally Cap VC, Roger Lee, Sequoia Capital</t>
  </si>
  <si>
    <t>www.stay.com.br</t>
  </si>
  <si>
    <t>769741-03</t>
  </si>
  <si>
    <t>STBL</t>
  </si>
  <si>
    <t>Developer of stablecoin infrastructure designed to revolutionize digital finance. The company's platform creates a decentralized aggregator infrastructure for stablecoins, using uncorrelated, transparent collateral to enable utility and maximize yield in a highly flexible and scalable manner, helping empower the community by delivering the control and profitability of stablecoin infrastructure directly into their hands.</t>
  </si>
  <si>
    <t>OKX Ventures</t>
  </si>
  <si>
    <t>www.stbl.com</t>
  </si>
  <si>
    <t>483337-18</t>
  </si>
  <si>
    <t>STEP (Financial Services)</t>
  </si>
  <si>
    <t>Provider of financial services intended to meet the business needs of small and medium-sized enterprises on a global scale. The company provides financial products and services chosen and designed for the customer, using technologies and innovative services on the market, enabling companies to manage cash flows in a structured and detailed way, categorize them, and have an overview of all current accounts, even in different countries.</t>
  </si>
  <si>
    <t>Andrea Bertini, Azimut Benetti Group, CRIF, FNDX, Gellify, Pierluigi Giannico, Visa Innovation Program</t>
  </si>
  <si>
    <t>www.step4business.com</t>
  </si>
  <si>
    <t>453397-51</t>
  </si>
  <si>
    <t>Steward</t>
  </si>
  <si>
    <t>Operator of a community-lending platform intended to finance the growth of regenerative farms and sustainable producers. The company's platform permits lenders to participate in secured, interest-bearing loans, enabling farm producers to access the capital they need to grow their businesses.</t>
  </si>
  <si>
    <t>Impact Assets, Justin Mares, Kat Taylor, Mpactful Ventures, Neglected Climate Opportunities, Outlaw Ventures, Overview Capital, Ponderosa Ventures, The Grantham Foundation, The Nest Family Office, Tripple</t>
  </si>
  <si>
    <t>www.gosteward.com</t>
  </si>
  <si>
    <t>435753-91</t>
  </si>
  <si>
    <t>Sticitt</t>
  </si>
  <si>
    <t>Developer of a digital payment and financial literacy platform designed to support youth financial management and school-based transactions. The company's platform offers digital wallets, school payment processing, integrated campus transactions, and wearable payment technology, enabling schools and young users to manage payments and financial activities through a centralised digital ecosystem.</t>
  </si>
  <si>
    <t>Crucis VC, GalloProvincialis, Grindstone (Private Equity), Hlayisani Capital, Knife Capital, Nustate Capital Ventures, Realmdigital, Visa Accelerator</t>
  </si>
  <si>
    <t>www.sticitt.com</t>
  </si>
  <si>
    <t>453481-30</t>
  </si>
  <si>
    <t>Stitch</t>
  </si>
  <si>
    <t>Operator of a financial application programming interface platform intended to link bank accounts with a single sign-on experience securely. The company's platform connects directly to the existing infrastructure of banks for seamless integration with compliance, enabling clients to have a user experience, one-click, fraud-free bank payments, and easy access to financial data.</t>
  </si>
  <si>
    <t>500 Global, 9Yards Capital Management, Aaron Fu, André Mohammed, Base Capital (Cape Town), Calanthia Mei, Carl Tremblay, Catalyze Advisors, Charles Delingpole, Charley Ma, CRE Venture Capital, Davide de Picciotto, DCG Expeditions, Eli Pollak, Emilie Choi, Everywhere Ventures, Expansion Capital, Firstminute Capital, Flourish Ventures, Future Africa, Glynn Capital, Ham Serunjogi, Hannes Graah, Iqram Magdon-Ismail, Itai Damti, Iyinoluwa Aboyeji, Johan Bosini, Leo Lion, Maijid Moujaled, Marc Bhargava, Matt Robinson, Michael Vaughan, Mischief, Musha Ventures, Niklas Adalberth, Nitesh Banta, Norrsken22, PayPal Ventures, Pierpaulo Barbieri, QED Investors, Rally Cap VC, Ribbit Capital, Serunjogi Ventures, SHAKTI, Sima Gandhi, Spruce House Investment Management, Stocks &amp; Strauss, Tahseen Consulting, The Fintech Fund, The Raba Partnership, Thomas Blomfield, TO VC (New York), Trevor Noah, TrueLayer, Two Culture Capital, Village Global, Vlad Tenev, Zinal Growth</t>
  </si>
  <si>
    <t>www.stitch.money</t>
  </si>
  <si>
    <t>517806-37</t>
  </si>
  <si>
    <t>Stitch (Riyadh)</t>
  </si>
  <si>
    <t>Operator of a financial technology firm intended to support financial platforms and instruments digitally. The company's platform allows financial institutions to create and manage foundational elements like ledgers as a service to more comprehensive card processing, enabling banks to increase their sales and customers to access and use funds.</t>
  </si>
  <si>
    <t>Abdulmalik AlSheikh, AMK Investment Office, Andreessen Horowitz, Arbor Ventures, BYLD (Dubai), COTU Ventures, Jason Gardner, Raed Ventures, Saudi Venture Capital Company</t>
  </si>
  <si>
    <t>www.stitch.co</t>
  </si>
  <si>
    <t>295135-75</t>
  </si>
  <si>
    <t>StockCalc</t>
  </si>
  <si>
    <t>Developer of a fundamental valuation platform designed to calculate the intrinsic value of publicly traded companies and exchange-traded funds. The company's platform performs fundamental analysis, values every stock and exchange-traded fund in portfolios, and assesses a company's appropriate price based on its overall health by utilizing a weighted average method including cash flow, pricing, and stock comparison, enabling investors to analyze several companies and make informed investment decisions.</t>
  </si>
  <si>
    <t>Axis Sales Accelerator, New Brunswick Innovation Foundation, Technology Ventures Corporation</t>
  </si>
  <si>
    <t>www.stockcalc.com</t>
  </si>
  <si>
    <t>172370-44</t>
  </si>
  <si>
    <t>StockKings</t>
  </si>
  <si>
    <t>Operator of a financial services company intended to offer stock picking services. The company offers unique investment strategies and opportunities that other firms might miss, enabling clients to make informed decisions in the stock market.</t>
  </si>
  <si>
    <t>www.StockKings.com</t>
  </si>
  <si>
    <t>458063-11</t>
  </si>
  <si>
    <t>Stockperks</t>
  </si>
  <si>
    <t>Developer of a perk and rewards application designed to reward investors for investing in the companies they know about. The company's application seamlessly connects investors and offers perks, discounts, and experiences, enabling companies to engage with their retail shareholders.</t>
  </si>
  <si>
    <t>Mana Ventures</t>
  </si>
  <si>
    <t>www.stockperks.com</t>
  </si>
  <si>
    <t>104722-39</t>
  </si>
  <si>
    <t>StockShield</t>
  </si>
  <si>
    <t>Provider of financial risk management services intended for protecting and preserving wealth. The company's platform helps protect investors with stock positions at a cost substantially lower than traditional hedging solutions and provides retirement plans against the sponsor's bankruptcy risk, enabling clients to increase workplace and retirement security for its employees.</t>
  </si>
  <si>
    <t>www.stockshield.com</t>
  </si>
  <si>
    <t>458552-26</t>
  </si>
  <si>
    <t>Storfund</t>
  </si>
  <si>
    <t>Developer of a receivables factoring platform designed to accelerate marketplace payouts across multiple geographies. The company's platform integrates marketplaces and e-commerce sellers, processes gigabytes of data, and extends daily liquidity across jurisdictions, enabling online merchants to drive sales and increase profitability.</t>
  </si>
  <si>
    <t>Fasanara Capital, T-Life Capital</t>
  </si>
  <si>
    <t>www.storfund.com</t>
  </si>
  <si>
    <t>366551-47</t>
  </si>
  <si>
    <t>Straal</t>
  </si>
  <si>
    <t>Developer of a payment gateway platform designed to act as a one-stop-shop alternative for all business transactions and payments. The company's platform provides search engine optimization apart from online payments and offers fraud prevention and in-depth analytics, enabling clients and users to access an omnichannel experience and insights through an intuitive dashboard.</t>
  </si>
  <si>
    <t>DaftCode, My EU Pay</t>
  </si>
  <si>
    <t>straal.com</t>
  </si>
  <si>
    <t>620481-52</t>
  </si>
  <si>
    <t>Straddle</t>
  </si>
  <si>
    <t>Developer of an account-to-account payments platform designed to offer safety and security for business transactions. The company's platform eliminates traditional inefficiencies by transforming complex integrations with open banking, identity verification and account-to-account money movement in a single API, enabling businesses to accept various payment methods such as bank transfers, credit cards and debit cards.</t>
  </si>
  <si>
    <t>Bonfire Ventures, Drive Capital, Kickstart (US), Veridical Ventures</t>
  </si>
  <si>
    <t>www.straddle.com</t>
  </si>
  <si>
    <t>1153760-32</t>
  </si>
  <si>
    <t>StraitsX</t>
  </si>
  <si>
    <t>Operator of a licensed stablecoin payment network designed to facilitate compliant, programmable cross-border transactions for financial institutions, fintechs, and exchanges. The company's platform provides fiat and stablecoin card programs, on-chain swaps, high-volume OTC trading, integrated screening, and bank connectivity, enabling global businesses and institutional clients to conduct secure, scalable, regulated payments with flexible options for settlement and transaction monitoring across multiple jurisdictions.</t>
  </si>
  <si>
    <t>AppWorks, InterVest, Tribe (Consulting Services), UQPAY</t>
  </si>
  <si>
    <t>www.straitsx.com</t>
  </si>
  <si>
    <t>522522-19</t>
  </si>
  <si>
    <t>Stratosphere Technology</t>
  </si>
  <si>
    <t>Developer of an investment research platform designed for comprehensive financial analysis. The company's platform utilizes artificial intelligence to provide comprehensive financial data, company-specific segments and key performance indicators, data visualizations, and research tools, enabling investors to conduct in-depth analysis, identify promising opportunities and make data-driven decisions.</t>
  </si>
  <si>
    <t>Portage, Sagard, Social Leverage, TinySeed, VanEck</t>
  </si>
  <si>
    <t>www.fiscal.ai</t>
  </si>
  <si>
    <t>971925-49</t>
  </si>
  <si>
    <t>Stream (Riyadh)</t>
  </si>
  <si>
    <t>Developer of a payment lifecycle management platform designed to simplify payment collection and compliance processes for businesses. The company offers branded invoice issuance, payment scheduling, transaction processing through local payment networks, cashflow tracking, transaction reconciliation, and tax authority integration, enabling businesses to manage payments efficiently while maintaining regulatory compliance.</t>
  </si>
  <si>
    <t>Abdullah Elyas, Arab Bank, BECO Capital, BYLD (Dubai), Flourish Ventures, Outliers Venture Capital, STV</t>
  </si>
  <si>
    <t>www.streampay.sa</t>
  </si>
  <si>
    <t>465256-90</t>
  </si>
  <si>
    <t>Streamlined</t>
  </si>
  <si>
    <t>Developer of an artificial intelligence-powered invoicing and payment platform designed to transform traditional payments for modern business. The company's platform features customization of payment options, automatic tracking of receivables, the ability to integrate directly with third-party applications, and automatic syncing of data and invoices, enabling merchants to get paid faster, waste less time, and provide a consistent payment experience to their customers.</t>
  </si>
  <si>
    <t>Amr Alshihabi, Ashley Flucas, Greycroft, Jason Stomel, Noveus Capital, Renee Klenert, SignalFire, Stephen Klenert, Unusual Ventures</t>
  </si>
  <si>
    <t>www.streamlinedpayments.com</t>
  </si>
  <si>
    <t>533366-83</t>
  </si>
  <si>
    <t>StreetSales</t>
  </si>
  <si>
    <t>CloudTech &amp; DevOps, FinTech, Marketing Tech</t>
  </si>
  <si>
    <t>Developer of a business management platform designed to streamline operational processes and financial tracking. The company's platform offers integrated inventory management, billing automation, contract handling, and real-time reporting tools, enabling businesses to manage workflows and monitor performance.</t>
  </si>
  <si>
    <t>Arena Hub, Founders Club, Leonora Ventures</t>
  </si>
  <si>
    <t>www.streetsales.com.br</t>
  </si>
  <si>
    <t>463430-17</t>
  </si>
  <si>
    <t>Strikepay</t>
  </si>
  <si>
    <t>Developer of real-time cashless payments and tips designed to make payments faster. The company offers features of QR code scanning, tap-to-pay, and tipping links, and integrates with a variety of payment processors, enabling businesses to accept payments and tips quickly and easily, and customers to make payments and tips without having to carry cash or cards.</t>
  </si>
  <si>
    <t>www.strikepay.co</t>
  </si>
  <si>
    <t>229258-27</t>
  </si>
  <si>
    <t>Stronghold (Other Financial Services)</t>
  </si>
  <si>
    <t>Developer of a payment infrastructure platform designed for virtual payment networks. The company's platform facilitates real-time payments, foreign exchange, and cross-border clearing and settlement leveraging next-generation financial infrastructure delivered via APIs, enabling customers to send and receive various types of digital currency through a single platform.</t>
  </si>
  <si>
    <t>Array Ventures, Betsy Cohen, Block, Cantos Ventures, Daniel Macklin, David Samuel, Flight Ventures, Frank Mastrangelo, Freestyle Capital, Greg Cohen, Hack VC, Jacob Gibson, Jason Gardner, Matthew Mickiewicz, Mike Mickiewicz, NerdWallet, Neural Capital, Precursor Ventures, Randy Reddig, Richard Marini, Robert Stavis, Social Finance, Utopian Ventures (San Francisco), Vinny Lingham, Visary Capital</t>
  </si>
  <si>
    <t>www.stronghold.co</t>
  </si>
  <si>
    <t>606864-79</t>
  </si>
  <si>
    <t>STS Digital</t>
  </si>
  <si>
    <t>Operator of a digital asset structuring and trading firm intended to offer liquidity and an extensive derivatives offering to crypto markets. The company offers a comprehensive platform for digital asset trading, specializing in structuring and providing liquidity solutions, enabling clients to navigate the complexities of digital asset investments with confidence.</t>
  </si>
  <si>
    <t>Arrington Capital, Bitrock Capital, CMT Digital Holdings, F-Prime Capital, Kraken, Psalion, SNZ Holding, Strobe Ventures</t>
  </si>
  <si>
    <t>www.stsdigital.io</t>
  </si>
  <si>
    <t>972716-59</t>
  </si>
  <si>
    <t>Substrate (IT Consulting and Outsourcing)</t>
  </si>
  <si>
    <t>Provider of software and financial infrastructure services intended to lower capex for system integrators and accelerate industrialization in America. The company's offerings are related to customer financing tracking, software tools, cost optimization, lender networks integration and customer financing infrastructure, enabling equipment vendors with captive finance-as-a-service.</t>
  </si>
  <si>
    <t>Neo (Consulting Services (B2B)), Steel Atlas</t>
  </si>
  <si>
    <t>www.joinsubstrate.com</t>
  </si>
  <si>
    <t>467853-04</t>
  </si>
  <si>
    <t>Sudo</t>
  </si>
  <si>
    <t>Developer of an application programming interface platform designed to enable developers to issue physical and virtual cards instantly. The company's product allows one to control cards programmatically, build own features, securely integrate with other services, and create new world-class experiences, enabling clients to get cards with more control and flexibility at scale.</t>
  </si>
  <si>
    <t>Berrywood Capital, Future Africa, Global Founders Capital, Ham Serunjogi, Kepple Africa Ventures, LoftyInc Capital Management, Novo Capital, Odunayo Eweniyi, Olugbenga Agboola, Picus Capital, Rally Cap VC, Resilience17, Sabou Capital, Serunjogi Ventures, Suya Ventures, Ventures Platform, Zedcrest Group</t>
  </si>
  <si>
    <t>www.sudo.africa</t>
  </si>
  <si>
    <t>503658-46</t>
  </si>
  <si>
    <t>Sugar (Auckland)</t>
  </si>
  <si>
    <t>Provider of digital savings and asset accumulation services intended for automated personal finance management. The company's platform includes a mobile application for recurring micro-savings, automated conversion of funds into a tradable asset, secure payment integration, balance tracking, and options for storage or withdrawal, enabling individual consumers to build savings gradually and manage alternative assets without requiring large initial investments.</t>
  </si>
  <si>
    <t>Canva, Founder Catalyst, NZVC, Phase One (Auckland), William Smale</t>
  </si>
  <si>
    <t>www.sugarwallet.com</t>
  </si>
  <si>
    <t>230449-42</t>
  </si>
  <si>
    <t>Summer (Financial Services)</t>
  </si>
  <si>
    <t>Operator of a financial wellness platform intended to reduce the burden of student debt and college expenses. The company's platform provides personalized guidance through federal repayment and forgiveness programs, automated paperwork management, and employer- or government-backed contributions, enabling employees, residents, and individuals to reduce debt, build education savings, and enhance long-term financial stability.</t>
  </si>
  <si>
    <t>1776., Avidbank Holdings, BDMI, BEA Venture Fund, Calm Ventures, Fenway Summer, Financial Health Network., FinTech Innovation Lab, Flourish Ventures, Foundation Capital, Gaingels, GC Venture Fellows, General Catalyst, Greycroft, H/L Ventures, MassChallenge, Melody Koh, NextView Ventures, Partnership Fund for New York City, QED Investors, Rebalance Capital, SemperVirens Venture Capital, Story Ventures, Strada Education Foundation</t>
  </si>
  <si>
    <t>www.meetsummer.com</t>
  </si>
  <si>
    <t>1319821-03</t>
  </si>
  <si>
    <t>Sumvin</t>
  </si>
  <si>
    <t>Developer of an AI financial management application designed to consolidate spending information. The company's application automatically connects users' accounts, subscriptions, and other services by monitoring balances, tracking spending, and managing renewals, giving end users a tool to manage paid services through one platform.</t>
  </si>
  <si>
    <t>www.sumvin.com</t>
  </si>
  <si>
    <t>458539-30</t>
  </si>
  <si>
    <t>Sunny Day Fund</t>
  </si>
  <si>
    <t>Developer of financial software designed to automate and incentivize workplace emergency savings. The company's platform helps workers build accessible savings automatically through their employer with optional cash incentives, enabling companies to cultivate financial security and freedom in their workforce.</t>
  </si>
  <si>
    <t>AICPA and CPA.com Startup Accelerator, Avesta Fund, BlueRidge Bank, CAFE Fintech Accelerator, CAV Angels, Financial Health Network, Financial Health Network., FoundersBoost, gener8tor, Generstor, Haley Bryant, HOPE Investment Group, InsurTech NY, K Street Capital, Lighthouse Labs (Richmond), MassChallenge, Serac Ventures, Sunhope Venture Capital, Techstars, Temerity Capital Partners, The Global Good Fund, TMV (Trail Mix Ventures), TruStage Ventures, Virginia Venture Partners, Western</t>
  </si>
  <si>
    <t>www.sunnydayfund.com</t>
  </si>
  <si>
    <t>706874-23</t>
  </si>
  <si>
    <t>Sunset Software</t>
  </si>
  <si>
    <t>Developer of estate settlement software designed to help families find and transfer financial accounts and assets after a loss. The company's software offers automated account discovery, probate document generation across jurisdictions, estate bank account setup, guided financial transfers, and fraud monitoring, enabling bereaved families and estate executors to securely identify, consolidate, and distribute assets without out-of-pocket costs.</t>
  </si>
  <si>
    <t>Lobster Capital, Outcurve, Unpopular Ventures, Urban Innovation Fund, Y Combinator</t>
  </si>
  <si>
    <t>www.hellosunset.com</t>
  </si>
  <si>
    <t>481838-77</t>
  </si>
  <si>
    <t>Sunstone Credit</t>
  </si>
  <si>
    <t>Climate Tech, FinTech</t>
  </si>
  <si>
    <t>Operator of a solar loan finance platform intended to offer commercial loans with borrower-friendly terms and an efficient application process. The company's platform collaborates with solar installers and business borrowers to offer streamlined and customized financing, enabling businesses of all sizes to own their solar assets and benefit from low-cost, green electricity generation.</t>
  </si>
  <si>
    <t>Audacious Capital, Bay Bridge Ventures, Climate Capital, Cross River Digital Ventures, Early Light Ventures, Earthshot Ventures, Exvor Capital, For Good Ventures, Forbright Bank, Greenbacker Capital Management, Grotech Ventures, Palm Drive Capital, The University System of Maryland Momentum Fund</t>
  </si>
  <si>
    <t>www.sunstonecredit.com</t>
  </si>
  <si>
    <t>495562-78</t>
  </si>
  <si>
    <t>Super (Other Financial Services)</t>
  </si>
  <si>
    <t>B2B Payments, E-Commerce, FinTech, Mobile, SaaS</t>
  </si>
  <si>
    <t>Developer of an online payment platform designed to offer businesses free online payments and rewarding shopping experiences for consumers. The company's platform allows businesses to avoid high e-commerce and advertising fees by offering free payments in return for a commission, of which some are shared as instant cashback to shoppers when they pay with the application, enabling both businesses and consumers to keep more of their money.</t>
  </si>
  <si>
    <t>Accel, Adfisco, Andrew Robb, Edward Wray, Gokul Rajaram, Maria Raga, Peter Jackson, Phoenix Court, Rabil Ventures, Rohinton Kalifa, Union Square Ventures</t>
  </si>
  <si>
    <t>www.superpayments.com</t>
  </si>
  <si>
    <t>169743-97</t>
  </si>
  <si>
    <t>SuperEd</t>
  </si>
  <si>
    <t>Developer of a cloud-based personal and scaled financial advisory platform designed to aid elderly people to achieve sustainable income after retirement. The company's platform offers personalized online advisory services encompassing forecasting, education, coaching, planning, advice, as well as personal investment management, enabling people in the pre-retirement phase to make decisions and take actions that will lead to habitual retirement outcomes.</t>
  </si>
  <si>
    <t>Kevin Bailey, Mark Johnston, Melbourne Angels</t>
  </si>
  <si>
    <t>www.supered.com.au</t>
  </si>
  <si>
    <t>484090-30</t>
  </si>
  <si>
    <t>SuperFi</t>
  </si>
  <si>
    <t>Developer of a financial tracking and rewards platform designed to facilitate bill management and cashback earnings. The company's platform automatically monitors bills, provides notifications to ensure timely payments, presents opportunities for cost reductions through service switches, rewards users with cashback from various retailers, supports users facing payment difficulties by connecting them with aid programs and advice, and includes AI assistance for bill-related inquiries, enabling individuals who manage regular household or personal bills to enhance their financial oversight and benefit from related incentives.</t>
  </si>
  <si>
    <t>www.joinsuperfi.com</t>
  </si>
  <si>
    <t>1231725-70</t>
  </si>
  <si>
    <t>SuperReturn</t>
  </si>
  <si>
    <t>Operator of a private capital series platform intended for senior professionals in private equity, venture capital, private credit, and real assets. The company's platform tracks performances through real-time analytics, strategy updates, and wallet trackers, enabling private market participants to gain strategic insights and navigate the evolving industry landscape.</t>
  </si>
  <si>
    <t>Generative Ventures</t>
  </si>
  <si>
    <t>www.superreturn.ai</t>
  </si>
  <si>
    <t>433351-00</t>
  </si>
  <si>
    <t>SuperSim</t>
  </si>
  <si>
    <t>Provider of online personal loan lending services intended to grant microcredit to individuals. The company's data and technology approve money to low-income clients with no credit alternatives in the market and ask for their mobile phones as collateral, enabling customers to borrow required funds.</t>
  </si>
  <si>
    <t>A.GAIN, Brafin Technology Holdings, Franklin Resources, Itaú Unibanco Holding, MG Tech., Milenio, Navi Capital, Navient, Verde Asset Management, XP Investimentos</t>
  </si>
  <si>
    <t>www.supersim.com.br</t>
  </si>
  <si>
    <t>542271-25</t>
  </si>
  <si>
    <t>Supra Negocios</t>
  </si>
  <si>
    <t>Operator of a transaction platform intended to offer international payment. The company specializes in cross-border transactions between companies of all sizes and sectors and offers foreign exchange and cross-border payment services, enabling businesses to pay or get paid in multiple currencies and manage international treasury.</t>
  </si>
  <si>
    <t>Citigroup, FOVC, HTwenty Capital</t>
  </si>
  <si>
    <t>www.supra.la</t>
  </si>
  <si>
    <t>541283-14</t>
  </si>
  <si>
    <t>Sute Media</t>
  </si>
  <si>
    <t>Developer of a financial planning platform designed to help individuals understand and manage their real-time spending power. The company offers daily account syncing, adaptive budgeting tools, and subscription management features, enabling young adults seeking financial independence, to take control of their finances and make confident, goal-oriented decisions.</t>
  </si>
  <si>
    <t>Wild Wood Ventures</t>
  </si>
  <si>
    <t>weekendbudget.com</t>
  </si>
  <si>
    <t>162420-31</t>
  </si>
  <si>
    <t>SVCL</t>
  </si>
  <si>
    <t>Operator of a non-banking financial company intended to provide entrepreneurs with financial resources. The company provides access to credit and offers a range of financial services that include small credit for income-generating activities and other financial products such as life insurance, enabling individuals to achieve financial security.</t>
  </si>
  <si>
    <t>Northern Arc Investments, Oikocredit</t>
  </si>
  <si>
    <t>www.svcl.in</t>
  </si>
  <si>
    <t>498212-65</t>
  </si>
  <si>
    <t>Swadesh</t>
  </si>
  <si>
    <t>Operator of a digital banking platform intended to help customers with their financial needs. The company's platform allows users to open a bank account, invest, remit, and manage money in India from abroad, enabling people to handle their bank accounts and finances efficiently and easily abroad as well as in India.</t>
  </si>
  <si>
    <t>8VC, Armaan Mittal, Joseph Jones, Jude Gomilla, Kevin Lin, Khosla Ventures, Kunal Shah, Michael Chow, Nat Turner, Neil Arora, Pioneer Fund, S32, Soma Capital, Sumon Sandhu, Thomson Nguyen, XRM Media, Y Combinator</t>
  </si>
  <si>
    <t>www.swadesh.co</t>
  </si>
  <si>
    <t>342148-69</t>
  </si>
  <si>
    <t>SWAP</t>
  </si>
  <si>
    <t>Developer of a Banking as a Service (Baas) platform designed to offer financial services through secure integrations. The company's platform and card processor create the infrastructure for payments for vertical SaaS (software as a service) companies and fintech looking to launch employee benefits programs, corporate expenses management programs, and other adjacent financial services, enabling businesses to have a convenient, flexible, and secure payment system.</t>
  </si>
  <si>
    <t>A.B.Seed Ventures, Brad Flora, Canary (Brazil), Cherry Ventures, Fegik Investimentos, FJ Labs, Flourish Ventures, Global Founders Capital, Hustle Fund, Justin Mateen, ONEVC, Patrick Sigrist, Rahul Mehta, Rhombuz Ventures, ScaleUP Ventures, Soma Capital, Start Path, Tiger Global Management</t>
  </si>
  <si>
    <t>www.swap.financial</t>
  </si>
  <si>
    <t>169943-59</t>
  </si>
  <si>
    <t>Swarm</t>
  </si>
  <si>
    <t>Developer of a decentralized finance platform designed to facilitate the buying and selling of traditional financial products. The company's platform utilizes blockchain technology to provide token issuance, liquidity, and trading, enabling retail investors to improve their return on investments.</t>
  </si>
  <si>
    <t>www.swarm.com</t>
  </si>
  <si>
    <t>991756-18</t>
  </si>
  <si>
    <t>Sweet ( Financial Software)</t>
  </si>
  <si>
    <t>Developer of a tax-based software designed to collect client docs, build binders, fill workpapers, and enter data into tax software. The company's platform offers artificial intelligence-backed automated data entry, domain-specific models trained for tax, and streamlined agentic tax workflows, enabling clients to simplify tax compliance, increase capacity, and focus on strategic work.</t>
  </si>
  <si>
    <t>Fifth Star Funds, Tach Ignite</t>
  </si>
  <si>
    <t>www.verysweet.co</t>
  </si>
  <si>
    <t>435096-64</t>
  </si>
  <si>
    <t>swIDch</t>
  </si>
  <si>
    <t>Operator of an authentication technology company intended to provide secure authentication for all digital identities even in the off-the-network environment. The company's payment technology generates a primary account number in a network-less environment for authentication and for offline transactions the card does not have a number displayed and uses standard EMV, contactless, and magnetic stripe payments, enabling businesses to have control, specifying valid dates and creating both dynamic and static virtual PANs.</t>
  </si>
  <si>
    <t>Accenture, BKT Capital, Department For Culture Media Sport, Financial Conduct Authority, FinTech Innovation Lab, Global FinTech Hackcelerator, LG Nova, National Westminster Bank, Plexal, Plug and Play Tech Center, Station F, Tenity, The Accelerator Network, Wayra</t>
  </si>
  <si>
    <t>www.swidch.com</t>
  </si>
  <si>
    <t>64594-72</t>
  </si>
  <si>
    <t>SWIFT (Telecommunications Service Providers)</t>
  </si>
  <si>
    <t>Operator of cross-border payments and reporting platform intended to provide secure financial messaging services. The company's platform offers products and services to facilitate access and integration, identification, analysis, and regulatory compliance for banking and securities organizations, market infrastructures, and corporate customers, enabling clients to transact securely and reliably.</t>
  </si>
  <si>
    <t>PostFinance</t>
  </si>
  <si>
    <t>www.swift.com</t>
  </si>
  <si>
    <t>491049-28</t>
  </si>
  <si>
    <t>Swipe</t>
  </si>
  <si>
    <t>Provider of personal and business finance services designed to offer flexible access to credit, savings, expense tracking, and payment tools for financial needs. The company offers interest-free virtual credit access, automated savings, expense management cards with controls and tracking, and merchant payment capabilities, enabling individuals and businesses in Africa to manage spending, access credit, and handle transactions with greater control and clarity.</t>
  </si>
  <si>
    <t>Aidi Ventures, Mainstreet Capital, UKEAS</t>
  </si>
  <si>
    <t>www.swipe.ng</t>
  </si>
  <si>
    <t>488973-43</t>
  </si>
  <si>
    <t>Swipey</t>
  </si>
  <si>
    <t>Developer of a digital financial operating system designed to make managing business finances simple. The company's system focuses on building businesses and optimizing operating costs by simplifying backend financial operations with products such as an expense management dashboard, a prepaid VISA card, and a digital finance butler, enabling business owners to save time and money on managing expenses and redirect their focus to growing their businesses.</t>
  </si>
  <si>
    <t>1337 Ventures, Endeavor Malaysia, Selangor Information Technology &amp; Digital Economy Corporation, Sunway iLabs, TeXnovasi Accelerator Program</t>
  </si>
  <si>
    <t>www.swipey.co</t>
  </si>
  <si>
    <t>510718-60</t>
  </si>
  <si>
    <t>Swirepay</t>
  </si>
  <si>
    <t>Developer of a payment platform designed to provide invoice payment services. The company provides various services from payments and invoicing to lending in one place to automate bookkeeping and improve cashflow, online and offline payment acceptance, accounts payable, and money transfers, enabling businesses to provide support for multiple payment methods including card and wallets to receive money</t>
  </si>
  <si>
    <t>Advantage Partners, AUM Ventures, ICICI Bank, Nivesha Ventures, Nurture Investment Management, Nurture Ventures, QPaymentZ, Symbiotic Ventures, TiE Silicon Valley</t>
  </si>
  <si>
    <t>www.swirepay.com</t>
  </si>
  <si>
    <t>264800-62</t>
  </si>
  <si>
    <t>Swishfund</t>
  </si>
  <si>
    <t>Operator of a financing platform intended to provide business loans and credit financing for small and medium-sized enterprises. The company's platform offers automated financing applications and loan assessment using objective and subjective data analysis, enabling small and medium-sized enterprises to obtain financing through a streamlined application process.</t>
  </si>
  <si>
    <t>Pieter Schoen, Shoe Investments, Slingshot Ventures</t>
  </si>
  <si>
    <t>www.swishfund.nl</t>
  </si>
  <si>
    <t>234077-68</t>
  </si>
  <si>
    <t>Switch (Los Angeles)</t>
  </si>
  <si>
    <t>Developer of a financial technology platform designed to organize, collect, and track payments instantly within a group. The company's platform provides free payment collection, updates payment progress, offers transparency about the money spent, increases accountability of receiving payments, and facilitates data security, enabling users to easily manage their expenses with unlimited groups and keep their money safe and secure.</t>
  </si>
  <si>
    <t>Allied Venture Partners, Corazon Capital, First Check Ventures, Hustle Fund, Money20/20, Preccelerator, TAWANI Ventures, Vitamin Capital</t>
  </si>
  <si>
    <t>www.joinswitch.co</t>
  </si>
  <si>
    <t>497807-02</t>
  </si>
  <si>
    <t>Switch One Co.</t>
  </si>
  <si>
    <t>Developer of an online currency exchange platform designed to provide currency exchange service without any hidden costs. The company's platform features the ability to sync an existing bank account and has a dedicated holdings dashboard that provides insights on current currency holdings, enabling users to seamlessly execute forced trades and experience a user-friendly portal.</t>
  </si>
  <si>
    <t>Busan United Holdings, Daekyo Investment, Edimus Capital, Fintech cube, iAccel (Seongnam-si), InfoBank, KU Startup, Posco Investment, Rising S Ventures, Tech Incubator Program for Startup</t>
  </si>
  <si>
    <t>switchwonbiz.com</t>
  </si>
  <si>
    <t>534431-89</t>
  </si>
  <si>
    <t>SwitchMyLoan.in</t>
  </si>
  <si>
    <t>Developer of a tech-based loan aggregator platform designed to bring transparency, simplicity, and convenience in the way people borrow money. The company's platform offers loans against securities, unsecured loans, home loans, loans against properties, and Insta-loans, enabling customers to complete the loan process without any inconvenience.</t>
  </si>
  <si>
    <t>Angel Scions, IIIT-H Foundation, Jaydeep Thaker, O2 Angels Network, Rajesh Ranjan, Sirius One Capital</t>
  </si>
  <si>
    <t>www.switchmyloan.in</t>
  </si>
  <si>
    <t>529744-87</t>
  </si>
  <si>
    <t>Swypex</t>
  </si>
  <si>
    <t>Developer of an all-in-one financial platform designed to simplify business expense management. The company offers corporate cards and automated tracking software that integrates with existing financial tools, enabling businesses to gain real-time visibility into spending, manage employee limits, and streamline accounting processes through a secure and intuitive mobile interface.</t>
  </si>
  <si>
    <t>Accel, Foreword, Foundation Ventures (Egypt), Kara Ventures, The Raba Partnership, TLcom Capital</t>
  </si>
  <si>
    <t>www.swypex.com</t>
  </si>
  <si>
    <t>168813-37</t>
  </si>
  <si>
    <t>Symend</t>
  </si>
  <si>
    <t>Artificial Intelligence &amp; Machine Learning, Big Data, Industrials, SaaS</t>
  </si>
  <si>
    <t>Developer of a software-as-a-service platform intended to help enterprises maximize collection effectiveness and optimize key metrics like recovery rates, liquidation rates, roll rates and time to cure. The company's platform empowers businesses in financial services, telecommunications and utilities to create personalized engagements that guide customers toward positive financial outcomes, enabling businesses to empower customers with meaningful and sustainable improvements in collections strategies while fostering lasting customer relationships.</t>
  </si>
  <si>
    <t>Alexander Peh, Ali Pourdad, Angels of Many, Aventrock Ventures, BDC Capital, BoxOne Ventures, C100 (Commercial Services), Cliffbrake, EDC Investments, Finance Montréal, Frind Properties, Ignition Partners, Impression Ventures, Inovia Capital, James Lochrie, Markus Frind, Mike Mannix, Mistral Venture Partners, Plaza Asset Management, Plug and Play Tech Center, Quesnay, TELUS Global Ventures, The Lazaridis Institute, Thin Air Labs</t>
  </si>
  <si>
    <t>www.symend.com</t>
  </si>
  <si>
    <t>535893-67</t>
  </si>
  <si>
    <t>symfio</t>
  </si>
  <si>
    <t>Developer of a data-driven financial management platform designed to empower small and medium-sized businesses (SMBs) with strategic financial insights. The company's platform offers a combination of Power BI financial applications and expert financial consultations, enabling customers to gain real-time financial visibility, improve profitability, and optimize decision-making.</t>
  </si>
  <si>
    <t>JIC (Czech Republic), xPORT</t>
  </si>
  <si>
    <t>www.symfio.app</t>
  </si>
  <si>
    <t>166628-35</t>
  </si>
  <si>
    <t>Symphopay</t>
  </si>
  <si>
    <t>FinTech, Marketing Tech, Space Technology</t>
  </si>
  <si>
    <t>Developer of a middleware payment platform designed to transform point-of-sale devices from simple card readers to smart marketing machines. The company's platform integrates all partner banks into one single payment terminal which is connected to a central platform capable of integrating marketing and loyalty campaigns in real-time, enabling merchants with smart point-of-sale units to easily coordinate financial transactions with banking partners in real-time.</t>
  </si>
  <si>
    <t>Early Game Ventures, Endeavor Romania, Gecad Ventures, Sparking Capital</t>
  </si>
  <si>
    <t>www.symphopay.com</t>
  </si>
  <si>
    <t>483543-10</t>
  </si>
  <si>
    <t>Sympl</t>
  </si>
  <si>
    <t>Developer of a financial application designed to offer customers the flexibility to shop now and pay over time. The company's platform helps merchants sell products and services directly to people on short-term, interest-free repayment plans, enabling e-retailers to boost sales volumes and conversion rates.</t>
  </si>
  <si>
    <t>A15, BECO Capital, Global Ventures (Private Equity), Visa Accelerator</t>
  </si>
  <si>
    <t>www.sympl.ai</t>
  </si>
  <si>
    <t>442206-28</t>
  </si>
  <si>
    <t>Synapse Analytics</t>
  </si>
  <si>
    <t>Developer of an AI-powered credit decisioning platform designed to support comprehensive customer profiling and credit scoring. The company uses alternative data and machine learning to automate document analysis and video-based surveillance, enabling financial institutions to streamline credit risk workflows, make instant decisions, and reduce non-performing loans.</t>
  </si>
  <si>
    <t>Hub71, Peachscore + Gust Accelerator Program, Plug and Play Tech Center, Silicon Badia, Visa Accelerator</t>
  </si>
  <si>
    <t>www.synapse-analytics.io</t>
  </si>
  <si>
    <t>553134-88</t>
  </si>
  <si>
    <t>Synnax</t>
  </si>
  <si>
    <t>Developer an artificial intelligence-powered financial platform designed for credit analysis and ratings. The company's platform leverages machine learning algorithms and big data analysis to provide accurate and efficient credit evaluations, enabling financial institutions to make informed lending decisions and manage risk more effectively.</t>
  </si>
  <si>
    <t>Ausvic Capital, Bitscale Capital, Drops Ventures, Edessa Capital, Everstake Capital, GameFi Ventures, Hex Trust, Kenetic Capital, MH Ventures, Moonvault Capital, No Limit Holdings, Ryze Capital Partners, Ryze Labs, Ton Ventures (Zug), Typhon Ventures, Wintermute</t>
  </si>
  <si>
    <t>www.synnax.ai</t>
  </si>
  <si>
    <t>699918-76</t>
  </si>
  <si>
    <t>Synply</t>
  </si>
  <si>
    <t>Developer of a cloud-based loan syndication platform designed to improve the experience of banking partners and borrowers. The company's platform facilitates users with a simplified, intuitive tool to centralize the entire process of syndicated lending and portfolio management by leveraging platform data, system integrations, and workflow tools, enabling buyers and sellers to benefit from improved transparency and access to real-time information.</t>
  </si>
  <si>
    <t>Canapi Ventures, Live Oak Ventures, OFG (San Juan), Trek Capital Management, TTV Capital, Woodforest National Bank</t>
  </si>
  <si>
    <t>www.synply.io</t>
  </si>
  <si>
    <t>497285-92</t>
  </si>
  <si>
    <t>Syntage</t>
  </si>
  <si>
    <t>Developer of business data platform designed to analyze transactional, financial and qualitative information of any business. The company's platform allows users to obtain access to all clients' tax data directly from the tax administration service, enabling businesses to manage personal finance and access capital through a streamlined experience, along with managing expenses and accounting through aggregation from multiple sources.</t>
  </si>
  <si>
    <t>Adrian Mendoza, Costanoa Ventures, Latitud, Mountain Partners, Nazca, Norte Ventures, QED Investors, Rally Cap VC, Spectra Investments</t>
  </si>
  <si>
    <t>www.syntage.com</t>
  </si>
  <si>
    <t>597571-12</t>
  </si>
  <si>
    <t>Syntax (Financial Software)</t>
  </si>
  <si>
    <t>Developer of a financial data and technology platform designed to offer financial products and services through data. The company's platform offers comprehensive, granular, and accurate product line revenue data available on the market, that empower clients to identify, classify, and analyze financial products through three segments such as company data, wealth technology, and financial indices, enabling customers to create and manage direct indexing services and rules-based equity portfolios through a fully automated platform, and deliver customized and proprietary indices.</t>
  </si>
  <si>
    <t>www.syntaxdata.com</t>
  </si>
  <si>
    <t>633174-04</t>
  </si>
  <si>
    <t>Synthera AI</t>
  </si>
  <si>
    <t>Developer a synthetic financial data platform designed for simulating complex market scenarios. The company's platform generates realistic, AI-driven data for equities, foreign exchange, and interest rates by simulating various potential market conditions, including those beyond historical precedent, enabling financial institutions to stress-test portfolios, identify risks, and uncover investment opportunities through dynamic and adaptable simulations.</t>
  </si>
  <si>
    <t>Angel Invest, AWS Startups, BuenTrip Ventures, Creative Destruction Lab, Entrepreneurs First, KDX Ventures, Motive Partners, NJ Fast, Plug and Play Tech Center, Robin Capital, Transpose Platform Management</t>
  </si>
  <si>
    <t>www.synthera.ai</t>
  </si>
  <si>
    <t>534533-77</t>
  </si>
  <si>
    <t>SyntheticFi</t>
  </si>
  <si>
    <t>Developer of securities-backed lending designed to offer low-cost liquidity while preserving client portfolios. The company offers lending options, including real estate, bridge, and lifestyle loans, featuring institutional-grade underwriting, seamless account transfers, and flexible repayment structures, enabling financial advisors to deepen client relationships and deliver tax-efficient liquidity without disrupting investment strategies.</t>
  </si>
  <si>
    <t>NextGen Venture Partners, Social Leverage, The compound Capital, Y Combinator</t>
  </si>
  <si>
    <t>www.syntheticfi.com</t>
  </si>
  <si>
    <t>266467-60</t>
  </si>
  <si>
    <t>SysJust Company</t>
  </si>
  <si>
    <t>SysJust Co Ltd is a Taiwan based company involved in providing online financial database services. It provides online real-time quotation service in line with the function of stand-alone board. The products offered by the company include XQ Global Winner, XS Strategic Radar and XQ Action Platform among others.</t>
  </si>
  <si>
    <t>www.sysjust.com.tw</t>
  </si>
  <si>
    <t>1152785-44</t>
  </si>
  <si>
    <t>t54 Labs</t>
  </si>
  <si>
    <t>Provider of financial infrastructure services intended to allow AI agents to transact across fiat and crypto. The company offers a ledger system that handles agent-virtual accounts, a risk control module assessing transaction context and agent behavior, programmable spending limits, and support for multiple blockchains, enabling developers and organizations to deploy autonomous agents that manage financial operations securely, reliably, and with auditable control.</t>
  </si>
  <si>
    <t>ABCDE Capital, Anagram Ventures, Blockchain Coinvestors Acquisition I, Fifth Era Blockchain Coinvestors Fund Manager, Franklin Templeton Investments United Kingdom, PL Capital (United States), Ripple, Virtual Capital Ventures, XRPL Accelerator</t>
  </si>
  <si>
    <t>www.t54.ai</t>
  </si>
  <si>
    <t>596438-11</t>
  </si>
  <si>
    <t>Tahsildar</t>
  </si>
  <si>
    <t>Developer of a digital collection and payment management platform designed to centralize and streamline dealer, sub-dealer, and corporate payment processes. The company offers bank account integration, virtual and physical POS, credit-based collection, payment gateway, and dealer order management systems, enabling clients to manage collections, track transactions, and monitor financial operations from a single portal.</t>
  </si>
  <si>
    <t>Finberg</t>
  </si>
  <si>
    <t>www.tahsildar.com.tr</t>
  </si>
  <si>
    <t>593005-24</t>
  </si>
  <si>
    <t>Taiki</t>
  </si>
  <si>
    <t>Developer of a universal API platform designed for organizations to extract tax forms. The company's platform leverages built-in document processing to specify needed data fields and securely link with multiple financial providers to access and retrieve tax information, enabling organizations to free people from administrative worries and help everyone focus on their work and passions.</t>
  </si>
  <si>
    <t>Capital6 Eagle, Failup Ventures, Halo Labs (United States), MyAsiaVC, Rosecliff Venture Partners, Sunset Ventures (Los Angeles), Y Combinator</t>
  </si>
  <si>
    <t>www.taiki.ai</t>
  </si>
  <si>
    <t>497781-91</t>
  </si>
  <si>
    <t>TainAI</t>
  </si>
  <si>
    <t>Developer of an AI technology platform designed to provide AI-powered investment advice. The company's platform uses natural language processing and machine learning to analyze financial data and offers a portfolio management tool, a research library, and a chat-based interface, enabling companies to make better financial decisions.</t>
  </si>
  <si>
    <t>Altos Ventures, KB Investment, Klim Ventures, KT Investment, Sazze Partners, SBVA, Tech Incubator Program for Startup</t>
  </si>
  <si>
    <t>www.tain.ai</t>
  </si>
  <si>
    <t>594459-55</t>
  </si>
  <si>
    <t>Taiseer</t>
  </si>
  <si>
    <t>Operator of a digital investment platform intended to democratize gold ownership. The company's platform provides an accessible and affordable path to wealth accumulation through a collective investment that offers users the opportunity to own investment-grade gold, enabling clients to get hedge against inflation and market volatility.</t>
  </si>
  <si>
    <t>Africa Tech Startup Forum, Aurora Tech Award, MINT Incubator, Orbit Ventures (Venture Capital)</t>
  </si>
  <si>
    <t>www.taiseer.co</t>
  </si>
  <si>
    <t>416631-07</t>
  </si>
  <si>
    <t>TakeMe</t>
  </si>
  <si>
    <t>Developer of a cellphone multi-payment gateway intended to combine multiple payment services into one application. The company's payment gateway can be used for various smartphone payment services with one QR code and additionally, they offer inbound customer services, enabling tourists to pay through a mobile application.</t>
  </si>
  <si>
    <t>AG Capital (Tokyo), Beenos Partners, Chiba Dojo, Daio Son, DNX Ventures, Ikuo Nishioka, Jim Weiser, JR East Start Up, JTB (Japan), Kazuki Moribe, Kazuo Hirasawa, Keikyu Accelerator Program, Kotaro Chiba, Kuuraku Group, Legend Partners, Manabu Tsuzuki, Masahiro Tanaka, Masaki Yamamoto, Naoki Shimada, New Economy Ventures, P&amp;E Directions Co., Ltd, Ryotaro Ejima, Shining Road, Takashi Miyake, Takayoshi Sawa, The Norinchukin Bank, Tokyo Metro, Travel Gourmet Limited, Vector (Media and Information Services), Xiaohang Yuan, Yusuke Tanaka</t>
  </si>
  <si>
    <t>www.takeme.com</t>
  </si>
  <si>
    <t>528292-90</t>
  </si>
  <si>
    <t>Takenos</t>
  </si>
  <si>
    <t>Developer of a digital wallet platform designed to enable international payments and collections for individuals and businesses. The company's platform allows instant transfers, supports multiple currencies, and provides transaction tracking and integration with various payment methods, enabling freelancers and small businesses to manage cross-border payments efficiently while offering transparency and ease of use.</t>
  </si>
  <si>
    <t>500 Global, 500 Startups LatAm, Chukwuma Okpalugo, gumi Cryptos Capital, Ivan Soto-Wright, Lattice Capital, Nascent, North Island Ventures, Outlier Ventures, Polaris Capital (New York), Refract Ventures, Reverie (New York), Sparklab (Argentina), Variant (Brooklyn)</t>
  </si>
  <si>
    <t>www.takenos.com</t>
  </si>
  <si>
    <t>534793-78</t>
  </si>
  <si>
    <t>Talaty</t>
  </si>
  <si>
    <t>Developer of a fintech platform intended to transform SMB financing through AI-driven solutions and combine behavioral finance insights and deep learning technology. The company's platform helps financial institutions to streamline credit assessments, address unregulated intercompany credit, and unlock access to working capital for underserved SMBs, driving financial inclusion and economic resilience, enabling SMBs to get access to working capital.</t>
  </si>
  <si>
    <t>Renew Capital, Wita Ventures</t>
  </si>
  <si>
    <t>www.talatypay.com</t>
  </si>
  <si>
    <t>503236-90</t>
  </si>
  <si>
    <t>Tallyfor</t>
  </si>
  <si>
    <t>Developer of tax preparation software designed to automate accounting-to-tax workflows for tax professionals. The company provides a cloud-based platform that converts client accounting data into trial balances and tax returns, while managing workpapers and journal entries, enabling accountants and firms to streamline tax preparation, reduce manual data entry, and complete corporate tax filings more efficiently.</t>
  </si>
  <si>
    <t>Central Coast Ventures, CIE HotHouse, Hsiao Wen, Kern Venture Group</t>
  </si>
  <si>
    <t>www.tallyfor.com</t>
  </si>
  <si>
    <t>515316-07</t>
  </si>
  <si>
    <t>Tamam</t>
  </si>
  <si>
    <t>Developer of a financing application designed to offer individuals requiring financing the opportunity to avail themselves of an Islamic Shari'a-compliant loan immediately. The company's platform offers loan approvals, short-term financing and micro-lending services without physically visiting a bank location, enabling individuals to get a loan and other services.</t>
  </si>
  <si>
    <t>www.tamam.life</t>
  </si>
  <si>
    <t>470756-62</t>
  </si>
  <si>
    <t>Tamanna BNPL</t>
  </si>
  <si>
    <t>Developer of a financial platform designed to provide secure mobile payments and loyalty program systems. The company's platform offers an application that specializes in offering mobile digital wallets and mobile point-of-sale systems tailored to meet the needs of the retail industry, enabling users to have a valuable and secure online shopping experience.</t>
  </si>
  <si>
    <t>Digital Incubation Center, Erhama Al-Kaabi, Global Emerging Markets, Qatar FinTech Hub Wave</t>
  </si>
  <si>
    <t>www.tamanna.app</t>
  </si>
  <si>
    <t>437155-48</t>
  </si>
  <si>
    <t>Tamawal</t>
  </si>
  <si>
    <t>Developer of a digital financing platform intended to help customers and clients find financial offers. The company's platform offers quotes for financing automobiles, real estate, and personal loans, and also features tools for tracking loan reimbursement and payments, enabling loan seekers to connect with commercial loan providers.</t>
  </si>
  <si>
    <t>Badir Incubator, Fintech Saudi, Flat6labs, Misk 500 MENA Accelerator, MRK Holding (Saudi Arabia), NOMD Holdings, Taqadam (Accelerator), Visa Everywhere Initiative</t>
  </si>
  <si>
    <t>www.tamawal.sa</t>
  </si>
  <si>
    <t>621395-74</t>
  </si>
  <si>
    <t>Tamborine</t>
  </si>
  <si>
    <t>Developer of payment processing and card issuance software designed to enable financial institutions and businesses to launch and manage payment services. The company's platform supports credit and debit card processing, payment gateway integration, card issuing programs, and API-based back-office connectivity, enabling banks, fintech companies, and enterprises to process transactions, issue branded payment cards, and manage financial operations through an integrated payment infrastructure.</t>
  </si>
  <si>
    <t>InovaBRA, Koinz Capital</t>
  </si>
  <si>
    <t>tamborine.com.br</t>
  </si>
  <si>
    <t>500641-48</t>
  </si>
  <si>
    <t>Tameed</t>
  </si>
  <si>
    <t>Developer of a debt crowdfunding platform intended for government purchase orders based in Saudi Arabia. The company's platform specializes in financing small and medium-sized companies that have obtained government approvals and connects companies seeking urgent financing for these government approvals with financiers from individual investors and investment entities wishing to invest, enabling businesses to finance their working capital.</t>
  </si>
  <si>
    <t>Alromaih Industrial Commercial Group, SIDF Investment Company</t>
  </si>
  <si>
    <t>www.ta3meed.com</t>
  </si>
  <si>
    <t>232599-43</t>
  </si>
  <si>
    <t>Tanamduit</t>
  </si>
  <si>
    <t>Developer of a digital wealth management platform designed to let people invest. The company's platform assists in making comprehensive financial planning and executing financial plans with online mutual funds, government securities, gold, and various insurance products through partnerships with authorized entities, enabling users to monitor the progress of their investment achievements.</t>
  </si>
  <si>
    <t>RND Capital</t>
  </si>
  <si>
    <t>www.tanamduit.com</t>
  </si>
  <si>
    <t>535595-50</t>
  </si>
  <si>
    <t>Tanda (Business/Productivity Software)</t>
  </si>
  <si>
    <t>Developer of a personalized employee benefits platform designed to improve retention and engagement among essential workers. The company's platform offers tailored financial wellness programs, performance-aligned benefits management, compensation insights, and engagement tracking tools, enabling construction firms, manufacturing companies, and restaurants to strengthen workforce loyalty and reduce turnover costs.</t>
  </si>
  <si>
    <t>Initialized Capital, Sequoia Arc, Sequoia Capital</t>
  </si>
  <si>
    <t>www.tanda.io</t>
  </si>
  <si>
    <t>491652-46</t>
  </si>
  <si>
    <t>Tandym</t>
  </si>
  <si>
    <t>Developer of a payments platform designed to convert transaction fees into future revenues. The company's platform connects people directly by cutting out the middle people, provides a calculator and allows the provision of fund rewards to customers, enabling merchants with a better payment option that saves processing costs, rewards customers and grows revenues.</t>
  </si>
  <si>
    <t>Alinea Ventures, Foundation Capital, Gradient Ventures, Milkbox Partners, Obvious Ventures, Riverside Ventures, SuperAngel.Fund</t>
  </si>
  <si>
    <t>www.bytandym.com</t>
  </si>
  <si>
    <t>454464-55</t>
  </si>
  <si>
    <t>TANGGapp</t>
  </si>
  <si>
    <t>Developer of a cross-border money transfer application designed to boost financial inclusion for people. The company's platform allows users to send money from the United States to the Philippines with transfers, competitive exchange rates, and integration with major banks and e-wallets, enabling individuals to perform remittances, donations, and purchases with high security.</t>
  </si>
  <si>
    <t>Brighter Capital, Foxmont Capital Partners, Goodwater Capital, Harvard Innovation Launch Lab, Katrina Razon, Manila Angel Investors Network, MassChallenge, North Fifth Asia, Rogue Women, Tampa Bay Wave, Team Ignite Ventures, TEN13, Visible Hands</t>
  </si>
  <si>
    <t>www.tanggapp.com</t>
  </si>
  <si>
    <t>467084-53</t>
  </si>
  <si>
    <t>Tanggram</t>
  </si>
  <si>
    <t>Developer of a smart personal wealth application that combines shopping and financial management. The company will negotiate with online and offline merchants in advance about the consumption quota and the rebate ratio, providing customers with investment plans where they can apply their rebate after spending.</t>
  </si>
  <si>
    <t>www.tanggram.com</t>
  </si>
  <si>
    <t>501738-04</t>
  </si>
  <si>
    <t>Tank</t>
  </si>
  <si>
    <t>Developer of a digital wallet platform designed to automate payouts of trucking companies. The company's platform helps get funded through secure payment processes, allows users to transfer money to peers, different accounts, or fuel cards, monitor spend, receive fraud alerts, and create fleet reports, enabling freight businesses to get paid, make payments, and optimize management across the fleet.</t>
  </si>
  <si>
    <t>Soma Capital, Y Combinator</t>
  </si>
  <si>
    <t>www.tankpayments.com</t>
  </si>
  <si>
    <t>529870-33</t>
  </si>
  <si>
    <t>TankhaPay</t>
  </si>
  <si>
    <t>Developer of a social security management application intended to help employers with provident funds and insurance benefits to employees. The company offers a salary app that formalizes wages of temporary, gig, household, and informal workers to include them in social security benefit schemes, enabling employees to assist their employees with social security benefits, lead better lives with dignity, and strengthen employee relationships.</t>
  </si>
  <si>
    <t>ALES Global Investment Partnership</t>
  </si>
  <si>
    <t>www.tankhapay.com</t>
  </si>
  <si>
    <t>510269-41</t>
  </si>
  <si>
    <t>Tap Electric</t>
  </si>
  <si>
    <t>CleanTech, FinTech, Mobile, Mobility Tech, SaaS</t>
  </si>
  <si>
    <t>Developer of a car charging payment application designed to allow users to find and access electric vehicle charge points near their location. The company's application offers features like filtering out chargers based on users' preferences, optimised chargers, and vehicle charge point locater services, enabling users to get live payment insights and secure payment system under one roof.</t>
  </si>
  <si>
    <t>Fair Capital Impact Fund, Lumo Labs, MaasInvest, No Such Ventures, Schouten Investments, Shamrock Ventures (Amsterdam)</t>
  </si>
  <si>
    <t>www.tapelectric.app</t>
  </si>
  <si>
    <t>504203-50</t>
  </si>
  <si>
    <t>Tapi</t>
  </si>
  <si>
    <t>Developer of a fintech platform designed to facilitate billing transactions. The company's platform offers recurring payments through a single integration and scales across the region, enabling firms to manage payments and transactions hassle-free.</t>
  </si>
  <si>
    <t>Andreessen Horowitz, Endeavor Argentina, Endeavor Catalyst, Endeavor Catalyst (Egypt), FJ Labs, HTwenty Capital, Kaszek, Latitud, Mercado Libre Fund, Newtopia VC, Norte Ventures, Plug and Play Tech Center, Proximity Angels, Smart Growth Investments, Soma Capital, Spectra Investments, Vast Ventures</t>
  </si>
  <si>
    <t>www.tapi.la</t>
  </si>
  <si>
    <t>152506-09</t>
  </si>
  <si>
    <t>Tapp (Financial Services)</t>
  </si>
  <si>
    <t>Developer of payment-processing software designed to bring financial inclusion and economic empowerment. The company's software offers a mobile e-commerce application and provides a digital economy without bank accounts to buy goods and services online, via mobile point-of-sales agents network in emerging markets, enabling consumers to purchase previously inaccessible goods and services and make bill payments within their neighborhoods and through trusted shopkeepers.</t>
  </si>
  <si>
    <t>AMMA Private Equity, Follow [the] Seed, Sky Jade Partners, Tekes, The Finnish Funding Agency for Innovation</t>
  </si>
  <si>
    <t>www.tappgroup.com.au</t>
  </si>
  <si>
    <t>539012-44</t>
  </si>
  <si>
    <t>TappAlpha</t>
  </si>
  <si>
    <t>Developer of an online financial platform designed to enhance potential returns without additional capital. The company's platform offers an opportunity to earn premiums by selling call options against shares already owned to make advanced investing simple, actionable, and transparent, enabling investors to monitor positions and execute defensive actions for downside protection, removing emotion from trading decisions.</t>
  </si>
  <si>
    <t>www.tappalpha.com</t>
  </si>
  <si>
    <t>682069-15</t>
  </si>
  <si>
    <t>Tarisa Technologies</t>
  </si>
  <si>
    <t>Developer of a SaaS-based credit management platform intended to offer loan terms based on past repayment behavior. The company's platform assists in building comprehensive credit profiles for borrowers, even those with limited credit history, by analyzing past repayment behavior, enabling clients to make informed lending decisions and offer more favorable terms to borrowers, ultimately fostering financial inclusion and increasing access to credit for a wider range of businesses.</t>
  </si>
  <si>
    <t>Global Incubation Services, LEAP AHEAD (India)</t>
  </si>
  <si>
    <t>tarisa.co.in</t>
  </si>
  <si>
    <t>894366-64</t>
  </si>
  <si>
    <t>Tarmeez Capital</t>
  </si>
  <si>
    <t>Developer of Sharia-compliant financial technology platforms designed to facilitate investment and financing through Islamic sukuk. The company's platform offers innovative digital tools for funding and investment management, automated compliance with Islamic finance principles, and access to curated economic opportunities, enabling businesses and individual investors in Saudi Arabia to efficiently participate in ethical financial growth and capital allocation.</t>
  </si>
  <si>
    <t>tarmeez.co</t>
  </si>
  <si>
    <t>518528-44</t>
  </si>
  <si>
    <t>Taskheer</t>
  </si>
  <si>
    <t>Provider of financial systems intended to facilitate traditional monthly group savings. The company's platform enables monthly collections that contribute to facilitating money-saving concepts, taking into consideration any challenges and constraints, enabling consumers to get assurance of quality standards, trusted members, and accurate receiving dates.</t>
  </si>
  <si>
    <t>www.taskeer.co</t>
  </si>
  <si>
    <t>453429-19</t>
  </si>
  <si>
    <t>Taurus.ai</t>
  </si>
  <si>
    <t>Provider of trading system and algorithm services. The company focuses on developing quantitative trading system and algorithms to provide investors with smart, efficient, low-cost and low-latency transaction solutions.</t>
  </si>
  <si>
    <t>Edge Ventures (China)</t>
  </si>
  <si>
    <t>www.taurus.ai</t>
  </si>
  <si>
    <t>527671-99</t>
  </si>
  <si>
    <t>Tax Special Forces</t>
  </si>
  <si>
    <t>Developer of a financial platform designed to provide tax-saving strategies. The company's platform allows the automatic collection of data from banks and home taxes with the help of artificial intelligence and does a continuous tax prediction based on real-time bankbook and card details, enabling businesses to save funds on taxes while accessing other financial services.</t>
  </si>
  <si>
    <t>Tech Incubator Program for Startup, Yonsei University Technology Holdings</t>
  </si>
  <si>
    <t>www.seteuk.tax</t>
  </si>
  <si>
    <t>492641-29</t>
  </si>
  <si>
    <t>Taxera</t>
  </si>
  <si>
    <t>Developer of SaaS Tax Management Software designed for Tax filing. The company's platform provides automatic tax calculation one-click declaration and smart tax management, enabling Corporate to tax filing simpler and more professional.</t>
  </si>
  <si>
    <t>Forebright Capital, Plum Ventures, Shenzhen Capital Group, SOSV</t>
  </si>
  <si>
    <t>www.huamengtech.com</t>
  </si>
  <si>
    <t>741603-25</t>
  </si>
  <si>
    <t>TaxFlow</t>
  </si>
  <si>
    <t>Developer of an AI-powered tax preparation tool designed to streamline tax return workflows for accounting firms. The company's tool automates repetitive tasks such as data collection, transaction categorization, and tax form preparation, enabling clients to reduce the chances of errors and save time.</t>
  </si>
  <si>
    <t>BFF VC, Brian Requarth, Brian York, Platanus Ventures</t>
  </si>
  <si>
    <t>www.jointaxflow.ai</t>
  </si>
  <si>
    <t>819530-38</t>
  </si>
  <si>
    <t>TaxRay</t>
  </si>
  <si>
    <t>Developer of an AI agentic platform designed to detect and prevent tax risks on cross-border transactions in real time. The company offers tax management tools, savings optimization features, revenue support capabilities, and legal assistance, enabling enterprises to manage cross-border operations efficiently and reduce tax exposure.</t>
  </si>
  <si>
    <t>AIF, Maccabee Ventures, Silvertech Ventures</t>
  </si>
  <si>
    <t>taxray.ai</t>
  </si>
  <si>
    <t>467627-59</t>
  </si>
  <si>
    <t>TaxStatus</t>
  </si>
  <si>
    <t>Developer of an online financial platform designed to provide access to IRS records, data, and insights on any business or individual. The company's platform allows users to review accounts online, check tax scores, and evaluate the risk of future Internal Revenue Service audits and actions, enabling clients to take control of their tax records and finances with account monitoring and sharing of records with financial advisors.</t>
  </si>
  <si>
    <t>FINTOP (US), FIS Fintech Accelerator, JAM FINTOP, Service Provider Capital, The Founders Arena, The Venture Center</t>
  </si>
  <si>
    <t>www.taxstatus.com</t>
  </si>
  <si>
    <t>701056-09</t>
  </si>
  <si>
    <t>TaxZap</t>
  </si>
  <si>
    <t>Developer of an AI-driven web application designed for efficient tax return completion. The company's platform connects directly to individual bank accounts through open banking to analyze transactional data, identify eligible tax reliefs, and automate the tax filing process, enabling users to complete their tax returns while reducing the need for manual data entry and increasing tax refunds.</t>
  </si>
  <si>
    <t>Affinity Ventures, Aidan Corbett, Aidan Kehoe, Henry de Zoete, Jack O'Connell, John Halpin, Nick Mullen</t>
  </si>
  <si>
    <t>www.taxzap.com</t>
  </si>
  <si>
    <t>741519-37</t>
  </si>
  <si>
    <t>Taya</t>
  </si>
  <si>
    <t>Developer of a multi-product credit platform designed to facilitate asset origination. The company offers an application programming interface, investment funds, and tokenization of different asset classes for digital trading, enabling investors to access credit-backed assets.</t>
  </si>
  <si>
    <t>www.taya.com.br</t>
  </si>
  <si>
    <t>231880-15</t>
  </si>
  <si>
    <t>TAZI</t>
  </si>
  <si>
    <t>Developer of an artificial intelligence-powered platform designed to optimize customer retention and acquisition and enhance fraud detection. The company's software integrates with existing data streams and offers scalability in addition to flexibility on supervision and deployment that helps business experts easily create, enabling business and citizen data scientists to build predictive analytics models and provide detailed and actionable explanations with intuitive dashboards.</t>
  </si>
  <si>
    <t>AI Venture Labs, Alchemist Accelerator, CAFE Fintech Accelerator, Diffusion Capital Partners, Foothill Ventures, Handshake Ventures, Illuminate Ventures, Innogate, ITU ARI Teknokent, MassChallenge, RevTech Labs, RevTech Labs Capital, Yapay Zeka Fabrikasi</t>
  </si>
  <si>
    <t>tazi.ai</t>
  </si>
  <si>
    <t>515150-65</t>
  </si>
  <si>
    <t>TBanic Data</t>
  </si>
  <si>
    <t>Developer and operator of digital workforce infrastructure platforms. Based on DARD (Data, AI, RPA, Digital Human) technologies, the company develops and operates digital employee development kits, providing users with customized digital employees with corresponding job skills</t>
  </si>
  <si>
    <t>www.tbanic.com</t>
  </si>
  <si>
    <t>433230-67</t>
  </si>
  <si>
    <t>tcpjw.com</t>
  </si>
  <si>
    <t>Operator of a notes financing platform. The company operates an online notes financing and trading platform intended to supply comprehensive information about corporate notes, helping to simplify the process of notes trading among investors.</t>
  </si>
  <si>
    <t>DCM Ventures, GL Ventures, Huagai Capital, Lesso Technology, MPC (Beijing), Nanjing Jiangbei New Area Innovation Investment Fund Management, Yang Zi Investment Group</t>
  </si>
  <si>
    <t>www.tcpjw.com</t>
  </si>
  <si>
    <t>491557-51</t>
  </si>
  <si>
    <t>Techreo</t>
  </si>
  <si>
    <t>Provider of a technology system platform designed to offer services to non-banking clients. The company provides financial services such as savings, loans, insurance, and financial education, unbanked and underbanked individuals to access financial services, it helps legacy financial institutions that want to transform digitally, so they can offer simple and accessible financial services to the end customer, enabling clients to develop digital products, providing the ability to save and access credit.</t>
  </si>
  <si>
    <t>Capem, G2 Momentum Capital, PC Capital</t>
  </si>
  <si>
    <t>techreo.services</t>
  </si>
  <si>
    <t>520495-30</t>
  </si>
  <si>
    <t>Teddy Open Finance</t>
  </si>
  <si>
    <t>Operator of a financial technology company intended to provide open finance systems for autonomous bankers, correspondents, and investment firms. The company's platform connects large financial institutions with customers in the corporate, middle, and companies segments, to self-employed bankers, enabling clients to distribute products and services from various financial institutions and have greater earning power and allowing the communication and contracting of financial products and solutions in an agile, reliable and confidential manner.</t>
  </si>
  <si>
    <t>InovaBRA</t>
  </si>
  <si>
    <t>www.teddydigital.io</t>
  </si>
  <si>
    <t>186643-45</t>
  </si>
  <si>
    <t>Telcoin</t>
  </si>
  <si>
    <t>Developer of an online decentralized finance platform designed to provide instant and low-cost money transfers. The company's platform utilizes partners with telecoms and mobile money platforms globally to make sending money as easy as sending a text message by leveraging blockchain technology to issue tokens to national telecom operators, sell to subscribers, and also provide efficient money transfers, enabling clients to access the service with or without a bank account.</t>
  </si>
  <si>
    <t>Batara Eto, Bold+Beyond, CRT Labs, Dimosthenis Spyridis, East Ventures, Optimista Capital, Otter &amp; Co. Capital Holdings, Thrinlay Dhabum</t>
  </si>
  <si>
    <t>www.telco.in</t>
  </si>
  <si>
    <t>464114-35</t>
  </si>
  <si>
    <t>Telda</t>
  </si>
  <si>
    <t>Developer of money transfer application designed to offer a convenient way to send, spend and save money. The company's biometric identification and 3D secure application allow users to open a free account with no paperwork and send and receive money from friends for free and offers insights on spending habits, enabling clients to have a platform that assists with money handling problems and offers an alternative to the traditional banking system.</t>
  </si>
  <si>
    <t>Block, BYLD (Dubai), Class 5 Global, Global Founders Capital, Jack Dorsey, Sequoia Capital</t>
  </si>
  <si>
    <t>www.telda.app</t>
  </si>
  <si>
    <t>593199-91</t>
  </si>
  <si>
    <t>Tellen</t>
  </si>
  <si>
    <t>Developer of an artificial intelligence-powered platform designed to transform audit and accounting practices by enhancing accuracy, efficiency and compliance. The company offers tailored tools for GAAP and GAAS-compliant documentation, secure zero-trust architecture, and white-glove onboarding, enabling audit professionals at accounting firms to streamline workflows, reduce manual effort and deliver higher-quality audits.</t>
  </si>
  <si>
    <t>Array Ventures, Blumberg Capital, Citrin Cooperman &amp; Company</t>
  </si>
  <si>
    <t>www.tellen.ai</t>
  </si>
  <si>
    <t>267839-56</t>
  </si>
  <si>
    <t>Teller</t>
  </si>
  <si>
    <t>Developer of a mobile application designed to make the process of online payments and banking, a hassle-free experience. The company's tool uses application programming interface that let users reliably connect to bank accounts and view account details, and transaction history, verify identity, transfer money from one account to the other, and make payments, enabling customers to carry out their online financial transactions reliably and predictably.</t>
  </si>
  <si>
    <t>Creative Destruction Lab, Founders Fund, Lightspeed Venture Partners, SciFi VC, University of Toronto, University of Toronto Entrepreneurship</t>
  </si>
  <si>
    <t>www.teller.io</t>
  </si>
  <si>
    <t>960965-56</t>
  </si>
  <si>
    <t>Temple</t>
  </si>
  <si>
    <t>Developer of financial technology platforms designed to enhance capital markets infrastructure. The company's platform offers a native trading platform and provides features such as tokenized asset issuance, noncustodial trade settlement, built-in privacy layers, KYC/KYB integration, a global asset registry and issuance platform built on the canton network, enabling institutional and retail participants in the digital asset and tokenized capital markets to access secure, compliant, and interoperable financial infrastructure.</t>
  </si>
  <si>
    <t>AMA ( Machinery (B2B)), CMT Digital Holdings, Digital Asset, Eterna Capital, G20 Ventures, GSR Ventures, Halo Capital (New York), Paper Ventures, Presto, Protagonist Management, SBI Holdings, Selini Capital, Sfermion, YZi Labs</t>
  </si>
  <si>
    <t>templedigitalgroup.com</t>
  </si>
  <si>
    <t>472117-69</t>
  </si>
  <si>
    <t>Tenet</t>
  </si>
  <si>
    <t>Operator of an automotive financial lending platform intended to promote a sustainable lifestyle. The company's platform tracks carbon emission savings and vehicle performance by offering suitable financing options for electric vehicles, enabling clients to save money and switch to electric vehicles with ease.</t>
  </si>
  <si>
    <t>Ambush Capital, Ascolta Ventures, Assurant Ventures, Breyer Capital, Climate Capital, Dubin &amp; Co., Firstminute Capital, Giant Ventures, Global Founders Capital, Gokul Rajaram, Hawktail, Human Capital, Michael Ovitz, Michael Tannenbaum, Nyca Partners</t>
  </si>
  <si>
    <t>www.tenet.com</t>
  </si>
  <si>
    <t>533459-80</t>
  </si>
  <si>
    <t>Tensec</t>
  </si>
  <si>
    <t>Developer of a money exchange platform designed for firms to move funds across borders in real time. The company's platform utilizes artificial intelligence to verify documentation and onboard firms' clients in a matter of minutes, connecting global real-time payment networks to facilitate cross-border transactions. This enables firms to ensure that payments are safely stored, transferred, and reach their intended destinations.</t>
  </si>
  <si>
    <t>Cambrian Fintech, Costanoa Ventures, Endeavor Promessas, IGNIA, Montage Ventures, Quiet Capital, Renegade Partners, WillowTree Investments</t>
  </si>
  <si>
    <t>www.tensec.io</t>
  </si>
  <si>
    <t>515897-29</t>
  </si>
  <si>
    <t>Terminal X</t>
  </si>
  <si>
    <t>Developer of artificial intelligence analysts designed to support investment research and decision-making. The company offers automated data analysis, insight generation, and research workflows, enabling investment firms to improve evaluation accuracy and streamline analysis processes.</t>
  </si>
  <si>
    <t>1Q Agile Lab, DG Daiwa Ventures, Dunamu &amp; Partners, Mirae Asset Venture Investment, Pine Capital Management (Singapore), Unbound Lab</t>
  </si>
  <si>
    <t>www.terminal-x.ai</t>
  </si>
  <si>
    <t>762470-02</t>
  </si>
  <si>
    <t>Tern (Financial Services)</t>
  </si>
  <si>
    <t>Developer of a payment and rewards platform intended to streamline rent payments and reward tenants. The company's platform integrates with the property management system, facilitates rent payments using credit cards, reminds tenants of upcoming due dates, notifies landlords of defaults, and offers reward points that can be redeemed at partner merchants, enabling renters in the UAE to receive value for on-time payments and landlords to improve tenant communication and encourage quicker lease renewals.</t>
  </si>
  <si>
    <t>BYLD (Dubai), Dubizzle Group, Oraseya Capital, VentureSouq</t>
  </si>
  <si>
    <t>www.ternrewards.com</t>
  </si>
  <si>
    <t>185217-67</t>
  </si>
  <si>
    <t>TerraMagna</t>
  </si>
  <si>
    <t>Developer of digital lender designed to bolster the agribusiness sector. The company manages significant discretionary capital and has disbursed substantial funds, offering various credit modalities including working capital, assignment of receivables, and exclusive financial funds; it operates as a market leader with a notably low default rate, providing flexible, tailored options and expert guidance, enabling agricultural input distributors to optimize their financial operations, gain independence from traditional financiers, and achieve increased efficiency and savings.</t>
  </si>
  <si>
    <t>Accion, Canary (Brazil), Fundação Estudar, Google Accelerator, Hangar8 Capital, HBS Alumni Angels of Brazil, Maya Capital (Brazil), MG Tech., Milenio Capital, ONEVC, Shift Capital (São Paulo), SoftBank Group, SoftBank Latin America Fund, The Yield Lab Latam, Wolfman.One</t>
  </si>
  <si>
    <t>www.terramagna.com.br</t>
  </si>
  <si>
    <t>234042-94</t>
  </si>
  <si>
    <t>Teslar Software</t>
  </si>
  <si>
    <t>Developer of a lending automation platform intended to aggregate and automate the loan and deposit processes into a single system. The company's platform improves the accuracy of financial data and makes information more accessible for institutions of all sizes, with extensive industry experience and a deep understanding of the financial sector, enabling banks and financial institutions to improve operations with better data and higher efficiency.</t>
  </si>
  <si>
    <t>Cadron Capital Partners, Conductor (Arkansas), Independent Community Bankers of America, The Venture Center</t>
  </si>
  <si>
    <t>www.teslarsoftware.com</t>
  </si>
  <si>
    <t>720008-92</t>
  </si>
  <si>
    <t>Tesote</t>
  </si>
  <si>
    <t>Developer of a financial automation platform designed to centralise and orchestrate corporate treasury operations in real time. The company's platform connects bank accounts and financial systems, standardises multi-entity and multi-currency data, automates collections and reconciliations, and provides configurable reporting and APIs, enabling enterprises to improve financial visibility and reduce operational risk.</t>
  </si>
  <si>
    <t>Amador Holdings, Gilgamesh Ventures, NuMundo Ventures, Rally Cap VC, The Fintech Fund</t>
  </si>
  <si>
    <t>www.tesote.com</t>
  </si>
  <si>
    <t>471904-12</t>
  </si>
  <si>
    <t>Tessaract.io</t>
  </si>
  <si>
    <t>Developer of a workflow automation platform designed to help firms be more agile and effective. The company provides legal case and practice management software that allows users to manage law associations, law firms, and consultants to deal with legal cases and manage tasks to deal with legal projects, manage workflow, task scheduling, and billing, enabling clients to automate work and save time and money.</t>
  </si>
  <si>
    <t>Anand Swaminathan, CMIA Capital Partners, Doug Parker, Fuel Ventures, M Venture Partners, Mercia Ventures, Wavemaker Partners</t>
  </si>
  <si>
    <t>www.tessaract.io</t>
  </si>
  <si>
    <t>615350-17</t>
  </si>
  <si>
    <t>Testudo</t>
  </si>
  <si>
    <t>Operator of an insurance firm intended to focus on institutional generative artificial intelligence risks. The company provides products to identify and manage artificial intelligence risks such as hallucinations, copyright or intellectual property infringement, discrimination lawsuits, and data privacy breaches, enabling businesses to navigate and mitigate the risks.</t>
  </si>
  <si>
    <t>A100x Ventures, Charles Songhurst, Fuse Incubator, Goldman Sachs Asset Management, IA Capital Group, Joshua Buckley, Lloyd's Lab, Octopus Ventures, Phoenix Court, Plug and Play Tech Center</t>
  </si>
  <si>
    <t>www.testudo.co</t>
  </si>
  <si>
    <t>512503-66</t>
  </si>
  <si>
    <t>Teva Indices</t>
  </si>
  <si>
    <t>Developer of a financial platform designed to offer a reliable digital platform for indexed investments. The company's platform is based on mathematical and statistical models combined with an accurate analysis of investments that leads to creating the basis of taking advantage of passive management in the construction of portfolios, enabling clients to align values and purposes with investment decisions for accurate, replicable, and market-appropriate indices.</t>
  </si>
  <si>
    <t>4UM Investimentos, Darwin Startups, Honey Island Capital, Investe Favela, Lupa Capital, Quartz (Brazil)</t>
  </si>
  <si>
    <t>www.tevaindices.com.br</t>
  </si>
  <si>
    <t>1153162-81</t>
  </si>
  <si>
    <t>Teybridge Capital (Europe)</t>
  </si>
  <si>
    <t>Developer of a structured trade finance platform designed for financial growth. The company's platform provides modular transaction structuring, collateral management, credit risk hedging, monitoring, investor syndication, and automated onboarding via a digital interface, enabling organizations in global trade to access timely liquidity and deploy capital with transparency and risk controls.</t>
  </si>
  <si>
    <t>Baghdadi Capital</t>
  </si>
  <si>
    <t>www.teybridgecapital.com</t>
  </si>
  <si>
    <t>1366671-16</t>
  </si>
  <si>
    <t>The Better Money Company</t>
  </si>
  <si>
    <t>Operator of a financial technology company intended to create a stablecoin clearinghouse that improves liquidity, efficiency and compliance in the global digital asset market. The company offers a centralized exchange and clearinghouse for USD-backed stablecoins, excluding USDT, enabling customers to access cost-effective, compliant and reliable token exchanges that reduce fragmentation, enhance market efficiency and support annual liquidity demand in stablecoin flows.</t>
  </si>
  <si>
    <t>Aditya Goel, Andreessen Horowitz, BoxGroup, Charles Songhurst, Dorm Room Fund, Patrick McCormick, Sean Neville, Sunflower Capital, The Fintech Fund, Will Manidis</t>
  </si>
  <si>
    <t>www.bettermoney.com</t>
  </si>
  <si>
    <t>465626-62</t>
  </si>
  <si>
    <t>The Card Company</t>
  </si>
  <si>
    <t>Developer of a digital neo-banking platform designed to provide financial literacy and ease of secured financial transactions. The company's platform offers instant money transfer, online investments, UPI money transfer, shopping experienced and transaction alerts, enabling customers to avail themselves of hassle-free cashless transactions.</t>
  </si>
  <si>
    <t>Dinesh Nagpal, Liberatha Kallat, Mukesh Yadav</t>
  </si>
  <si>
    <t>thecardcompany.in</t>
  </si>
  <si>
    <t>438454-81</t>
  </si>
  <si>
    <t>The Forest Road Company</t>
  </si>
  <si>
    <t>Developer of a specialty finance platform intended to provide financing services to different industries. The company's platform utilizes operational expertise and strategic capital to identify, cultivate, and invest in new ideas, enabling firms to have access to flexible financing alternatives at an affordable cost of capital.</t>
  </si>
  <si>
    <t>forestroad.com</t>
  </si>
  <si>
    <t>624395-44</t>
  </si>
  <si>
    <t>The Home Equity Partners</t>
  </si>
  <si>
    <t>Provider of home equity sharing services intended for home equity access purposes. The company offers a home equity sharing agreement that gives cash in exchange for a percentage of the customer's home's future appreciation without monthly payments or interest charges, enabling homeowners to have immediate financial flexibility.</t>
  </si>
  <si>
    <t>The Myriad Group</t>
  </si>
  <si>
    <t>www.theheqpartners.com</t>
  </si>
  <si>
    <t>345879-64</t>
  </si>
  <si>
    <t>The Premins Company</t>
  </si>
  <si>
    <t>Provider of insurance premium financing services intended for commercial, personal, and assigned risk policies. The company offers competitive rates, low down payments, an easy-to-use website, and an easy cancellation process, enabling brokers and their insureds to make premium financing as simple as possible.</t>
  </si>
  <si>
    <t>www.premins.com</t>
  </si>
  <si>
    <t>231564-88</t>
  </si>
  <si>
    <t>TheCapitalNet</t>
  </si>
  <si>
    <t>Developer of a financial technology platform designed to streamline and optimize fund management and fund administration for alternative asset managers. The company offers integrated workflows, intelligent automation, and data-driven insights, enabling private equity and venture capital firms to enhance operational efficiency and make informed investment decisions.</t>
  </si>
  <si>
    <t>Astir Ventures, Lindwall Family Investments</t>
  </si>
  <si>
    <t>theinvestornet.com</t>
  </si>
  <si>
    <t>693407-17</t>
  </si>
  <si>
    <t>thero6</t>
  </si>
  <si>
    <t>Developer of an AI-powered blockchain firewall intended to systematize user behavior to prevent scams or investment theft with an eighty-nine percent probability. The company develops isolated algorithms for analyzing fraudulent schemes in the finance and blockchain industries and is known for its commitment to improving financial technology in the banking and blockchain sectors, enabling firms to increase the transparency of its tools and enhancing the security of private finance.</t>
  </si>
  <si>
    <t>www.thero6.com</t>
  </si>
  <si>
    <t>528379-84</t>
  </si>
  <si>
    <t>Theseus</t>
  </si>
  <si>
    <t>Developer of AI-driven analytics technology designed to transform client conversations into actionable insights for capital markets professionals. The company offers tools for business development, product analysis, risk management, and compliance, enabling firms to enhance decision-making and operational efficiency across global markets.</t>
  </si>
  <si>
    <t>Antler, Unitec (Accelerator/Incubator)</t>
  </si>
  <si>
    <t>www.theseus-ai.com</t>
  </si>
  <si>
    <t>229621-87</t>
  </si>
  <si>
    <t>Theta</t>
  </si>
  <si>
    <t>Developer of a predictive analytics firm designed to specialize in Customer Lifetime Value (CLV) and Customer-Based Corporate Valuation. The company provides actionable insights into customer behaviors and overall company health and valuation, enabling corporations to optimize marketing strategies and maximize customer value, while investment firms benefit from a nuanced understanding of a company's value through customer unit economics, aiding in due diligence and maximizing return on investment.</t>
  </si>
  <si>
    <t>www.thetaclv.com</t>
  </si>
  <si>
    <t>536045-32</t>
  </si>
  <si>
    <t>ThinkChain.Ai</t>
  </si>
  <si>
    <t>Developer of a financial AI agent platform designed to receive real analysis and insights. The company's offers features such as a discover agent that can access the knowledge base for informed answers, an analyst agent that creates real-time financial analysis, and an auto agent that can create an entire workflow from scratch to build a knowledge base by adding all documents and content, enabling investors to save time, reduce costs, and uncover opportunities for ai-powered financial analysis.</t>
  </si>
  <si>
    <t>January Ventures, StartX (US), Sterling Road, Zelda Ventures</t>
  </si>
  <si>
    <t>www.thinkchain.ai</t>
  </si>
  <si>
    <t>266439-79</t>
  </si>
  <si>
    <t>Thinkive</t>
  </si>
  <si>
    <t>Operator of a financial technology platform intended to serve the financial sector in China. The company's platform offers data analysis and decision support services for financial institutions, enabling clients to make profitable decisions.</t>
  </si>
  <si>
    <t>Bairong, Inc., Everbright Capital Investment, Joint Fortune Capital Co., Shenzhen CDF Capital</t>
  </si>
  <si>
    <t>www.thinkive.com</t>
  </si>
  <si>
    <t>181365-49</t>
  </si>
  <si>
    <t>ThinkMarkets</t>
  </si>
  <si>
    <t>Developer of a trading platform designed to buy and sell financial assets. The company's platform helps to trade foreign currencies, shares, futures, cryptocurrency, indices, commodities, and metals and offers an interpretation of technical, fundamental, and value-based analytics, enabling clients to have access to financial trading services.</t>
  </si>
  <si>
    <t>Chris Judd, Jungle Capital, Mars Growth Capital, Mitsubishi UFJ Financial Group, Regal Partners, Tolga Kumova, Trivian Capital</t>
  </si>
  <si>
    <t>www.thinkmarkets.com</t>
  </si>
  <si>
    <t>471876-40</t>
  </si>
  <si>
    <t>ThinkOut</t>
  </si>
  <si>
    <t>Developer of a financial platform designed to provide financial analysis and forecasting. The company's platform uses historical bank account transactions to check the total balance for connected bank accounts, the cash runway from the current balance, and the revenue and expenses of the past three months and automatically fills in the cash flow plan, enabling clients to manage cash flow easily.</t>
  </si>
  <si>
    <t>Arete Zrt., MBH FintechLab, PrimaInvest Capital Management, TBNR, Transylvania Angels Network, Vestra Industry, We Accelerate</t>
  </si>
  <si>
    <t>www.thinkout.io</t>
  </si>
  <si>
    <t>537871-51</t>
  </si>
  <si>
    <t>Thinkpool</t>
  </si>
  <si>
    <t>Provider of independent investment research intended to offer insightful information on Korean stocks. The company provides investment information in the form of charts, tables and trends and provides automated, algorithm-based portfolio management through an artificial intelligence (AI) system, enabling clients to access a robo-adviser and a robo-trader.</t>
  </si>
  <si>
    <t>NAVER Cloud</t>
  </si>
  <si>
    <t>www.thinkpool.com</t>
  </si>
  <si>
    <t>527322-70</t>
  </si>
  <si>
    <t>This is Penny</t>
  </si>
  <si>
    <t>Operator of a financial platform intended to streamline financial management digitally. The company's platform includes features for budgeting, goal setting, expense tracking, and financial education resources, providing control over finances and informed decision-making, and financial stability and security, enabling individuals and families to improve their financial literacy and habits.</t>
  </si>
  <si>
    <t>Dogpatch Labs, Dublin City Council, Enterprise Ireland</t>
  </si>
  <si>
    <t>www.thisispenny.com</t>
  </si>
  <si>
    <t>436302-37</t>
  </si>
  <si>
    <t>Thndr</t>
  </si>
  <si>
    <t>Developer of an application-based investing platform intended to provide commission-free trading to investors. The company's platform provides features like no commission, no account minimum, access to real-time news, market data, and easy account setup and funding processes, enabling investors to invest smartly with financial information.</t>
  </si>
  <si>
    <t>4DX Ventures, Ansi Sawiris, Base Capital (Cape Town), Base Capital Partners, BECO Capital, Endeavor Catalyst, Endure Capital, Firstminute Capital, Global Ventures (Private Equity), Hub71, Jameel Investment Management Company, Kyane Kassiri, LoftyInc Capital Management, MSA Capital, Olive Tree Capital, Omar Darwazah, Plus Venture Capital, Prosus Ventures, SV8, The Raba Partnership, Tiger Global Management, Y Combinator, Zedcrest Group</t>
  </si>
  <si>
    <t>www.thndr.app</t>
  </si>
  <si>
    <t>496667-80</t>
  </si>
  <si>
    <t>ThreatFabric</t>
  </si>
  <si>
    <t>Cybersecurity, SaaS</t>
  </si>
  <si>
    <t>Developer of a fraud detection platform designed to protect mobile banking and online transaction users from malware practices. The company's platform specializes in a public API to simplify fraud orchestration, and fraud risk alerts, minimize losses and strong customer authentication, enabling customers to use secure online transactions for various online financial services.</t>
  </si>
  <si>
    <t>10x Founders, 14Peaks Capital, ABN AMRO Ventures, Motive Partners, OneSpan, Rabo Corporate Venturing</t>
  </si>
  <si>
    <t>www.threatfabric.com</t>
  </si>
  <si>
    <t>513339-13</t>
  </si>
  <si>
    <t>Throo</t>
  </si>
  <si>
    <t>Developer of a payment ecosystem designed to provide easy and safe payment solutions for both physical and internet commerce. The company offers cardless payment solutions for merchants and consumers including a loyalty cashback system, enabling individuals to access a suitable tool to make their purchases and turn their payments into actual rewards.</t>
  </si>
  <si>
    <t>DIFC Innovation Hub</t>
  </si>
  <si>
    <t>www.throo.com</t>
  </si>
  <si>
    <t>300236-59</t>
  </si>
  <si>
    <t>Thru AI</t>
  </si>
  <si>
    <t>Operator of an artificial intelligence-driven research company aimed at accelerating the diffusion of Generative AI. The company offers an AI model and workflow studio to connect data through model studio, ensuring data privacy through a machine learning driven de-identification and privatization service, enabling professionals, teams and companies to start creating personalized, private and powerful AI-driven workflows.</t>
  </si>
  <si>
    <t>8VC, Advisors.Fund, Montage Ventures, Mubadala Investment Company, TTCER Partners, UCSF Health Hub</t>
  </si>
  <si>
    <t>thru.ai</t>
  </si>
  <si>
    <t>484074-10</t>
  </si>
  <si>
    <t>Tickertape</t>
  </si>
  <si>
    <t>Operator of a stock market content and information platform intended to offer institutional resources to the individual investor. The company provides information on stocks, exchange-traded funds, mutual funds, and other investment instruments, helping investors gain knowledge on investments and personal finance.</t>
  </si>
  <si>
    <t>www.tickertape.in</t>
  </si>
  <si>
    <t>150686-29</t>
  </si>
  <si>
    <t>Tienda Pago</t>
  </si>
  <si>
    <t>Developer of a merchant lending platform designed to provide small merchants in emerging markets with mobile cashless payments. The company's platform helps to finance consumer goods and weekly inventory and offers a closed-loop payment mechanism using the cell phone, stores and buy high traffic products with credit and increase sales and margins of other products, enabling distributors and traders with cashless transaction services based on tokens and reduce inefficiencies and cost.</t>
  </si>
  <si>
    <t>A.GAIN, Accion, Agrega Partners, AlphaMundi, Alumni Fund Management, Alumni Ventures, Chestnut Street Ventures, Co_Capital, Copenhagen Infrastructure Partners, INICIA, Kaszek, MIT Inclusive Innovation Challenge, Oikocredit, QED Investors, Spectra Investments, Triodos Bank, Triodos Investment Management, Women's World Banking</t>
  </si>
  <si>
    <t>www.tiendapago.com</t>
  </si>
  <si>
    <t>496487-35</t>
  </si>
  <si>
    <t>Tilta Fintech</t>
  </si>
  <si>
    <t>Developer of an e-commerce platform designed to provide a financial service, drive gross merchandise revenue and add a revenue stream without the hassle of being a financial service. The company offers the white-labeled infrastructure to build credit-backed payment flows for business-to-business transactions on marketplaces and platforms, enabling customers to ensure frictionless payment policies.</t>
  </si>
  <si>
    <t>10x Founders, Angel Invest, Dreamcraft Ventures, Fasanara Capital, ff Venture Capital, Flyer One Venture, Ines Streimelweger, Marko Wenthin, STS Ventures, Venista Ventures, Venture Stars</t>
  </si>
  <si>
    <t>www.tilta.ai</t>
  </si>
  <si>
    <t>169162-03</t>
  </si>
  <si>
    <t>Tima</t>
  </si>
  <si>
    <t>Developer of an online peer-to-peer lending platform designed to provide financial consultancy and connection services. The company's platform facilitates users to register for an online loan, browse the quick registration information by phone, and sign the contract at the designated customer location, enabling users to get complete and accurate information on loans, interest, and related costs when applying for a loan.</t>
  </si>
  <si>
    <t>Belt Road Capital Management</t>
  </si>
  <si>
    <t>tima.vn</t>
  </si>
  <si>
    <t>515896-30</t>
  </si>
  <si>
    <t>Time Percent</t>
  </si>
  <si>
    <t>Developer of an automated digital asset investment platform designed to simplify quantitative investing and empower individuals to invest strategically without emotional bias. The company's platform offers extensive investment data, no-code strategy creation tools, real-time blockchain fund flow indicators, backtesting capabilities, and automated trading robots, enabling individual investors to make rational, data-driven decisions and compete effectively in volatile digital asset markets.</t>
  </si>
  <si>
    <t>CNT Tech, D-Camp, FuturePlay, KDB NextRound, Korea Technology Finance, Shinhan Futures Lab, Tech Incubator Program for Startup</t>
  </si>
  <si>
    <t>www.timepercentcorp.com</t>
  </si>
  <si>
    <t>489073-33</t>
  </si>
  <si>
    <t>Tinai</t>
  </si>
  <si>
    <t>Developer of a bookkeeping application designed to manage the revenue and expenditure of stores. The company's application records the store's receipts and expenditures securely, monitors debts, and makes users control warehouse operations, import and export of goods, and create product and service codes, enabling small businesses to modernize their store's financial operations with a digital bookkeeping service.</t>
  </si>
  <si>
    <t>Global Founders Capital, Golden Gate Ventures, Hustle Fund, Soma Capital, Venturra Capital, Y Combinator</t>
  </si>
  <si>
    <t>www.tinai.com</t>
  </si>
  <si>
    <t>472183-93</t>
  </si>
  <si>
    <t>Tino</t>
  </si>
  <si>
    <t>Operator of a B2B credit-and-payment resolution intended for food-service and distribution companies. The company's platform provides automated credit analysis, approval in minutes, invoice aggregation into a single payment, weekly or monthly installments, flexible repayment scheduling, a payment-link API, and multichannel integration, enabling distributors and suppliers to offer extended payment terms to retailers without taking on default risk, while helping small-to-medium merchants manage cash flow more effectively.</t>
  </si>
  <si>
    <t>Addition, Global Founders Capital, Israel Defense Fund, Kaszek, Monashees, ONEVC, Spectra Investments</t>
  </si>
  <si>
    <t>www.tino.com.br</t>
  </si>
  <si>
    <t>228451-33</t>
  </si>
  <si>
    <t>Tippy</t>
  </si>
  <si>
    <t>Developer of a digital tipping system designed to provide optimized solutions for the salon and spa industry. The company's system customizes reporting, tracks, and notifies whenever someone tips, and gets detailed reports on all income, enabling salon owners to reduce processing fees and improve customer and stylist satisfaction.</t>
  </si>
  <si>
    <t>Douglas Von Allmen, Lehigh Valley Angel Investors, Michael Caron, Pat Parenty, Start Path</t>
  </si>
  <si>
    <t>www.meettippy.com</t>
  </si>
  <si>
    <t>434074-33</t>
  </si>
  <si>
    <t>TipTap</t>
  </si>
  <si>
    <t>Developer of a touchless payment device designed to increase sales and accept donations. The company's device processes contactless payment cards and mobile wallets when the card or wallet is within a defined range, enabling clients to accept impulse donations and small payments anytime and anywhere.</t>
  </si>
  <si>
    <t>Boomtown Innovation, Comcast NBCUniversal SportsTech, Future of Sport Lab, Jacket River Consulting &amp; Capital, Next (Consulting Services), York Angel Investors</t>
  </si>
  <si>
    <t>www.tiptappay.com</t>
  </si>
  <si>
    <t>600752-80</t>
  </si>
  <si>
    <t>TitanPayAI</t>
  </si>
  <si>
    <t>Operator of an AI-driven banking and payment platform designed for the banking and payment industry. The company's platform offers seamless information exchange, provides live recommendations, and automates processes, enabling financial institutions to enhance operational efficiency, improve decision-making, and deliver a superior customer experience.</t>
  </si>
  <si>
    <t>C10 Labs, SBXi</t>
  </si>
  <si>
    <t>www.titanpay.ai</t>
  </si>
  <si>
    <t>506965-15</t>
  </si>
  <si>
    <t>Tititada</t>
  </si>
  <si>
    <t>Operator of a stock investment application intended to invest in fractional shares of local Vietnamese public companies. The company's platform allows investment in securities with any amount, buying and selling odd-lot shares, easy order placement, quick execution and diversification of portfolio with multiple stocks, enabling investors to access the market without worrying about the initial investment amount and access tools and products to manage assets and investing efficiently</t>
  </si>
  <si>
    <t>Golden Gate Ventures, The Startup Wheel</t>
  </si>
  <si>
    <t>tititada.com</t>
  </si>
  <si>
    <t>465855-67</t>
  </si>
  <si>
    <t>Tiv</t>
  </si>
  <si>
    <t>AdTech, FinTech, Gaming</t>
  </si>
  <si>
    <t>Developer of a rewards and loyalty platform designed for the gaming community to connect their accounts and earn money through games. The company's platform specializes as a play-to-earn gaming hub for gamers and as an advertising platform for game publishers and studios, enabling clients to make money through marketing and gamers to earn by monetizing their skills.</t>
  </si>
  <si>
    <t>www.tiv.co</t>
  </si>
  <si>
    <t>416683-72</t>
  </si>
  <si>
    <t>TM Quant</t>
  </si>
  <si>
    <t>Operator of an algorithm-based automated stock market analytics platform intended to offer market statistics. The company's platform provides stock data with quantitative strategies involving data science and artificial intelligence, enabling investors to build automated trading models through an algorithm that automates stock market analysis.</t>
  </si>
  <si>
    <t>Brazilian Energhias, FEA Angels</t>
  </si>
  <si>
    <t>tmquant.com.br</t>
  </si>
  <si>
    <t>1154226-07</t>
  </si>
  <si>
    <t>Tobler</t>
  </si>
  <si>
    <t>Provider of CRE valuation services intended for financial and legal decision-making purposes. The company offers services from evaluation to full appraisal reports and combines localized expertise, MAI experience, and technology to unlock productivity gains, enabling banks and lenders to service the modern borrower and to share reports with their clients.</t>
  </si>
  <si>
    <t>468 Capital, Alumni Ventures, GTMfund</t>
  </si>
  <si>
    <t>www.toblervaluation.com</t>
  </si>
  <si>
    <t>539471-89</t>
  </si>
  <si>
    <t>TodayPay</t>
  </si>
  <si>
    <t>Developer of a financial payment platform designed to help merchants increase checkout conversion and sales velocity and avoid disputes. The company's platform offers instant payout routing, multi-method refund selection, fraud risk checks, application programming interface integration, customizable workflows, and a reconciliation system, enabling businesses to streamline refund flows, reduce dispute rates, and improve customer retention.</t>
  </si>
  <si>
    <t>Altari Ventures, Plug and Play Tech Center, Soma Capital</t>
  </si>
  <si>
    <t>www.todaypayme.com</t>
  </si>
  <si>
    <t>1185112-00</t>
  </si>
  <si>
    <t>Tohkn</t>
  </si>
  <si>
    <t>Developer of a local tokenization-based platform intended to democratize investments in capital markets. The platform will offer access to instruments linked to real assets, such as early-stage startup funding, corporate debt issuances, corporate bonds, international stocks, metals, and other digital assets, enabling investors to diversify their portfolios and participate in alternative asset classes.</t>
  </si>
  <si>
    <t>Innogen Capital Ventures, Roberto Kriete, Sergio Paiz, Simon Borrerc</t>
  </si>
  <si>
    <t>www.tohkn.com</t>
  </si>
  <si>
    <t>433420-93</t>
  </si>
  <si>
    <t>Token.TM</t>
  </si>
  <si>
    <t>Provider of blockchain-based community services. The company builds a social digital asset trading information platform, providing users information relates to bitcoin and other cryptocurrency.</t>
  </si>
  <si>
    <t>BTCtrade, Sohu.Com, WeMedia</t>
  </si>
  <si>
    <t>www.tokentm.net</t>
  </si>
  <si>
    <t>608337-64</t>
  </si>
  <si>
    <t>Tokinvest</t>
  </si>
  <si>
    <t>Developer of a marketplace platform designed to connect real-world asset issuers with investors globally. The company's platform simplifies the investment process by creating virtual tokens representing rights to assets and mobilizing the locked-up value of physical assets by tokenizing and allowing it to be sold as multiple tokens, enabling the users with comprehensive lifecycle services from ideation to trading to asset servicing.</t>
  </si>
  <si>
    <t>Dark Horse Venture Partners, Exponential Science, Michael Ourabah, Triliv Holdings</t>
  </si>
  <si>
    <t>www.tokinvest.capital</t>
  </si>
  <si>
    <t>551782-54</t>
  </si>
  <si>
    <t>ToltIQ</t>
  </si>
  <si>
    <t>Developer of a generative-AI-driven platform designed to streamline private equity due diligence. The company's platform supports the nuanced needs of private market investment professionals as they evaluate deal opportunities the technology securely ingests deal documents typically found in virtual data rooms (VDRs) while rapidly analyzing and categorizing them to extract critical insights by delivering clear, actionable intelligence and reducing the need for manual workflows, enabling investment teams to digest complex information and identify opportunities and risks with great speed and accuracy.</t>
  </si>
  <si>
    <t>FINTOP (US), JAM FINTOP</t>
  </si>
  <si>
    <t>www.toltiq.com</t>
  </si>
  <si>
    <t>1241712-01</t>
  </si>
  <si>
    <t>Tomoarrow</t>
  </si>
  <si>
    <t>Developer of a self-authentication API platform designed to allow overseas users to register and operate securely. The company provides a dashboard that allows users to view identification and authentication results from card networks such in the event of a payment incident, breaking down the authentication hurdle for those without an alien registration card, enabling users to access an integrated payment platform for global use.</t>
  </si>
  <si>
    <t>Center for Creative Economy and Innovation, CNT Tech, KB Innovation HUB, SJ Investment Partners</t>
  </si>
  <si>
    <t>www.tomoarrow.com</t>
  </si>
  <si>
    <t>494143-93</t>
  </si>
  <si>
    <t>Toothpick (Healthcare Technology Systems)</t>
  </si>
  <si>
    <t>Developer of integrated digital services designed for dental clinics and related healthcare practices. The company's platform combines financial tools for patient installment payments and supplier financing, an online marketplace for equipment and consumables, and health technology for clinic digitization with features such as custom mobile apps, e-booking, live chat, inventory management, and multi-language support, enabling dental professionals to streamline operations, manage purchasing, and enhance patient engagement through a unified ecosystem.</t>
  </si>
  <si>
    <t>Hub71, Mohammed Bin Rashid Innovation Fund</t>
  </si>
  <si>
    <t>www.toothpick.com</t>
  </si>
  <si>
    <t>512831-26</t>
  </si>
  <si>
    <t>Toperty</t>
  </si>
  <si>
    <t>Operator of a fintech platform intended to make the transition from renter to owner. The company's platform eliminates financing barriers of debt and down payment and reduces all process friction to make homeownership accessible and simple, enabling customers to democratize homeownership and increase financial freedom by unlocking access to their dream home.</t>
  </si>
  <si>
    <t>Buildtech Ventures, Georgetown Entrepreneurship, Irrazonables, Pygma</t>
  </si>
  <si>
    <t>www.toperty.co</t>
  </si>
  <si>
    <t>226957-42</t>
  </si>
  <si>
    <t>TopMDRT</t>
  </si>
  <si>
    <t>Big Data, FinTech, InsurTech, Marketing Tech</t>
  </si>
  <si>
    <t>Developer of a customer acquisition software for insurance agents. The company's software provides functions including a customer relationship management system, the ability to aggregate data to select different information to share with prospective customers, the ability to record text, pictures and voices through the application, enabling insurance agents to organize, summarize customer information and purchase preferences, increase sale of insurance and improve the productivity of insurance agents.</t>
  </si>
  <si>
    <t>Meridian Capital China, Warp Speed Capital</t>
  </si>
  <si>
    <t>www.topmdrt.com</t>
  </si>
  <si>
    <t>753145-39</t>
  </si>
  <si>
    <t>Topograph</t>
  </si>
  <si>
    <t>Operator of financial technology infrastructure company intended for accessing official company data and documents in real time. The company's platform connects directly to government business registries in different countries and retrieves verified information about companies by verifying company details, completing regulatory checks, monitoring changes and reducing risk, enabling clients to make fast, accurate, and reliable decision-making for compliance and due diligence processes.</t>
  </si>
  <si>
    <t>Better Angle, Drysdale Ventures, Kima Ventures, Motier Ventures, platform58, Pleo, Revolut, Seedcamp, Station F, Wise</t>
  </si>
  <si>
    <t>www.topograph.co</t>
  </si>
  <si>
    <t>432955-27</t>
  </si>
  <si>
    <t>Topos Network</t>
  </si>
  <si>
    <t>Reverse Merger</t>
  </si>
  <si>
    <t>Operator of a banking institution intended to provide banking service to its customers. The company's services include safe and borderless savings accounts, zero-cost remittances, interest-bearing accounts, cross-border collateralization of microloans, and instant transactions and polling of funds together with people, providing customers with convenient banking services.</t>
  </si>
  <si>
    <t>Adalan Ventures, Alecla7, Auxxo, Musha Ventures</t>
  </si>
  <si>
    <t>www.topos.com.ng</t>
  </si>
  <si>
    <t>502790-41</t>
  </si>
  <si>
    <t>TOTL</t>
  </si>
  <si>
    <t>Developer of a free cash rewards application designed to help users get real cash on everyday purchases. The company's application helps users buy credit vouchers and earn cashback that can be used multiple times till the balance is fully utilized, until the face value reaches its expiry, enabling users to get rewards and explore weekly promotional offers from stores around them.</t>
  </si>
  <si>
    <t>www.totl.ai</t>
  </si>
  <si>
    <t>1325827-45</t>
  </si>
  <si>
    <t>Toto Finance</t>
  </si>
  <si>
    <t>Cryptocurrency/Blockchain, E-Commerce, FinTech</t>
  </si>
  <si>
    <t>Provider of a physical commodity tokenization platform designed to convert real-world assets into legally enforceable digital instruments for efficient ownership and transfer. The company offers vertically integrated tokenization, compliance, custody, and redemption infrastructure, enabling sovereign wealth funds, institutional investors, and industrial commodity buyers to access transparent, instantly settleable asset-backed instruments with reduced counterparty risk and operational complexity.</t>
  </si>
  <si>
    <t>Cardano Foundation, Liechtenstein Cryptoassets Exchange, Metzger Capital</t>
  </si>
  <si>
    <t>www.totofinance.co</t>
  </si>
  <si>
    <t>1356045-13</t>
  </si>
  <si>
    <t>Touch &amp; Go</t>
  </si>
  <si>
    <t>Developer of an offline NFC integrated payment platform designed to make mobile easy-payments more convenient by enabling contactless services across all device environments. The company offers a software development kit that converts QR data into NFC signals and allows for seamless contactless payments on both Android and iOS without hardware changes, enabling customers to implement security offline services like payments, memberships and authentication into their existing apps at a lower cost and with faster integration.</t>
  </si>
  <si>
    <t>iAccel (Seongnam-si)</t>
  </si>
  <si>
    <t>www.touchngo.co.kr</t>
  </si>
  <si>
    <t>491532-67</t>
  </si>
  <si>
    <t>Touch and Pay</t>
  </si>
  <si>
    <t>FinTech, Internet of Things, Mobile, Mobile Commerce</t>
  </si>
  <si>
    <t>Operator of a digital transaction platform intended to digitize and process mobile payments. The company's platform uses near-field communication technology to integrate digital services, which ease financial inclusion by offering services like online and offline transactions as well as registering, collecting, and tracking payments made in the field, enabling users to get reliability in cashless transactions.</t>
  </si>
  <si>
    <t>Alphabet, Ecobank Transnational, FoundersX Ventures, Golden Palm Investments, Google Accelerator, James Park, LoftyInc Capital Management, MyAsiaVC, Outside Venture Capital, Pioneer Fund, Shawntae Spencer, Silverbacks Holdings, Tekedia Capital, True Capital Management, Unicorn Growth Capital, Y Combinator</t>
  </si>
  <si>
    <t>touchandpay.me</t>
  </si>
  <si>
    <t>534763-36</t>
  </si>
  <si>
    <t>Touch2Pay</t>
  </si>
  <si>
    <t>Developer of a payment services platform designed to transform the way consumers interact with businesses and brands. The company's platform offers a full suite of credit and debit card processing state-of-the-art terminal and soft POS technology in partnership with other platforms with merchant services, enabling clients to grow their business through payment systems.</t>
  </si>
  <si>
    <t>www.touch2pay.com.au</t>
  </si>
  <si>
    <t>223856-38</t>
  </si>
  <si>
    <t>Touna</t>
  </si>
  <si>
    <t>Operator of a peer-to-peer lending platform intended to make transaction easy in the community. The company's lending platform focuses on Internet as a mode of lending for automotive finance, intending to provide loan matching information and intermediary services to both investors and borrowers.</t>
  </si>
  <si>
    <t>China Merchants Securities Capital, GF Xinde Investment Management, Giant Network, Liaoning Dajin Steel Structure Engineering</t>
  </si>
  <si>
    <t>www.touna.cn</t>
  </si>
  <si>
    <t>960651-46</t>
  </si>
  <si>
    <t>TPPay</t>
  </si>
  <si>
    <t>Provider of electronic money infrastructure intended to enable financial service integration without requiring a banking license.
The company offers customisation API for managing payment accounts, issuing co branded debit and prepaid cards, automating payment flows, and embedding financial services into third-party platforms, enabling businesses in sectors such as retail, insurance, utilities, and mobility to reduce transaction costs, maintain brand control, and expand revenue opportunities through integrated payment capabilities.</t>
  </si>
  <si>
    <t>Eagle Capital Ventures</t>
  </si>
  <si>
    <t>www.tppay.it</t>
  </si>
  <si>
    <t>803054-80</t>
  </si>
  <si>
    <t>Tracelight</t>
  </si>
  <si>
    <t>Developer of AI-powered spreadsheet modeling tools designed to enhance analytical accuracy and workflow efficiency for financial professionals. The company's platform integrates seamlessly with Excel environments, automates model refinement and real-time data interpretation, and customizes outputs according to unique analytical metrics, enabling financial analysts engaged in complex modeling tasks to increase precision, reduce manual workload, and improve strategic decision-making speed within enterprise and investment contexts.</t>
  </si>
  <si>
    <t>Acequia Capital, Chalfen Ventures, Charles Songhurst, Entrepreneurs First, Inovo VC, Open Heart Capital, Suhit Gupta, The Inovo Group</t>
  </si>
  <si>
    <t>www.tracelight.ai</t>
  </si>
  <si>
    <t>482314-78</t>
  </si>
  <si>
    <t>Track Financial Services</t>
  </si>
  <si>
    <t>Operator of a specialty lending agency intended to supply affordable financial services to auto buyers with limited credit. The company assists an underprivileged population of consumers in need of automobile finance, enabling customers to opt for funding alternatives in a hassle-free manner.</t>
  </si>
  <si>
    <t>www.trackfs.com</t>
  </si>
  <si>
    <t>871668-64</t>
  </si>
  <si>
    <t>Trad.fi</t>
  </si>
  <si>
    <t>Provider of equipment financing and asset-backed lending services designed to help businesses access capital efficiently. The company's platform delivers same-day loan approvals, competitive interest structures, collateral management through filings, detailed credit assessments, tokenized real-world asset participation, diversified lending pools, and a fully digital application process, enabling enterprises and accredited investors to secure liquidity, manage financial risk, diversify investment portfolios, and maintain operational efficiency in financing activities.</t>
  </si>
  <si>
    <t>Crucible Capital</t>
  </si>
  <si>
    <t>www.trad.fi</t>
  </si>
  <si>
    <t>697230-55</t>
  </si>
  <si>
    <t>TradeCredit</t>
  </si>
  <si>
    <t>Developer of credit access software designed to serve micro and small-sized Indian retailers. The company product offers underwriting powered by modern data science techniques, cutting-edge technology, and our segment IP, enabling retailers and wholesalers to focus on and grow their core business activities.</t>
  </si>
  <si>
    <t>www.tradecredit.in</t>
  </si>
  <si>
    <t>518931-28</t>
  </si>
  <si>
    <t>TraderPal</t>
  </si>
  <si>
    <t>Developer of a trading platform designed to democratize access to stock markets for Latinos with a simple and easy-to-use mobile app. The company's platform lets users invest in a wide catalog of stocks, cryptos, and ETFs of important companies listed on the American stock exchanges in one place with no minimum investment, enabling investors to learn about the stock market education programs and invest in a secure way.</t>
  </si>
  <si>
    <t>www.traderpal.co</t>
  </si>
  <si>
    <t>294973-93</t>
  </si>
  <si>
    <t>TradeSun</t>
  </si>
  <si>
    <t>Developer of a trade finance platform designed to digitize and automate the processing of trade documents. The company's platform combines optical character recognition and natural language processing technology to read and extract information from various complex trade documents for banks and corporations, enabling financial businesses to automatically digitize, authenticate, verify, and conduct compliance, AML screening, and fraud checks.</t>
  </si>
  <si>
    <t>CONNECT (San Diego), Courtyard Capital, Mark Gunton, MetroConnect Accelerator</t>
  </si>
  <si>
    <t>www.tradesun.ai</t>
  </si>
  <si>
    <t>680275-18</t>
  </si>
  <si>
    <t>Tradevu</t>
  </si>
  <si>
    <t>Operator of a stablecoin-native neobank intended to optimize procurement and logistics operations. The company offers an integrated suite of tools that automate workflows, manage transactions, and optimize financial operations, and it provides digital banking, fixed income brokerage, and trade finance services, enabling businesses to seamlessly trade across borders, efficiently and securely, while having full custody of their funds.</t>
  </si>
  <si>
    <t>Alliance (Other Capital Markets/Institutions), Baobab Network, Kaleo Ventures</t>
  </si>
  <si>
    <t>www.tradevu.co</t>
  </si>
  <si>
    <t>494647-12</t>
  </si>
  <si>
    <t>TradeZing</t>
  </si>
  <si>
    <t>Developer of live-streaming, social engagement, and web3 platform designed for analyzing the latest financial data, news, videos, and events to provide personalized recommendations for making smarter decisions and reaching financial goals faster. The company's platform harnesses the power of community and content creation across stocks, cryptocurrency, non-fungible tokens, and the metaverse to educate, elevate, and entertain, enabling content creators, community, and traders with fun, educational, and entertaining content.</t>
  </si>
  <si>
    <t>Michael Irvin</t>
  </si>
  <si>
    <t>www.tradezing.com</t>
  </si>
  <si>
    <t>527226-67</t>
  </si>
  <si>
    <t>Trampay</t>
  </si>
  <si>
    <t>Developer of a financial management platform intended to streamline automation and financial efficiency for companies. The company's platform offers integrated financial solutions, immediate liquidity and facilitates payment automation by eliminating operational errors and reducing time spent on manual tasks, enabling users to get increased employee engagement and retention.</t>
  </si>
  <si>
    <t>Artemisia, Cedro Capital, Endeavor Promessas, Google Accelerator, Potencia Ventures, Quintessa Impact Accelerator</t>
  </si>
  <si>
    <t>www.trampay.com</t>
  </si>
  <si>
    <t>498520-36</t>
  </si>
  <si>
    <t>Transacdigital</t>
  </si>
  <si>
    <t>Developer of a fintech platform designed to help businesses increase their sales through our tools, easily and securely. The company's platform offers digital payments via payment links, QR codes, and mPOS, with no rent or monthly fees, enabling clients to manage their business and payments conveniently.</t>
  </si>
  <si>
    <t>6 Degrees Capital, Caricaco Ventures, ONEVC, Tech4DevHN</t>
  </si>
  <si>
    <t>www.paggo.com</t>
  </si>
  <si>
    <t>537265-99</t>
  </si>
  <si>
    <t>Transend</t>
  </si>
  <si>
    <t>Developer of a private-label working capital platform designed to provide access to capital. The company offers point-of-sale financing, program insights, promotion recommendations based on industry standards, and a comprehensive view of financing programs and business performance, enabling suppliers to increase sales, strengthen customer relationships, and improve cash flow.</t>
  </si>
  <si>
    <t>Fenway Summer, Meridian Ventures, Redbud VC</t>
  </si>
  <si>
    <t>www.transendfinancial.com</t>
  </si>
  <si>
    <t>513049-42</t>
  </si>
  <si>
    <t>Transferbank</t>
  </si>
  <si>
    <t>Operator of a digital international exchange transactions platform intended to provide foreign exchange services. The company's platform allows users to register payments and receipts from abroad, monitor foreign currency quotes in real time, and finalize exchange rates, as well as access their complete transaction history, enabling small and medium-sized enterprises and professionals to manage their cross-border financial transfers.</t>
  </si>
  <si>
    <t>Alphonse Voigt, EBANX, Wagner Ruiz</t>
  </si>
  <si>
    <t>www.transferbank.com.br</t>
  </si>
  <si>
    <t>746580-16</t>
  </si>
  <si>
    <t>Trata</t>
  </si>
  <si>
    <t>Developer of investment research software designed to discover the narratives that drive markets. The company specializes in briefings on a database of investment research written by anonymous hedge fund analysts, its product features identify companies that fit any framework, digest the key points, and scan the important parts of public documents, enabling clients to build an investment thesis and work directly with the compliance teams of multi-billion dollar hedge funds.</t>
  </si>
  <si>
    <t>FundersClub, Pioneer Fund, Seaplane Ventures, Y Combinator</t>
  </si>
  <si>
    <t>www.trata.com</t>
  </si>
  <si>
    <t>905106-61</t>
  </si>
  <si>
    <t>TravelMoney</t>
  </si>
  <si>
    <t>Developer of a digital shopping platform designed to help travelers obtain value-added tax refunds when traveling in Europe. The company offers a user-friendly mobile application that streamlines the VAT refund process, leveraging technology and partnerships with retailers, and also simplifies the submission and tracking of VAT refund claims, providing transparency and faster payouts, enabling tourists and commuters to maximize their refund amounts with minimal paperwork and hassle.</t>
  </si>
  <si>
    <t>Teamworthy Group</t>
  </si>
  <si>
    <t>www.withprive.com</t>
  </si>
  <si>
    <t>266012-65</t>
  </si>
  <si>
    <t>Trawe Intelligence</t>
  </si>
  <si>
    <t>Provider of mobile network-based highway toll operation management system designed to offer highway information. The company's system creates high-speed industrial ecological services covering all aspects of payment, finance, insurance, advertising, logistics and automotive aftermarket, enabling people to effectively improve the level of highway operation management services.</t>
  </si>
  <si>
    <t>Ant Group, CAS Investment Management, CAS Star</t>
  </si>
  <si>
    <t>www.trawe.cn</t>
  </si>
  <si>
    <t>510490-54</t>
  </si>
  <si>
    <t>Trazo</t>
  </si>
  <si>
    <t>Developer of a finance tool designed to simplify the collection, legalization, and reconciliation process for businesses' logistics operations. The company focuses on reducing digital barriers for businesses by giving them access to the financial world and managing it through conversational experiences, enabling micro-businesses to simplify their finances of a business finances and have free basic functionalities to organize their finances and grow.</t>
  </si>
  <si>
    <t>500 Startups LatAm, Hustle Fund, Pygma, Rockstart, Start-Up Chile</t>
  </si>
  <si>
    <t>www.trazo.co</t>
  </si>
  <si>
    <t>232233-31</t>
  </si>
  <si>
    <t>Treasure (Financial Software)</t>
  </si>
  <si>
    <t>Developer of a cash management platform designed to help businesses optimize and safeguard their operational funds. The company offers real-time cash flow tracking, AI-driven forecasting, automated investment in low-risk government securities, and secure custodial accounts, enabling small and medium businesses to maximize returns on idle cash while maintaining compliance, security, and liquidity.</t>
  </si>
  <si>
    <t>Baleen Capital, Bloodhound Partners, Federico Lozano, Gaingels, Jump Capital, Katalyst Ventures, Kube VC, LENOS Equity, Makai VC, Mistletoe, Mithril Capital Management, NASDAQ Entrepreneurial Center, Peter Thiel, Pirque, Stonewater Ventures, Swell Partners, Taizo Son, Ventura Capital, Village Capital</t>
  </si>
  <si>
    <t>www.treasurefi.com</t>
  </si>
  <si>
    <t>467567-74</t>
  </si>
  <si>
    <t>Treasurer</t>
  </si>
  <si>
    <t>Provider of a finance-focused AI (artificial intelligence) platform designed to support personalized investment decision making. The company offers adaptive portfolio insights, real-time financial analysis, and user-specific investment guidance, enabling individual investors and financial professionals to manage investments with greater confidence and clarity.</t>
  </si>
  <si>
    <t>Coinone, Colopl Next, DTN Investment (VC), Dunamis Asset Management, NH Investment &amp; Securities, Shinhan Futures Lab, Wells Investment</t>
  </si>
  <si>
    <t>www.treasurer.co.kr</t>
  </si>
  <si>
    <t>58183-03</t>
  </si>
  <si>
    <t>Treasury Curve</t>
  </si>
  <si>
    <t>Developer of a cloud-based treasury management system (TMS) designed to help entities manage investments. The company's system provides a variety of professional services via its management platform, manages both cash and investments, maximizes idle cash, and ensures compliance with strict company guidelines, enabling corporations, public sector entities, and financial institutions to aggregate, optimize, execute, and integrate financial data.</t>
  </si>
  <si>
    <t>www.treasurycurve.com</t>
  </si>
  <si>
    <t>864830-08</t>
  </si>
  <si>
    <t>TreasuryPath</t>
  </si>
  <si>
    <t>Developer of an operating system for global treasury management designed to simplify global payments, gain real-time cash visibility, and optimize FX management. The company's platform offers financial control with features such as a global wallet, instant payments, real-time cash visibility, AI-driven automation, and more, enabling cross-border companies to achieve peace of mind and financial control.</t>
  </si>
  <si>
    <t>Better Tomorrow Ventures, The Mint (San Francisco)</t>
  </si>
  <si>
    <t>www.treasurypath.com</t>
  </si>
  <si>
    <t>895040-74</t>
  </si>
  <si>
    <t>Treasy Finance</t>
  </si>
  <si>
    <t>Developer of a cloud-based treasury management platform intended to offer asset management facilities for banks and financial institutions. The company's platform introduces an adaptable financial solution featuring native APIs, built on SaaS Architecture, and powered by cloud-native microservices to digitize the complex and manual processes of treasury operations, enabling clients to transform treasury management services into a simpler, more efficient, and more integrated structure.</t>
  </si>
  <si>
    <t>APY Ventures, Tera Portföy</t>
  </si>
  <si>
    <t>www.treasy.com</t>
  </si>
  <si>
    <t>594110-80</t>
  </si>
  <si>
    <t>Treli</t>
  </si>
  <si>
    <t>Developer of a collection management platform designed to automate payments. The company's platform offers payment management, subscriptions, and recurring charges, has a dedicated payment page, multiple gateways, and different payment methods, enabling businesses to reduce operational work related to collections and focus on their core business.</t>
  </si>
  <si>
    <t>www.treli.co</t>
  </si>
  <si>
    <t>496020-97</t>
  </si>
  <si>
    <t>Trellis (Financial Services)</t>
  </si>
  <si>
    <t>Operator of a social enterprise company intended to connect passionate people with simple causes. The company's platform offers all-in-one virtual and in-person fundraisers for a cause, including ticket sales and merchandise, live and silent auctions, and livestream fundraising, enabling companies and individuals to raise money and host events.</t>
  </si>
  <si>
    <t>Blackbaud Social Good Startup Program, Jason Kryski, Mavan Capital Partners, Purppl, Rhiza Capital, Sand Hill North, Spring Activator</t>
  </si>
  <si>
    <t>www.trellis.org</t>
  </si>
  <si>
    <t>819966-34</t>
  </si>
  <si>
    <t>TrendMover</t>
  </si>
  <si>
    <t>Developer of a gamified investment platform designed to empower startups to take their first steps towards becoming a startup investor. The company's platform gamifies the process and facilitating meaningful exchanges between investors and start-ups and makes venture capital accessible to all, enabling startups to get funding and pitching opportunity to kickstart their journey.</t>
  </si>
  <si>
    <t>www.trendmover.com</t>
  </si>
  <si>
    <t>498034-99</t>
  </si>
  <si>
    <t>Tria</t>
  </si>
  <si>
    <t>Developer of a blockchain-based chain abstraction protocol designed to unify liquidity across all virtual machines (VMs). The company offers a consumer multi-chain interface for users to toggle between a high-frequency trading terminal optimized for advanced multi-VM, sub-second token trading across chains and a simplified, everyday crypto wallet experience, enabling users to interact with their assets across chains effortlessly.</t>
  </si>
  <si>
    <t>071labs, 0G labs, Aptos Foundation, Cogitent Ventures, Concrete VC, CSP DAO, Eigen Ventures, Ethereum Foundation, G1 Ventures (London), MH Ventures, NxGen Ventures, P2 Ventures, Sentient, Side Door Ventures, Wintermute</t>
  </si>
  <si>
    <t>www.tria.so</t>
  </si>
  <si>
    <t>522653-14</t>
  </si>
  <si>
    <t>Tribe Fintech</t>
  </si>
  <si>
    <t>Developer of a data-driven white label SME hub and ecosystem platform designed to help banks deliver value and services beyond banking to small and medium enterprises. The company's platform helps banks deliver value and services beyond banking to SMEs by leveraging an integrated ecosystem of third-party business tools, pathways, and social plus community, and helps forward-thinking banks turn their SME customers into thriving, digitized, and connected business communities, enabling forward-thinking banks to engage their SME customers effectively, foster digitized business communities, and accelerate SME growth.</t>
  </si>
  <si>
    <t>Enterprise Ireland, Hustle Fund, Start Path</t>
  </si>
  <si>
    <t>www.tribefintech.com</t>
  </si>
  <si>
    <t>769831-21</t>
  </si>
  <si>
    <t>Tribe Money</t>
  </si>
  <si>
    <t>Developer of a financial software designed to manage money between groups, friends, and family. The company's software helps to pool money safely and control and monitor spending for one-off or ongoing shared experiences, enabling users to share money effortlessly.</t>
  </si>
  <si>
    <t>Rabbit Ventures</t>
  </si>
  <si>
    <t>www.tribe.money</t>
  </si>
  <si>
    <t>483493-51</t>
  </si>
  <si>
    <t>Tribexa</t>
  </si>
  <si>
    <t>Developer of a cloud-based strategic account management platform designed for enterprise relationship optimization. The company's platform facilitates collaborative account planning, visual relationship mapping of key stakeholders, automated identification of revenue opportunities through white-space analysis, hierarchy modeling, and centralized goal tracking that integrates with existing customer relationship management databases, enabling sales teams to transition from transactional interactions to structured, long-term strategic partnerships that yield predictable revenue growth and enhanced customer retention.</t>
  </si>
  <si>
    <t>www.tribexa.com</t>
  </si>
  <si>
    <t>484022-17</t>
  </si>
  <si>
    <t>Trii</t>
  </si>
  <si>
    <t>Developer of a fintech application designed to democratize everyone's access to the stock market. The company's application allows individual investors to buy and sell shares via an application on their phones and reduces the cost of retail transactions, enabling investors to automate the investing processes that used to be expensive, manual, and time-consuming.</t>
  </si>
  <si>
    <t>Andrés Bilbao, AvanTech Ventures, Christian Henst, Circle Ventures, Crestone Capital, Crestone Venture Capital, Daniel Bilbao, Fabián Gutiérrez, Freddy Vega, Global Founders Capital, Goodwater Capital, Grupo Cibest, HubBOG, Magic Fund, Opera Ventures, Soma Capital, Sprint VC, Y Combinator</t>
  </si>
  <si>
    <t>www.trii.co</t>
  </si>
  <si>
    <t>58390-21</t>
  </si>
  <si>
    <t>Triton.ai</t>
  </si>
  <si>
    <t>Developer of a data platform designed to synthesize institutional-quality private company information from fragmented public sources. The company offers a system that includes a financial model, enhanced categorization, and comparable company analysis, enabling investors and analysts to perform valuation analysis on private companies with insights not available elsewhere.</t>
  </si>
  <si>
    <t>Anand Aithal, Andrew Cummins, Ben Schott, Cody Smith, Edwin Goodman, Jacqueline Reses, John Kenney, Jonathan Bush, Randy Winn, The D. E. Shaw Group, Thomas Lehrman, Troy Foster</t>
  </si>
  <si>
    <t>www.triton.ai</t>
  </si>
  <si>
    <t>171875-26</t>
  </si>
  <si>
    <t>Trolley</t>
  </si>
  <si>
    <t>Developer of a global payout platform designed to send payments. The company's tool provides a payout application programming interface through which companies can access its payments infrastructure and global banking network, enabling businesses to send out low-cost payouts to on-demand workers, suppliers, and employees globally.</t>
  </si>
  <si>
    <t>Andrew Redd, Cliffbrake, GreenSky Ventures, Ontario Centre of Innovation, Pace Capital, Scott Thompson, Wavecrest Growth Partners</t>
  </si>
  <si>
    <t>www.trolley.com</t>
  </si>
  <si>
    <t>517135-60</t>
  </si>
  <si>
    <t>Troutwood</t>
  </si>
  <si>
    <t>Developer of a conflict-free financial planning and investment education platform designed to empower individuals and institutions to take control of their financial futures. The company offers financial planning tools, financial literacy education, and real-world gamification, enabling individuals and organizations to build financial confidence and achieve long-term financial goals.</t>
  </si>
  <si>
    <t>GrowthX Capital, Richard King Mellon Foundation, Wing 2 Wing Foundation</t>
  </si>
  <si>
    <t>www.troutwood.com</t>
  </si>
  <si>
    <t>464334-13</t>
  </si>
  <si>
    <t>Troygold</t>
  </si>
  <si>
    <t>Provider of gold-based financial services intended for secure and flexible money management. The company provides gold digitization-linked financial products to buy, sell, and invest in digital gold, enabling users to manage wealth with inflation-proof assets and flexible credit options.
.</t>
  </si>
  <si>
    <t>Astatine Ventures, Crossfin Ventures</t>
  </si>
  <si>
    <t>www.troygold.app</t>
  </si>
  <si>
    <t>501101-29</t>
  </si>
  <si>
    <t>TruBoard Partners</t>
  </si>
  <si>
    <t>Developer of an asset monitoring and loan recovery platform designed to provide actionable insights through qualitative inputs and data analytics. The company offers a cloud-based technology platform that provides credit monitoring, retail loan servicing, real asset management, dispute resolution, and advisory services, enabling global and Indian investors and other financial institutions to manage their portfolios.</t>
  </si>
  <si>
    <t>Earth Fund, HDFC Capital Advisors</t>
  </si>
  <si>
    <t>www.truboardpartners.com</t>
  </si>
  <si>
    <t>530704-45</t>
  </si>
  <si>
    <t>True Digital Group</t>
  </si>
  <si>
    <t>Operator of a vendor discovery and performance platform intended for financial institutions to partner with technology vendors through action-oriented data and connections. The company's platform offers to navigate and optimize vendor relationships, discover vendor redundancies, and form connections for financial institutions, helping financial institutions find vendors, resulting in efficient onboarding and innovation.</t>
  </si>
  <si>
    <t>Fox Development Corporation</t>
  </si>
  <si>
    <t>www.truedigitalgroup.com</t>
  </si>
  <si>
    <t>93116-62</t>
  </si>
  <si>
    <t>TrueML</t>
  </si>
  <si>
    <t>Developer of a debt collection platform designed to regain control of small and large businesses' financial future. The company's platform uses machine learning and digital technology to deliver a personalized, self-serve experience that drives consumer engagement and industry-leading results, enabling creditors to improve recovery rates and reduce compliance risk.</t>
  </si>
  <si>
    <t>American Bankers Insurance Group, Arbor Ventures, Assurant Ventures, Caffeinated Capital, Calm Ventures, CE Innovation Capital, David Waxman, Flat Capital, Kevin Maher, Matthew Harris, Nyca Partners, PayPal Ventures, Raptor Group, SciFi VC, Summit Peak Investments, TenOneTen Ventures, Top Corner Capital, Vintage (Private Equity), Viola FinTech</t>
  </si>
  <si>
    <t>www.trueml.co</t>
  </si>
  <si>
    <t>439087-78</t>
  </si>
  <si>
    <t>TruePillars</t>
  </si>
  <si>
    <t>Operator of an online lending marketplace intended to earn returns by funding loans to local businesses. The company's platform helps to earn investment returns, earn a regular income, diversify the portfolio and to build a portfolio across different investment risks, enabling investors to provide loans to business owners, helping them to grow and reach their full potential.</t>
  </si>
  <si>
    <t>PactFlow, Superseed Ventures, Trout Creative Thinking</t>
  </si>
  <si>
    <t>www.truepillars.com</t>
  </si>
  <si>
    <t>965072-53</t>
  </si>
  <si>
    <t>trufflepig</t>
  </si>
  <si>
    <t>Developer of an AI-powered spreadsheet platform designed to streamline data modeling and analysis. The company provides a natural language interface that converts user input into structured models and supports Excel and Google Sheets integration, and imports data from PDFs, enabling secure and efficient workflows for teams in finance, operations, and sales.</t>
  </si>
  <si>
    <t>Base10 Partners, Forum Ventures</t>
  </si>
  <si>
    <t>www.trufflepig.ai</t>
  </si>
  <si>
    <t>435962-26</t>
  </si>
  <si>
    <t>truID</t>
  </si>
  <si>
    <t>Developer of an open banking platform designed to make bank integration convenient and efficient. The company's platform allows clients to securely access identity data, balance, and transactions for the user's bank account, and also allows banks to analyze customers' profiles and credit scores, enabling customers to avail a trusted and secure financial data-sharing ecosystem.</t>
  </si>
  <si>
    <t>Century Oak Ventures, Crossfin Ventures, Kpi Venture Capital, Launch Africa Ventures, Silverbacks Holdings, Tovastyle, Winterhold</t>
  </si>
  <si>
    <t>www.truid.co.za</t>
  </si>
  <si>
    <t>442362-34</t>
  </si>
  <si>
    <t>Trullion</t>
  </si>
  <si>
    <t>Developer of an artificial intelligence (AI-powered) accounting platform that automates financial workflows for accounting and audit teams. The company aims to use AI to unlock a new level of transparency in the financial world. The company's platform unifies unstructured and structured accounting, reads Excel-based contracts, and automates and error-proofs everything from managing financial data to reporting to stakeholders, enabling clients to stay confident in their data. It ingests financial reports and automates audit testing workflows to ensure accuracy and compliance. By empowering both accounting and audit teams, we're leveraging.</t>
  </si>
  <si>
    <t>Aleph (Israel), Alex Oppenheimer, Annox Capital, Arthur Minson, Carsten Thoma, Clark Valberg, Comcast NBCUniversal LIFT Labs, Greycroft, Guzel Lumpkin, Jody Padar, Michael Stoppelman, Robert Mylod, StepStone Group, Third Point Ventures, Verissimo Ventures, Zachary Bookman</t>
  </si>
  <si>
    <t>www.trullion.com</t>
  </si>
  <si>
    <t>491151-34</t>
  </si>
  <si>
    <t>Truly Financial</t>
  </si>
  <si>
    <t>Operator of a financial technology company intended to simplify business banking for small businesses. The company's platform provides an account that combines a checking account with credit card acceptance, a multi-currency account, and Visa cards for expenses, by which an individual can make payments to local and international suppliers and streamline their expenses, enabling small business owners to buy, sell, or hire anywhere globally efficiently.</t>
  </si>
  <si>
    <t>Amit Singhal, BMO Capital Markets, Bold Kiln, Demikhovsky Mashinostroitelny Zavod, DMZ Ventures, Frank Mastrangelo, Kunal Shah, Nasr-Eddine Benaissa, Neeraj Arora, P. Gulati, Pravin Gandhi, Root Ventures, Roots Ventures, Sandeep Tandon, Singapore Angel Network, Smart Start Fund, Supermorpheous, Venture Highway, Vijay Sharma, Vishal Gondal, Walter Beach</t>
  </si>
  <si>
    <t>www.trulyfinancial.com</t>
  </si>
  <si>
    <t>443348-74</t>
  </si>
  <si>
    <t>Trumgu Fintech</t>
  </si>
  <si>
    <t>Provider of asset management services. The company uses public and private equity databases to conduct net value evaluation of investment products and performance attribution analysis of transaction details, satisfying the needs of financial institutions and corporate clients to screen investment products.</t>
  </si>
  <si>
    <t>Hexun, Jinruitai Technology</t>
  </si>
  <si>
    <t>www.trumgu.com</t>
  </si>
  <si>
    <t>708073-84</t>
  </si>
  <si>
    <t>Trust&amp;Trust</t>
  </si>
  <si>
    <t>Provider of financial payment services intended to enable financial access to foreign talent. The company provides post-arrival payment services for pre-arrival expenses to sending organizations and financial education services to foreign human resources coming to Japan under technical internships and specific skills training, enabling foreign workers to comfortably pay the pre-arrival expenses to sending organizations after they arrive in Japan.</t>
  </si>
  <si>
    <t>ANRI, East Ventures</t>
  </si>
  <si>
    <t>trust-and-trust.com</t>
  </si>
  <si>
    <t>522665-65</t>
  </si>
  <si>
    <t>Trusted Hands Financial Services</t>
  </si>
  <si>
    <t>Developer of a fintech platform designed to assist people with applying for and managing loans. The company's platform specializes in helping with discovering, searching, and shortlisting loans and covering both the pre-loan journey and the post-loan journey, enabling customers to borrow safely and acquire financial freedom.</t>
  </si>
  <si>
    <t>HubTree Ventures</t>
  </si>
  <si>
    <t>thfs.finance</t>
  </si>
  <si>
    <t>521679-97</t>
  </si>
  <si>
    <t>Trustmi</t>
  </si>
  <si>
    <t>B2B Payments, Cybersecurity, FinTech</t>
  </si>
  <si>
    <t>Developer of an end-to-end payment security platform designed to protect organizations' funds from cyber-attacks, internal collusion, and human error. The company's platform offers a trusted network with multi-layer technology that combines breakthroughs in self-learning and crowdsourcing, enabling security and finance teams with complete visibility and control over the payment matrix, eliminating payment fraud risk, reducing manual controls and human errors, and seamlessly integrating with organizations' payment evolution without business interruption.</t>
  </si>
  <si>
    <t>Assaf Rappaport, Chen Amit, CyberStarts, Deloitte Launchpad, Eynat Guez, Zeev Ventures</t>
  </si>
  <si>
    <t>www.trustmi.ai</t>
  </si>
  <si>
    <t>442651-96</t>
  </si>
  <si>
    <t>Truv</t>
  </si>
  <si>
    <t>Developer of a centralized consumer-permissioned data exchange system designed for streamlined financial verification processes. The company's system allows access to consumer-permissioned payroll, employment, and financial data through extensive integrations, real-time data retrieval, customizable workflows, robust compliance controls, and auditing capabilities, enabling financial institutions, lenders, and verification firms to reduce risk, speed decision-making, and lower operational costs.</t>
  </si>
  <si>
    <t>Abstract Ventures, Brad Strock, Brianne Kimmel, Broom Ventures, Chapter One, Daniel Graf, DDM 1, Elefund, Fathom Capital, Function (Miami), Henry Ward, Huey Ru Lin, Jason Morrison, Kevin Hartz, Kleiner Perkins, Lachy Groom, Mark Pincus, Nimble Partners, Nyca Partners, Soma Capital, StartX (US), Worklife Ventures, Xploration Capital</t>
  </si>
  <si>
    <t>www.truv.com</t>
  </si>
  <si>
    <t>537526-27</t>
  </si>
  <si>
    <t>Truvion</t>
  </si>
  <si>
    <t>Provider of financial services intended to simplify loans and mortgages for individuals and businesses. The company offers mortgage programs and equipment financing options to safeguard wealth and unlock financial potential, enabling clients to secure their dreams, streamline their operations, and make informed financial decisions.</t>
  </si>
  <si>
    <t>www.truvion.com</t>
  </si>
  <si>
    <t>513414-73</t>
  </si>
  <si>
    <t>Truvity</t>
  </si>
  <si>
    <t>Developer of a digital trust management platform designed to secure document exchange and compliance processes through verifiable credentials. The company offers API-driven tools to create, share, verify, and manage tamper-proof digital documents and identity data, enabling clients to reduce manual checks, minimize KYC and AML workload, streamline workflows, and meet regulations.</t>
  </si>
  <si>
    <t>Finerbase</t>
  </si>
  <si>
    <t>www.truvity.com</t>
  </si>
  <si>
    <t>690788-98</t>
  </si>
  <si>
    <t>TSFC</t>
  </si>
  <si>
    <t>Developer of a decentralized infrastructure designed to improve transparency and efficiency in cross-border trade finance. The company offers secure and scalable solutions to simplify financial transactions, enabling financial institutions to improve liquidity and trading processes.</t>
  </si>
  <si>
    <t>Castrum Capital, Zerra Ventures</t>
  </si>
  <si>
    <t>tsfc.io</t>
  </si>
  <si>
    <t>1158627-43</t>
  </si>
  <si>
    <t>Tuhk</t>
  </si>
  <si>
    <t>Developer of a fraud detection and payments intelligence platform designed for banks, payment-processing firms, and digital merchants. The company's platform connects payment providers, banks, and online merchants to share insights, monitor risk signals, and coordinate controls, enabling clients to identify transactional anomalies, reduce financial crime, and enhance security across payment flows.</t>
  </si>
  <si>
    <t>Capital One Ventures, FINTOP (US), Lloyds Banking Group</t>
  </si>
  <si>
    <t>www.tuhk.com</t>
  </si>
  <si>
    <t>493228-63</t>
  </si>
  <si>
    <t>Tulix</t>
  </si>
  <si>
    <t>Developer of a remittance and payments platform designed to make it convenient for people to manage money. The platform provides features such as making payments, adding beneficiaries, and collaborating on expenses when allocating funds, tracking spending and getting updates on allocations, enabling people to send money to families and friends, even those living in different countries.</t>
  </si>
  <si>
    <t>Antler, HiiL Justice Accelerator, Hindsight Ventures, Simple Capital Partners</t>
  </si>
  <si>
    <t>www.tulix.app</t>
  </si>
  <si>
    <t>529831-81</t>
  </si>
  <si>
    <t>TumaTap</t>
  </si>
  <si>
    <t>Developer of a mobile payments platform designed for small businesses and informal traders. The company's micro merchant platform allows businesses to accept card payments using their smartphone without any extra hardware, enabling businesses to make their device a payment terminal and customers to have fast payment using bank cards, smartphones, and other wearable devices.</t>
  </si>
  <si>
    <t>Africa Tech Startup Forum, BK-XL, Hindsight Ventures, Visa, Visible Hands</t>
  </si>
  <si>
    <t>tumatap.com</t>
  </si>
  <si>
    <t>528191-38</t>
  </si>
  <si>
    <t>Tumoni</t>
  </si>
  <si>
    <t>Developer a digital financial platform designed to help users open a digital account and send money between countries. The company's platform allows seamless remittances and offers bill payments, recharges, and points, enabling users to manage their finances with no fixed costs, monthly fees, or minimum balance required.</t>
  </si>
  <si>
    <t>Caricaco Ventures, Counterview Capital, Hatcher+, NuMundo Ventures, Plug and Play Tech Center, Seedstars International Ventures, Slauson &amp; Co., Social Impact Capital, Uttam Nayak</t>
  </si>
  <si>
    <t>www.tumoni.com</t>
  </si>
  <si>
    <t>515023-39</t>
  </si>
  <si>
    <t>Tunzaa Fintech</t>
  </si>
  <si>
    <t>Operator of an online savings platform intended to improve the financial habits of people. The company's platform offers a pay-later option, offers Custom prompts according to personal financial journey, and helps to enhance financial habits based on data and behavioural design techniques, enabling people to save money.</t>
  </si>
  <si>
    <t>Andrew Kudoja, Irene Madeje Mlola, Startup Wise Guys, Warioba Ventures</t>
  </si>
  <si>
    <t>shop.tunzaa.co.tz</t>
  </si>
  <si>
    <t>454666-33</t>
  </si>
  <si>
    <t>Tuo Cash</t>
  </si>
  <si>
    <t>Operator of a lending platform intended for a financial boost before the next paycheck. The company's platform offers short-term financial keys, including small cash advances and payday loans, and provides access to funds, with options for both gradual limit increases through loyalty programs and larger, immediate loans for emergencies, enabling users with quick approvals and convenient transfer methods, with a focus on competitive rates compared to other payday lenders.</t>
  </si>
  <si>
    <t>Beta.MN, Falls Fintech, Kaizen Studio, PayFacto Payments (Verdun), The Batchery</t>
  </si>
  <si>
    <t>www.tuo.io</t>
  </si>
  <si>
    <t>458556-58</t>
  </si>
  <si>
    <t>Tupelo</t>
  </si>
  <si>
    <t>Developer of a comprehensive customer relationship management system designed to remove traditional barriers to acquiring and selling businesses. The company's platform integrates with major marketplaces, automates workflows, and centralizes listings, contact information, and seller activities, enabling business brokerage firms to streamline operations, reduce duplicate data entry, and enhance productivity.</t>
  </si>
  <si>
    <t>Greenpoint Capital, Underdog Labs, Y Combinator</t>
  </si>
  <si>
    <t>www.tupelosmb.com</t>
  </si>
  <si>
    <t>509304-97</t>
  </si>
  <si>
    <t>Turan</t>
  </si>
  <si>
    <t>Developer of a financial platform designed to redesign the financial experience for millennials. The company's platform offers prepaid cards and micro-loans, in their language and suited to their lifestyles, facilitates the money transfer process, and creates a transfer gateway for easy use, enabling users living in all the Turkish provinces to meet their financial needs and also help the process of money transfer.</t>
  </si>
  <si>
    <t>Akif Erdoğan, Ali Koca, APY Ventures, Bilgiyi Ticarileştirme Merkezi, Caucasus Ventures, Colendi Ventures, Cube Incubation, Ihsan Elgin, Kuveyt Türk Asset Management, KuveytTurk Portföy, Metin Tarakçı, Moka United, Re-Pie Portfolio Management, Tera Portföy, Wirecard Retail Services, Yakup Doğan</t>
  </si>
  <si>
    <t>www.turan.app</t>
  </si>
  <si>
    <t>522635-86</t>
  </si>
  <si>
    <t>Turbine</t>
  </si>
  <si>
    <t>Operator of a loan facility firm intended to provide liquidity for general and limited partners (LPs). The company's liquidity platform is driven by data science and lets private equity and venture firms offer LPs access to the value of their portfolio investments without reducing exposure to these positions, enabling alternative asset investors to access capital on their schedule.</t>
  </si>
  <si>
    <t>Alpha Edison, B Capital Group, Evolution (Venture Capital), Fin Capital, Sequoia Capital, Sozo Ventures, Temerity Capital Partners, TTV Capital, Unpopular Ventures</t>
  </si>
  <si>
    <t>www.turbine.co</t>
  </si>
  <si>
    <t>183176-20</t>
  </si>
  <si>
    <t>Turing Technology (Financial Services)</t>
  </si>
  <si>
    <t>Provider of financial advisory services intended to assist in mitigating and managing financial risks associated with wealth accumulation and investments. The company's advisory services include risk modeling, smart beta, and hidden alpha sources discovery and cluster analysis, enabling digital wealth, financial advisors, and technology companies to manage risks through pattern-sensitive machine-learning algorithms and bring repeatable active dimensions at low cost.</t>
  </si>
  <si>
    <t>Geekdom Fund</t>
  </si>
  <si>
    <t>www.turingtechnologyassociates.com</t>
  </si>
  <si>
    <t>497893-78</t>
  </si>
  <si>
    <t>Turn2C</t>
  </si>
  <si>
    <t>Operator of a fintech platform intended to help sales partners find the best consortium product for their customers. The company's platform utilizes artificial intelligence and statistical models to analyze the best consortium operation, considering what the customer wants to buy, how much they can pay, and when they want to buy, enabling customers to make informed decisions with more options to leverage their goals.</t>
  </si>
  <si>
    <t>4UM Investimentos, B3 (Brazil), Google Accelerator, Headline, Honey Island Capital, Scale Up by Endeavor, Urca Angels</t>
  </si>
  <si>
    <t>www.turn2c.com</t>
  </si>
  <si>
    <t>143477-56</t>
  </si>
  <si>
    <t>TurnKey Lender</t>
  </si>
  <si>
    <t>Developer of a loan management software designed to make end-to-end automation of the lending business. The company's system offers services from origination and underwriting to loan servicing, debt collection, and reporting, automating the entire lending process, and also supports numerous credit, commercial, and consumer products on the same flexible no-code SaaS platform, enabling clients to automate the complete lending process for any business.</t>
  </si>
  <si>
    <t>Binocular Investments, Christian Morales, Crusade Partners, DEG, Majuven, Microsoft, OSK Ventures International, OTB Ventures, RITZ Venture Capital, SEEDS Capital, Start Path, Sundance Growth, The FinLab, u.ventures, Ukraine-Moldova American Enterprise Fund</t>
  </si>
  <si>
    <t>www.turnkey-lender.com</t>
  </si>
  <si>
    <t>608157-37</t>
  </si>
  <si>
    <t>TurnStay</t>
  </si>
  <si>
    <t>Operator of a payment platform intended to streamline the payment process. The company's platform is an intersection of fintech and travel, championing low-cost, hassle-free direct booking experiences in travel payments, enabling customers to save more money on transaction fees.</t>
  </si>
  <si>
    <t>CV VC, DFS Lab, Digital Currency Group, Enza Capital, Equitable Ventures, First Circle Capital, Incisive Ventures, Stoney Creek Valley Venture Capital, TLcom Capital</t>
  </si>
  <si>
    <t>www.turnstay.com</t>
  </si>
  <si>
    <t>527409-10</t>
  </si>
  <si>
    <t>TWIG Finance</t>
  </si>
  <si>
    <t>Developer of an embedded money management platform designed for individuals to be in control of their financial decisions. The company's platform offers tools, knowledge, and saving plans for finance management, encrypting communication and data with bank-level security and maintaining a secure server infrastructure to protect data, enabling users and clients to achieve their goals through automated savings by building healthy financial habits.</t>
  </si>
  <si>
    <t>DIFC Innovation Hub, Phoenician VC, Seedstars, Soul Ventures</t>
  </si>
  <si>
    <t>www.twig.ae</t>
  </si>
  <si>
    <t>522949-96</t>
  </si>
  <si>
    <t>Twig Tech (Financial Software)</t>
  </si>
  <si>
    <t>Developer of expense management software designed to offer cash flow service management and crew accountability. The company's software integrates with local banking partners to manage tax refunds and audits with automate approvals, streamline payments and keep production moving, enabling clients to track deliveries and invoices tied to each PO.</t>
  </si>
  <si>
    <t>HTwenty Capital, Other People's Capital, Singularity Capital, Y Combinator</t>
  </si>
  <si>
    <t>www.backdropagent.com</t>
  </si>
  <si>
    <t>596023-57</t>
  </si>
  <si>
    <t>Twill</t>
  </si>
  <si>
    <t>Developer of a payment platform designed to simplify business payments. The company offers a variety of payment options, including merchant services, payment gateway and data syncing, enabling customers to integrate their payment processes with various business applications and manage payments through a user-friendly dashboard.</t>
  </si>
  <si>
    <t>RevTech Labs</t>
  </si>
  <si>
    <t>www.twillpayments.com</t>
  </si>
  <si>
    <t>169130-44</t>
  </si>
  <si>
    <t>Twinco Capital</t>
  </si>
  <si>
    <t>Developer of an impact-driven fintech platform designed to provide a sustainable supply chain finance alternative, leveling the playing field for SMEs' participation in global trade. The company offers a supply chain finance that covers the full production cycle, from purchase order to final invoice payment, and uses advanced supply chain analytics to evaluate the performance of suppliers, enabling buyers to build competitive and socially responsible supply chains by reducing financing costs and improving supply reliability while promoting environmental and socially responsible supply chains.</t>
  </si>
  <si>
    <t>Bankinter, Finch Capital, FMO Entrepreneurial Development Bank, Mundi Ventures, Quona Capital, Working Capital, Zubi Capital</t>
  </si>
  <si>
    <t>www.twincocapital.com</t>
  </si>
  <si>
    <t>494750-53</t>
  </si>
  <si>
    <t>Twisp</t>
  </si>
  <si>
    <t>Developer of a cloud-based financial database with accounting primitives designed to give developers the tools to build their core financial ledger systems. The company's platform helps users manage credit and debit transactions, balances, and insights at any scale, preparing sub-ledgers to replicate and reconcile external systems of record, enabling clients to manage financial transactions with ease.</t>
  </si>
  <si>
    <t>Blank Ventures, Founders' Co-op, MAVA Ventures</t>
  </si>
  <si>
    <t>www.twisp.com</t>
  </si>
  <si>
    <t>607138-75</t>
  </si>
  <si>
    <t>TwoWay</t>
  </si>
  <si>
    <t>Operator of an artificial intelligence-powered real-time software designed to transform the overwhelming flow of data and financial messages into structured trading insights and signals. The company offers automated workflows, real-time data sharing, and streamlined communication, enabling financial institutions to cut operational risk, reduce arbitrage losses, and save time.</t>
  </si>
  <si>
    <t>Bulgarian Expansion Bridge, EDHEC Entrepreneurs, Plug and Play Tech Center, Super Capital, Tenity, Unorthodox Ventures, welovefounders</t>
  </si>
  <si>
    <t>www.twoway.finance</t>
  </si>
  <si>
    <t>507356-65</t>
  </si>
  <si>
    <t>Ubii Pagos</t>
  </si>
  <si>
    <t>Developer of a technological system designed to allow businesses to receive payments with cards, through devices that will feed a business intelligence system. The company's system includes a variety of financial payment alternatives, administration, and quality after-sales service, enabling businesses to receive payments with cards in addition to carrying out developments tailored to the client.</t>
  </si>
  <si>
    <t>www.ubiipagos.com</t>
  </si>
  <si>
    <t>55186-93</t>
  </si>
  <si>
    <t>Ubiquity (Financial Software)</t>
  </si>
  <si>
    <t>Provider of record-keeping and administration services intended to empower small businesses and their employees to create a secure financial future. The company's financial platform builds on technology that can be managed in minutes and comes with zero hidden fees, resulting in more compounding dollars saved, enabling users to lower their taxable income and save for the future at the same time.</t>
  </si>
  <si>
    <t>Modern Holdings, Otter Capital</t>
  </si>
  <si>
    <t>www.myubiquity.com</t>
  </si>
  <si>
    <t>435397-87</t>
  </si>
  <si>
    <t>Ultramarin</t>
  </si>
  <si>
    <t>Developer of an artificial intelligence-native deep tech platform designed to support automated investment decision-making and portfolio optimisation for global equity markets. The company's platform offers modular artificial intelligence systems spanning data processing, prediction models, portfolio construction, optimisation, and execution capabilities, enabling institutional investors and asset management firms to improve investment performance and systematic trading efficiency in global equity markets.</t>
  </si>
  <si>
    <t>Acton Capital, Atrinum Ventures</t>
  </si>
  <si>
    <t>www.ultramarin.ai/en</t>
  </si>
  <si>
    <t>494075-35</t>
  </si>
  <si>
    <t>Ume Desenvolvimento de Software</t>
  </si>
  <si>
    <t>Developer of a purchase credit platform designed to create an economic environment in which access to credit is simple and democratic. The company's platform offers credit to low-income consumers who don't have a bank account or access to traditional credit through retailers' points of sale without hidden fees, unclear terms, or abusive interest rates, enabling consumers to achieve their personal goals while helping retailers provide a risk-free alternative.</t>
  </si>
  <si>
    <t>ABCapital, Bertha Capital, Bewater, Big Bets, big_bets, Canary (Brazil), Clocktower Ventures, FJ Labs, Globo Ventures, NFX, Norte Ventures, PayPal Holdings, PayPal Ventures, Spectra Investments, Valor Capital Group, Volpini Ventures</t>
  </si>
  <si>
    <t>www.ume.com.br</t>
  </si>
  <si>
    <t>635915-26</t>
  </si>
  <si>
    <t>UmrahCash</t>
  </si>
  <si>
    <t>Developer of a fintech platform for muslim pilgrims designed to manage finances during religious travel. The company's platform encompasses money exchange, international money transfer, and potentially prepaid cards, empowering pilgrims by simplifying financial transactions associated with their Umrah journeys.</t>
  </si>
  <si>
    <t>Adaverse</t>
  </si>
  <si>
    <t>www.umrahcash.com</t>
  </si>
  <si>
    <t>538859-44</t>
  </si>
  <si>
    <t>Una Software</t>
  </si>
  <si>
    <t>Developer of a financial planning and analysis platform designed to improve revenue planning with real-time sales data. The company's platform offers customer relationship management (CRM) integrated forecasting, reporting, and AI-driven insights, enabling finance teams to improve planning accuracy, align go-to-market strategies, and drive revenue growth.</t>
  </si>
  <si>
    <t>Emerald Development Managers, Staircase Ventures</t>
  </si>
  <si>
    <t>www.una.ai</t>
  </si>
  <si>
    <t>495693-28</t>
  </si>
  <si>
    <t>Unbanx</t>
  </si>
  <si>
    <t>Developer of a financial technology platform designed to incentivize people to share banking data. The company helps people earn income by sharing their banking data, enabling users to get an opportunity to earn some extra income from the platform.</t>
  </si>
  <si>
    <t>AWS Startups, Colm Lyon, Enterprise Ireland, Payvation, Pool Data, Streamr</t>
  </si>
  <si>
    <t>www.unbanx.me</t>
  </si>
  <si>
    <t>1153377-28</t>
  </si>
  <si>
    <t>UnblockPay</t>
  </si>
  <si>
    <t>Developer of a global stablecoin payment infrastructure designed to simplify cross-border financial transactions and expand access to digital dollar accounts. The company offers a continuous, API-driven platform for stablecoin on-and off-ramping, provides global accounts to the customers powered by stablecoin wallets, enabling customers to send and receive crypto directly to bank accounts, create global digital dollar wallets, and integrate local payment rails.</t>
  </si>
  <si>
    <t>Alliance (Other Capital Markets/Institutions), Crescera Capital, Dan Faccio, Fabiano Cruz, Plug and Play Tech Center, Prelude, Reverie (New York), Signature Ventures, Triaxis Capital, Wintermute</t>
  </si>
  <si>
    <t>www.unblockpay.com</t>
  </si>
  <si>
    <t>904218-04</t>
  </si>
  <si>
    <t>Uncia (Financial Software)</t>
  </si>
  <si>
    <t>Developer of artificial intelligence-based digital lending software designed to support loan origination, loan management, and supply chain finance operations. The company provides cloud-based SaaS platforms that automate lending workflows and integrate financial processes, enabling banks and financial institutions to manage lending activities and financing operations.</t>
  </si>
  <si>
    <t>Cedar-IBSi FinTech lab, Pavestone Ventures</t>
  </si>
  <si>
    <t>www.uncia.ai</t>
  </si>
  <si>
    <t>465397-57</t>
  </si>
  <si>
    <t>Unhedged</t>
  </si>
  <si>
    <t>Developer of a human-free advisory application designed to deliver algorithmic returns on share trading. The company's application allows assigning money and access to high-performance sophisticated investing algorithms designed to automate market trading, providing investors access to advanced hedge fund strategies.</t>
  </si>
  <si>
    <t>12 Angels Venture Capital, Barry Winata, Hall &amp; Wilcox, Littlebanc Advisors, Southern Angels</t>
  </si>
  <si>
    <t>www.unhedged.com.au</t>
  </si>
  <si>
    <t>435017-89</t>
  </si>
  <si>
    <t>Unifimoney</t>
  </si>
  <si>
    <t>Developer of a digital wealth management platform designed to automate everyday money management. The company's platform offers investing, trading of equities, cryptocurrencies, and precious metals, insurance, and credit, in a single app, enabling customers to manage wealth for long-term growth and maximize passive income.</t>
  </si>
  <si>
    <t>AltaIR Capital, Anand Swaminathan, Anshu Sharma, Enrico Carbone, Four G Capital, Global Millennial Capital, Hard Yaka, Independent Community Bankers of America, Kurt Bilafer's Syndicate, Oriza Ventures, Plug and Play Tech Center, Sanjay Sathe, shop your way, The Venture Center, Transformco, White Bay Group, Wilson Sonsini Goodrich &amp; Rosati Professional</t>
  </si>
  <si>
    <t>www.unifimoney.com</t>
  </si>
  <si>
    <t>512146-00</t>
  </si>
  <si>
    <t>Union Credit</t>
  </si>
  <si>
    <t>Operator of a credit union platform designed to provide qualified consumers with perpetual credit approval and a simple one-click loan activation, embedded within daily transactions and activities. The company platform enables direct-to-consumer brands to interact with users with the help of data-driven insights from various networks, enabling companies to provide their customers instant access to local credit offers from a nationwide network of credit unions.</t>
  </si>
  <si>
    <t>Array (Boca Raton), Chartway Federal Credit Union, Experian, Experian Ventures, Marin Sonoma Impact Ventures, TruStage Ventures, Way.com, WP Global Partners</t>
  </si>
  <si>
    <t>www.unioncredit.app</t>
  </si>
  <si>
    <t>454672-90</t>
  </si>
  <si>
    <t>Union Finance</t>
  </si>
  <si>
    <t>Developer of a decentralized credit platform designed to offer a peer-to-peer borrowing and lending network. The company's platform offers loans through social underwriting as well as works without the need for collateral, credit score, or revealing personal information on a public ledger, enabling users to get a tool for credit repayment and management.</t>
  </si>
  <si>
    <t>1kx, CoinFund, DeFiance Capital, Infinite Capital (San Juan), KR1, Placeholder Venture Capital, The Spartan Group, Variant (Brooklyn)</t>
  </si>
  <si>
    <t>www.union.finance</t>
  </si>
  <si>
    <t>458270-20</t>
  </si>
  <si>
    <t>UNIPaaS</t>
  </si>
  <si>
    <t>Developer of a cloud-based fintech platform designed to enable clients to manage their payments, control funds, and monetize financial services. The company's platform offers white-label payment for marketplaces, gig economies, and e-commerce industry verticals, enabling businesses to provide flexible pay-in and pay-out options both locally and globally.</t>
  </si>
  <si>
    <t>Boaz Palgi, Erez Webman, Eric Sager, FJ Labs, Gokul Rajaram, Ofer Smadari, Pitango Venture Capital, Purl Partnership, Samuel Hodges, Sarah Friar, Talmon Marco, TPY Capital</t>
  </si>
  <si>
    <t>www.unipaas.com</t>
  </si>
  <si>
    <t>971360-83</t>
  </si>
  <si>
    <t>Unitas (Financial Software)</t>
  </si>
  <si>
    <t>Operator of a decentralized financial infrastructure designed for stable yield generation through crypto-based instruments. The company's platform integrates on-chain and off-chain yield sources, delta-neutral strategies across multiple blockchains, including Solana and Ethereum, AI-powered execution for low-latency arbitrage, and machine learning-based risk control mechanisms, enabling clients to access consistent returns with minimized exposure to market volatility.</t>
  </si>
  <si>
    <t>Amber Group, Awaken Foundation, Bixin Ventures, Blockchain Builders Fund, HyperNest, SevenX Ventures, Taisu Ventures</t>
  </si>
  <si>
    <t>www.unitas.so</t>
  </si>
  <si>
    <t>453357-64</t>
  </si>
  <si>
    <t>United Fintech</t>
  </si>
  <si>
    <t>Developer of a global acquisition and growth platform intended to acquire and scale innovative Fintech companies in the capital market. The company offers a centralized platform that combines fintech, regtech, and captech options, helps get direct access to finance technologies, and propels organizations into the digital era of finance, enabling investment banks, regional banks, brokers, asset managers, hedge funds, and fintech to reduce costs, drive automation, and deliver efficiency within capital markets.</t>
  </si>
  <si>
    <t>Barclays, BNP Paribas, Citigroup, Dansk Vækstkapital, Danske Bank, Prehype</t>
  </si>
  <si>
    <t>www.unitedfintech.com</t>
  </si>
  <si>
    <t>472494-88</t>
  </si>
  <si>
    <t>UnitPlus</t>
  </si>
  <si>
    <t>Developer of an investment-linked payment and savings platform intended for personal finance and everyday spending. The company's platform offers investment-account integration, automated portfolio allocation, real-time balance synchronization, payment-card functionality, liquidity-management tools, regulatory-compliant safeguarding, and mobile-based transaction interfaces, enabling individual users to combine spending and investing in a single system, access diversified portfolios, withdraw funds without manual settlement steps, track financial activity, and manage short-term and long-term money needs within one consolidated environment.</t>
  </si>
  <si>
    <t>Alexandros Bottenbruch, Benedikt Franke, Brigitte Zypries, Bronk Venture Capital, Christian Rebernik, Claus Budelmann, Exxeta Ventures, Henning Gebhardt, Katrin Stark, Lothar Eckstein, Martin Zielke, Material Ventures, NextBlue, Olaf Scheer, Pact VC, Patrick Henning, Penteract Capital Partners, Philipp Berger, Remind.me, Robin Capital, Seed X Liechtenstein, Shoshana Feingold-Studnik, The House of Finance and Tech Berlin</t>
  </si>
  <si>
    <t>www.unitplus.eu</t>
  </si>
  <si>
    <t>484525-45</t>
  </si>
  <si>
    <t>Unlimitd</t>
  </si>
  <si>
    <t>Developer of a financial platform designed to finance companies based on their future turnover. The company's platform transforms recurring revenue streams into upfront capital for growth without debt or dilution, enabling companies to facilitate the financing of their growth.</t>
  </si>
  <si>
    <t>Absolute Capital Partners, Ilan Elbase, Jordan Zeitoun, Michael Cohen, Michel de Guilhermier</t>
  </si>
  <si>
    <t>www.unlimitd.com</t>
  </si>
  <si>
    <t>61263-73</t>
  </si>
  <si>
    <t>Uno.</t>
  </si>
  <si>
    <t>FinTech, Mobile, Mortgage Tech</t>
  </si>
  <si>
    <t>Operator of an online marketplace intended to offer customized home loans and mortgage plans. The company's marketplace guides through the loan-application process via a team of financial experts, enabling consumers to search, compare, and choose the home-loan product that suits their individual needs.</t>
  </si>
  <si>
    <t>Carter Kennedy, Draper Fintech Connection, Homeloans (acquired in 2016), REACH, Second Century Ventures, Village Capital, Westpac Banking, Ynext Incubator, Yodlee</t>
  </si>
  <si>
    <t>www.unohomeloans.com.au</t>
  </si>
  <si>
    <t>484550-65</t>
  </si>
  <si>
    <t>Untapped Global</t>
  </si>
  <si>
    <t>Developer of an asset financing investment platform designed to connect global investors to investment opportunities in emerging markets. The company's platform helps investors discover and invest in profitable startups in emerging markets and provides them with real-time return information that increases transparency and decreases risk, enabling businesses to connect with international investors creating higher returns with their capital.</t>
  </si>
  <si>
    <t>E3 Capital (Kenya), Full Circle Africa, Ground Squirrel Ventures, Innovate UK, Regenerative (Swiss), Timon Capital</t>
  </si>
  <si>
    <t>www.untapped-global.com</t>
  </si>
  <si>
    <t>519751-18</t>
  </si>
  <si>
    <t>Unusual Whales</t>
  </si>
  <si>
    <t>Developer of an options flow platform designed for retail traders. The company's platform offers features that include live options flow, live charting, options profit calculator, dark pool, stock flow, live news and more, enabling users to track real-time data every completed options trade on several US exchanges, comprehensive data feeds built to help people follow the flow and more.</t>
  </si>
  <si>
    <t>Dynamism Capital</t>
  </si>
  <si>
    <t>www.unusualwhales.com</t>
  </si>
  <si>
    <t>228891-70</t>
  </si>
  <si>
    <t>UPCHINA.com</t>
  </si>
  <si>
    <t>Provider of a technology intended to offer security in financial transactions. The company's technology offers stock quotation, information, stock selection and advisory services, enabling users to avail one-stop smart investment service platform.</t>
  </si>
  <si>
    <t>Shenzhen Kingdom Sci-tech Company, Star VC</t>
  </si>
  <si>
    <t>www.upchina.com</t>
  </si>
  <si>
    <t>893856-07</t>
  </si>
  <si>
    <t>Updraft</t>
  </si>
  <si>
    <t>Developer of a virtual technical accounting automation system designed for workflow efficiency and compliance in accounting environments. The company's platform automates transaction analysis, supports adherence to accounting standards, audit risk, and provides a sector-agnostic, subscription-based model, enabling accounting teams and firms to streamline technical accounting processes, manage high work volumes, and ensure regulatory compliance through workflow and analytics features.</t>
  </si>
  <si>
    <t>The Legal Tech Fund, Valor Ventures</t>
  </si>
  <si>
    <t>www.tryupdraft.com</t>
  </si>
  <si>
    <t>268120-18</t>
  </si>
  <si>
    <t>Upflow (Financial Software)</t>
  </si>
  <si>
    <t>Developer of a financial platform designed to drive cash collection for fast-growing business-to-business tech companies. The company's platform offers a systematic follow-up on the customers' unpaid invoices, automatically sends customized emails and registered letters to unpaid accounts, updates designated team members when accounting status changes, and handles payments, enabling companies to manage their unpaid invoices.</t>
  </si>
  <si>
    <t>9Yards Capital Management, Alpha Protocol Ventures, AltaIR Capital, Arnaud Crepier, Didier Valet, Emmanuel De Maistre, Emmanuel Noirhomme, Giorgio Riccò, Hedosophia, Hexa, Kadous(), Kima Ventures, Lorimer Ventures, Maximilian Tayenthal, Nathaniel Matherson, Pierre-Dimitri Gore-Coty, Raffael Johnen, Siesta Ventures, Sylvain Zimmer, Techmind, Varadh Jain, Viralety Ventures, Y Combinator</t>
  </si>
  <si>
    <t>www.upflow.io</t>
  </si>
  <si>
    <t>338698-09</t>
  </si>
  <si>
    <t>Upfront (Dubai)</t>
  </si>
  <si>
    <t>Developer of a financial operations platform intended to automate working capital and boost liquidity for businesses. The company's platform offers features such as automated invoicing, receivables financing, integrated dashboards for real-time tracking, and automated payment reminders, enabling businesses to streamline their accounts receivable processes, optimize cash flow, and reduce time spent on manual tasks, leading to improved financial health and productivity.</t>
  </si>
  <si>
    <t>Invest Nova Scotia, Norman Newman Centre for Entrepreneurship, Palm Ventures (Saudi Arabia), SABAH.HUB</t>
  </si>
  <si>
    <t>www.getupfront.io</t>
  </si>
  <si>
    <t>600482-80</t>
  </si>
  <si>
    <t>Upfront (Financial Software)</t>
  </si>
  <si>
    <t>Operator of a real estate back-office and embedded finance platform intended to provide financial services for the real estate technology sector. The company offers brokerage management tools, agent retention capabilities, and embedded financial products, enabling real estate brokerages and agent teams to improve operational efficiency and access financial resources within their workflow.</t>
  </si>
  <si>
    <t>Diagram Ventures, Equity Angels, REACH, ROC Venture Group</t>
  </si>
  <si>
    <t>www.myupfront.com</t>
  </si>
  <si>
    <t>588760-93</t>
  </si>
  <si>
    <t>Uphicoo</t>
  </si>
  <si>
    <t>Developer and operator of offline scenario smart payment platforms designed to provide management for digital commercial complexes. The company provides digital empowerment solutions for multiple scenarios, including merchant management systems, commercial POS machines and other related software and hardware, providing merchant users with high-quality and efficient financial services.</t>
  </si>
  <si>
    <t>www.uphicoo.com</t>
  </si>
  <si>
    <t>481816-81</t>
  </si>
  <si>
    <t>uPledge</t>
  </si>
  <si>
    <t>Operator of a crowdfunding platform intended to help investors connect and invest in verified startups. The company's platform provides a personal financial tracker to help investors aggregate their accounts, set budget limits, and accordingly set up their investment pools, enabling investors to mobilize additional finances into impact investments.</t>
  </si>
  <si>
    <t>FWD Start-Up Studio, Startupbootcamp Holding</t>
  </si>
  <si>
    <t>www.upledge.io</t>
  </si>
  <si>
    <t>493407-46</t>
  </si>
  <si>
    <t>Uplinq Financial Technologies</t>
  </si>
  <si>
    <t>Developer of a global credit assessment platform designed to provide credit decision support for small business lenders worldwide. The company's platform analyses a vast number of unique and validated data signals beyond traditional credit indicators to support a small business lender's assessment of the creditworthiness of their business customers, within their existing credit processes, and especially with minority and protected-class segments, while complying with all regulatory requirements, enabling small business lenders to approve and manage risks on loans.</t>
  </si>
  <si>
    <t>ATX Venture Partners, Cambrian Fintech, Canadian Technology Accelerator, DealBench, Duro VC, Impulsum Ventures, Impulsum Ventures (Medellin), Magic Fund, Movi Partners, N49P, Plug and Play Tech Center, Start Path, Surface Ventures, Wedbush Ventures</t>
  </si>
  <si>
    <t>www.uplinq.co</t>
  </si>
  <si>
    <t>617599-09</t>
  </si>
  <si>
    <t>Upsonic</t>
  </si>
  <si>
    <t>Developer of an AI-based fintech operations software designed for automating and streamlining operations. The company's software supports modular agent workflows across onboarding, compliance process, document verification, and reporting tasks and integrates with existing systems, enabling financial services and other enterprise sectors to enhance operational efficiencies and improve task execution reliability across distributed teams.</t>
  </si>
  <si>
    <t>APY Ventures, Cem Sibay, Dogan Aksoy, Future Impact Fund, Maza Ventures, OrangeFund, Tambi Jalouqa, Taygun Alban</t>
  </si>
  <si>
    <t>www.upsonic.ai</t>
  </si>
  <si>
    <t>895359-52</t>
  </si>
  <si>
    <t>UpToMore</t>
  </si>
  <si>
    <t>Developer of a fintech platform intended to offer an investment application with fixed interest rates. The company's platform facilitates risk-free and hassle-free investment opportunities for people who lack the time, inclination, or knowledge to actively invest in different portfolios, enabling users to invest their money without having to worry about fluctuating interest rates.</t>
  </si>
  <si>
    <t>www.uptomore.com</t>
  </si>
  <si>
    <t>552759-58</t>
  </si>
  <si>
    <t>Upwell</t>
  </si>
  <si>
    <t>Developer of an AI-driven platform designed for improving accounts receivable workflows. The company's platform automates invoice extraction, integrates secure payment options, swiftly manages exceptions, and provides real-time connectivity with accounting systems, enabling logistics providers to streamline collections, improve cash flow, and customer experience.</t>
  </si>
  <si>
    <t>Automotive Ventures, Black Dog Ventures, Invest Nebraska, Motivate Venture Capital, MOVE Venture Capital, Never Lift, nvp capital, PGSA Venture Capital, Plug and Play Tech Center, Revolution (Washington DC), SaaS Ventures, Sope Creek, Stage 2 Capital, Venture 53, Vertical Venture Partners</t>
  </si>
  <si>
    <t>www.upwell.com</t>
  </si>
  <si>
    <t>539850-43</t>
  </si>
  <si>
    <t>Upworth</t>
  </si>
  <si>
    <t>Developer of financial software intended to provide money management services. The company's platform offers features that include tracking portfolios and performance of asset class and understanding mortgages, enabling clients to make informed financial decisions.</t>
  </si>
  <si>
    <t>www.upworth.com.au</t>
  </si>
  <si>
    <t>493332-13</t>
  </si>
  <si>
    <t>uQualify</t>
  </si>
  <si>
    <t>Developer of global payment application designed to connect businesses to the right financial service providers globally. The company's application offers a comprehensive suite of financial services, including banking, currency exchange, crypto wallets, and business formation services, enabling users to manage their finances, operations, and administrative tasks from a single platform.</t>
  </si>
  <si>
    <t>www.uqualify.co</t>
  </si>
  <si>
    <t>461978-74</t>
  </si>
  <si>
    <t>Uqudo</t>
  </si>
  <si>
    <t>Operator of a digital identity company intended to bring trust and transparency in a digital world by building an identity layer. The company adopts advanced digital identity technology including biometrics, certified three-dimensional liveness detection, NFC-based passport reading, cognitive document analysis, and blockchain, enabling banks, telcos, insurance companies, fintech, startups, and other businesses to experience a fast, secure, and frictionless onboarding process whilst protecting the organization from fraudulent activities and simultaneously ensuring the organization.</t>
  </si>
  <si>
    <t>Aditum Investment Management, AI Venture Labs, DIFC Innovation Hub, GreenHouse Capital, Launch Africa Ventures, Mohamed Eissa, Shorooq Partners, TECH5, Village Capital, Zrosk Investment Management</t>
  </si>
  <si>
    <t>www.uqudo.com</t>
  </si>
  <si>
    <t>707937-76</t>
  </si>
  <si>
    <t>Uranium Digital</t>
  </si>
  <si>
    <t>Developer of a digital trading platform designed for institutional uranium trading, bringing efficient price discovery and immediacy to the transfer of physical uranium assets through the introduction of a digital asset where each token represents one pound of verifiable yellowcake. The company's platform utilizes blockchain-based tokenization to represent uranium ore, facilitating secure and transparent trading processes, enabling users to engage in regulated transactions with improved liquidity, accessibility, and operational efficiency.</t>
  </si>
  <si>
    <t>Alex Svanevik, Fidenza Capital, Framework Ventures, Jason Yanowitz, Jon Reynolds, Karatage, Marc Weinstein, Portal Ventures, Rubik Ventures (New York), Santiago Santos</t>
  </si>
  <si>
    <t>www.uraniumdigital.com</t>
  </si>
  <si>
    <t>527645-26</t>
  </si>
  <si>
    <t>Urbanate</t>
  </si>
  <si>
    <t>Developer of a real estate crowdfunding platform designed to connect investors with real estate development opportunities. The company's platform uses AI to analyze data, assess risk, automate investment management, and enhance security to provide various services, including due diligence, project listing, investment management, investor communication, analytics and reporting, and marketing news and analysis, enabling estate developers with a streamlined way to raise capital.</t>
  </si>
  <si>
    <t>www.urbanate.com</t>
  </si>
  <si>
    <t>230391-01</t>
  </si>
  <si>
    <t>Urbanitae</t>
  </si>
  <si>
    <t>Developer of a real estate investment platform designed to allow individuals to invest in commercial and residential properties. The company's platform helps individuals to invest in projects through equity partnerships or mortgage-backed loans, offering various strategies such as high-return profit-sharing or periodic rental income, enabling non-professional investors to leverage and benefit from opportunities in residential, commercial, and industrial real estate.</t>
  </si>
  <si>
    <t>Actyus, Acurio Ventures Partners, KFund, Viriditas Ventures</t>
  </si>
  <si>
    <t>www.urbanitae.com</t>
  </si>
  <si>
    <t>535560-94</t>
  </si>
  <si>
    <t>URBO Studio</t>
  </si>
  <si>
    <t>CloudTech &amp; DevOps, FinTech, Marketing Tech, Mobile, SaaS</t>
  </si>
  <si>
    <t>Developer of a cloud-based sales of services focused platform designed to serve businesses in the services industry. The company's platform provides technological resolutions for booking, management, online and offline sales of services in the creative and recreational sectors with tools to assist businesses with marketing, sales, and customer engagement, enabling organizations to help track customer interactions and increase their business productivity.</t>
  </si>
  <si>
    <t>Capital Investment Fund</t>
  </si>
  <si>
    <t>www.urbostudio.com</t>
  </si>
  <si>
    <t>442819-18</t>
  </si>
  <si>
    <t>US-Africa Housing Finance</t>
  </si>
  <si>
    <t>Provider of housing finance interests to investors intended to provide affordable housing. The company's services include providing interest returns to investors by purchasing home finance contracts, home finance contracts are all US dollar-denominated and backed by quality homes in West Africa, enabling investors to get a portion of the finance charges on a quarterly basis.</t>
  </si>
  <si>
    <t>www.usafricahf.com</t>
  </si>
  <si>
    <t>1325111-77</t>
  </si>
  <si>
    <t>Usable Balance</t>
  </si>
  <si>
    <t>Developer of an accounting software platform designed to simplify financial management for small businesses. The company's platform offers automatic bank transaction reconciliation, automated transaction classification, and real-time financial tracking, enabling small businesses and accounting professionals to maintain accurate financial records and make informed financial decisions.</t>
  </si>
  <si>
    <t>www.usablebalance.com</t>
  </si>
  <si>
    <t>707385-97</t>
  </si>
  <si>
    <t>UseToday</t>
  </si>
  <si>
    <t>Developer of an artificial intelligence-powered assistant designed to help financial advisors reduce administrative workload and improve client engagement. The company offers automated note-taking, personalized coaching insights, and CRM enrichment, enabling financial advisors to save time, strengthen customer relationships, and improve performance across client interactions.</t>
  </si>
  <si>
    <t>Alexandros Bottenbruch, Asbjorn Holmlund, Bastian Kunkel, Copenhagen Fintech Lab, Daniel Feyler, Daniel Glaremin, Daniel von Devivere, InsurLab Germany, Jascha Wachsmuth-Temme, Joel Niklaus, Jonas Piela, Lucid Capital Management (Germany), Mathias Berg, Maximilian Conrad, Philipp Kaufold, Ritavan Ritavan</t>
  </si>
  <si>
    <t>www.usetoday.io</t>
  </si>
  <si>
    <t>1234295-92</t>
  </si>
  <si>
    <t>Utexo</t>
  </si>
  <si>
    <t>Operator of a Bitcoin-native stablecoin infrastructure company intended to enable private, instant, and zero-fee settlements for digital assets. The company offers a full-stack suite built on Bitcoin's Lightning and RGB protocols, featuring native USDT support, private non-custodial transactions, and yield-generating staking, enabling customers to trade, transfer, and earn on BTC and USDT.</t>
  </si>
  <si>
    <t>Alchemy Insights, Arcanum Capital, Auros Ventures, Axia8 Ventures, Big Brain Holdings, Ethereal Ventures, Flow Traders, Franklin Resources, Fulgur Ventures, Gate Ventures (Gate.io), KuCoin, Maven 11, Paper Ventures, Plan B VC Fund, Portal Ventures, Sats Ventures, Solv Legos, Tether (Financial Software)</t>
  </si>
  <si>
    <t>www.utexo.com</t>
  </si>
  <si>
    <t>439293-07</t>
  </si>
  <si>
    <t>Uton</t>
  </si>
  <si>
    <t>Developer of SaaS platforms designed to assist used car industry. The company provides SaaS systems including ERP, CRM, vehicle life cycle management, maintenance management and used car loan for car dealers, helping them to optimize operation.</t>
  </si>
  <si>
    <t>Diyi Chedai, ZhongHaiTongChuang Capital</t>
  </si>
  <si>
    <t>www.utonw.com</t>
  </si>
  <si>
    <t>500734-54</t>
  </si>
  <si>
    <t>Utransfer</t>
  </si>
  <si>
    <t>Developer of a real-time remittance platform designed to make transferring money overseas an easier process. The company's platform offers features such as overseas remittance, tuition payment options, currency exchange, and more, enabling firms to simplify international transactions.</t>
  </si>
  <si>
    <t>AdenaSoft, Forest Partners (Korea)</t>
  </si>
  <si>
    <t>www.utransfer.com</t>
  </si>
  <si>
    <t>591466-15</t>
  </si>
  <si>
    <t>Uvicuo</t>
  </si>
  <si>
    <t>Developer of a fleet expense management platform designed to streamline operations and improve financial control for businesses with large vehicle fleets. The company's platform offers advanced spending controls, fraud prevention, and automated billing, enabling fleet operators to save on fuel and increase efficiency.</t>
  </si>
  <si>
    <t>17Sigma, 468 Capital, 6 Degrees Capital, MasterCard, NuMundo Ventures</t>
  </si>
  <si>
    <t>www.uvicuo.com</t>
  </si>
  <si>
    <t>865709-83</t>
  </si>
  <si>
    <t>UY3</t>
  </si>
  <si>
    <t>Developer of embedded finance and credit infrastructure platform designed for digital issuance, risk analysis, and payment management purposes. The company's platform supports automated debt issuance across multiple instruments, escrow account management, commercial note registration, real-time credit scoring, KYC, and anti-fraud compliance, enabling financial institutions to streamline credit operations and expand access to capital through a unified and scalable digital environment.</t>
  </si>
  <si>
    <t>NVA Capital, Vectis Gestão, Vinci Compass</t>
  </si>
  <si>
    <t>www.uy3.com.br</t>
  </si>
  <si>
    <t>517479-49</t>
  </si>
  <si>
    <t>Uzman Ciftci</t>
  </si>
  <si>
    <t>AgTech</t>
  </si>
  <si>
    <t>Developer of a digital agricultural platform designed to connect buyers and sellers of agricultural produce. The company's platform helps businesses reliably source food and agricultural products from global markets, while empowering buyers with comprehensive market intelligence to make proper decisions and connect food manufacturers directly with retailers, restaurants and service providers using in-house applications that drive end-to-end operations, enabling farmers to get proper prices and stable demand.</t>
  </si>
  <si>
    <t>Big Bang | Startup Challenge, Bilgiyi Ticarileştirme Merkezi, Re-Pie Portfolio Management</t>
  </si>
  <si>
    <t>www.uzmanciftci.com.tr</t>
  </si>
  <si>
    <t>163230-49</t>
  </si>
  <si>
    <t>V-Joy Tech Group</t>
  </si>
  <si>
    <t>Provider of wealth management and financial advisory services intended to help clients achieve their long-term financial goals. The company offers investment planning, portfolio management, and risk assessment solutions, enabling individual and institutional investors to optimise their asset allocation and preserve capital.</t>
  </si>
  <si>
    <t>SB China Venture Capital, Shunwei Capital, Xiaomi Ventures</t>
  </si>
  <si>
    <t>www.vjwealth.com</t>
  </si>
  <si>
    <t>501805-90</t>
  </si>
  <si>
    <t>V-One C</t>
  </si>
  <si>
    <t>Operator of an innovative capital-raising platform intended for startups to gain access to funds. The company's platform promotes genuine growth of companies by making capital more accessible on the basis of future sales, enabling startups to grow and focus on their products by safely raising funds without equity dilution by simply connecting the company and data.</t>
  </si>
  <si>
    <t>Bass Investment, Cento Ventures, CRIT Ventures, DSC Investment, Fast Ventures, IGNITE Graduate Business Innovation Programme, Ignite Innovation, KB Investment, Mosaic (South Korea), Schmidt (South Korea), Ulysses Capital, Western Technology Investment</t>
  </si>
  <si>
    <t>clobe.ai</t>
  </si>
  <si>
    <t>539077-96</t>
  </si>
  <si>
    <t>VAAS (Network Management Software)</t>
  </si>
  <si>
    <t>Developer of a transaction monitoring platform designed to prevent crimes and suspicious activities. The company's platform checks the risk in pix and crypto transactions in real-time and automatically blocks high-risk transactions, and cross-references on-chain and off-chain data to detect risk entities and check origins of customer and recipient resources and identify inconsistencies, enabling financial institutions, including banks and DeFi platforms to protect themselves against regulatory risks and high-risk transactions.</t>
  </si>
  <si>
    <t>A.B.Seed Ventures, Catarinense Technology Association, Fuse Capital (Private Equity), Headline, Honey Island Capital</t>
  </si>
  <si>
    <t>www.vaas.com.br</t>
  </si>
  <si>
    <t>863434-27</t>
  </si>
  <si>
    <t>Vadera Capital</t>
  </si>
  <si>
    <t>Developer of a financial platform designed to simplify money management for creators, entrepreneurs, and small businesses. The company offers digital accounts, spend management, and data-driven insights, enabling independent earners and business owners to improve financial visibility and support long-term growth.</t>
  </si>
  <si>
    <t>www.vaderacapital.com</t>
  </si>
  <si>
    <t>616681-72</t>
  </si>
  <si>
    <t>Vale:Já</t>
  </si>
  <si>
    <t>Operator of a financial technology platform intended to provide fast credit and freight advances to truck drivers. The company offers agile, straightforward financial services, enabling truck drivers to access funds in minutes, ensuring greater peace of mind, autonomy, and freedom while on the road.</t>
  </si>
  <si>
    <t>Bossa Invest, Kadmotek</t>
  </si>
  <si>
    <t>www.valeja.com.br</t>
  </si>
  <si>
    <t>791803-09</t>
  </si>
  <si>
    <t>ValensPara Payment Institution</t>
  </si>
  <si>
    <t>Developer of a virtual payment infrastructure designed to facilitate fast and secure transactions for businesses. The company platform offers a virtual point of sale with integrated cancellation and refund capabilities, no installation fees, and all-inclusive commission pricing, enabling merchants and online retailers to accept payments efficiently and without hidden costs.</t>
  </si>
  <si>
    <t>insha Ventures</t>
  </si>
  <si>
    <t>www.valenspara.com</t>
  </si>
  <si>
    <t>1277445-25</t>
  </si>
  <si>
    <t>Valeria (IT Consulting and Outsourcing)</t>
  </si>
  <si>
    <t>Developer of human resources automation software intended to simplify workforce management processes. The company offers ai powered hr automation for contracts, payroll, labor compliance, and to manage employee administration, ensuring regulatory compliance through automated and conversational interfaces, enabling hr teams to streamline workforce administration.</t>
  </si>
  <si>
    <t>10K Ventures, Fortino Ventures, VentureFriends</t>
  </si>
  <si>
    <t>www.valeriahr.com</t>
  </si>
  <si>
    <t>482150-62</t>
  </si>
  <si>
    <t>Valiant Wealth</t>
  </si>
  <si>
    <t>Provider of financial and lifestyle management services intended to focus on high-net-worth clients with aspects of their financial lives. The company identifies and assesses business growth opportunities and investment potential, enabling clients to explore investment ventures.</t>
  </si>
  <si>
    <t>www.valiantwealth.com</t>
  </si>
  <si>
    <t>597556-27</t>
  </si>
  <si>
    <t>Valiify</t>
  </si>
  <si>
    <t>Developer of a business empowerment platform designed to strengthen digital experience and win members. The company's platform streamlines account opening processes, personalized interactions, automated processes, credit assessments, and enhanced digital interactions, enabling clients to compete and remain relevant in a changing market.</t>
  </si>
  <si>
    <t>Flintlock Capital</t>
  </si>
  <si>
    <t>www.valiify.com</t>
  </si>
  <si>
    <t>644648-68</t>
  </si>
  <si>
    <t>Valinor</t>
  </si>
  <si>
    <t>Operator of an on-chain credit platform intended to structure and scale programmable lending markets. The company's platform offers digital merchant banking capabilities with institutional underwriting, credit structuring expertise, and capital deployment alongside institutional partners, enabling blockchain-based credit issuers and institutional investors to access structured financing opportunities and expand participation in on-chain credit markets.</t>
  </si>
  <si>
    <t>Apollo.io, Castle Island Ventures, Maven 11, Neoclassic, Susquehanna, TeraWulf, The Venture Dept</t>
  </si>
  <si>
    <t>www.valinordigital.com</t>
  </si>
  <si>
    <t>399089-71</t>
  </si>
  <si>
    <t>Valon Mortgage</t>
  </si>
  <si>
    <t>Developer of a cloud-based mortgage servicing platform designed to optimize mortgage processing for consumers, originators, and investors and homeownership experience through technology. The company offers privacy-by-design technology infrastructure that connects loan originators, servicers, lenders, and payers and automates the requirements of servicing a mortgage including, but not limited to, disclosures, escrow, loss mitigation, and payoff, enabling clients to decrease costs in both originations and servicing and to ensure improved borrower experience and services for navigating forbearance.</t>
  </si>
  <si>
    <t>www.valon.com</t>
  </si>
  <si>
    <t>937480-42</t>
  </si>
  <si>
    <t>Valorem(Victoria)</t>
  </si>
  <si>
    <t>Provider of a cashless digital tipping and payment platform designed to automate the calculation, distribution, and digital receipt of employee tips in the hospitality industry. The company's platform integrates with time-and-attendance systems to deliver tips directly to employee digital wallets and prepaid cards while offering rewards and engagement tools for workers, enabling hospitality venues and casual staff to modernize tipping processes, improve financial accessibility, and streamline tip payments within the financial technology and workplace payment solutions market.</t>
  </si>
  <si>
    <t>Gandel Invest</t>
  </si>
  <si>
    <t>www.onthemonee.com</t>
  </si>
  <si>
    <t>554372-20</t>
  </si>
  <si>
    <t>Valstro</t>
  </si>
  <si>
    <t>Developer of an artificial intelligence-powered trading technology designed to allow traders to focus on the business of trading. The company's technology provides off-the-shelf connectivity to buy-sides, global brokers, and integrated market data by leveraging modern coding tools, secure cloud infrastructures, and propulsive, agile-based development methodology, enabling clients to filter data noise and get predictions for real-time requirements.</t>
  </si>
  <si>
    <t>EJF Ventures, Motive Partners, Portage</t>
  </si>
  <si>
    <t>www.valstro.com</t>
  </si>
  <si>
    <t>231088-51</t>
  </si>
  <si>
    <t>Valsys</t>
  </si>
  <si>
    <t>Developer of a valuation platform designed to assist in making data-driven decisions in valuation and estimation processes. The company's platform provides substantial improvements in terms of model accuracy, helps to understand and manage model risks, and demonstrates the relative effect each model input has had on the output, enabling valuation practitioners to have industry knowledge with the deep insights offered by machine learning and big data.</t>
  </si>
  <si>
    <t>Ashby Monk, Graphite Ventures, MaRS Investment Accelerator Fund, ScaleUP Ventures</t>
  </si>
  <si>
    <t>www.valsys.io</t>
  </si>
  <si>
    <t>741669-49</t>
  </si>
  <si>
    <t>Valuable Capital Group</t>
  </si>
  <si>
    <t>Developer of fintech technology and financial platform designed for individual and institutional clients. The company is committed to providing users with integrated, cross-market, multi-asset global investment services and investment-assisted tools, enable customers to realize the appreciation of their financial assets.</t>
  </si>
  <si>
    <t>ewpartner</t>
  </si>
  <si>
    <t>www.vcglg.com</t>
  </si>
  <si>
    <t>481319-20</t>
  </si>
  <si>
    <t>Value Map</t>
  </si>
  <si>
    <t>Developer of SaaS software designed for inclusive financing and supply chain finance. The company develops financial SaaS software to help small and medium financial institutions control risks, enabling users to improve risk management efficiency.</t>
  </si>
  <si>
    <t>Atom Ventures, BlissVine Ventures, BNK Venture Capital, Hana Financial Group, Seobu T&amp;D Company, Zizhu Xiaomiao PE</t>
  </si>
  <si>
    <t>www.valuemap.cn</t>
  </si>
  <si>
    <t>279907-39</t>
  </si>
  <si>
    <t>Value Simplex</t>
  </si>
  <si>
    <t>Developer of data intelligence platforms intended to improve investment research, data management, and business decision-making processes. The company offers data integration platforms, investment research tools, knowledge graph technology, big data processing capabilities, financial language models, and workflow automation tools, enabling asset management firms, financial institutions, and enterprise organizations to enhance research efficiency, manage complex data assets, and support data-driven decision-making.</t>
  </si>
  <si>
    <t>Ant Group, Brookstone Capital, Business-intelligence of Oriental Nations Corporation, CICC Pucheng, Gaorong Ventures, Harvest Capital Management (Beijing), Inspiration Capital Partners, Shanghai Fengshi Financial Services (Group), Shenzhen Capital Group, Xiaomi Ventures</t>
  </si>
  <si>
    <t>valuesimplex.com</t>
  </si>
  <si>
    <t>494488-72</t>
  </si>
  <si>
    <t>Vanq</t>
  </si>
  <si>
    <t>Operator of a digital financial platform designed for facilitating transactions. The company's platform combines different payment methods in each transaction, provides full control over card limits, and offers flexibility to make payments or purchases using bank slips, enabling users to simplify their day-to-day finances and be part of the digital economy</t>
  </si>
  <si>
    <t>André Palis, Chisel Venture Capital, Marco Kehdi, Opus Investimentos</t>
  </si>
  <si>
    <t>vanq.co</t>
  </si>
  <si>
    <t>103883-77</t>
  </si>
  <si>
    <t>Varidi</t>
  </si>
  <si>
    <t>Developer of a cloud-based payment management platform designed to offer guaranteed payment plans. The company's platform lets its users create additional revenue, eliminate risk at low cost, and manage payment plans with automated invoicing that will lower overhead and reduce bad debt, enabling businesses to be more accessible to customers and capture their loyalty to generate more revenue.</t>
  </si>
  <si>
    <t>John Suryan, Keiretsu Capital, Keiretsu Forum, Ken Miyoshi</t>
  </si>
  <si>
    <t>www.varidi.com</t>
  </si>
  <si>
    <t>749266-57</t>
  </si>
  <si>
    <t>Vast Menu</t>
  </si>
  <si>
    <t>Developer of an NFC and QR code payment platform intended to provide digital payment facilities for restaurants and cafes. The company's platform offers services including integrated payment services via QR Code and NFC, which facilitate transactions, enhance sales, raise ratings, and support retargeting, enabling customers to order without having to download applications, with menu management and instant modification, in addition to flexible electronic payment through cards and payment wallets.</t>
  </si>
  <si>
    <t>www.vastmenu.com</t>
  </si>
  <si>
    <t>530970-22</t>
  </si>
  <si>
    <t>Vault (United Arab Emirates)</t>
  </si>
  <si>
    <t>Operator of a private wealth management platform designed to offer personalized investment and advisory services for high-net-worth individuals. The company offers financial planning, portfolio management, investment analysis, goal tracking, cash flow management, and access to diversified investment options, enabling individual investors and families to make informed financial decisions, monitor investment performance, and build long-term wealth.</t>
  </si>
  <si>
    <t>Future100, Hub71, Outliers Venture Capital, Peak XV Partners, Sirius Investment holdings, Surge (Accelerator), Surge Ventures, TA Ventures</t>
  </si>
  <si>
    <t>www.vaultwealth.com</t>
  </si>
  <si>
    <t>1318201-03</t>
  </si>
  <si>
    <t>VaultPay</t>
  </si>
  <si>
    <t>Developer of a cross-border digital wallet and payment platform designed to support multi-currency money management and everyday transactions. The company enables users to hold and convert balances across currencies at real-time foreign exchange rates with transparent fees, send money internationally to contacts, pay utilities and subscriptions in different countries, issue and use cards through global payment networks, and organize, schedule, and split recurring bills in a single interface, enabling individuals and frequent international spenders to manage, transfer, and spend funds across borders from one account.</t>
  </si>
  <si>
    <t>www.getvaultpay.co</t>
  </si>
  <si>
    <t>533204-92</t>
  </si>
  <si>
    <t>Vaultpay (Financial Software)</t>
  </si>
  <si>
    <t>Developer of core payments infrastructure designed for banking and payments in Central Africa. The company's platform bridges the gap between banks and telcos assisting the distribution of financial services and bringing financial inclusion to underserved regions, offering instant payments, convenient banking services, and personalized solutions delivered through telcos' networks, enabling clients to facilitate secure data exchange, real-time transactions, and synchronized operations to improve the reach and impact of financial services.</t>
  </si>
  <si>
    <t>Tekedia Capital, Visa Accelerator, Y Combinator</t>
  </si>
  <si>
    <t>www.vaultpay.io</t>
  </si>
  <si>
    <t>619307-38</t>
  </si>
  <si>
    <t>VaultRight</t>
  </si>
  <si>
    <t>Developer of a digital platform designed to digitize old risk and control processes. The company's platform replaces outdated paper logbooks, manual keyboxes, and combination processes, tracks key activity, controls risk with teller audit automation, real-time alerts, dashboards, and robust reporting, helping banks and credit unions secure, streamline, and simplify branch operations, improve compliance and increase visibility and accountability.</t>
  </si>
  <si>
    <t>Independent Community Bankers of America</t>
  </si>
  <si>
    <t>www.vaultright.com</t>
  </si>
  <si>
    <t>607205-26</t>
  </si>
  <si>
    <t>Vayu</t>
  </si>
  <si>
    <t>Developer of a finance native platform designed to unify flexible pricing, billing, and revenue automation across the contract-to-cash lifecycle. The company's platform offers contract management, usage and outcome-based metering, invoicing, revenue recognition, payment collection, and data intelligence capabilities, enabling finance teams to independently manage monetization, improve revenue visibility, and support informed pricing and forecasting decisions without reliance on engineering resources.</t>
  </si>
  <si>
    <t>Flint Capital, Fresh.Fund, Secret Chord, The Garage (Israel)</t>
  </si>
  <si>
    <t>www.withvayu.com</t>
  </si>
  <si>
    <t>227801-89</t>
  </si>
  <si>
    <t>VCStock</t>
  </si>
  <si>
    <t>Developer of venture capital platform designed to provide financial investment products and services. The company's platform provides equity pledge, veteran transfer services, safe and reliable fixed income products which have ultra-low pledge discount rate and high yield, enabling investors to add value to their wealth.</t>
  </si>
  <si>
    <t>Newsion Venture Capital</t>
  </si>
  <si>
    <t>www.vcstock.cn</t>
  </si>
  <si>
    <t>498419-83</t>
  </si>
  <si>
    <t>Veend</t>
  </si>
  <si>
    <t>Operator of a fintech company intended to simplify the lending process through its loan orientation channels, which include unstructured supplementary service data, web, mobile app, atm, and point of sale. The company provides credit infrastructure that automates lending processes for lenders and connects them to borrowers through various origination channels, enabling clients to access credit easily and quickly.</t>
  </si>
  <si>
    <t>Berrywood Capital, First Circle Capital, Future Africa, Magic Fund, Resilience17, Techstars, The Oak Capital, Voltron Capital</t>
  </si>
  <si>
    <t>www.veendhq.com</t>
  </si>
  <si>
    <t>1242685-63</t>
  </si>
  <si>
    <t>Vela (Financial Software)</t>
  </si>
  <si>
    <t>Developer of digital business analytics platform services designed to support the linkage of operational actions with financial performance metrics. The company offers systems for the collection and processing of operational and financial data from business applications, enabling clients to link profit and loss targets to margin and cash actions.</t>
  </si>
  <si>
    <t>OSS Ventures</t>
  </si>
  <si>
    <t>www.vela-ai.app</t>
  </si>
  <si>
    <t>1276065-01</t>
  </si>
  <si>
    <t>Velix</t>
  </si>
  <si>
    <t>Operator of a financial operations platform designed for third-party logistics and supply chain operators to automate freight reconciliation, customer billing, and dispute management through agentic AI. The company offers a financial workflow suite that features penny-to-parcel attribution, enabling clients to manage contracts, catch billing variances, and eliminate revenue leakage.</t>
  </si>
  <si>
    <t>Accelia Capital, Luge Capital, StandUp Ventures</t>
  </si>
  <si>
    <t>www.tryvelix.com</t>
  </si>
  <si>
    <t>489935-08</t>
  </si>
  <si>
    <t>Velotax</t>
  </si>
  <si>
    <t>Developer of a digital platform designed to simplify the annual income tax declaration process and offer anticipation of tax refunds. The company's platform facilitates a guided questionnaire, automatic submission to tax authorities, refund anticipation loans, and real-time status alerts, enabling Brazilian taxpayers to file taxes quickly, securely, and with less hassle.</t>
  </si>
  <si>
    <t>Clocktower Ventures, Operator Partners, Picus Capital, Plug and Play Tech Center, QED Investors, Valor Capital Group</t>
  </si>
  <si>
    <t>www.velotax.com.br</t>
  </si>
  <si>
    <t>897234-40</t>
  </si>
  <si>
    <t>Velox</t>
  </si>
  <si>
    <t>Developer of a payment infrastructure platform designed for instant and accessible financial transactions across emerging markets. The company offers real-time settlement, flat transaction fees, automated reporting, smart alerts, and all-day availability, enabling small and medium-sized enterprises in Africa to bypass traditional banking delays, reduce operational complexity, improve financial transparency, and access markets with enhanced security and ease.</t>
  </si>
  <si>
    <t>www.velox.money</t>
  </si>
  <si>
    <t>731658-79</t>
  </si>
  <si>
    <t>VenBase</t>
  </si>
  <si>
    <t>Operator of a funding platform designed to simplify the fundraising process for early-stage startups. The company's platform offers an infrastructure to start a round, invite investors, and automate the process, enabling entrepreneurs to raise capital from their existing network and manage the funding process more efficiently.</t>
  </si>
  <si>
    <t>Openner</t>
  </si>
  <si>
    <t>www.venbase.io</t>
  </si>
  <si>
    <t>483666-40</t>
  </si>
  <si>
    <t>VenConnect</t>
  </si>
  <si>
    <t>Developer of an online payment gateway platform designed to facilitate early payments to vendors and suppliers. The company's platform features the ability to receive immediate payment for open approved invoices for a small discount and provides complete flexibility to adjust dynamic payment terms on an invoice-by-invoice basis based on individual needs, enabling business owners to decrease accounts payable workload, reduce cost and offer efficiencies and liquidity.</t>
  </si>
  <si>
    <t>www.myvenconnect.com</t>
  </si>
  <si>
    <t>498129-94</t>
  </si>
  <si>
    <t>Vendy</t>
  </si>
  <si>
    <t>Marketing Tech, Mobile Commerce, SaaS</t>
  </si>
  <si>
    <t>Developer of a digital commerce platform designed for facilitating sales through social messaging applications. The company's platform enables sellers to create virtual shops featuring browse inventory, place orders, automatic invoicing, in-app payments, and automated customer responses, and manage orders and customer information efficiently, enabling businesses sales operations without needing a separate e-commerce website.</t>
  </si>
  <si>
    <t>Hiro Capital, P1 Investment Services, Seedstars, TrechCircle, Velocity Digital, Ventures Platform, Voltron Capital, Y Combinator</t>
  </si>
  <si>
    <t>www.myvendy.com</t>
  </si>
  <si>
    <t>481708-18</t>
  </si>
  <si>
    <t>Venn (Toronto)</t>
  </si>
  <si>
    <t>Developer of an all-in-one banking platform designed for small-to-medium-sized businesses in Canada. The company's software allows users to open a checking account, set permissions to manage spending and control finances, store vendor and financial data across systems, send and receive international payments, and access every transaction to gain real-time visibility into finances, enabling businesses to launch their start-up and scale their business without enduring the financial headache.</t>
  </si>
  <si>
    <t>Fin Capital, Gradient Ventures, Intact Ventures, Left Lane Capital, Pathlight Ventures, The Fintech Fund, Thirdbase Capital, XYZ Venture Capital</t>
  </si>
  <si>
    <t>www.venn.ca</t>
  </si>
  <si>
    <t>515727-64</t>
  </si>
  <si>
    <t>Vennre</t>
  </si>
  <si>
    <t>Operator of a digital wealth management platform intended to make real estate investing simple, accessible, and transparent. The company's platform helps to create transparency and control for each investor to build and manage their custom investment portfolio across asset classes and currencies, enabling accredited investors to access professionally managed, private real estate transactions across property types and risk profiles.</t>
  </si>
  <si>
    <t>500 Global, ACE &amp; Company (Geneva), ANB Capital, Plus Venture Capital, Sanabil 500 MENA Seed Accelerator, Vision Ventures (Saudi Arabia)</t>
  </si>
  <si>
    <t>www.vennre.com</t>
  </si>
  <si>
    <t>264559-69</t>
  </si>
  <si>
    <t>VentiPay</t>
  </si>
  <si>
    <t>Developer of a payment platform designed for online merchants. The company's platform offers services such as buy now pay later payments, card payments, recurring payments, payment links, and quick response-based payments, enabling clients to pay in installments as per their convenience.</t>
  </si>
  <si>
    <t>Addwise, Start-Up Chile, Unpopular Ventures</t>
  </si>
  <si>
    <t>www.ventipay.com</t>
  </si>
  <si>
    <t>102574-36</t>
  </si>
  <si>
    <t>Venture Villa</t>
  </si>
  <si>
    <t>Operator of a acceleration platform intended to support startups in realizing seed financing. The company's platform offers coaching, mentoring, and workshops, as well as a broad investor network and a hundred-day program that helps teams to focus on their work and grow business models, enabling startups to get assistance and encouragement for business development.</t>
  </si>
  <si>
    <t>Hannoverimpuls, Lower Saxony Ministry of Economic Affairs</t>
  </si>
  <si>
    <t>www.venturevilla.de</t>
  </si>
  <si>
    <t>82057-06</t>
  </si>
  <si>
    <t>Venture360</t>
  </si>
  <si>
    <t>Developer of a private equity portfolio management tool designed to make investing in private companies easy. The company's tool helps to build an online community, manage deal pipeline, take commitments, close investments, and handle the task of investor reporting, enabling individuals, angel groups, and venture capital organizations to manage funds, set minimum funding criteria, and track portfolio performance with complete back-office fund management.</t>
  </si>
  <si>
    <t>9Mile Labs, Connetic Ventures, Johnson Venture Partners, LaunchKC, Missouri Technology Corporation, Tech Venture Studio, Watson Technology Group</t>
  </si>
  <si>
    <t>www.venture360.co</t>
  </si>
  <si>
    <t>519098-50</t>
  </si>
  <si>
    <t>VeraDAT</t>
  </si>
  <si>
    <t>Developer of a financial crime detection platform designed to combat fraud, money laundering, and financing of terrorism. The company's platform offers features such as requests for potential customers to assess risk, delta alerts to detect when an existing client is added, an encrypted message module, the democratization of information, a privacy-by-design framework, real-time data, and more, enabling financial institutions to access clients' background information.</t>
  </si>
  <si>
    <t>www.veradat.com</t>
  </si>
  <si>
    <t>494353-36</t>
  </si>
  <si>
    <t>Verde Finance</t>
  </si>
  <si>
    <t>Developer of an investment analytics platform designed to provide financial literacy and build generational wealth. The company's platform offers an investment research site, a social investment platform, and a community for financial literacy, enabling users to have access to democratized financial analytics with social media.</t>
  </si>
  <si>
    <t>Balaji Jayakumar</t>
  </si>
  <si>
    <t>verde.finance</t>
  </si>
  <si>
    <t>593581-42</t>
  </si>
  <si>
    <t>Verdea</t>
  </si>
  <si>
    <t>Artificial Intelligence &amp; Machine Learning, CleanTech, CloudTech &amp; DevOps, FinTech</t>
  </si>
  <si>
    <t>Developer of an AI-powered regulation technology and compliance platform designed to help companies automate and scale complex regulatory decision tasks. The company's platform uses machine learning to extract, organize, and interpret relevant data by simplifying regulatory compliance into machine-readable formats, enabling businesses to automate parts of their compliance processes, interpret regulations, and make informed decisions.</t>
  </si>
  <si>
    <t>Daniel Wülbern, Techsoft Invest</t>
  </si>
  <si>
    <t>www.verdea.app</t>
  </si>
  <si>
    <t>268570-45</t>
  </si>
  <si>
    <t>Verdigris Holdings</t>
  </si>
  <si>
    <t>Provider of banking services intended to deliver low-cost and transparent banking that profitably brings underserved communities into the financial mainstream. The company offers digital technology to banks and unions to introduce new products with efficient features and benefits, enabling low and moderate-income consumers and businesses to grow.</t>
  </si>
  <si>
    <t>FIFO (Peoria), Sterling National Bank, Tom Ricketts</t>
  </si>
  <si>
    <t>www.verdigrisholdings.com</t>
  </si>
  <si>
    <t>1242185-95</t>
  </si>
  <si>
    <t>Veriad</t>
  </si>
  <si>
    <t>Operator of an artificial intelligence-powered marketing compliance platform intended to automate and streamline the review of content against regulatory, brand, and internal policy standards. The company's platform offers automated compliance checks, instant detailed reports, custom rule criteria configuration, secure content upload, digital asset management integration, and actionable recommendations, enabling marketing teams to accelerate campaign launches while maintaining compliance and brand integrity.</t>
  </si>
  <si>
    <t>N1 (Prague), Y Combinator</t>
  </si>
  <si>
    <t>www.veriad.com</t>
  </si>
  <si>
    <t>509061-25</t>
  </si>
  <si>
    <t>VeriFast</t>
  </si>
  <si>
    <t>Developer of a fintech technology verification platform designed for verifying the financial ability of tenants and borrowers. The company's platform provides open banking technology and real-time cashflow analysis, including bank statement verification, paystub verification, and ID verification, enabling people to make more informed decisions about whom to rent to or lend money to for things like mortgages and rentals more equitably.</t>
  </si>
  <si>
    <t>M3 Financial Group, Michael Sarracini, Scott McGillivray, Susan Livermore, Tim Ray</t>
  </si>
  <si>
    <t>www.verifast.com</t>
  </si>
  <si>
    <t>459301-78</t>
  </si>
  <si>
    <t>Verituity</t>
  </si>
  <si>
    <t>Developer of a low-code verified digital payment platform designed to power first-time and on-time payouts. The company's platform allows banks to create a distinctive digital payout for their business clients that provides payment choice, identity verification, account validation, and end-to-end visibility, enabling clients to enhance and optimize their payment experiences.</t>
  </si>
  <si>
    <t>Ardent Venture Partners, Bank of New York Mellon, Forgepoint Capital, MTech Capital, Sandbox Industries</t>
  </si>
  <si>
    <t>www.verituity.com</t>
  </si>
  <si>
    <t>432608-68</t>
  </si>
  <si>
    <t>Verqor</t>
  </si>
  <si>
    <t>AgTech, FinTech, LOHAS &amp; Wellness, Mobile, SaaS</t>
  </si>
  <si>
    <t>Developer of an agriculture-based financial platform designed to offer farm loans. The company's platform allows farmers to buy all the agro supplies and machinery on credit, financial institutions to place low-risk credits in agro based on alternative credit score criteria, and crop buyers to receive quality crops, enabling clients to have improved control and transparency in the supply chains.</t>
  </si>
  <si>
    <t>100+ Accelerator, Accion, Amplifica Capital, Angel Hub, Anheuser-Busch InBev, Capria Ventures, Cartier Women's Initiative, Century Oak Ventures, Co_Capital, Colaborativo, GLOCAL (Argentina), Magma Partners, MANA Tech, MassChallenge, Mercy Corps, MGV Capital Group, SP Ventures, The Ark Fund, The Yield Lab Latam, Yara Growth Ventures</t>
  </si>
  <si>
    <t>www.verqor.com</t>
  </si>
  <si>
    <t>501935-23</t>
  </si>
  <si>
    <t>Versana</t>
  </si>
  <si>
    <t>Developer of a loan data platform intended to bring transparency, efficiency, and velocity to the syndicated loan market. The company's platform provides real-time insight into loan-level details and portfolio positions by digitally capturing agent banks' reference data directly from its source, enabling clients to eliminate discrepancies by having direct digital access.</t>
  </si>
  <si>
    <t>Apollo Global Management, Bank of America, Barclays, BNP Paribas, Citigroup, Deutsche Bank, Deutsche Bank Ventures, Fitch Ventures, J.P. Morgan, MassMutual Ventures, Morgan Stanley, Motive Partners, U.S. Bancorp, Wells Fargo</t>
  </si>
  <si>
    <t>www.versana.io</t>
  </si>
  <si>
    <t>437712-67</t>
  </si>
  <si>
    <t>Vertical (Financial Software)</t>
  </si>
  <si>
    <t>Construction Technology, FinTech, Real Estate Technology, SaaS</t>
  </si>
  <si>
    <t>Developer of a financial software intended for construction projects. The company's platform solves project budgeting, waiver creation, and collection issues and allows tracking of payments throughout the life of the project, enabling owners and contractors to draft, finalize, and disburse payments.</t>
  </si>
  <si>
    <t>First American Financial</t>
  </si>
  <si>
    <t>www.heyvertical.io</t>
  </si>
  <si>
    <t>523250-20</t>
  </si>
  <si>
    <t>Verto</t>
  </si>
  <si>
    <t>Developer of a payment platform designed to simplify and secure transactions for individuals, groups, service providers and businesses in Canada. The company offers multiple payment methods, including scheduled and recurring payments, bill splitting and QR codes, enabling users with a convenient and reliable way to transfer money.</t>
  </si>
  <si>
    <t>Conconi Growth Partners</t>
  </si>
  <si>
    <t>www.ver.to</t>
  </si>
  <si>
    <t>407222-65</t>
  </si>
  <si>
    <t>Vesicash</t>
  </si>
  <si>
    <t>Developer of a platform designed to facilitate digital payment processing for global merchants across Africa. The company offers seamless cross-border transaction capabilities, robust security infrastructure, and integration with multiple payment methods, enabling international businesses across the continent to conduct reliable and efficient digital commerce.</t>
  </si>
  <si>
    <t>Forbes8 Digital Startup Accelerator, GreenHouse Capital, HiiL Justice Accelerator, Ingressive (Nigeria), Meltwater Entrepreneurial School of Technology</t>
  </si>
  <si>
    <t>www.vesicash.com</t>
  </si>
  <si>
    <t>510255-10</t>
  </si>
  <si>
    <t>Vessel Funds</t>
  </si>
  <si>
    <t>Developer of an artificial intelligence-powered fund and investor management platform designed to improve financial operations and processes. The company's platform offers tools to automate reporting processes, preparation work for investor calls, and compliance procedures at every stage of fund management, for scouting limited partners, onboarding, managing co-investment opportunities, and monitoring fund performance, enabling general partners and limited partners to focus on investor relationship building and improve efficiency.</t>
  </si>
  <si>
    <t>Afore Capital, B&amp;Y Venture Partners, FJ Labs, Four Cities Capital, Golden Ventures, Inovia Capital, Telegraph Hill Capital</t>
  </si>
  <si>
    <t>www.vessel.co</t>
  </si>
  <si>
    <t>467647-75</t>
  </si>
  <si>
    <t>Vest</t>
  </si>
  <si>
    <t>Operator of an online trading platform intended for buying, selling, and trading different assets around the world. The company's platform allows users to invest in US stocks, ETFs, and REITs with zero brokerage fees, low fees, and transparent pricing, enabling Brazilian users to easily and securely diversify their portfolios and gain exposure to the US stock market.</t>
  </si>
  <si>
    <t>AlleyCorp, Angel Ventures Mexico, Brian Barnes, Carlos Martin, Class 5 Global, Elisa Bad, FJ Labs, Florian Hagenbuch, Founders Fund, Guillermo Ochoa, Incite Ventures (San Francisco), Latitud, Marathon Ventures (Colombia), Mountain Partners, Nazca, Nichol Barawid, Ravid Chowdhury, RC Ventures (New York), Spectra Investments, Tamarack Global</t>
  </si>
  <si>
    <t>www.vest.investments</t>
  </si>
  <si>
    <t>233861-59</t>
  </si>
  <si>
    <t>Vestberry</t>
  </si>
  <si>
    <t>Developer of a portfolio management and intelligence software intended for VC investors seeking a data-driven advantage. The company's software offers automation in workflow, reporting, and communication with limited partners and provides analytics to make better investment decisions, enabling investors to evolve their information management powered by AI.</t>
  </si>
  <si>
    <t>CB Investment Management, Haflo, Martin Hauge, Monopoly Ventures, Seed Start era Slovenská sporiteľna, Seed Starter ČS, Slovak Investment Holding, Tenity, Venture to Future Fund, VentureOut, Vision Ventures (Slovakia), Zero One Hundred</t>
  </si>
  <si>
    <t>vestberry.com</t>
  </si>
  <si>
    <t>490886-20</t>
  </si>
  <si>
    <t>Vesti</t>
  </si>
  <si>
    <t>Developer of a legal and financial platform intended to offer legal and financial services for humans going global. The company's platform solves financial payments and migration-related fee settlement for the NeoHuman on the move and their payment channels and processes are swift and effective, enabling users to move around the globe without the hassle of currency transfer procedures.</t>
  </si>
  <si>
    <t>Community Safety &amp; Wellness Accelerator, GB Digitals, Hard Yaka, Healthcap Africa, Microtraction, Midlothian Angel Network, Olugbenga Agboola, Oxygen Group, Prunedge, Resilience17, Techstars, Terramax Ventures</t>
  </si>
  <si>
    <t>wevesti.com</t>
  </si>
  <si>
    <t>504051-31</t>
  </si>
  <si>
    <t>Vesti (Financial Software)</t>
  </si>
  <si>
    <t>Developer of an investing chat application designed to share portfolios and trades. The company's application secures connections to existing brokerage accounts as well as protects personal and brokerage data, enabling investors to chat, discover trending stocks and crypto, and follow friends' and experts' verified portfolios, trades, and models.</t>
  </si>
  <si>
    <t>www.vestisocial.com</t>
  </si>
  <si>
    <t>509603-95</t>
  </si>
  <si>
    <t>Vesto (Business/Productivity Software)</t>
  </si>
  <si>
    <t>Developer of a financial technology company designed to simplify treasury management for companies with multiple entities and bank accounts. The company offers a modern treasury management system with a focus on ease of use and data, enabling companies to connect, control, and monitor all their finances from a single platform, eliminating the need for manual data entry and logins to multiple bank accounts.</t>
  </si>
  <si>
    <t>Coalition Operators, Contrary (San Francisco), Cory Levy, Hawktail, JAM Fund, Joshua Browder, Pack Ventures, Susa Ventures, SV Angel, Tiny Capital</t>
  </si>
  <si>
    <t>www.vesto.com</t>
  </si>
  <si>
    <t>600321-70</t>
  </si>
  <si>
    <t>VetraFi</t>
  </si>
  <si>
    <t>Operator of a banking platform designed to serve the financial needs of service members and veterans. The company offers cashback on purchases, fee-free global ATM withdrawals and money transfers, credit-building tools, and a financial dashboard, enabling military personnel and veteran users to manage spending, build credit, and save with clarity and ease.</t>
  </si>
  <si>
    <t>Context Ventures, Everywhere Ventures, Evolution VC Partners, Hard Yaka, Hustle Fund, Matchpoint Venture Partners, Ossian Capital, The Veteran Fund</t>
  </si>
  <si>
    <t>www.vetrafi.com</t>
  </si>
  <si>
    <t>514997-65</t>
  </si>
  <si>
    <t>Vezgo</t>
  </si>
  <si>
    <t>Developer of a financial platform designed to integrate with cryptocurrency exchanges and wallets. The company's platform provides the tools to connect with users' data from every part of the crypto ecosystem, such as centralized exchanges, wallets, non-fungible tokens, and blockchains, enabling users to easily connect digital assets and track their entire portfolio in a single place.</t>
  </si>
  <si>
    <t>Andrew Izyumov, Bitnomic Capital, Chouinard Family Office, Flinks, Government of Canada, Harvard Alumni Entrepreneurs Accelerator, Hub71, M2S Capital, Rachid Ajaja</t>
  </si>
  <si>
    <t>www.vezgo.com</t>
  </si>
  <si>
    <t>483501-07</t>
  </si>
  <si>
    <t>Viceversa</t>
  </si>
  <si>
    <t>Provider of financing services intended for growing companies to have access to non-dilutive and guarantee-free capital options. The company connects directly to the company's accounts to receive the data required to make investment management and decisions, enabling clients to have funding based on transparency and technology by supporting companies in sustainable and ethical growth.</t>
  </si>
  <si>
    <t>1818 Venture Capital, Apside (EU), Azimut Libera Impresa, B-Yond Ventures, CDP Venture Capital (Rome), Digital Magics, Endeavor Italy, Enrico Giacomelli, Enrico Pandian, Fabrick, Fasanara Capital, FNDX, Italian Angels for Growth, Kairos Partners, Paolo Galvani, Pathfinder Investor, PostFinance Ventures, Raffaele Terrone, Roberto Ferrari, TMT Investments, Visa Innovation Program, Zest Group</t>
  </si>
  <si>
    <t>www.goviceversa.com</t>
  </si>
  <si>
    <t>641573-38</t>
  </si>
  <si>
    <t>Vico</t>
  </si>
  <si>
    <t>Operator of an AI-based digital savings software designed for bill payment and energy cost management purposes. The company's software offers tools for tracking consumption, comparing rates, analyzing savings opportunities, and automating contract renewals, enabling residential and commercial users to optimize their electricity expenses efficiently and with greater transparency.</t>
  </si>
  <si>
    <t>Angels Capital, Lanzadera Accelerator, Marina de Empresas, Not Boring, Real Automóvil Club de Cataluña</t>
  </si>
  <si>
    <t>www.vicoahorro.com</t>
  </si>
  <si>
    <t>58611-97</t>
  </si>
  <si>
    <t>Viewpost</t>
  </si>
  <si>
    <t>Developer of a digital payment platform designed to convert enterprise B2B check payments into secure electronic transactions without disrupting existing payment systems or provider relationships. The company's platform offers real-time check-to-digital conversion, AI-driven supplier enrollment, and seamless file-based integration, enabling finance and accounts payable departments in organizations to eliminate paper checks, reduce fraud risk, and generate cost savings without process changes.</t>
  </si>
  <si>
    <t>Foley Ventures, Osceola Capital Management</t>
  </si>
  <si>
    <t>www.viewpost.com</t>
  </si>
  <si>
    <t>465527-89</t>
  </si>
  <si>
    <t>Vig Labs</t>
  </si>
  <si>
    <t>Developer of a consumer-focused investment information platform designed to offer custom alerts, algorithms, market indicators and content channels on a subscription basis. The company's platform facilitates users to get real-time market data flows and use algorithms to gain investing knowledge, insight and success, enabling investors to make smarter decisions with their money and identify appropriate investing opportunities.</t>
  </si>
  <si>
    <t>Five Points Family Ventures, Florida Funders, Institute for Commercialization of Florida Technology</t>
  </si>
  <si>
    <t>www.viglabs.xyz</t>
  </si>
  <si>
    <t>951505-48</t>
  </si>
  <si>
    <t>Vigil Labs</t>
  </si>
  <si>
    <t>Developer of algorithmic trading systems intended for data-driven financial analysis and execution. The company builds proprietary infrastructure that integrates artificial intelligence models, high-performance computing, and real-time data processing to support autonomous decision-making in trading environments, enabling institutional investors and quantitative analysts to optimize strategy development, reduce latency, and enhance predictive accuracy across volatile market conditions.</t>
  </si>
  <si>
    <t>AIX Ventures, Cyan Banister, Jack Altman, Kevin Hartz, Lux Capital, Micky Malka, Nova Nexus, Pantera Capital, Soma Capital, SV Angel, Tarek Mansour, Valor Equity Partners</t>
  </si>
  <si>
    <t>vigillabs.ai</t>
  </si>
  <si>
    <t>496128-07</t>
  </si>
  <si>
    <t>Vinlivt</t>
  </si>
  <si>
    <t>Developer of a financial advice platform designed to simplify financial provision. The company's application combines saving, investing, and hedging in one app, and an integrated messenger service that will be used to communicate with financial experts and exchange data securely, enabling users to control expenses by connecting bank accounts and ensuring optimal insurance protection.</t>
  </si>
  <si>
    <t>Daniel Feyler, Herbert Nissel, Next Commerce Accelerator, Oliver Herrmann, Tenity, Tim Bütecke, Torsten Oletzky, Vealo Ventures</t>
  </si>
  <si>
    <t>www.vinlivt.de</t>
  </si>
  <si>
    <t>399689-92</t>
  </si>
  <si>
    <t>Visabit</t>
  </si>
  <si>
    <t>Developer of a business travel and expense-management company designed to manage employee mobility, travel bookings, and business expenses through a digital platform. The company offers tools for business travel booking, expense tracking, corporate cards, invoicing, and reporting, enabling clients to record expenses, manage travel costs, and centralize company spending data.</t>
  </si>
  <si>
    <t>www.visabit.it</t>
  </si>
  <si>
    <t>458531-47</t>
  </si>
  <si>
    <t>Viseeon</t>
  </si>
  <si>
    <t>Operator of an accounting firm intended to create a network of entrepreneurial accountants specializing in relationship marketing. The company's platform includes independent chartered accountants who provide all its experts with incomparable technological power, making available digital tools of the market directly accessible, enabling accountants to simplify the day-to-day management of the office and the digitalization of the accountant community.</t>
  </si>
  <si>
    <t>www.join-viseeon.com</t>
  </si>
  <si>
    <t>532879-03</t>
  </si>
  <si>
    <t>Visory</t>
  </si>
  <si>
    <t>Provider of bookkeeping and payroll services intended to streamline company finances and manage the back office. The company offers services like bookkeeping, payroll, reminding of payment due dates, invoice handling, business insights, and getting visibility into the entire financial back office through expert reporting and actionable insights to reach business goals, enabling organizations to focus on spot areas needed for growth and make the right decisions.</t>
  </si>
  <si>
    <t>OIF Ventures</t>
  </si>
  <si>
    <t>www.visory.com.au</t>
  </si>
  <si>
    <t>739634-41</t>
  </si>
  <si>
    <t>Vivox AI</t>
  </si>
  <si>
    <t>Developer of an artificial intelligence compliance platform designed to automate repetitive financial crime and regulatory review tasks for compliance teams. The company's platform offers pre-trained AI agents that handle tasks such as screening, onboarding checks, adverse media review, sanctions monitoring, and document analysis, enabling regulated financial institutions to accelerate onboarding and conduct compliance checks with reduced manual effort and consistent regulatory alignment.</t>
  </si>
  <si>
    <t>Axel Weber, DataMining Tech, Kos Stiskin, Startup Wise Guys</t>
  </si>
  <si>
    <t>www.vivox.ai</t>
  </si>
  <si>
    <t>706742-20</t>
  </si>
  <si>
    <t>Vixichain</t>
  </si>
  <si>
    <t>Developer of a blockchain platform intended to bridge the gap between traditional financial systems and Web3. The company offers built-in compliance contracts, decentralized financial applications, stable tokens, and related blockchain infrastructure, enabling users to streamline transaction processing and minimize costs, ensuring reserve verification and execution.</t>
  </si>
  <si>
    <t>vixichain.org</t>
  </si>
  <si>
    <t>483206-50</t>
  </si>
  <si>
    <t>Vixtra</t>
  </si>
  <si>
    <t>Developer of a payment gateway platform designed to simplify international transactions. The company's platform offers instant payment and bank account verification as well as facilitates transactions via several methods, including credit and debit cards, enabling businesses to make bulk outbound payments to multinational suppliers in a hassle-free manner.</t>
  </si>
  <si>
    <t>Actyus, BlueStone Venture Partners, BluStone, Endeavor Promessas, Google Accelerator, Gustavo Jobim, Headline, Itaú Unibanco Holding, Mauro Negrete, NXTP Ventures, QED Investors, Sertrading, SIMMA Capital, Valor Capital Group</t>
  </si>
  <si>
    <t>www.vixtra.com</t>
  </si>
  <si>
    <t>265247-65</t>
  </si>
  <si>
    <t>VNX</t>
  </si>
  <si>
    <t>Operator of an asset-backed token issuance and investment platform intended for tokenized venture capital assets. The company's platform offers features such as a financial ecosystem, the ability to sell shares of startup portfolios or funds as tokens, improved fundraising channels, and other related features, enabling investors to access a new asset class and a user-friendly entry into venture capital investing.</t>
  </si>
  <si>
    <t>2be.lu Investments, Hansae Yes24 Holdings, Newborn Ventures, Stellar (Financial Software), Woori Technology Investment Company</t>
  </si>
  <si>
    <t>www.vnx.li</t>
  </si>
  <si>
    <t>865691-38</t>
  </si>
  <si>
    <t>Volante Chain</t>
  </si>
  <si>
    <t>Developer of a crypto-powered earned wage access platform designed to revolutionize traditional payroll systems by offering instant, flexible access to earned wages. The company offers real-time payroll solutions and earned wage access by leveraging blockchain technology and artificial intelligence, enabling customers to receive their daily wages instantly, improve financial liquidity, reduce reliance on predatory short-term loans and gain greater financial flexibility and control over their earnings.</t>
  </si>
  <si>
    <t>www.volantechain.com</t>
  </si>
  <si>
    <t>463149-91</t>
  </si>
  <si>
    <t>VoloFin (Specialized Finance)</t>
  </si>
  <si>
    <t>Operator of a fintech for invoice financing and supply chain platform intended to bridge the gap between SMEs and global investors by using a new-age tool. The company's platform utilizes blockchain technology with AI capabilities to support companies by providing instant liquidity by unlocking their cash stuck in unpaid invoices, enabling firms to access invoice financing and focus on running their business.</t>
  </si>
  <si>
    <t>www.volofincorp.com</t>
  </si>
  <si>
    <t>128185-30</t>
  </si>
  <si>
    <t>Volos</t>
  </si>
  <si>
    <t>Developer of an asset allocation strategy platform designed for designing and enhancing investment strategies. The company's platform provides financial indexes and technology for institutional investors and allows investment managers to supplement their portfolios with nonstandard derivative products and express their predictions on the future price level of certain assets and outputs, enabling users to increase their wealth and prosper.</t>
  </si>
  <si>
    <t>www.volossoftware.com</t>
  </si>
  <si>
    <t>462153-97</t>
  </si>
  <si>
    <t>Vomsis</t>
  </si>
  <si>
    <t>Developer of an application-based open banking platform intended for aggregating bank accounts. The company's platform allows users to link and aggregate multiple bank accounts to view and monitor balances, deposits, transactions and payments and offers features that include user authorization, tracking accounts and notification about deposits and withdrawals, enabling users to avail of smart bank assistance and security of their data along with accessibility and time-saving facilities.</t>
  </si>
  <si>
    <t>Albaraka Garaj, APY Ventures, TEB Girisim Evi</t>
  </si>
  <si>
    <t>www.vomsis.com</t>
  </si>
  <si>
    <t>463230-82</t>
  </si>
  <si>
    <t>Vórtx Distribuidora de Títulos e Valores Mobiliários</t>
  </si>
  <si>
    <t>Provider of tech-enabled corporate and trust services intended to offer infrastructure for capital markets focused on technology. The company's offering includes services in areas such as corporate trust, focusing on fiduciary agents, asset custody, and transfer agent services, funds trust, concentrating on fund administration and qualified services; and clearing agent, bookkeeping, and legal representation and custody for non-resident investors, enabling clients to reduce the margin of operational errors that could occur throughout the process.</t>
  </si>
  <si>
    <t>Eduardo Glitz, FTV Capital, HIX Capital, Marcelo Maisonnave, NVA Capital, Pedro Englert, Treecorp Investimentos</t>
  </si>
  <si>
    <t>www.vortx.com.br</t>
  </si>
  <si>
    <t>447078-61</t>
  </si>
  <si>
    <t>Vosbor Exchange</t>
  </si>
  <si>
    <t>Operator of an agricultural trading platform intended to manage international trade logistics and settlement. The company's digital grain and oilseed trading platform is built on blockchain technology that allows users to reconcile trade data and securely share documents against a smart contract by connecting buyers and sellers, enabling clients to successfully execute trade, finance, and shipping.</t>
  </si>
  <si>
    <t>7percent Ventures, Athos Capital, FJ Labs, Lux Capital, Market One Capital, Nucleus Capital</t>
  </si>
  <si>
    <t>www.vosbor.ai</t>
  </si>
  <si>
    <t>483513-04</t>
  </si>
  <si>
    <t>VOX Funding</t>
  </si>
  <si>
    <t>Developer of a financing platform designed to provide fast and flexible capital access for small and medium-sized businesses. The company offers tailored funding options with quick approval processes, enabling small and medium-sized businesses to access timely capital and grow their operations without delays.</t>
  </si>
  <si>
    <t>High Water Venture Partners, Joint Effects</t>
  </si>
  <si>
    <t>www.voxfunding.com</t>
  </si>
  <si>
    <t>1308516-49</t>
  </si>
  <si>
    <t>Voyager AI</t>
  </si>
  <si>
    <t>Developer of an artificial intelligence platform designed to automate and coordinate commercial lending processes within financial institutions. The company offers a secure intelligence layer, system integration capabilities, regulatory and privacy rule enforcement, and workflow orchestration tools, enabling banks and other financial institutions to connect disconnected systems and manage lending operations with improved process efficiency and team coordination.</t>
  </si>
  <si>
    <t>gBETA, Mastercraft Ventures</t>
  </si>
  <si>
    <t>www.voyagerai.us</t>
  </si>
  <si>
    <t>437060-53</t>
  </si>
  <si>
    <t>VP Dai</t>
  </si>
  <si>
    <t>Developer of an installment loans application intended for automobiles. The company's application allows users to purchase new car or used car by installment payment plan, enabling users to self-apply and get car loans in a short time.</t>
  </si>
  <si>
    <t>JadeValue Incubator</t>
  </si>
  <si>
    <t>www.vpdai.com</t>
  </si>
  <si>
    <t>453339-64</t>
  </si>
  <si>
    <t>VPD Money</t>
  </si>
  <si>
    <t>Developer of a financial platform designed to digitize banking services. The company's platform allows users to convert their cash and send and receive money, using borderless accounts, and with no transfer fees, extra charges, or hidden costs, it also provides practical payroll payment services to businesses, enabling users and businesses to fulfill their banking requirements through a single platform.</t>
  </si>
  <si>
    <t>Expert DOJO, Nigerian Sovereign Investment Authority, Pacer Ventures</t>
  </si>
  <si>
    <t>www.vpd.money</t>
  </si>
  <si>
    <t>507359-17</t>
  </si>
  <si>
    <t>Vyzer</t>
  </si>
  <si>
    <t>Developer of a portfolio management platform designed for financial visibility. The company's platform allows tracking, monitoring, and gaining insights into where the money is going and how to best maximize its potential, enabling investors to project and make informed investment decisions.</t>
  </si>
  <si>
    <t>iAngels, Jonathan Kolber, Moneta Venture Capital, Rafi Gidron</t>
  </si>
  <si>
    <t>www.vyzer.co</t>
  </si>
  <si>
    <t>533221-57</t>
  </si>
  <si>
    <t>Wadaie</t>
  </si>
  <si>
    <t>Operator of a financial platform intended to connect depositors to increase investment in savings deposits. The company platform provides investment opportunities for depositors without the need to open new accounts at other banks, enabling clients to earn returns on Shariah-compliant time deposits and access diverse sources of liquidity.</t>
  </si>
  <si>
    <t>Alinma Bank, Arab National Bank, Bunat Ventures, Graphene Ventures, Plug and Play Tech Center, RZM Investment, VentureSouq</t>
  </si>
  <si>
    <t>www.wadaie.com</t>
  </si>
  <si>
    <t>103639-15</t>
  </si>
  <si>
    <t>Wadiz</t>
  </si>
  <si>
    <t>Operator of a product and equity-based crowdfunding platform intended to offer funds to creative projects. The company's platform offers product and equity crowdfunding options for entrepreneurs and start-ups, enabling businesses to fund their projects and investors to access innovative companies early.</t>
  </si>
  <si>
    <t>A Ventures, DS Asset Management, DT &amp; Investment, G.N. Tech Venture Capital, Hana Ventures, ID Ventures (South Korea), Korea Development Bank, L&amp;S Venture Capital, Neoplux, Shinhan Bank, Shinhan Venture Investment, Smilegate Investment, STIC Investments, STIC Ventures, Trust Venture Investment</t>
  </si>
  <si>
    <t>www.wadiz.kr</t>
  </si>
  <si>
    <t>462786-13</t>
  </si>
  <si>
    <t>Wafeer</t>
  </si>
  <si>
    <t>Developer of a finance management platform designed to track users' expenses. The company's platform monitors expenses and offers detailed reports of purchases and payments automatically and intelligently without manual entry, enabling users to easily control their expenses and increase their savings.</t>
  </si>
  <si>
    <t>Nama Ventures, Plus Venture Capital, Women Spark, Yaser Alghamdi</t>
  </si>
  <si>
    <t>www.wafeer.net</t>
  </si>
  <si>
    <t>518946-67</t>
  </si>
  <si>
    <t>Wafeq</t>
  </si>
  <si>
    <t>Developer of a SaaS-based accounting and e-invoicing platform designed to provide business owners with a single dashboard view of their finances across all their branches. The company's platform allows to send customized invoices, quotes and purchase orders, file VAT returns, collaborate with team members, generate financial reports, enter data in bulk and manage inventory and payroll, enabling business owners and accountants to manage financial records and ensure compliance with local regulations.</t>
  </si>
  <si>
    <t>BNVT Capital, Garry Turner, NOMD Holdings, Raed Ventures, Wamda Capital</t>
  </si>
  <si>
    <t>www.wafeq.com</t>
  </si>
  <si>
    <t>467237-08</t>
  </si>
  <si>
    <t>Wafii</t>
  </si>
  <si>
    <t>Developer of a financial platform intended to help users earn meaningful rewards from a large network of merchants. The company's platform helps users to pay using multiple payment methods, including bank points, credit cards, debit cards, and e-wallets, and has features like data encryption and contactless payments, enabling users to pay merchants in a contactless manner without even needing their wallet.</t>
  </si>
  <si>
    <t>BeyondCapital, GMS Holding</t>
  </si>
  <si>
    <t>wafii.co</t>
  </si>
  <si>
    <t>463096-63</t>
  </si>
  <si>
    <t>Wagetap</t>
  </si>
  <si>
    <t>Developer of payment management software designed to provide on-demand pay to employees. The company's software helps businesses to allow their workers to track their earnings to date and draw part of their pay before payday, enabling users to maintain financial flexibility to manage unexpected expenses.</t>
  </si>
  <si>
    <t>AfterWork Ventures, First Avenue Ventures (Melbourne), Global Founders Capital, Goodwater Capital, Jelix Ventures, Rocket Internet, Y Combinator</t>
  </si>
  <si>
    <t>www.wagetap.com</t>
  </si>
  <si>
    <t>978594-31</t>
  </si>
  <si>
    <t>WAIWIN</t>
  </si>
  <si>
    <t>Developer of a digital payment application intended to ease transactions for international travelers. The company's platform enables payments through QR-code technology without requiring a local bank account, eliminates the need for currency exchange and ATM withdrawals, integrates with local merchant systems across Thailand, and supports real-time processing, enabling foreign travelers to avoid hidden fees, transact seamlessly with local businesses, and experience greater convenience and cost efficiency during their stay.</t>
  </si>
  <si>
    <t>arlamow-pty-ltd.com.au</t>
  </si>
  <si>
    <t>521920-00</t>
  </si>
  <si>
    <t>Walapay</t>
  </si>
  <si>
    <t>Developer of a financial platform intended for payments and banking needs. The company's platform monitors and manages payments, taxation obligations, and ongoing compliance from one unified dashboard, with webhooks providing real-time information, enabling clients to have local payment methods like e-wallets and mobile wallets, or global methods like stablecoins.</t>
  </si>
  <si>
    <t>Artichoke Capital, Contribution Capital, Fiat Ventures, Figure Eight Investments, Generative Ventures, NGC Ventures(Singapore), ODX Flexport, Seven Capital (Texas)</t>
  </si>
  <si>
    <t>www.walapay.io</t>
  </si>
  <si>
    <t>470021-95</t>
  </si>
  <si>
    <t>Wallester</t>
  </si>
  <si>
    <t>Developer of a payment infrastructure platform designed to enable businesses to build, launch, and scale card programs and expense platforms. The company offers API-first integration, in-house licensing, issuing, processing, compliance management, and front-end deployment capabilities, enabling fintechs, lenders, and corporates across Europe to operate with speed, control, and scalability.</t>
  </si>
  <si>
    <t>www.wallester.com</t>
  </si>
  <si>
    <t>181710-73</t>
  </si>
  <si>
    <t>Walliance</t>
  </si>
  <si>
    <t>Operator of a real estate equity crowdfunding platform intended to provide fractional investment opportunities for real estate properties. The company's platform combines investment and financing opportunities in the real estate sector, accessible through various financial instruments including equity, lending, and debt, and provides a solution to the complexities encountered in the investment and financing of real estate operations, enabling users to invest and monitor investments even through the web application and own fractions of real estate properties through the platform.</t>
  </si>
  <si>
    <t>Botzen Invest EF, Fast., FNDX, Gellify, Gruppo Bertoldi Holding, Lago (Other Services (B2C Non-Financial)), MAK Costruzioni, OWNA Srl, Seac Fin, Trentino Invest</t>
  </si>
  <si>
    <t>www.walliance.eu</t>
  </si>
  <si>
    <t>537644-80</t>
  </si>
  <si>
    <t>Wallib</t>
  </si>
  <si>
    <t>Developer of a digital wallet platform designed to simplify access to Bitcoin and digital dollars (USDT) for everyday users. The company's platform features a hybrid wallet system that includes a self-custodial on-chain Bitcoin wallet and a fast, low-cost Lightning Network wallet for instant payments, enabling users to buy, store, send, and spend cryptocurrencies through an intuitive interface.</t>
  </si>
  <si>
    <t>Blockchain Founders Group, Orange DAO, Pygma</t>
  </si>
  <si>
    <t>www.wallib.com</t>
  </si>
  <si>
    <t>493049-98</t>
  </si>
  <si>
    <t>WALO</t>
  </si>
  <si>
    <t>EdTech, Mobile</t>
  </si>
  <si>
    <t>Developer of an educational platform designed to assist kids in developing healthy financial habits. The company's platform offers tools for managing expenses, tracking savings, and setting allowances, along with features for goal-based financial planning, chore-based earnings, and interactive learning modules, enabling parents to guide their kids toward financial independence.</t>
  </si>
  <si>
    <t>Ashkan Karbasforoushan, Backbone Angels, Desjardins Group, Fintech Cadence, Frederic Bastien, Government of Quebec, Granicus Group, IFH Lab, Investissement Quebec, WatchMojo</t>
  </si>
  <si>
    <t>www.walo.app</t>
  </si>
  <si>
    <t>1326803-41</t>
  </si>
  <si>
    <t>WanderWallet</t>
  </si>
  <si>
    <t>Developer of cross-border digital wallet technology designed to make local payment transactions in foreign markets. The company provides QR-based payment capabilities across multiple international payment networks, supports instant merchant and peer-to-peer transfers, offers multi-currency funding via bank transfers, neobanks, and digital assets, and shows transparent rates and fees before execution, enabling international travelers and digital nomads to access local payment.</t>
  </si>
  <si>
    <t>BD Partners, DEPO Ventures</t>
  </si>
  <si>
    <t>www.wanderwallet.io</t>
  </si>
  <si>
    <t>435269-71</t>
  </si>
  <si>
    <t>WangCaiGu</t>
  </si>
  <si>
    <t>Developer of an asset management platform. The company's platform provides financial management service, enabling users to purchase financial product with high yields.</t>
  </si>
  <si>
    <t>Delta Capital</t>
  </si>
  <si>
    <t>www.wangcaigu.com</t>
  </si>
  <si>
    <t>167528-35</t>
  </si>
  <si>
    <t>Wangjin Holdings</t>
  </si>
  <si>
    <t>Provider of financial technology platform designed to provide investment, financing, payment settlement and other financial transactions. The company's financial technology platform offers set of structured user operations services, intelligent business operations and cloud platform operations, enabling customers to manage their finances and enjoy operating and risk control.</t>
  </si>
  <si>
    <t>Cybernaut Investment (China), HSG (Hong Kong), IDG Capital</t>
  </si>
  <si>
    <t>www.ucsmy.com</t>
  </si>
  <si>
    <t>467854-84</t>
  </si>
  <si>
    <t>Wapi Pay</t>
  </si>
  <si>
    <t>Developer of platform-to-platform integrations and virtual accounts intended to facilitate cross-border commerce. The company's platform offers the process of bulk payments to multiple mobile recipients including payment of salaries and business purchases, enabling electronic compliance and due diligence for banks, corporates, and other merchant partners.</t>
  </si>
  <si>
    <t>EchoVC Partners, Future Hub, Gobi Partners, Golden Palm Investments, Kepple Africa Ventures, Klarna Group, Meituan, MSA Capital, Nio, Nu Holdings, Transsion</t>
  </si>
  <si>
    <t>wapipay.com</t>
  </si>
  <si>
    <t>690742-99</t>
  </si>
  <si>
    <t>Waribei</t>
  </si>
  <si>
    <t>Developer of a mobile-financing platform intended to manage payment terms within traditional distribution channels. The company's platform connects banks, wholesalers, and retailers through a payment tool that formalizes access to working capital, enabling retailers to purchase goods on credit and foster their business growth.</t>
  </si>
  <si>
    <t>Data for Founders, Digital Africa (Paris), Fuze (Africa), Mstudio, Saviu Ventures</t>
  </si>
  <si>
    <t>www.waribei.africa</t>
  </si>
  <si>
    <t>265616-02</t>
  </si>
  <si>
    <t>Warren Investimentos</t>
  </si>
  <si>
    <t>Developer of digital investment management and financial advisory platforms intended for wealth management and planning. The company's platform includes portfolio management tools, automated advisory services, investment and brokerage capabilities, digital onboarding, portfolio monitoring, and mobile and web-based account access, enabling individual investors and financial clients to manage investments, monitor financial performance, and access advisory services through centralized digital infrastructure.</t>
  </si>
  <si>
    <t>Chromo Invest, Citi Ventures, EXT Capital, GIC Private, Google Accelerator, Kaszek, Mercado Libre Fund, NVA Capital, QED Investors, Qualcomm Ventures, Quartz (Brazil), RBS Ventures, Ribbit Capital, Spectra Investments</t>
  </si>
  <si>
    <t>www.warren.com.br</t>
  </si>
  <si>
    <t>1272522-07</t>
  </si>
  <si>
    <t>Watchdog (Business/Productivity Software)</t>
  </si>
  <si>
    <t>Developer of an artificial intelligence-based platform designed to automatically check incoming invoices against contract terms and historical pricing. The company's platform offers direct integration with enterprise resource planning and accounting systems, rapid setup, and no required changes to existing systems, enabling finance and procurement teams to verify invoice accuracy and maintain cost control.</t>
  </si>
  <si>
    <t>Askeladden &amp; Co, Petter Reistad</t>
  </si>
  <si>
    <t>watchdog.no</t>
  </si>
  <si>
    <t>517821-67</t>
  </si>
  <si>
    <t>Watr</t>
  </si>
  <si>
    <t>Developer of a digital infrastructure system designed for modernising commodity trade, financing, and institutional participation. The company's platform incorporates on-chain identity, programmable liquidity, and reusable compliance tools, supports tokenized assets and smart financing models, facilitates identity-backed transactions and market access, enabling commodity traders, financial institutions, and investors to reduce risk, improve transparency, and expand capital exposure.</t>
  </si>
  <si>
    <t>Double Peak</t>
  </si>
  <si>
    <t>www.watr.org</t>
  </si>
  <si>
    <t>530537-68</t>
  </si>
  <si>
    <t>Wavo (Financial Software)</t>
  </si>
  <si>
    <t>Developer of a financial platform designed to offer early payments to second-hand market sellers. The company's platform allows sellers to get instant payment advances and assists them with storage, sales and shipping, enabling firms to get access to capital logistics that are required for their businesses.</t>
  </si>
  <si>
    <t>Axeleo Capital, Clint Capital, HUB612, Kima Ventures, Tony Parker</t>
  </si>
  <si>
    <t>www.wavo.fr</t>
  </si>
  <si>
    <t>572073-13</t>
  </si>
  <si>
    <t>Wayl</t>
  </si>
  <si>
    <t>Developer of a payment platform intended to support local and international payment gateways. The company's electronic card enables one to withdraw their profits from any outlet as well as allows them to use it online to pay their providers, enabling small merchants and freelance contractual workers to manage orders, inventories, and payment processing without the need for complex registration processes or payment gateway agreements.</t>
  </si>
  <si>
    <t>EQIQ Ventures, The Station</t>
  </si>
  <si>
    <t>www.wayl.io</t>
  </si>
  <si>
    <t>519011-74</t>
  </si>
  <si>
    <t>Waza</t>
  </si>
  <si>
    <t>Developer of payment software intended to help African businesses, startups, and emerging market commerce. The company platform offers APIs to manage their liquidity challenges, invoices and global payment needs, enabling organizations and other financial institutions with bill payment systems and manage liquidity needs efficiently and affordably.</t>
  </si>
  <si>
    <t>Armyn Capital, BYLD (Dubai), Flucas Ventures, Fredrik Andersson, Heirloom VC, Ivan Uribe, Kube VC, Meltwater Entrepreneurial School of Technology, Negma Group, Norrsken VC, Olive Tree Capital, Plug and Play Tech Center, Timon Capital, Velocity Digital, Y Combinator, Youcef Oudjidane</t>
  </si>
  <si>
    <t>www.waza.co</t>
  </si>
  <si>
    <t>482068-72</t>
  </si>
  <si>
    <t>Wealth Engine Technology</t>
  </si>
  <si>
    <t>Developer of an intelligent investment advisory service platform. The company's platform utilizes big data, artificial intelligence and other technologies to generate investment advice to assist large financial institutions such as banks and securities companies, enabling investors to better manage their wealth.</t>
  </si>
  <si>
    <t>IDG Capital, Lingfeng Capital, Zhengxuan Investment</t>
  </si>
  <si>
    <t>www.wealthengine.cn</t>
  </si>
  <si>
    <t>466665-13</t>
  </si>
  <si>
    <t>WealthBrain</t>
  </si>
  <si>
    <t>Developer of a cloud-based wealth management platform designed to consolidate all investments and private banking portfolios in a single platform. The company's platform offers features such as the ability to link multiple accounts, a customized view to check on important investments at any time, real-time tracking of news, a daily planner, and more, enabling high net worth individuals, wealth managers, family offices, financial advisors and external asset managers to manage, monitor and review their existing portfolios with global private banks, custodial and investment firms.</t>
  </si>
  <si>
    <t>BeyondSeed</t>
  </si>
  <si>
    <t>www.wealthbrain.com</t>
  </si>
  <si>
    <t>571866-85</t>
  </si>
  <si>
    <t>WealthFluent</t>
  </si>
  <si>
    <t>Developer of an AI-powered wealth management platform intended to provide individuals with clarity, control, and confidence in managing their financial health and lifetime planning. The company offers integrated tools for net worth tracking, dynamic portfolio optimization, and adaptive risk management, enabling independent investors to create personalized strategies, respond to market shifts, and achieve long-term financial stability.</t>
  </si>
  <si>
    <t>www.wealthfluent.com</t>
  </si>
  <si>
    <t>497800-81</t>
  </si>
  <si>
    <t>WEALTHGUIDE</t>
  </si>
  <si>
    <t>Developer of a pension wealth management platform designed for retirement planning. The company's platform offers a robo-advisor that helps with pension information, long-term asset management, income planning, and tax optimization through cash flow analysis, enabling individuals to plan their finances efficiently.</t>
  </si>
  <si>
    <t>DAOL Investment, FnGuide, iAccel (Seongnam-si), InfoBank, KB Innovation HUB, Kyobo Securities, Seoul National University Technology Holdings, SKTCH, UTC Investment</t>
  </si>
  <si>
    <t>pfai.co.kr</t>
  </si>
  <si>
    <t>532722-79</t>
  </si>
  <si>
    <t>WealthMore</t>
  </si>
  <si>
    <t>Operator of a wealth management platform intended to help individuals and families achieve their financial goals. The company's platform provides features such as portfolio tracking across asset classes, financial planning tools, risk profiling and goal-based investment analysis, aggregation of financial accounts, performance monitoring and reporting, and advisory support interfaces, enabling individual investors and financial advisors to organize financial information and make structured investment and planning decisions.</t>
  </si>
  <si>
    <t>Andreessen Horowitz, Ben Franklin Technology Partners of Southeastern Pennsylvania, Emmeline Ventures, First Row Partners, The BFM Fund, The Founders Arena</t>
  </si>
  <si>
    <t>www.wealthmore.net</t>
  </si>
  <si>
    <t>223059-88</t>
  </si>
  <si>
    <t>WebMax (Financial Software)</t>
  </si>
  <si>
    <t>Developer of a digital software platform designed to make mortgage and real estate easy by improving the borrowing experience. The company's platform offers compliance and enterprise-level systems that incorporate point-of-sale applications, website design, custom development, and third-party system integration, enabling clients to maximize lead generation and conversion, expedite the loan origination process, and enhance referral partner relationships.</t>
  </si>
  <si>
    <t>Ben Franklin Technology Partners of Southeastern Pennsylvania</t>
  </si>
  <si>
    <t>www.webmaxco.com</t>
  </si>
  <si>
    <t>497950-03</t>
  </si>
  <si>
    <t>WebroPay</t>
  </si>
  <si>
    <t>Developer of a fintech platform designed to help retailers manage receivables and sales commissions. The company's platform tracks and manages sales commissions, processes payments and receivables, and provides digital portals for different real estate stakeholders, enabling real estate agencies, brokers, and developers to streamline financial workflows, improve transparency, and gain better control over commission distribution and collections.</t>
  </si>
  <si>
    <t>Bossa Invest, Guilherme Lorca</t>
  </si>
  <si>
    <t>www.webropay.com.br</t>
  </si>
  <si>
    <t>84715-30</t>
  </si>
  <si>
    <t>WebStreet</t>
  </si>
  <si>
    <t>Operator of an online marketplace intended for buying and selling online websites and businesses. The company vets all their sellers checks their reports and provides customers with trusted websites to invest in, enabling investors to diversify their investments into passive and cash-flowing portfolios of online content sites, storefronts, and micro SaaS businesses.</t>
  </si>
  <si>
    <t>www.webstreet.co</t>
  </si>
  <si>
    <t>521434-72</t>
  </si>
  <si>
    <t>Wecap Ventures</t>
  </si>
  <si>
    <t>Developer of an investment platform designed to simplify stock and exchange-traded fund investing. The company offers fractional shares, SIPC protection, and instant portfolios, enabling individual investors to build diversified portfolios with minimal starting capital, promoting financial growth and security.</t>
  </si>
  <si>
    <t>500 Southeast Asia, Foxmont Capital Partners, Kaya Founders, TNB Aura</t>
  </si>
  <si>
    <t>www.getvesko.com</t>
  </si>
  <si>
    <t>98368-75</t>
  </si>
  <si>
    <t>Wecash</t>
  </si>
  <si>
    <t>Developer of a credit assessment platform created to provide credit evaluation services to consumers and businesses in China. The company's credit assessment platform leverages data mining and machine learning algorithms allowing users to submit their information via its mobile app and receive a credit assessment within three minutes, enabling users to obtain various services such as capital borrowing and lending, car and house rental, travel and education after they provide their credit scoring to relevant agencies.</t>
  </si>
  <si>
    <t>Beijing Dongfang Hongdao Asset Management, China Merchants Innovation Investment Management, FinTech Innovation Lab, Forebright Capital, IDG Capital, Joinhope Capital, Lingfeng Capital, ORIX Asia Capital, Sagamore, SEA Group (Holding Companies), SIG China</t>
  </si>
  <si>
    <t>www.wecashgroup.com</t>
  </si>
  <si>
    <t>438434-02</t>
  </si>
  <si>
    <t>WeCorp Tech</t>
  </si>
  <si>
    <t>Provider of integrated technical solutions intended for institutions that want to expand the housing finance markets. The company provides full-range solutions to banks and other financial institutions, enabling businesses to explore the housing finance market with high efficiency and low costs and risks.</t>
  </si>
  <si>
    <t>Beijing Fangsheng Investment Management Center, Shanghai Qihang Enterprise Management Consulting, ZhenFund</t>
  </si>
  <si>
    <t>www.wecorptech.com</t>
  </si>
  <si>
    <t>433187-47</t>
  </si>
  <si>
    <t>WeGive</t>
  </si>
  <si>
    <t>Developer of a unified giving and donor engagement platform designed for nonprofit organizations. The company offers personalized digital experiences, CRM integration and a seamless giving ecosystem that permits users who regularly donate to charity to make donations, keep all the tax reporting information organized and accessible and see real evidence, enabling nonprofits and churches to strengthen donor relationships and drive sustainable growth.</t>
  </si>
  <si>
    <t>Alec McNayr, CONNECT (San Diego), Innovent Capital Group, Keter Point, Mucker Capital, Okapi Venture Capital, SaaS Ventures, Silicon Beach Investment Group, Stage Venture Partners, Stephen Beck, Timothy Hoerr, TSV Capital (Los Altos)</t>
  </si>
  <si>
    <t>www.wegive.com</t>
  </si>
  <si>
    <t>589493-08</t>
  </si>
  <si>
    <t>WEGS</t>
  </si>
  <si>
    <t>Developer of a business management platform designed to streamline accounting and financial operations. The company's platform offers e-invoice integrations, current account tracking, order management, stock and warehouse tracking, and secure bank integrations, enabling small and medium-sized enterprises to digitize processes and manage finances more efficiently.</t>
  </si>
  <si>
    <t>www.wegs.com.tr</t>
  </si>
  <si>
    <t>506842-03</t>
  </si>
  <si>
    <t>Weifengqi</t>
  </si>
  <si>
    <t>Developer of smart application software for enterprise financial and taxation data management. The company's software provides enterprise finance and taxation data mining and software automation services for small and medium enterprises, enabling enterprise users to improve financing efficiency while enabling banks to improve service efficiency and risk control ability.</t>
  </si>
  <si>
    <t>Hangzhou Shangcheng Investment, MaiZun Capital, Yonghua Capital, Zeyi Venture Capital</t>
  </si>
  <si>
    <t>www.wfq2020.com</t>
  </si>
  <si>
    <t>343029-34</t>
  </si>
  <si>
    <t>WeiPiaoBao</t>
  </si>
  <si>
    <t>Developer of a money order processing platform. The company's platform provides simplified escrow services and money order organization services, enabling both parties in the transaction to more efficiently manage outstanding money orders.</t>
  </si>
  <si>
    <t>Amphora Capital (China), Emoney (Shanghai)</t>
  </si>
  <si>
    <t>www.wpb.work</t>
  </si>
  <si>
    <t>482002-66</t>
  </si>
  <si>
    <t>Wekeep</t>
  </si>
  <si>
    <t>Artificial Intelligence &amp; Machine Learning, E-Commerce</t>
  </si>
  <si>
    <t>Operator of logistics platform intended to offer e-commerce fulfillment services. The company's platform enables real-time monitoring of dispatched driver information, vehicle location, and transportation status through the convergence of traditional logistics, fintech, IT, and distribution, allowing businesses to save time on logistics handling and focus on their core business activities.</t>
  </si>
  <si>
    <t>Daegyeong Investment, Industrial Bank of Korea, KB Investment, Korea Development Bank, Naver, Regent Partners (Seoul), STIC Ventures, Stonebridge Ventures (Seoul), TS Investment</t>
  </si>
  <si>
    <t>www.wekeep.co.kr</t>
  </si>
  <si>
    <t>865520-20</t>
  </si>
  <si>
    <t>WeLend</t>
  </si>
  <si>
    <t>Provider of digital lending services intended for individuals and businesses seeking credit. The company's platform leverages artificial intelligence and big data analytics to offer an automated loan application process, including quotations, fast approvals, and quick disbursement of funds, enabling a lending market to access flexible and efficient financial credit with reduced documentation requirements and expedited processing times.</t>
  </si>
  <si>
    <t>Orbit Ventures (Venture Capital), Plug and Play Tech Center, Sanabil Accelerator by Orbit</t>
  </si>
  <si>
    <t>www.welend.credit</t>
  </si>
  <si>
    <t>515983-87</t>
  </si>
  <si>
    <t>Welfund</t>
  </si>
  <si>
    <t>CleanTech, FinTech, LOHAS &amp; Wellness, SaaS</t>
  </si>
  <si>
    <t>Developer of a financing platform designed to connect lenders and borrowers for sustainable energy projects. The company's platform allows funding of on-grid and off-grid solar photovoltaic projects, organizes information and process flow for faster deal closures, and provides a comprehensive rating for clean energy programs, enabling participants to secure financing for their initiatives.</t>
  </si>
  <si>
    <t>Refex Capital</t>
  </si>
  <si>
    <t>www.welfund.org</t>
  </si>
  <si>
    <t>894255-40</t>
  </si>
  <si>
    <t>Well</t>
  </si>
  <si>
    <t>Developer of browser-based automation tools designed for invoice retrieval and financial workflow orchestration. The company's platform automates supplier invoice collection, integrates with accounting systems and communication channels, adapts to interface changes, and supports AI-generated blueprints, enabling small business operators and finance teams to reduce manual effort and maintain structured, compliant financial records.</t>
  </si>
  <si>
    <t>199 Ventures, Kima Ventures, Pentagram Ventures, Source Ventures (Paris), Station F</t>
  </si>
  <si>
    <t>www.wellapp.ai</t>
  </si>
  <si>
    <t>439836-94</t>
  </si>
  <si>
    <t>WeMoney</t>
  </si>
  <si>
    <t>Developer of a financial wellness platform designed to empower people to take control of their financial lives. The company's platform leverages frontier behavioral science and artificial intelligence to guide users towards informed and insightful financial choices and features credit score, bills, and recurring payments tracking, auto-categorization, and smart alerts, enabling individuals to save money and make improved financial decisions.</t>
  </si>
  <si>
    <t>Ben Lamb, Benjamin Taylor, BetterLabs Ventures, Conconi Growth Partners, Dorado Capital, Dream Ventures, Eastcourt, Full Circle Venture Capital, Lance East Office, Laurence Escalante, Luke Howes, MasterCard, Robert Antulov, Squad Capital, Start Path, Tim Poskitt, Tiny Capital, Ubuntu Ventures</t>
  </si>
  <si>
    <t>www.wemoney.com.au</t>
  </si>
  <si>
    <t>233507-80</t>
  </si>
  <si>
    <t>WeShare (Financial Service)</t>
  </si>
  <si>
    <t>Provider of financial services for global institutional investors. The company allows onshore and offshore institutional investors to make efficient, secure investment into China's consumer finance sector by leveraging technology empowerments and data analysis capabilities, committing to developing first-class fintech capabilities to share, collaborate, and achieve mutual benefits with industry partners.</t>
  </si>
  <si>
    <t>BAI Capital, CCB Equity Investment Management, China Renaissance, CITIC Capital, Detong Capital, ICBC International, Loyal Valley Capital, Mangrove Capital, Silverhorn Investment Advisors, Tencent Investment, Welight Capital</t>
  </si>
  <si>
    <t>www.weshareholdings.com/index</t>
  </si>
  <si>
    <t>224180-38</t>
  </si>
  <si>
    <t>West One Finance</t>
  </si>
  <si>
    <t>Provider of financial services intended to help business owners find financing that meets their circumstances and situations. The company's financial services help them navigate their way through the process of applying for equipment financing and receiving the structure most advantageous for their circumstance and provide users with the minimum possible interest rates and loan or lease structure, enabling entrepreneurs to grow and develop their company through flexible and economical financing.</t>
  </si>
  <si>
    <t>www.westonefinance.com</t>
  </si>
  <si>
    <t>435181-51</t>
  </si>
  <si>
    <t>WhaleStock</t>
  </si>
  <si>
    <t>Developer of a Robo-advisor platform. The company's platform uses quantitative trading methodology to offer users a better return and performance than S&amp;P 500's performance.</t>
  </si>
  <si>
    <t>www.whalestock.com</t>
  </si>
  <si>
    <t>459618-13</t>
  </si>
  <si>
    <t>Whiteside Capital</t>
  </si>
  <si>
    <t>Operator of a multifaceted technological firm intended to focus on bringing value to retail clients through the use of unique collaborative technologies. The company offers a crypto-centric auction platform, collateralized financing, and a collaborative auction program, enabling clients to fund the acquisition of undervalued assets and maximize returns.</t>
  </si>
  <si>
    <t>www.wsc-group.com</t>
  </si>
  <si>
    <t>343395-82</t>
  </si>
  <si>
    <t>Who's Good</t>
  </si>
  <si>
    <t>Provider of ESG information services intended to help institutional investors reduce their investment risk. The company uses AI and big data to disclose, compare, and analyze dynamic, reliable data on the ESG performance of public companies, enabling firms to make informed investment decisions.</t>
  </si>
  <si>
    <t>BNK fintech lab, D-Camp, Future Science and Technology Holdings, IBK 1st Lab, KB Innovation HUB, KDB NextRound, Kiwoom Investment, Korea Investment Partners, Mirae Science and Technology, Shinhan Futures Lab, Tech Incubator Program for Startup</t>
  </si>
  <si>
    <t>www.whosgood.org</t>
  </si>
  <si>
    <t>435782-44</t>
  </si>
  <si>
    <t>Wibond</t>
  </si>
  <si>
    <t>Developer of a digital payment platform designed to simplify the chain of payments and collections. The company's platform offers a virtual wallet that can be used to draw, pay, collect, withdraw money, endorse and manage all corporate movements, enabling companies to save money and time.</t>
  </si>
  <si>
    <t>Acelerar España, AG Collective Capital, Agencia Córdoba Innovar y Emprender, Alanna Gregory, Banco Central de la República Argentina, Bluewatch Ventures, Carlos Kronen, Cathexis Ventures, Cats.VC, CE Innovation Capital, Dragon Capital (California), Endeavor Argentina, Eureka Capital Partners (New York), Fen Ventures, FinTech Capital, First Check Ventures, Incutex, Iron Shore Investments, James Park, Kalei Ventures, Latitud, Marc Randolph, Marcel Oost, Ministry of Productive Development, MyAsiaVC, Myelin VC, Newtopia VC, Northern Ontario Angels, Randy Reddig, Realm Capital Ventures, Smart Growth Investments, Soma Capital, Trousdale Ventures, Verras Capital, Y Combinator</t>
  </si>
  <si>
    <t>www.wibond.co</t>
  </si>
  <si>
    <t>55804-15</t>
  </si>
  <si>
    <t>Wikifolio</t>
  </si>
  <si>
    <t>Developer of a social trading platform designed to democratize financial investments. The company's platform offers portfolios that constitute the basis for an exchange-traded financial product with an individual security number, enabling investment professionals and private individuals to conduct their investment strategies on virtual portfolios.</t>
  </si>
  <si>
    <t>Crossventures, Daniel Keiper-Knorr, Dieter von Holtzbrinck Ventures, Erik Bovee, Hermann Futter, i5invest, Jörg Flöck, Lang &amp; Schwarz, Michael Altrichter, Michael Grabner Media, NewAlpha Asset Management, PostFinance Ventures, Speedinvest, VHB ventures, Werner Zahnt</t>
  </si>
  <si>
    <t>www.wikifolio.com</t>
  </si>
  <si>
    <t>520525-18</t>
  </si>
  <si>
    <t>Wildhorn Capital</t>
  </si>
  <si>
    <t>Operator of a multifamily real estate investment firm intended to provide consistent returns to their investors. The company's platform focuses on acquiring multi-family apartment buildings and helping families make an investment choice, enabling investors to have equity options and investment returns.</t>
  </si>
  <si>
    <t>www.wildhorncap.com</t>
  </si>
  <si>
    <t>459295-39</t>
  </si>
  <si>
    <t>Wimple</t>
  </si>
  <si>
    <t>Developer of a financial empowerment platform designed to provide resources and education to investors and lead generation to financial professionals. The company's platform provides content, answers and information about finance and allows users to connect with the appropriate financial professional based on a financial professional rating, enabling clients to access financial advice and achieve their financial goal.</t>
  </si>
  <si>
    <t>www.wimple.com</t>
  </si>
  <si>
    <t>65831-05</t>
  </si>
  <si>
    <t>Win-Win Fintech</t>
  </si>
  <si>
    <t>Provider of a financial technology platform designed to offer professional financial services. The company's platform focuses on the selection and provision of wealth management information matching services for public investors through the infrastructure and innovative technologies built in the field of financial technology, enabling users to manage their investments and other financials accurately and effectively.</t>
  </si>
  <si>
    <t>Ceyuan Ventures, Gang Wang</t>
  </si>
  <si>
    <t>www.yingyinglicai.com</t>
  </si>
  <si>
    <t>493428-70</t>
  </si>
  <si>
    <t>Wink (Texas)</t>
  </si>
  <si>
    <t>Developer a biometric identification platform intended to make payments with facial and voice recognition. The company's platform connects credit card numbers, and mathematical tokens are replaced by biometrics and characters that cannot be decrypted, enabling customers to eliminate the need for passwords and lengthy forms.</t>
  </si>
  <si>
    <t>Abo Ventures, Carneros Bay Capital, CerraCap, Flying Point Industries, Nivesha Ventures, Plug and Play Tech Center, Tntra Ventures</t>
  </si>
  <si>
    <t>www.wink.cloud</t>
  </si>
  <si>
    <t>500715-01</t>
  </si>
  <si>
    <t>Winkstone Partners</t>
  </si>
  <si>
    <t>Operator of an integrated credit assessment platform intended to connect companies with financial institutions. The company's platform uses artificial intelligence and features the ability to provide an integrated credit assessment model for each category of business, which helps in automated, sophisticated, and accurate credit evaluation through data connections, enabling companies to minimize the cost and resources required for credit evaluation.</t>
  </si>
  <si>
    <t>BiiG WAVE, KB Innovation HUB, MetLife Inclusion Plus, Seoul Fintech Lab, Shinhan Securities</t>
  </si>
  <si>
    <t>www.winkstonepartners.com</t>
  </si>
  <si>
    <t>1020007-45</t>
  </si>
  <si>
    <t>Wio ( Financial Software)</t>
  </si>
  <si>
    <t>Developer of an artificial intelligence-powered wealth management platform designed to support financial advisory and portfolio management activities. The company offers multi-custody portfolio aggregation, compliance monitoring, portfolio rebalancing, alternative asset management, and client relationship management tools, enabling financial advisors, private banks, and asset managers to manage investments, monitor portfolios, and automate administrative workflows.</t>
  </si>
  <si>
    <t>Bynd Venture Capital, Next Tier Ventures</t>
  </si>
  <si>
    <t>www.wiocapital.com</t>
  </si>
  <si>
    <t>267765-31</t>
  </si>
  <si>
    <t>Wirebarley</t>
  </si>
  <si>
    <t>Operator of a global remittance platform intended to offer a convenient way to send money home. The company's platform features the recording and verification of transactions that can be made cross-regionally and are transmitted using its proprietary algorithmic technologies, enabling customers to reduce costs and increase the security of their transactions.</t>
  </si>
  <si>
    <t>BDC Labs, DT &amp; Investment, East Gate Partners, KB Investment, Magna Investment (Seoul), Openwater Investment, Shinsegae Information &amp; Communication, STIC Ventures, Tech Incubator Program for Startup</t>
  </si>
  <si>
    <t>www.wirebarley.com</t>
  </si>
  <si>
    <t>599880-52</t>
  </si>
  <si>
    <t>Wisdom</t>
  </si>
  <si>
    <t>Developer of a dental billing and revenue management platform designed to reduce administrative burden, enhance billing accuracy, and streamline insurance and patient payment processes. The company's platform offers AI-driven tools for claims submission and verification, detailed insurance eligibility breakdowns, patient billing management, fee schedule updates, ledger audits, and predetermination submissions, enabling dental practices to increase revenue, maintain financial records, and focus on patient care.</t>
  </si>
  <si>
    <t>Aquiline Capital Partners, Juxtapose, Permanent Capital (Investor), R2 Ventures</t>
  </si>
  <si>
    <t>www.withwisdom.com</t>
  </si>
  <si>
    <t>57443-68</t>
  </si>
  <si>
    <t>Wiseasy</t>
  </si>
  <si>
    <t>FinTech, Industrials, Internet of Things, Manufacturing</t>
  </si>
  <si>
    <t>Developer of a global payment network and products designed to streamline transactions and enable intelligent commerce. The company offers smart payment terminals, mobile payment applications, and omni-channel gateways, enabling retailers, restaurants, and merchants worldwide to process payments seamlessly and enhance customer experiences.</t>
  </si>
  <si>
    <t>IDG Capital, Qualcomm Ventures, Shining Capital</t>
  </si>
  <si>
    <t>www.wiseasy.com</t>
  </si>
  <si>
    <t>691857-73</t>
  </si>
  <si>
    <t>Wito Technology and Services</t>
  </si>
  <si>
    <t>Developer of a financial investment platform designed to connect venture capitalists, investors and startups. The company's platform offers tools for fundraising, portfolio control and liquidity for investors such as an automated back office and tailored structures for buying and selling investments in startups, fundraising process governance, enabling clients to invest in startups.</t>
  </si>
  <si>
    <t>www.wito.digital</t>
  </si>
  <si>
    <t>170206-48</t>
  </si>
  <si>
    <t>Wity</t>
  </si>
  <si>
    <t>Developer of a digital accounting platform designed to make accounting easy and accessible for entrepreneurs. The company's platform uses artificial intelligence and a personal assistant to offer accounting and legal advisory and consultancy services, enabling entrepreneurs to have access to the latest accounting knowledge and expertise.</t>
  </si>
  <si>
    <t>M Capital Partners</t>
  </si>
  <si>
    <t>wity.fr</t>
  </si>
  <si>
    <t>507245-41</t>
  </si>
  <si>
    <t>WizzFinancial</t>
  </si>
  <si>
    <t>Artificial Intelligence &amp; Machine Learning, B2B Payments, Big Data, Cryptocurrency/Blockchain, FinTech, Impact Investing, InsurTech, Mobile Commerce, SaaS</t>
  </si>
  <si>
    <t>Provider of a regulated, India-centric financial services platform intended to support cross-border payments, everyday transactions, and secured credit across international corridors. The company offers licensed remittance and payment services, including card-based and wallet-led transactions, as well as secured lending products, and a phygital operating model. This enables individual and business customers operating across the India-GCC-USA corridors to access compliant, reliable, and transparent financial services.</t>
  </si>
  <si>
    <t>Shake and Bake</t>
  </si>
  <si>
    <t>www.wizzfinancial.com</t>
  </si>
  <si>
    <t>470597-68</t>
  </si>
  <si>
    <t>WLTH</t>
  </si>
  <si>
    <t>Operator of digital financial services intended for consumer lending and payment management. The company's platform offers online application and account management tools, lending and repayment processing, identity and credit assessment workflows, transaction monitoring, customer support functions, and integrations with financial institutions, enabling individual consumers to access, manage, and service personal financial products efficiently through a centralized digital interface.</t>
  </si>
  <si>
    <t>Kina Securities</t>
  </si>
  <si>
    <t>www.wlth.com</t>
  </si>
  <si>
    <t>543604-51</t>
  </si>
  <si>
    <t>WMCockpit</t>
  </si>
  <si>
    <t>Developer of a wealth management platform designed to revolutionize estate advisory with asset mapping. The company provides comprehensive mapping of both bankable and non-bankable client assets, coupled with stress testing and investment simulation and delivers actionable insights and AI-enhanced quantitative analysis, enabling private bankers and wealth managers to enhance trust-based relationships.</t>
  </si>
  <si>
    <t>First Rate Connect</t>
  </si>
  <si>
    <t>www.wmcockpit.com</t>
  </si>
  <si>
    <t>820066-06</t>
  </si>
  <si>
    <t>Wocap</t>
  </si>
  <si>
    <t>Operator of a real-time, bank-free dynamic discounting platform designed to help corporate Buyers deploy excess liquidity while enabling Suppliers to access early, debt-free invoice payments. The company offers automated invoice-level discount auctions and real-time liquidity matching between Buyers and Suppliers, enabling corporates and their supply chain partners to improve cash flow, strengthen relationships, and achieve equitable access to liquidity.</t>
  </si>
  <si>
    <t>Genesis Ventures (Greece)</t>
  </si>
  <si>
    <t>www.wocap.io</t>
  </si>
  <si>
    <t>756588-88</t>
  </si>
  <si>
    <t>Wood Wide AI</t>
  </si>
  <si>
    <t>Developer of machine learning infrastructure designed for numeric intelligence, decision-making, and discovery of data. The company is currently operating in stealth mode.</t>
  </si>
  <si>
    <t>AlphaLab, Ardent Venture Partners, Carnegie Mellon University, Innovation Works, Pear (California)</t>
  </si>
  <si>
    <t>www.woodwide.ai</t>
  </si>
  <si>
    <t>467175-88</t>
  </si>
  <si>
    <t>WorkerAppz Payments</t>
  </si>
  <si>
    <t>Operator of a money transfer and bill payments platform intended to cater to the diversified payment needs of expatriate populations. The company's platform helps users to set up pay-in and pay-out correspondent relationships, enabling the working population to send money home in real-time, store electronic cash in a digital wallet, top up airtime, withdraw cash, and pay bills through web and mobile apps.</t>
  </si>
  <si>
    <t>www.workerappz.com</t>
  </si>
  <si>
    <t>624271-33</t>
  </si>
  <si>
    <t>Working Capital Partners</t>
  </si>
  <si>
    <t>Developer of financial structuring models designed to align institutional capital with modern talent income patterns. The company's platform integrates variable income financing, cash flow management tools, compliance features, and scalable deployment mechanisms, enabling talent-driven professionals in sports, arts, and entertainment to access stable funding, reduce financial volatility, and maintain sustainability while connecting evolving income structures with traditional capital markets.</t>
  </si>
  <si>
    <t>WTSL</t>
  </si>
  <si>
    <t>www.workingcap.co</t>
  </si>
  <si>
    <t>1231814-26</t>
  </si>
  <si>
    <t>Worm.wtf</t>
  </si>
  <si>
    <t>Developer of an AI-powered prediction market platform designed to democratize forecasting by allowing anyone to create, trade and participate in community-driven markets on future events. The company offers a fully permissionless, Solana-based platform where users can spin up their own prediction markets with the help of AI, enabling customers to trade outcome shares on politics, sports, crypto, finance and cultural trends.</t>
  </si>
  <si>
    <t>6th Man Ventures, Advancit Capital, Alliance (Other Capital Markets/Institutions), Anatoly Yakovenko, Anil Lulla, Borderless Capital, Daxos Capital, Luca Schnetzler, Mert Mumtaz, Nadav Hollander, Solana Ventures</t>
  </si>
  <si>
    <t>www.worm.wtf</t>
  </si>
  <si>
    <t>500865-40</t>
  </si>
  <si>
    <t>Wosul</t>
  </si>
  <si>
    <t>Developer of a cloud-based digital payments platform designed to enable the management of restaurants, cafes, and food carts. The company's platform offers access to multiple solutions to outlets, inventory, and purchase management, sales reports, and products approved tax invoices, connect and synchronize with online stores, multiple payment options, and additional accessories like barcode reader cash boxes, and printers, enabling clients to deal with their customers, products, and facility numbers in a much easier way.</t>
  </si>
  <si>
    <t>InspireU</t>
  </si>
  <si>
    <t>www.wosul.sa</t>
  </si>
  <si>
    <t>471051-55</t>
  </si>
  <si>
    <t>Woveo</t>
  </si>
  <si>
    <t>Developer of a credit infrastructure platform intended to help financial institutions and community organizations provide micro-loans to underserved small businesses. The company offers open banking data integration, behavioral analytics, and social collateral models, enabling financial institutions and community organizations to reduce underwriting costs and improve repayment outcomes.</t>
  </si>
  <si>
    <t>BDC Capital, BKR Capital, Black Founders Network, Black Opportunity Fund, Canada's Tech Network, Concrete Ventures, IFH Lab, Invest Nova Scotia, Island Capital Partners, Platform Calgary, Relay Ventures, The Digital Commerce Calgary Fintech Award Contest, The Northpine Foundation, University of Toronto, University of Toronto Entrepreneurship, Volta (Nova Scotia), WENR</t>
  </si>
  <si>
    <t>woveo.com</t>
  </si>
  <si>
    <t>484600-33</t>
  </si>
  <si>
    <t>Wultra</t>
  </si>
  <si>
    <t>Cybersecurity, FinTech, Mobile, SaaS</t>
  </si>
  <si>
    <t>Developer of digital identity and authentication software designed to secure financial applications. The company's platform features post-quantum cryptography, multi-factor authentication, mobile application shielding, and malware detection, enabling banks and fintech companies to protect digital channels and provide passwordless user experiences while maintaining regulatory compliance.</t>
  </si>
  <si>
    <t>Elevator Ventures, Guillaume Despagne, J&amp;T Ventures, Marc Norlain, Seventure, Tensor Ventures</t>
  </si>
  <si>
    <t>www.wultra.com</t>
  </si>
  <si>
    <t>181684-09</t>
  </si>
  <si>
    <t>Wundertax</t>
  </si>
  <si>
    <t>Developer of an online tax filing platform designed for submitting individual income tax declarations. The company's platform incorporates structured filing aids, automated plausibility checking, and tax calculations optimized for specific user groups such as employees, freelancers, and students, enabling individuals across diverse employment statuses to accurately and efficiently fulfill their legal reporting obligations.</t>
  </si>
  <si>
    <t>Capnamic Ventures, PROfounders Capital, Thomas Bachem</t>
  </si>
  <si>
    <t>www.wundertax.de</t>
  </si>
  <si>
    <t>520666-57</t>
  </si>
  <si>
    <t>Wurthy</t>
  </si>
  <si>
    <t>Provider of a credit line intended to boost sales and create monthly recurring revenue. The company provides peer-to-peer transactions with safe and flexible payment options to creditworthy buyers to eliminate credit card fees and earn interest on every sale, enabling small businesses to optimize earnings while attracting the most buyers.</t>
  </si>
  <si>
    <t>Charge Ventures, Everywhere Ventures, FJ Labs, Interplay Ventures, Offline Ventures, Upper90 Capital Management</t>
  </si>
  <si>
    <t>www.wurthy.co</t>
  </si>
  <si>
    <t>588726-01</t>
  </si>
  <si>
    <t>X-Receipts</t>
  </si>
  <si>
    <t>Provider of online banking services intended to offer a token-free card recognition service. The company offers services such as cashier system integrations, card recognition as a service, online banking, digital receipts, cross-reward card linking, receipt data sharing, accounting integration, helping banks and cashiers with digital receipts, card recognition, and retail value-added services.</t>
  </si>
  <si>
    <t>6AM Accelerator, Antler, DNB Ventures, Mastercard Lighthouse, OBOS, SpareBank 1 Sogn og Fjordane</t>
  </si>
  <si>
    <t>www.receipts.no</t>
  </si>
  <si>
    <t>894774-16</t>
  </si>
  <si>
    <t>x2xPay</t>
  </si>
  <si>
    <t>Developer of a cutting-edge digital banking platform designed to provide real-time payments to anyone, anywhere and at any time. The company offers tailored, all-in-one digital banking and addresses the challenges of fragmented financial services, enabling customers to simplify and optimize financial transactions by meeting their needs for both work and life where traditional banking may fall short.</t>
  </si>
  <si>
    <t>x2xpay.me</t>
  </si>
  <si>
    <t>343292-05</t>
  </si>
  <si>
    <t>Xeenho.com</t>
  </si>
  <si>
    <t>Operator of a wealth management platform designed to provide Internet finance and peer-to-peer (P2P) lending services. The company's platform manages an online loan funds for Internet finance and helps clients access to online lending and wealth management services, enabling them to improve lending security and management efficiency.</t>
  </si>
  <si>
    <t>Hongshang Capital, Hunan Culture Art Industry Group, JadeValue Incubator, Peeli Ventures</t>
  </si>
  <si>
    <t>www.xeenho.com</t>
  </si>
  <si>
    <t>228958-39</t>
  </si>
  <si>
    <t>Xencio</t>
  </si>
  <si>
    <t>Developer of a smart financial management and automation platform designed to leverage PSD2 (Open Banking). The company's platform provides enterprise management, financial and capital management, machine algorithm and other artificial intelligence technologies, enabling small and medium-sized businesses to have real-time updates and forward-looking financial data, for data-driven decision-making.</t>
  </si>
  <si>
    <t>Beijing Guiquan Evergreen Investment Management, Cambrian Venture Capital, China Growth Capital, Cloud Angel Fund, EtherCreation, Global Incubator Network, Junsan Capital, TheVentury, Zhencheng Capital</t>
  </si>
  <si>
    <t>www.xencio.com</t>
  </si>
  <si>
    <t>434623-15</t>
  </si>
  <si>
    <t>XENO Investment</t>
  </si>
  <si>
    <t>Developer of a digital investment platform designed to help individuals and institutions plan, save, and invest toward their financial goals. The company's platform offers goal-based planning tools, risk assessment questionnaires, mobile money and bank transfer deposits, portfolio monitoring through web, app, and USSD access, and access to licensed fund management services, enabling individual and institutional investors to grow their savings and manage investments securely.</t>
  </si>
  <si>
    <t>Beyond Capital Ventures, LBO France, Nordic Impact Funds, Plesion Capital, Seedstars Africa Ventures</t>
  </si>
  <si>
    <t>www.myxeno.com</t>
  </si>
  <si>
    <t>265807-72</t>
  </si>
  <si>
    <t>Xente</t>
  </si>
  <si>
    <t>Developer of a payment platform designed to facilitate e-commerce and cashless transactions. The company's platform offers mobile, utilities, travel, events, and entertainment payments via a cashless ecosystem through their neo-bank, helping to drive the agenda of digital transformation in the East Africa region where the majority of payments are done manually, enabling customers and businesses to transact reliably and safely on any mobile device from anywhere in the world.</t>
  </si>
  <si>
    <t>Cactus Capital (Africa), Google Accelerator, GrowthAfrica, Hindsight Ventures, Ortus Africa Capital, Renew Capital, Samurai Incubate Africa, Uganda Ministry of ICT, Zachariah George</t>
  </si>
  <si>
    <t>www.xente.co</t>
  </si>
  <si>
    <t>589753-00</t>
  </si>
  <si>
    <t>Xflo</t>
  </si>
  <si>
    <t>Developer of a SaaS platform intended to boost operational efficiencies through automation. The company's platform leverages artificial intelligence to automate financial and operational processes, enabling businesses to enhance productivity by streamlining operations.</t>
  </si>
  <si>
    <t>www.xflo.io</t>
  </si>
  <si>
    <t>862931-35</t>
  </si>
  <si>
    <t>XFX</t>
  </si>
  <si>
    <t>Developer of a cross-border transaction platform designed to streamline international settlement through real-time execution. The company's platform offers services like wholesale liquidity, real-time settlement, and cross-asset liquidity, enabling financial institutions and global businesses to move funds efficiently and reduce capital lock-up.</t>
  </si>
  <si>
    <t>ANIMO Ventures, Bitso, Castle Island Ventures, Coinbase Ventures, Haun Ventures Management, Maya Capital (Brazil), Oak HC/FT, Paxos, Proximity Angels</t>
  </si>
  <si>
    <t>www.xfx.io</t>
  </si>
  <si>
    <t>268013-08</t>
  </si>
  <si>
    <t>Xiaobangguihua</t>
  </si>
  <si>
    <t>Developer of an intelligent investment advisory service platform intended for Chinese middle-class families. The company's platform provides financial management and risk education through one on one consultation plans with their clients. The company's platform utilizes artificial intelligent algorithms and advanced asset allocation models to provide investors with scientific and systematic financial solutions. The company's mission is to help everyone use their money better.</t>
  </si>
  <si>
    <t>HSG (Hong Kong), Lanchi Ventures, Lingfeng Capital, Reinsurance Group of America, Tencent Investment</t>
  </si>
  <si>
    <t>www.xiaobangguihua.com</t>
  </si>
  <si>
    <t>436575-70</t>
  </si>
  <si>
    <t>XiaoQianBanKe</t>
  </si>
  <si>
    <t>Developer of a savings tracker application designed for children. The company's application can educate children to spend money rationally and help them to learn how to save money.</t>
  </si>
  <si>
    <t>Xiaojinlicai, Yongtong Investment Capital</t>
  </si>
  <si>
    <t>www.xiaoqianbanke.com</t>
  </si>
  <si>
    <t>462758-68</t>
  </si>
  <si>
    <t>Xiaowang Tech</t>
  </si>
  <si>
    <t>Developer of enterprise-level software intended to provide financial and legal services. The company develops a cloud-based online platforms to provide enterprises with tax, financial, and legal solutions, enabling small and medium-sized enterprises to improve operational efficiency at an affordable price.</t>
  </si>
  <si>
    <t>Cybernaut Investment (China), New Hope Group (China)</t>
  </si>
  <si>
    <t>www.xiaowangtech.com</t>
  </si>
  <si>
    <t>591408-73</t>
  </si>
  <si>
    <t>Xiaozhu Caishui</t>
  </si>
  <si>
    <t>Provider of financial artificial intelligence management platform designed to ease financial planning. The company relies on embeddings machine learning technology, enabling efficient financial and accounting knowledge searching for users.</t>
  </si>
  <si>
    <t>www.xzcs2022.com</t>
  </si>
  <si>
    <t>600107-77</t>
  </si>
  <si>
    <t>Ximple</t>
  </si>
  <si>
    <t>Provider of business credit and financing services intended to boost catalog sales. The company provides lines of credit that can be approved quickly and grow with payment history, withdrawal options via transfer or a dedicated card, allowing businesses to access financial resources for growth, manage their operations efficiently.</t>
  </si>
  <si>
    <t>99 Startups, Alaya Capital, Boost Capital Partners, Clocktower Ventures, Graph Ventures, Impact Ventures PSM, Impacta VC, Lotux, Norte Ventures, Promotora Social México</t>
  </si>
  <si>
    <t>www.ximple.co</t>
  </si>
  <si>
    <t>339810-94</t>
  </si>
  <si>
    <t>Xingmaitou</t>
  </si>
  <si>
    <t>Developer of an equity crowdfunding platform designed to help entrepreneurs raise capital. The company's platform hosts a wide variety of curated projects, enabling investors to make meaningful contributions in exchange for a project's equity or income rights.</t>
  </si>
  <si>
    <t>www.starange.com</t>
  </si>
  <si>
    <t>343029-70</t>
  </si>
  <si>
    <t>xintairuan.com</t>
  </si>
  <si>
    <t>Developer of an online payroll financial service platform. The company's payroll platform utilizes artificial intelligence, payment technology, big data to provide services such as payroll accounting, individual tax returns, payment, social security fund payments all on the same platform, enabling businesses to improve the efficiency of payroll processes and reduce costs.</t>
  </si>
  <si>
    <t>Beacon Venture Capital, Cowin Capital, daMao.cn, Kvision</t>
  </si>
  <si>
    <t>www.51xtr.com</t>
  </si>
  <si>
    <t>525502-99</t>
  </si>
  <si>
    <t>Xinxiwang (Shanghai)</t>
  </si>
  <si>
    <t>Developer and Provider of Investment Management Platform designed to connect investors with small and micro enterprises. The company cooperates with leading enterprises, banks, payment institutions, public departments, commercial real estate and SaaS serve providers to realize the discovery and investment allocation for small and micro enterprises, enabling greater access to funding and resources for smaller enterprises.</t>
  </si>
  <si>
    <t>230144-59</t>
  </si>
  <si>
    <t>Xinyongbao</t>
  </si>
  <si>
    <t>Provider of credit management and lending services intended to offer tailor-made personalized wealth planning. The company's offerings include a financial credit management platform based on big data and personal credit score, providing consumers with a risk management platform to help manage loans and wealth as well as provide credit management and micro-credit loan consulting services.</t>
  </si>
  <si>
    <t>Credit Saison, Detong Capital, EVRST, SUVC</t>
  </si>
  <si>
    <t>www.xyb100.com</t>
  </si>
  <si>
    <t>434581-66</t>
  </si>
  <si>
    <t>Xinzhi Hulian Cloud</t>
  </si>
  <si>
    <t>Developer of a financial PaaS(Platform as a Service) software application intended to foster the flow of capital between banks and asset management firms. The company's product connects the IT system of banks to clients API(Application programming interface), enabling transparent and efficient exchange of information and funds.</t>
  </si>
  <si>
    <t>Bicai365, First Eastern Investment Group</t>
  </si>
  <si>
    <t>471668-14</t>
  </si>
  <si>
    <t>Xpanse</t>
  </si>
  <si>
    <t>Developer of digital mortgage software designed to modernize and streamline the mortgage ecosystem by replacing manual, fragmented processes with intelligent, automated workflows. The company automates and orchestrates transactions and underwriting, employs machine learning (ML) for forecasting, allocating, and routing transactions, and offers self-service reports to set and manage SLAs, enabling financial services companies to streamline operations and reduce manual workload.</t>
  </si>
  <si>
    <t>www.xpanse.com</t>
  </si>
  <si>
    <t>223547-95</t>
  </si>
  <si>
    <t>Xpence</t>
  </si>
  <si>
    <t>Developer of a banking application designed to provide a banking alternative for entrepreneurs. The company's platform combines bookkeeping and banking in a single application with time-saving tools such as automated expensing, bookkeeping, and invoicing on the go, enabling entrepreneurs to open a business current account and manage finances.</t>
  </si>
  <si>
    <t>Abdulaziz Al-Moosa, Abdulmajeed Al-Jomaih, Basel Alabdulkarim, Fintech Saudi, Flat6labs, Leon Machenaud, Norah Al-Anbar, Systema, Uzair Ansari, Village Capital, White Hill Capital</t>
  </si>
  <si>
    <t>www.xpence.com</t>
  </si>
  <si>
    <t>484302-88</t>
  </si>
  <si>
    <t>Xponents</t>
  </si>
  <si>
    <t>Operator of an AI-based platform designed to help bring family businesses and startups together. The company's platform helps startups to scale rapidly via access to new markets, an established knowledge base, brand reputation, and access to crucial funding resources, helping businesses to grow with experience, industry expertise, and networking.</t>
  </si>
  <si>
    <t>www.xponents.co</t>
  </si>
  <si>
    <t>481901-32</t>
  </si>
  <si>
    <t>Xriba</t>
  </si>
  <si>
    <t>Developer of artificial intelligence and blockchain-based accounting software designed to automate all financial accounting. The company's software creates a decentralized method for saving, archiving, and querying financial transaction records. The protocol records financial transaction records on a public decentralized ledger where accounts can be stored and queried, and also includes an open application programming interface, enabling micro and small businesses to build their accounting applications or tools.</t>
  </si>
  <si>
    <t>New Alchemy, Wentworth Hall Consultancy</t>
  </si>
  <si>
    <t>www.xriba.com</t>
  </si>
  <si>
    <t>770185-90</t>
  </si>
  <si>
    <t>XSquare (Financial Software)</t>
  </si>
  <si>
    <t>Developer of a B2B payment and financial operations designed to consolidate business financial activities in one system. The company provides cross-border and domestic payment processing across multiple currencies and countries, corporate cards, credit and financing tools, spend management and bookkeeping dashboards, rewards management, and financial workflow automation with non-banking licensing coverage, enabling businesses globally to centralize payments, improve visibility and control over expenses, reduce manual administrative work, and support stable cash flow management.</t>
  </si>
  <si>
    <t>500 Global, AngelSpark, iACCEL GBI</t>
  </si>
  <si>
    <t>www.xsquare.biz</t>
  </si>
  <si>
    <t>1242134-56</t>
  </si>
  <si>
    <t>XStable</t>
  </si>
  <si>
    <t>Developer of a trading platform designed to trade gold, stocks,and RWA assets directly from wallet. The company's platform combines on-chain central limit order book (CLOB) optimized for Solana's throughput and latency with stablecoin-based settlement, integrates programmable risk and compliance modules, along with liquidation mechanisms, insurance funds, and market risk controls, enabling users to get a secure and efficinet trading platform.</t>
  </si>
  <si>
    <t>Solana Solaris Accelerator</t>
  </si>
  <si>
    <t>www.xstable.ai</t>
  </si>
  <si>
    <t>720183-07</t>
  </si>
  <si>
    <t>Xweave</t>
  </si>
  <si>
    <t>Developer of a non-custodial platform designed to enable real-time cross-border payments without pre-funding. The company offers an asset-agnostic routing engine, a global network of regulated partners, and a plug-and-play application programming interface integration, enabling businesses to reduce liquidity buffers, mitigate foreign exchange risk, and enhance efficiency in cross-border payments.</t>
  </si>
  <si>
    <t>Digital Currency Group, Fabric Ventures, Jungle Ventures, Kadan Capital, Lightshift Capital, Liminal (VC), The Venture Dept, White Star Capital</t>
  </si>
  <si>
    <t>www.xweave.io</t>
  </si>
  <si>
    <t>469226-26</t>
  </si>
  <si>
    <t>Yalla Xash</t>
  </si>
  <si>
    <t>Developer of a money transfer application designed to provide a cross-border money transfer service. The company's platform facilitates transfer operations, increases speed, guarantees confidentiality, ensures security, and reduces costs, enabling users to transfer their money securely without any hassle.</t>
  </si>
  <si>
    <t>MNF Ventures</t>
  </si>
  <si>
    <t>www.yallaxash.com</t>
  </si>
  <si>
    <t>435269-62</t>
  </si>
  <si>
    <t>YanZhen Technology</t>
  </si>
  <si>
    <t>Provider of supply chain financial services. The company provides financial loan services for enterprises and also provides a business intelligence risk control system, enabling enterprises to have access to fastest loan speed and the lowest risk.</t>
  </si>
  <si>
    <t>www.shansudai.cn</t>
  </si>
  <si>
    <t>267587-74</t>
  </si>
  <si>
    <t>YAP(Financial Software)</t>
  </si>
  <si>
    <t>Developer of a personalized banking application designed to make banking services convenient. The company's application offers packages that fit individual needs which include business expenses, personal household finances, or teaching young children how to manage their money, enabling users to have a simple, safe, and hassle-free finance system to manage their banking services.</t>
  </si>
  <si>
    <t>Abudawood Group, AlJazira Capital, Arab Supply and Trading Company, Audacia Capital, Hartmann Holdings, Tamasuk AlRajhi</t>
  </si>
  <si>
    <t>www.yap.com</t>
  </si>
  <si>
    <t>510295-87</t>
  </si>
  <si>
    <t>Yastá</t>
  </si>
  <si>
    <t>Developer of an international bill payment platform designed to pay bills in any city. The company provides an online mobile bill pay service that includes paying bills, overseas money transfers, paying for electricity, cable, internet, government taxes, and tickets, enabling users to make cross-border payments with fewer charges.</t>
  </si>
  <si>
    <t>SUR (peru)</t>
  </si>
  <si>
    <t>yastaapp.com</t>
  </si>
  <si>
    <t>819039-88</t>
  </si>
  <si>
    <t>Yasu Cloud</t>
  </si>
  <si>
    <t>Developer of an artificial intelligence-driven cloud optimisation platform designed to reduce unnecessary cloud expenses and improve financial governance. The company platform offers automated cost analysis, real-time insights, and continuous optimisation, enabling businesses to streamline cloud spending, enhance operational efficiency, and resource utilisation.</t>
  </si>
  <si>
    <t>AKKA Venture, Antler, Empower Impact, NVIDIA GPU Ventures, Utrechtinc</t>
  </si>
  <si>
    <t>yasu.cloud</t>
  </si>
  <si>
    <t>233906-05</t>
  </si>
  <si>
    <t>YAVE (Financial Software)</t>
  </si>
  <si>
    <t>Operator of a property mortgage financing platform intended to modify the experience of obtaining a personal mortgage. The company's platform offers alternatives to the complicated and traditional procedures of the past, modernizing the experience of the users through an agile and cutting-edge service with personal advice and fair rates, enabling users to easily obtain mortgage financing to buy a new house or modify and renovate it.</t>
  </si>
  <si>
    <t>www.yave.mx</t>
  </si>
  <si>
    <t>501781-33</t>
  </si>
  <si>
    <t>Yellowpay (Financial Software)</t>
  </si>
  <si>
    <t>Operator of a payment platform intended for payments in the construction industry. The company's platform helps to pay contractors, vendors, phone bills, and insurance, enabling vendors and suppliers to speed up the process of payment delivery and offering the possibility to minimize the delay of a material payment.</t>
  </si>
  <si>
    <t>3 Sverd Invest</t>
  </si>
  <si>
    <t>www.getyellowpay.com</t>
  </si>
  <si>
    <t>523408-06</t>
  </si>
  <si>
    <t>YELO Funding</t>
  </si>
  <si>
    <t>Operator of a fintech platform intended to provide student-centric college financing services. The company offers pre-approved student loans which are different than traditional students loan, providing alternative student financing to college education, enabling students to get flexible and affordable loans for education.</t>
  </si>
  <si>
    <t>www.yelofunding.com</t>
  </si>
  <si>
    <t>481235-59</t>
  </si>
  <si>
    <t>Yendo</t>
  </si>
  <si>
    <t>Operator of a credit card platform intended to provide an asset-backed credit product. The company offers revolving credit lines secured by a customer's car, supported by digital application processing and account management tools, enabling users to access credit while retaining use of their vehicle.</t>
  </si>
  <si>
    <t>1930 Capital, Autotech Ventures, Clocktower Ventures, FJ Labs, FPV Ventures, Greenpoint Capital, Human Capital, Jackson Moses, Leo Polovets, Mark Cuban, Pelion Venture Partners, Spacecadet Ventures, Spice Expeditions, Uncommon Capital, Vivek Garipalli, William Clerico, Wormhole Capital</t>
  </si>
  <si>
    <t>www.yendo.com</t>
  </si>
  <si>
    <t>591517-54</t>
  </si>
  <si>
    <t>Yenmo</t>
  </si>
  <si>
    <t>Operator of a fintech platform intended to provide instant loans against mutual funds. The company offers tools to borrow money based on the value of mutual funds and stocks, and offers a fixed interest rate with flexible repayment, enabling users to receive money against their investment and receive funds directly into their bank accounts.</t>
  </si>
  <si>
    <t>007 Venture Partners, Pioneer Fund, Team Ignite Ventures, Y Combinator, ZAKA VC</t>
  </si>
  <si>
    <t>www.yenmo.in</t>
  </si>
  <si>
    <t>493381-90</t>
  </si>
  <si>
    <t>Yep! Microfinance Bank</t>
  </si>
  <si>
    <t>Developer of a financial application designed to deliver seamless products to small businesses and retail customers. The company's platform offers personal banking services, creates payment links, integrates gateways, and offers instant loans and quick disbursements using artificial intelligence technology and machine learning tools, enabling customers to track spending, make savings, make investments, and make payments.</t>
  </si>
  <si>
    <t>GreenHouse Capital</t>
  </si>
  <si>
    <t>www.getyep.co</t>
  </si>
  <si>
    <t>317177-20</t>
  </si>
  <si>
    <t>Yepzy</t>
  </si>
  <si>
    <t>Developer of a financial platform designed to simplify cross-border payments. The company's platform automates the payroll process, resulting in less paperwork and risk while increasing employee satisfaction and retention, enabling migrant employees who are underbanked to have low-cost remittances.</t>
  </si>
  <si>
    <t>www.yepzy.com</t>
  </si>
  <si>
    <t>521623-54</t>
  </si>
  <si>
    <t>Yield Exchange</t>
  </si>
  <si>
    <t>Developer of a B2B SaaS platform designed to access competitive GIC rates with speed, transparency, and ease. The company offers an online marketplace for investors to browse and negotiate GICs across multiple financial institutions, enabling organizations to be notified of all market activity to focus on requests that align with their liquidity needs.</t>
  </si>
  <si>
    <t>AWS Clean Energy Accelerator 4.0, Gustavson Capital, ID3 Ventures, Mavan Capital Partners, New Ventures BC, North Exit Ventures, The Digital Commerce Calgary Fintech Award Contest, Tiny Capital</t>
  </si>
  <si>
    <t>www.yieldexchange.ca</t>
  </si>
  <si>
    <t>1167912-01</t>
  </si>
  <si>
    <t>YieldVault</t>
  </si>
  <si>
    <t>Developer of a community-powered savings and rate comparison platform intended to help access premium yields traditionally reserved for accredited investors. The company offers an online platform that crowdsources savings and certificate of deposit rates from real users, provides comparison tools, educational resources, and community-verified rate intelligence, managed optimization service with automated allocation and alternative investment access, enabling everyday savers to discover and optimize high-yield deposit opportunities.</t>
  </si>
  <si>
    <t>FundBaseCamp, Oil and Energy Investor</t>
  </si>
  <si>
    <t>www.yieldvault.investments</t>
  </si>
  <si>
    <t>399497-50</t>
  </si>
  <si>
    <t>Yiheng Online Technology</t>
  </si>
  <si>
    <t>Provider of trading technology and data services designed to serve small to medium-sized enterprises. The company's platform focuses on services, commodities, and finance technologies, enabling enterprises to conduct businesses internationally and receive cross-border remittances smoothly.</t>
  </si>
  <si>
    <t>www.e-moneyclip.com</t>
  </si>
  <si>
    <t>340894-36</t>
  </si>
  <si>
    <t>YinDuoWang</t>
  </si>
  <si>
    <t>Developer and provider of a financial intermediary platform designed to offer financial solutions to investors and financial institutions. The company's platform include services such as smart investment plan, special zones, asset transfer column, deposit and savings plans, enabling consumers to fulfill their financial investments and savings plan while reducing risk.</t>
  </si>
  <si>
    <t>BlackFish, Gaosouyi, Juxiu Ventures, Meili Jinrong, Omni Prime, Xiaojie Huang, Yu Chen</t>
  </si>
  <si>
    <t>www.yinduowang.com</t>
  </si>
  <si>
    <t>438908-59</t>
  </si>
  <si>
    <t>Yinghe Information</t>
  </si>
  <si>
    <t>Developer of an asset management platformed designed to streamline investment operations for users. The company's software helps investors efficiently allocate portfolio funds, submit regulatory disclosures and access research, enabling users to effectively digitize their investment activity.</t>
  </si>
  <si>
    <t>CE Innovation Capital, Cowin Capital, Hunan Xiangjiang New District State-owned Capital Investment Company, Junsan Capital, Koala Fund, Shunwei Capital</t>
  </si>
  <si>
    <t>www.yhfin.com</t>
  </si>
  <si>
    <t>455157-82</t>
  </si>
  <si>
    <t>Yitaocar</t>
  </si>
  <si>
    <t>Developer of auto finance platform designed to made car purchasing more efficient. The company's platform helps customers advance the car payment and also provides car pick-up and storage services, enabling customers to have sufficient time to process bank loans and assisting car dealers in one-stop solution to the problems of car source and capital flow.</t>
  </si>
  <si>
    <t>Yangming Capital</t>
  </si>
  <si>
    <t>www.yitaocar.com</t>
  </si>
  <si>
    <t>431667-01</t>
  </si>
  <si>
    <t>Yixuangu</t>
  </si>
  <si>
    <t>Provider of online financial services for the securities industry. The company monitors market movements by building a securities big data knowledge network and hundreds of thousands of investment data processing algorithms and models, providing users with investment opportunities accurately.</t>
  </si>
  <si>
    <t>Fujian Rongji Software Company</t>
  </si>
  <si>
    <t>www.estockapp.com</t>
  </si>
  <si>
    <t>104516-02</t>
  </si>
  <si>
    <t>Yoco</t>
  </si>
  <si>
    <t>Operator of a payments technology company intended to help businesses to accept secure payments online and in person through one system. The company's technology creates opportunities for entrepreneurs and small businesses to get paid, run, and grow businesses through a single platform, it the ecosystem includes payments, lending, and business software, enabling business merchants to accept card payments securely.</t>
  </si>
  <si>
    <t>4DX Ventures, Accion, Africa Angels Network, Alpha Protocol Ventures, Breyer Capital, Chris Adelsbach, CRE Venture Capital, Dragoneer Investment Group, Elias Wehbe, Flightmode Digital, Florian Aigrain, FMO Entrepreneurial Development Bank, Futuregrowth Asset Management, GenAI Accelerator, Globivest, Greg Kidd, Hard Yaka, Hedosophia, HOF Capital, Invested., KE Partners, Kpi Venture Capital, Lauren Selig, Musha Ventures, Nicholas Cooper, Orange Ventures, Partech, Quona Capital, Robby Hilkowitz, Samer Choucair, Shake and Bake, Tamim Bazzi, The Raba Partnership, The Rise Fund, TO VC (New York), Uncovered Fund, Velocity Capital Fintech Ventures, Wissam Otaky, Yoco</t>
  </si>
  <si>
    <t>www.yoco.com</t>
  </si>
  <si>
    <t>458608-51</t>
  </si>
  <si>
    <t>YoFio</t>
  </si>
  <si>
    <t>Developer of a microcredit application designed for purchases at informal corner stores. The company's application scans QR codes to show the details of the products being bought and authorizes the purchase by notifying the store, and provides credit facilities to corner stores through the app, and in partnership with the store, gives credit lines to the store customers, enabling customers to buy today and pay in a month.</t>
  </si>
  <si>
    <t>500 Global, 500 Startups LatAm, Cauris, Enlaces, G2 Momentum Capital, Innogen Capital Ventures, Oikocredit, Oikos Wealth Management (São Paulo)</t>
  </si>
  <si>
    <t>mx.yofio.app</t>
  </si>
  <si>
    <t>532967-41</t>
  </si>
  <si>
    <t>Yonyou Fintech</t>
  </si>
  <si>
    <t>Provider of digitalized products and solutions designed to satisfy the financial sector's primary development needs. The company offers a comprehensive range of digitalized products and solutions that cater to various financial sub-sectors, enabling these industries to meet their developmental needs in terms of software solutions, professional services, and industry-specific cloud services.</t>
  </si>
  <si>
    <t>Qihang Capital</t>
  </si>
  <si>
    <t>www.yonyoufintech.com</t>
  </si>
  <si>
    <t>60535-36</t>
  </si>
  <si>
    <t>Yooli.com</t>
  </si>
  <si>
    <t>Developer of a financial information service platform designed to facilitate compliant online lending-related information processing, consulting, and digital financial data support. The company offers internet-based financial information functions, data processing capabilities, and technical support, enabling retail finance participants to access structured credit information and improved decision-making efficiency.</t>
  </si>
  <si>
    <t>Beijing Flourish Libra Venture Capital, Hillhouse Investment Group, Huoban VC, Morningside Group, SB China Venture Capital</t>
  </si>
  <si>
    <t>www.yooli.com</t>
  </si>
  <si>
    <t>233959-87</t>
  </si>
  <si>
    <t>Yoordi</t>
  </si>
  <si>
    <t>Artificial Intelligence &amp; Machine Learning, B2B Payments, FinTech, Restaurant Technology</t>
  </si>
  <si>
    <t>Developer of a self-ordering and payment application designed to streamline restaurant services. The company's application offers QR-enabled menu access, online ordering, digital payment processing, and integration with existing point-of-sale systems to digitalize how guests order and pay for food and beverages, enabling restaurants and event planners to improve service efficiency, reduce operational delays, and provide guests with convenient dining experiences.</t>
  </si>
  <si>
    <t>Aare Ventures, Bianchi, FortyOne Group, Kickstart Innovation, Microsoft for Startups, SICTIC, Tenity</t>
  </si>
  <si>
    <t>www.yoordi.com</t>
  </si>
  <si>
    <t>266601-25</t>
  </si>
  <si>
    <t>YouLand</t>
  </si>
  <si>
    <t>Provider of real estate financing services intended to facilitate lending finance transactions. The company provides flexible loan terms and a fully online application process that reduces the complexity and time typically associated with traditional financing methods, enabling real estate investors to secure funding quickly and efficiently.</t>
  </si>
  <si>
    <t>Angel Plus, Sina iask</t>
  </si>
  <si>
    <t>www.youland.com</t>
  </si>
  <si>
    <t>520558-39</t>
  </si>
  <si>
    <t>YouPay</t>
  </si>
  <si>
    <t>Developer of financial software designed to automate, accelerate, and plan the school's growth strategy. The company's platform offers an easy and automatic way to relate with customers through messaging, and flexibility to pay anywhere by using the application, enabling schools and clients to automate management and payment safely, and improve their strategy.</t>
  </si>
  <si>
    <t>DOMO.VC, Silver Angels (Angel Group)</t>
  </si>
  <si>
    <t>www.youpay.digital</t>
  </si>
  <si>
    <t>517334-32</t>
  </si>
  <si>
    <t>YourPay</t>
  </si>
  <si>
    <t>Developer of a secure money transfer application designed to simplify sending funds and transform the financial lives of customers. The company's application helps to provide savings accounts, productive loans, consumer loans, low-interest rates and prepaid cards with no fees, enabling users to manage their money through their mobile easily and safely from anywhere, at any time.</t>
  </si>
  <si>
    <t>500 Global, 500 Southeast Asia, Integra Partners (Singapore), W inc.</t>
  </si>
  <si>
    <t>www.yourpay.co</t>
  </si>
  <si>
    <t>431227-45</t>
  </si>
  <si>
    <t>YourStake</t>
  </si>
  <si>
    <t>Developer of financial advisory software intended to transform scattered documents, meeting notes, and portfolio data into a synchronized operational system. The company's platform offers meeting assistant, document assistant, portfolio assistant, impact reporting, fund screening tools, and behavioral values questionnaire, enabling financial advisors to access organized client information and portfolio analysis workflows.</t>
  </si>
  <si>
    <t>Fin Capital, OMVC, PEAK6 Strategic Capital, The Founders Arena, Vectr Ventures</t>
  </si>
  <si>
    <t>www.yourstake.org</t>
  </si>
  <si>
    <t>267454-27</t>
  </si>
  <si>
    <t>YouTrip</t>
  </si>
  <si>
    <t>Developer of a multi-currency mobile wallet designed to offer zero transaction fees across various currencies at wholesale exchange rates. The company's wallets offer a mobile financial service for travelers to simplify overseas spending and create a fuss-free travel experience as well as permit them to manage their money in a simpler yet smart way, enabling travelers to make overseas payments without transaction or currency exchange fees.</t>
  </si>
  <si>
    <t>Insignia Ventures Partners, Lightspeed Venture Partners</t>
  </si>
  <si>
    <t>www.you.co</t>
  </si>
  <si>
    <t>455191-12</t>
  </si>
  <si>
    <t>YPay Card</t>
  </si>
  <si>
    <t>Provider of multipurpose smart payment cards intended to offer a new way to manage money. The company offers an app-based platform for managing money, fund transfers, online payments, fee payments and other financial services, enabling parents and schools to monitor transactions, foster financial responsibility, and teach valuable money management skills to young people.</t>
  </si>
  <si>
    <t>Amit Tyagi, Faad Network, Gaurav Juneja, Gaurav Singhvi Ventures, GI Ventures (India), Pragatii Bhargava, Ravi Gupta, Shark Ventures, Venture Catalysts (Capital Markets/Institutions), We Founder Circle</t>
  </si>
  <si>
    <t>www.ypaycard.com</t>
  </si>
  <si>
    <t>433021-33</t>
  </si>
  <si>
    <t>Yrefy</t>
  </si>
  <si>
    <t>Developer of a consumer finance platform designed to focus on distressed private student loans. The company's platform offers co-borrowers a fixed time horizon and a real exit without affecting their credit score, enabling students to borrow money without worrying about future overindebtedness.</t>
  </si>
  <si>
    <t>KG Investments</t>
  </si>
  <si>
    <t>www.yrefy.com</t>
  </si>
  <si>
    <t>500910-31</t>
  </si>
  <si>
    <t>Yufin</t>
  </si>
  <si>
    <t>Developer of a merchant financial platform designed to bring small businesses into the digital economy and increase financial inclusion. The company's platform allows small merchants to accept digital payments, make offline and online sales, and become trusted gateways to digital services, enabling clients to do business efficiently and become banking and distribution hubs for their customers.</t>
  </si>
  <si>
    <t>Boleh Ventures, Chris Colson, Fintech Nation, Indraani Singh, Kathy Burdon, Krishan Grover, Loyal VC, Raja Rajamannar, Rajendra Balakrishnan, Ramu Arivuvel, Wayne Malone, Zennon Kapron</t>
  </si>
  <si>
    <t>www.yufin.ph</t>
  </si>
  <si>
    <t>1360282-60</t>
  </si>
  <si>
    <t>Yumi Finance</t>
  </si>
  <si>
    <t>Developer of a credit infrastructure platform designed to enable digital and on-chain lending across financial applications. The company offers on-chain credit profiling, an underwriting engine, and SDK-based integration for credit cards and trade financing, enabling fintech platforms, merchants, and financial institutions to offer unsecured credit and manage lending workflows efficiently.</t>
  </si>
  <si>
    <t>Arnold Lee, Charles Mountain, Coinflipcanada Coinflipcanada, Colosseum (San Francisco), Dino Savonin, Fedor Chmilev, james smith., Jan Baeriswyl, Kevin Sekniqi, Shimon Newman, valeyo valeyo, y y</t>
  </si>
  <si>
    <t>www.yumi.finance</t>
  </si>
  <si>
    <t>442457-47</t>
  </si>
  <si>
    <t>yundaizhang.com</t>
  </si>
  <si>
    <t>Developer of a fiscal and taxation SaaS platform in China. The company's platform is mainly engaged in offering automatic and intelligent service for finance and taxation, providing business users with more efficiency in accounting and taxation.</t>
  </si>
  <si>
    <t>Asion Capital, Yinxinggu Capital</t>
  </si>
  <si>
    <t>www.yundaizhang.com</t>
  </si>
  <si>
    <t>434402-11</t>
  </si>
  <si>
    <t>YunDongJia</t>
  </si>
  <si>
    <t>CloudTech &amp; DevOps, FinTech, SaaS, TMT</t>
  </si>
  <si>
    <t>Developer of intelligent cashier intended to provide offline merchants with cloud platform services. The company develops intelligent cashier, PaaS Platform and SaaS software, enabling consumers to conveniently checkout by multi channels such as WeChat Pay, Alipay, Apple Pay, and credit card.</t>
  </si>
  <si>
    <t>Baosheng County Bank, China Merchants Capital, Green Pine Capital Partners, Oriental Fortune Capital, SiLuTianYu</t>
  </si>
  <si>
    <t>www.ydongj.com</t>
  </si>
  <si>
    <t>437857-66</t>
  </si>
  <si>
    <t>Yunjieshui</t>
  </si>
  <si>
    <t>Developer of an online enterprise tax service platform. The company's platform offers taxes, cost accounting, stock management, and other services, enabling clients to better manage their finances.</t>
  </si>
  <si>
    <t>www.yjieshui.com</t>
  </si>
  <si>
    <t>432626-05</t>
  </si>
  <si>
    <t>YunRong FinTech</t>
  </si>
  <si>
    <t>Developer of financial software and provider of financial consulting services. The company provides business consulting services, system development and implementation services, micro asset management and maintenance services focused on online credit for commercial banks, trust companies and loan companies, providing credit services and asset management services for financial institutions.</t>
  </si>
  <si>
    <t>Leading Capital Company, Xinshengfu Capital</t>
  </si>
  <si>
    <t>www.yunrong.cn</t>
  </si>
  <si>
    <t>186652-09</t>
  </si>
  <si>
    <t>Yunzhangfang</t>
  </si>
  <si>
    <t>Developer of financial and tax management software designed to automate bookkeeping and tax reporting processes. The company's technology utilises artificial intelligence to integrate accounting models into a system that automates data collection, account checking and tax statement preparation, enabling bookkeeping agencies and enterprises to manage financial tasks through a single platform.</t>
  </si>
  <si>
    <t>Apax Digital, AVIC Trust Company, GF Qianhe, GL Ventures, Jameho Investment, Liuhe Ventures, Vitruvian Partners, Zhonglu Capital</t>
  </si>
  <si>
    <t>www.yunzhangfang.com</t>
  </si>
  <si>
    <t>494980-39</t>
  </si>
  <si>
    <t>Yup</t>
  </si>
  <si>
    <t>Operator of a credit-led neobank platform intended to offer credit access to the unbanked population. The company's platform cooperates with banks and financing partners to provide credit card and credit-led payment by providing pay-later products, for an annual fee, that is easy to access, enabling users to get cashback, vouchers, various prizes and information on every transaction for managing their expenses.</t>
  </si>
  <si>
    <t>Antao Capital, BitRock Capital (SG), Hong Kong investment, Miller Investment Management, MindWorks Ventures, Moore Strategic Ventures, Platanus, Richen Pioneer, Sampoerna Agro, Shunwei Capital, Sky9 Capital, Spice Expeditions, SWC Global, Tortola Capital, Xiaomi Ventures, XVC</t>
  </si>
  <si>
    <t>www.finturegroup.com</t>
  </si>
  <si>
    <t>471454-48</t>
  </si>
  <si>
    <t>YUR-LI</t>
  </si>
  <si>
    <t>Artificial Intelligence &amp; Machine Learning, Big Data, FinTech, Legal Tech</t>
  </si>
  <si>
    <t>Developer of a financial technology system designed to check counterparties for solvency and tax risks. The company's system allows users to reliably determine the size of the allowable amount for a safe transaction, the probability of bankruptcy of a potential supplier of goods and services, the probability of refund at any stage of interaction with the counterparty before the conclusion of the contract, in the course of contract execution, or at the stage of pre-trial and court proceedings, enabling users to prevent write-offs of bad debts and assess the risks and conditions of working with suppliers.</t>
  </si>
  <si>
    <t>IZBA VC, Pulsar Venture Capital</t>
  </si>
  <si>
    <t>ur-li.ru</t>
  </si>
  <si>
    <t>435758-23</t>
  </si>
  <si>
    <t>Z Enterprise</t>
  </si>
  <si>
    <t>Developer of a tax and accounts management platform designed to help businesses check profits, losses, and cash flow. The company's platform helps to understand the accurate status reflecting the sales and purchases, as well as the withholding amount, and also gives a hassle-free checking of the corporate accounts and card usage history, which are distributed and difficult to manage, enabling clients to intuitively check the business status through a real-time chart reflecting the collected data.</t>
  </si>
  <si>
    <t>1Q Agile Lab, Busan Bank, DSC Investment, G.N. Tech Venture Capital, Hana Bank Global, K2 Investment Partners, Korea Credit Guarantee Fund, Magellan Technology Investment, Naver, Naver Financial, NH Capital, NH Investment &amp; Securities, Nice Information Service, Shinhan Venture Investment, WebCash, Wooshin Venture Investment</t>
  </si>
  <si>
    <t>www.zent.kr</t>
  </si>
  <si>
    <t>436569-31</t>
  </si>
  <si>
    <t>Zanifu</t>
  </si>
  <si>
    <t>FinTech, Mobile, SaaS, Supply Chain Tech</t>
  </si>
  <si>
    <t>Developer of a microlending platform designed to introduce efficiency and opportunity in supply chain operations. The company's platform is built with a mobile-first mindset and is made to work in an environment of low internet penetration, enabling retailers and wholesalers in Sub-Saharan Africa, to procure inventory financing for micro, small and medium Enterprises in the consumer goods value chain.</t>
  </si>
  <si>
    <t>AAIC Investment, Beyond Capital Ventures, Founders Factory Africa, Google Accelerator, Launch Africa Ventures, Saviu Ventures, Sayani Investments (Kenya), Simple Capital Partners, Super Capital, Variant Investments, Yango Ventures</t>
  </si>
  <si>
    <t>www.zanifu.com</t>
  </si>
  <si>
    <t>172180-99</t>
  </si>
  <si>
    <t>Zatiq Easy</t>
  </si>
  <si>
    <t>Developer of a digital payment platform intended to change the way consumers interact with brands in the real world. The company's platform provides financial services to small and medium businesses through tech-based solutions to create smarter and digitally-driven payment solutions, enabling users to track MFS payments, apply for loans, track pending payments and even send SMS reminders.</t>
  </si>
  <si>
    <t>Dekko ISHO Venture Capital</t>
  </si>
  <si>
    <t>www.zatiqeasy.com</t>
  </si>
  <si>
    <t>717008-86</t>
  </si>
  <si>
    <t>Zavo (YC F25)</t>
  </si>
  <si>
    <t>Developer of a financial management platform designed for streamlined payment processing and credit management. The company's platform facilitates mobile point-of-sale features, smartphone-enabled tap-to-pay, merchant cash advance facilities, with credit bill tracking, and automated payment reminders, enabling small merchants and individual users in domestic and international markets to conduct payments, manage debts, and improve credit behavior through a consolidated digital environment.</t>
  </si>
  <si>
    <t>Multimodal Ventures, Neer Venture Partners, Pioneer Fund, Plug and Play Tech Center, Rebel Fund, Team Ignite Ventures, TIBAS Ventures, Transpose Platform Management, Treeo VC, Y Combinator</t>
  </si>
  <si>
    <t>www.zavo.ai</t>
  </si>
  <si>
    <t>230606-20</t>
  </si>
  <si>
    <t>ZayZoon</t>
  </si>
  <si>
    <t>Developer of a financial wellness platform designed to give employees on-demand access to their earned wages. The company's platform offers earned wage access, financial education tools, and employee rewards programs, enabling small and mid-sized businesses to reduce financial stress among workers, improve retention, and enhance overall workplace satisfaction.</t>
  </si>
  <si>
    <t>Adventure Capital (Canada), Alpenglow Capital, ATB Financial, BlueSky Equities, C100 (Commercial Services), Carpe Diem Investments, DCARBON, EDC Investments, Framework Venture Partners, IFH Lab, InterGen Capital, Intrinsic Venture Capital, Intuit Ventures, MaRS Discovery District, Opportunity Calgary Investment Fund, Plug and Play Tech Center, Prairie Merchant, Rob Ohlson, Sanders Lee, Scale Up Canada, The Accelerator, The Lazaridis Institute, Unbank.Ventures, Village Capital, Viola FinTech</t>
  </si>
  <si>
    <t>www.zayzoon.com</t>
  </si>
  <si>
    <t>593567-11</t>
  </si>
  <si>
    <t>Zazu</t>
  </si>
  <si>
    <t>Developer of a finance management platform intended to simplify the business account opening process. The company's platform offers a business banking service with features like quick and easy account opening on the phone, all-in-one accounts with business cards, and digital company formation, by providing them with a powerful bank account at the core, combined with invoicing, bookkeeping, and cash flow management tools, enabling self-employed individuals and clients to set up and manage their business finances effortlessly.</t>
  </si>
  <si>
    <t>Akshay Patel, Axel Peyriere, Bell Ventures (Limassol), Ismael Belkhayat, Launch Africa Ventures, Mohamed Benmansour, Plug and Play Tech Center, Sophie Guibaud, Zachariah George</t>
  </si>
  <si>
    <t>www.get-zazu.com</t>
  </si>
  <si>
    <t>227126-44</t>
  </si>
  <si>
    <t>Zbooni</t>
  </si>
  <si>
    <t>Operator of an invoicing commerce platform intended to simplify social interactions. The company's platform connects merchants and consumers on social media platforms to improve purchases and sales figures and easily creates invoices and orders to close sales on messaging apps one already uses, enabling merchants to conduct transactions with customers via preferred social media and chat services.</t>
  </si>
  <si>
    <t>B&amp;Y Venture Partners, Chalhoub Group, Dubai Angel Investors, Enterprise Fund, FbStart, March Holding, Middle East Venture Partners, Venture Mena</t>
  </si>
  <si>
    <t>www.zbooni.com</t>
  </si>
  <si>
    <t>454729-06</t>
  </si>
  <si>
    <t>Zeal (Financial Software)</t>
  </si>
  <si>
    <t>Operator of a digital loyalty platform intended to help brands understand and engage with customers through a loyalty program. The company's application allows merchants to retain customers, cross-sell to customers of other merchants, collect data analytics and offer personalized rewards, enabling partner businesses to receive payments from users by sending them payment links.</t>
  </si>
  <si>
    <t>Cur8 Capital, Endeavor Greece, Pinnacle Capital, Raed Ventures, Tech Nation Group, T-Hub, Visa Everywhere Initiative, Visa Innovation Program</t>
  </si>
  <si>
    <t>www.getzeal.io</t>
  </si>
  <si>
    <t>595912-15</t>
  </si>
  <si>
    <t>Zed (Financial Services)</t>
  </si>
  <si>
    <t>Operator of a credit card company intended to offer statements and payments. The company offers no-fee credit cards, eliminating several common charges, including foreign transaction fees, interest, and annual fees, and unlimited virtual cards to protect primary information, enabling customers to access financial services worldwide safely while saving money.</t>
  </si>
  <si>
    <t>Accel, Dalton Caldwell, Immad Akhund, Kunal Shah, Rainfall Ventures, Valar Ventures</t>
  </si>
  <si>
    <t>www.zed.co</t>
  </si>
  <si>
    <t>528119-47</t>
  </si>
  <si>
    <t>Zeeh Africa</t>
  </si>
  <si>
    <t>Developer of an open banking platform intended to provide financial data and analytics to businesses and consumers. The company's platform connects users to trusted identities, consumer financial data, and credit scoring/analytics, all with a single secure ID, enabling financial institutions, lenders, and digital businesses to access user identities and financial data in real time, which makes customer onboarding faster, less expensive, and more efficient.</t>
  </si>
  <si>
    <t>AWS, Fast Accelerator, Tekedia Capital, Visa Accelerator</t>
  </si>
  <si>
    <t>www.zeeh.africa</t>
  </si>
  <si>
    <t>129198-88</t>
  </si>
  <si>
    <t>Zeepay</t>
  </si>
  <si>
    <t>Developer of a fintech platform focusing on digital rails intended to connect digital assets such as mobile money wallets, cards, ATMs, bank accounts, and digital tokens. The company's platform offers an aggregation of mobile financial services and offers mobile payment acceptance, fund remittance, and ancillary services, enabling customers to avail of services like international money transfers, payments, subscriptions, international airtime, and refugee payments easily.</t>
  </si>
  <si>
    <t>Africa50, Afrique Créative, Ark Holdings, Ghana Climate Innovation Center, GOODsoil VC, Injaro Agricultural Capital Holdings, Injaro Investments, Investisseurs &amp; Partenaires, Oikocredit, Start OA, Symbiotics (Ghana), Verdant Capital</t>
  </si>
  <si>
    <t>www.myzeepay.com</t>
  </si>
  <si>
    <t>866466-82</t>
  </si>
  <si>
    <t>Zelody</t>
  </si>
  <si>
    <t>Developer of a data orchestration platform designed for regulated financial institutions. The company's platform offers modular and extensible integration architecture, artificial intelligence driven data transformation and automated mapping, reusable connectors and adapters, built in compliance monitoring and enterprise grade encryption, enabling banks, fintechs and financial services firms to simplify complex regulated data flows, maintain security and compliance, and reduce manual operational burden across their data pipelines.</t>
  </si>
  <si>
    <t>Counterpart Ventures</t>
  </si>
  <si>
    <t>www.zelody.com</t>
  </si>
  <si>
    <t>491052-16</t>
  </si>
  <si>
    <t>Zemo</t>
  </si>
  <si>
    <t>Developer of a corporate expense management platform intended to eliminate wasteful spending and tedious expense reports in businesses. The company's spend management technology sets controls on the cards issued to ensure spending is fully controlled and also offers administrators and accountants visibility on the company spending for every employee, enabling businesses to manage their cash flow expenditures efficiently.</t>
  </si>
  <si>
    <t>Aidi Ventures, From Here Ventures, GreenHouse Capital, Startup Wise Guys</t>
  </si>
  <si>
    <t>www.zemocard.com</t>
  </si>
  <si>
    <t>619396-93</t>
  </si>
  <si>
    <t>Zemo Bank</t>
  </si>
  <si>
    <t>Developer of a digital FinTech platform intended to integrate financial services to optimize cash flow and profitability. The company's platform facilitates high-volume financial transactions between large corporations and their suppliers and facilitates real-time monitoring of transactions, enabling users to automate their company's financial transactions.</t>
  </si>
  <si>
    <t>Bertha Capital</t>
  </si>
  <si>
    <t>www.zemobank.com.br</t>
  </si>
  <si>
    <t>490710-88</t>
  </si>
  <si>
    <t>Zenda (Financial Software)</t>
  </si>
  <si>
    <t>Developer of a financial application designed to simplify digital payments and manage all school-related payments. The company's platform offers fee management for schools and colleges, built-in payment gateways and financing, auto-reminders to avoid penalties and fines, and auto reconciliation and sync to eliminate manual intervention, enabling families to instantly avail installment options when making school payments without cumbersome paperwork.</t>
  </si>
  <si>
    <t>AstroLabs, COTU Ventures, Future100, Global Founders Capital, RZM Investment, STV, VentureSouq</t>
  </si>
  <si>
    <t>www.zenda.com</t>
  </si>
  <si>
    <t>510598-90</t>
  </si>
  <si>
    <t>Zenfi</t>
  </si>
  <si>
    <t>Developer of a financial application designed to improve consumer finances. The company's application allows users to understand their tax information, tax regime, and its obligations, also consequently set payment date reminders, set credit card spending limits, and help them identify how much and on what they spend most with their credit cards, enabling users with a right tool to track and control their spendings.</t>
  </si>
  <si>
    <t>Cometa (Mexico), Conny &amp; Co., Gian Scozzaro, Magma Partners, Poligono Capital, Redwood Ventures, Suramya Mukesh, Unpopular Ventures</t>
  </si>
  <si>
    <t>www.zenfi.mx</t>
  </si>
  <si>
    <t>686630-98</t>
  </si>
  <si>
    <t>ZenStatement</t>
  </si>
  <si>
    <t>Developer of an artificial intelligence-powered financial analytics and cash flow management platform designed to help both online and offline business channels. The company's tool specializes in monitoring, optimizing, reconciling, and forecasting cash flows while providing financial insights through AI-driven natural language queries, enabling firms to automate financial operations and boost revenues by identifying and eliminating leakages.</t>
  </si>
  <si>
    <t>3one4 Capital, 8i Ventures, Ankit Fatehpuria, Ankit Nagori, Atrium Advisory, BoldCap, Chetan Venugopal, Kulin Shah, Michael Boyd</t>
  </si>
  <si>
    <t>www.zenstatement.com</t>
  </si>
  <si>
    <t>435604-06</t>
  </si>
  <si>
    <t>Zenus Bank</t>
  </si>
  <si>
    <t>Operator of banking and financial technology platform intended to help access, send, receive and store money. The company's platform offer banking, treasury, and payment tools to simplify and consolidate business operations with international banking services, facilitate and compliment the cross-border money transfer needs, enabling individuals and businesses to manage accounts, payees, and end-to-end payment flows.</t>
  </si>
  <si>
    <t>Farmvestor Capital, Forexify, Great Chiliocosm Capital</t>
  </si>
  <si>
    <t>www.zenus.com</t>
  </si>
  <si>
    <t>520638-58</t>
  </si>
  <si>
    <t>Zeplo</t>
  </si>
  <si>
    <t>Developer of blockchain infrastructure technology intended for improving global equity through fair, accessible, and safe decentralized finance. The company is developing a blockchain that features private transactions and MEV-resistance powered by zero-knowledge proofs, enabling blockchain developers and on-chain consumer finance providers to build and operate privacy-preserving, compliant, and censorship-resistant financial applications with reduced value extraction, greater user protection, and more equitable economic outcomes.</t>
  </si>
  <si>
    <t>6th Man Ventures, Alumni Ventures, BatuX BatuX, CMT Digital Holdings, ConsenSys, DBA, ETH global, FirstMark Capital, NGC Ventures(Singapore), Orange DAO, PL Capital (United States), Polygon Labs, Protocol Labs, Robot Ventures, Upfront Ventures, Wyngate</t>
  </si>
  <si>
    <t>payy.network</t>
  </si>
  <si>
    <t>640224-46</t>
  </si>
  <si>
    <t>Zero (UK)</t>
  </si>
  <si>
    <t>Developer of a financial platform designed to offer personal finance services with environmental responsibility. The company's platform offers digital banking solutions with a debit MasterCard and also provides zero commission while spending abroad, and provides customers with clear information on how their money is being used, potentially fostering a sense of positive environmental impact through their banking choices, enabling users to get proper banking features compared to traditional banks.</t>
  </si>
  <si>
    <t>www.zero.co.uk</t>
  </si>
  <si>
    <t>510485-68</t>
  </si>
  <si>
    <t>Zest</t>
  </si>
  <si>
    <t>Developer of a digital transactional infrastructure platform designed to facilitate private-market transactions. The company offers regulated escrow and arranging services, along with digital capabilities for special purpose vehicle formation and deal workflow management, enabling investors, fund managers, and transaction participants to streamline governance, documentation, and funding processes across jurisdictions.</t>
  </si>
  <si>
    <t>500 Global, DASH Ventures, Dubai Future District Fund, FJ Labs, Future100, Global Founders Capital, Hub71, International Finance Corporation, Middle East Venture Partners, Morgan Stanley Inclusive &amp; Sustainable Ventures, Nuwa Capital, Prosus Ventures</t>
  </si>
  <si>
    <t>www.zestequity.com</t>
  </si>
  <si>
    <t>1240014-79</t>
  </si>
  <si>
    <t>Zhihui Rong Technology</t>
  </si>
  <si>
    <t>Developer of a financial technology platform designed to enhance compliance, risk management, and efficiency in private lending. The company offers intelligent risk control systems, licensed disbursement channels, and legal enforcement tools, enabling private lenders and debt restructuring institutions to achieve secure transactions, faster recovery, and sustainable financial operations.</t>
  </si>
  <si>
    <t>706733-11</t>
  </si>
  <si>
    <t>ZhongFaXinTou</t>
  </si>
  <si>
    <t>Developer of internet financial payment services for individual users and merchants. The company is committed to using advanced technologies such as big data and cloud computing to provide users with personalized financial solutions, permitting to solve the problems of physical merchants such as difficulty in attracting customers, single income, and insufficient product sales.</t>
  </si>
  <si>
    <t>China Agricultural Industry Development Fund</t>
  </si>
  <si>
    <t>462914-56</t>
  </si>
  <si>
    <t>ZhongMiWangLuo</t>
  </si>
  <si>
    <t>Developer of quantitative data analysis systems for secondary market participants. The company's AI trading engine takes into account the good performance of neural networks and avoids over-fitting and nonlinear features through the use of genetic planning, deep learning and other advanced technologies, providing institutional clients with efficient quantitative transaction solutions.</t>
  </si>
  <si>
    <t>Beiruan Angel, GeekHouse Capital, Innoangel Fund, Pioneer Angel, Taiyou Fund, Tsinghua Capital</t>
  </si>
  <si>
    <t>www.zmate.cn</t>
  </si>
  <si>
    <t>399455-92</t>
  </si>
  <si>
    <t>ZhongYeXingRong</t>
  </si>
  <si>
    <t>Provider of online financial services and information platform for enterprises. The company's platform serves as intermediary to provide online lending and information services, enabling small to medium sized companies to receive financial assistance and services.</t>
  </si>
  <si>
    <t>www.zyxr.com</t>
  </si>
  <si>
    <t>493242-40</t>
  </si>
  <si>
    <t>Zibra</t>
  </si>
  <si>
    <t>Developer of an artificial intelligence-driven digital wallet application designed to provide an opportunity for individuals to manage every account in one place. The company's application allows users to create an account with a linked digital payment card that securely connects to all their existing financial instruments and loyalty programs and can also be used to switch between payment methods automatically, enabling users to have a consolidated view of their spending with tailored data insights and recommendations to encourage relevant spending.</t>
  </si>
  <si>
    <t>www.simplyzibra.com.au</t>
  </si>
  <si>
    <t>182282-77</t>
  </si>
  <si>
    <t>Zichan360</t>
  </si>
  <si>
    <t>Operator of an online platform intended to provide non-performing asset disposal services. The company's online platform utilizes big data technology and cloud computing technologies to offer data collection, intelligent collection decision, risk assessment, risk control and upstream and downstream data matching services, enabling clients to receive asset management services through the financial platform.</t>
  </si>
  <si>
    <t>58.com, 9C Capital, Beijing Dongfang Hongdao Asset Management, Beijing Weilie Capital Management Consulting, K2VC, SIG China, Source Code Capital, Strait Capital Investment Group</t>
  </si>
  <si>
    <t>www.zichan360.com</t>
  </si>
  <si>
    <t>268456-15</t>
  </si>
  <si>
    <t>Zinc Finance</t>
  </si>
  <si>
    <t>Provider of a financial information and media platform, focusing on helping entrepreneurs launch their business. The mainly customer are the emerging entrepreneurs. The company provides financial news and financial market quotations, including stocks, bonds, futures, trusts, wealth management, management and other fields, enabling users to get a variety of information.</t>
  </si>
  <si>
    <t>Joyminter, Liyuan Venture Capital, People.cn Co., People.cn Ventures, Yefeng Group</t>
  </si>
  <si>
    <t>znfinnews.com</t>
  </si>
  <si>
    <t>706661-74</t>
  </si>
  <si>
    <t>Zincmoney</t>
  </si>
  <si>
    <t>Developer of a financial platform designed to facilitate international education planning. The company offers personalized investment strategies and expert guidance, enabling families to navigate tuition and living expenses abroad to ensure a secure financial future for their children.</t>
  </si>
  <si>
    <t>www.zinc.money</t>
  </si>
  <si>
    <t>279840-43</t>
  </si>
  <si>
    <t>Zippi</t>
  </si>
  <si>
    <t>Developer of a personal loans provider platform intended to transform the reality of micro and small entrepreneurs. The company's platform offers weekly invoices and payment through an application and does not charge an annual fee, providing agile and accessible financial solutions, enabling clients to focus on their business growth.</t>
  </si>
  <si>
    <t>99 Startups, Actyus, BetaVentures, Canary (Brazil), First Check Ventures, Globo Ventures, Hummingbird Ventures, K5 Global, Mantis VC, MSA Capital, Prodigio Capital, Rainfall Ventures, Soma Capital, Tiger Global Management, Twenty Two Ventures, VentureSouq, Volpe Capital, Y Combinator, Zillionize</t>
  </si>
  <si>
    <t>zippi.com.br</t>
  </si>
  <si>
    <t>802917-01</t>
  </si>
  <si>
    <t>ZIPUP</t>
  </si>
  <si>
    <t>Developer of a rent payment platform designed to facilitate residential rent payments. The company provides a platform for tenants to pay monthly rent and maintenance fees using credit cards or digital wallets with lease verification, payment scheduling, and transaction processing, enabling clients to manage residential rent payments.</t>
  </si>
  <si>
    <t>Center for Creative Economy and Innovation, COMEUP STARS, Fintech Center Korea, iM Financial Group, Korea Electrotechnology Research Institute, Korea SMEs and Startups Agency, KT&amp;G Corp, MetLife Inclusion Plus, MYSC, Shinhan Bank, SJ Investment Partners, Tech Incubator Program for Startup, Woori Financial Group, Youth Business International</t>
  </si>
  <si>
    <t>www.zipup.co.kr</t>
  </si>
  <si>
    <t>529591-42</t>
  </si>
  <si>
    <t>Ziro</t>
  </si>
  <si>
    <t>Provider of a trade credit and payments platform intended to offer short-term purchasing credit to small retailers without taking on receivables risk. The company's platform provides interest-free financing at checkout, integrates with e-commerce, CRM, or field-sales ordering tools, performs identity verification and credit assessment to set credit limits, monitors transactions for potential fraud patterns, and manages collection from the retailer while paying the supplier on agreed terms, enabling businesses to increase order frequency while reducing late-payment exposure and collection workload.</t>
  </si>
  <si>
    <t>500 Global, 500 Startups LatAm, Google Accelerator</t>
  </si>
  <si>
    <t>www.somosziro.com</t>
  </si>
  <si>
    <t>707729-95</t>
  </si>
  <si>
    <t>Zite</t>
  </si>
  <si>
    <t>Operator of a wealth management platform designed to centralize and administer client financial and real assets. The company's platform aggregates bank accounts, brokerage holdings, real estate and other asset classes across currencies and entities, maintains continuously updated data feeds through institutional integrations, enabling financial advisors, family offices, investment managers and private investors primarily in Latin America to maintain an accurate consolidated view of wealth while reducing manual processing and improving decision quality.</t>
  </si>
  <si>
    <t>MANA Tech, Xeibo Capital</t>
  </si>
  <si>
    <t>www.zite.co</t>
  </si>
  <si>
    <t>532507-78</t>
  </si>
  <si>
    <t>Zive.ai</t>
  </si>
  <si>
    <t>Operator of a fund administration platform intended for emerging fund managers. The company's platform leverages artificial intelligence for automating critical functions like tax preparation, compliance, and performance tracking, and empowers general and limited partners to optimize fund operations, focus on growth, and deliver value to investors and portfolio companies by reducing costs, increasing efficiency, and providing real-time transparency, enabling fund managers to make informed investment decisions and manage funds.</t>
  </si>
  <si>
    <t>7BC Venture Capital, CerraCap, Eagle Venture Fund, Nurture Ventures, Sparq Capital (United States), Team Ignite Ventures, Venture Forward Capital</t>
  </si>
  <si>
    <t>www.zive.ai</t>
  </si>
  <si>
    <t>551351-44</t>
  </si>
  <si>
    <t>Zkr.</t>
  </si>
  <si>
    <t>Developer of an automated regulatory compliance and risk management platform designed for client onboarding and due diligence purposes. The company's platform integrates global data sources to provide comprehensive know-your-customer and know-your-business services, adverse media monitoring, beneficial owner verification, digital identity authentication, and interactive training modules for anti-money laundering regulations, enabling professional service firms and financial institutions to streamline administrative workflows while establishing objective standards for mitigating financial and legal risks.</t>
  </si>
  <si>
    <t>Shoe Investments</t>
  </si>
  <si>
    <t>www.zkr.nl</t>
  </si>
  <si>
    <t>184117-60</t>
  </si>
  <si>
    <t>Zlick</t>
  </si>
  <si>
    <t>Developer of a financial platform designed to revolutionize online payments. The company's platform offers quick and easy payments by phone using direct operator settlement technology, a fast and secure way of making payments, extremely useful in handling subscription models, enabling publishers to increase their paid content with one-click payment.</t>
  </si>
  <si>
    <t>10x Value Partners, Bellone Invest, Space3ac</t>
  </si>
  <si>
    <t>www.zlick.it</t>
  </si>
  <si>
    <t>497526-40</t>
  </si>
  <si>
    <t>Zofi Cash</t>
  </si>
  <si>
    <t>Operator of a digital financial platform intended to provide employees with loans during financial emergencies before payday. The company's platform provides affordable salary advances at a low interest rate based on the number of days of holding the loan before payday, enabling salary earners with financial support during times of emergency.</t>
  </si>
  <si>
    <t>Advancly, Startup Wise Guys</t>
  </si>
  <si>
    <t>www.zoficash.com</t>
  </si>
  <si>
    <t>141105-07</t>
  </si>
  <si>
    <t>Zonos</t>
  </si>
  <si>
    <t>Developer of a cross-border e-commerce platform designed to offer end-to-end logistics for online retailers. The company's platform calculates accurate landed costs, manages restricted items, localizes checkout pages, sets in foreign currencies, mitigates fraud risk, and increases conversions and revenue, enabling online retailers to globalize their web stores easily and cost-effectively.</t>
  </si>
  <si>
    <t>Aaron Skonnard, Austen Allred, David Elkington, Eric Rea, Joshua James, Silversmith Capital Partners</t>
  </si>
  <si>
    <t>www.zonos.com</t>
  </si>
  <si>
    <t>316624-87</t>
  </si>
  <si>
    <t>Zorion</t>
  </si>
  <si>
    <t>Developer of a fully regulated mobile platform designed for regular people to invest in late-stage/pre-IPO companies &amp; mutual funds. The company's platform offers users the chance to grow their money in financial markets as well as provides financial advisory &amp; market research, enabling users to invest in the private market while having expert financial support.</t>
  </si>
  <si>
    <t>BlockOn, West Coast Equity Partners</t>
  </si>
  <si>
    <t>www.zorion.com</t>
  </si>
  <si>
    <t>496169-65</t>
  </si>
  <si>
    <t>Zro Pagamentos</t>
  </si>
  <si>
    <t>Developer of a neo-bank platform designed to offer a range of financial services, including a digital bank account, debit card and money transfer. The company offers digital banking, mobile payments, international e-card options and provides access to the cryptocurrency market, which allows one to buy, sell and trade currencies, enabling customers to get provided with a simple, convenient and affordable way to manage their finances.</t>
  </si>
  <si>
    <t>Squared Ventures</t>
  </si>
  <si>
    <t>zro.global</t>
  </si>
  <si>
    <t>483635-62</t>
  </si>
  <si>
    <t>Zu Technologies</t>
  </si>
  <si>
    <t>Artificial Intelligence &amp; Machine Learning, EdTech, Mobile</t>
  </si>
  <si>
    <t>Developer of a learning platform designed to support self-study for Indian teenagers. The company's platform uses artificial intelligence technology to provide comprehensive support for various academic disciplines and personalized and interactive learning experiences around the clock, enabling learners to ace and learn any concept.</t>
  </si>
  <si>
    <t>100X.VC, Bharat Founders Fund, DeVC, Google Accelerator, LVX, Prime Venture Partners, Rainmatter Capital, SeaBright Holdings, upGrad, Venkata Reddy Vinod Kumar</t>
  </si>
  <si>
    <t>profcurious.com</t>
  </si>
  <si>
    <t>1273925-44</t>
  </si>
  <si>
    <t>Zuba</t>
  </si>
  <si>
    <t>Developer of a global payment infrastructure designed to make money movement instant, borderless, and accessible for businesses and individuals worldwide. The company offers stablecoin-native rails for instant collection, conversion, and clearing of cross-border payments in local currency, enabling businesses and individuals operating in and around Africa to move funds seamlessly using blockchain networks.</t>
  </si>
  <si>
    <t>Andreessen Horowitz, BackBone Ventures, Bain Capital Ventures, Digital Currency Group, Digital Space Ventures, Eden Ventures (Milano), Entourage Ventures, Evertrue.Capital, EWOR, Index Ventures, Prediction Capital, Sequoia Capital, The Raba Partnership, Triple A (Investor)</t>
  </si>
  <si>
    <t>www.zuba.com</t>
  </si>
  <si>
    <t>459125-65</t>
  </si>
  <si>
    <t>Zūm Rails</t>
  </si>
  <si>
    <t>Developer of a unified payment infrastructure and identity verification platform designed to provide real-time financial transactions and regulatory compliance for financial institutions. The company's system has an all-in-one payment gateway for financial interactions, from onboarding and risk mitigation to invoice closing, and it is a fully customizable payment portal that securely tokenizes all sensitive information, enabling businesses to get virtually instant payment processing for both accounts receivable and accounts payable.</t>
  </si>
  <si>
    <t>Arthur Ventures, Station FinTech Montreal</t>
  </si>
  <si>
    <t>www.zumrails.com</t>
  </si>
  <si>
    <t>483580-63</t>
  </si>
  <si>
    <t>Zumma</t>
  </si>
  <si>
    <t>Developer of an autonomous finance platform designed to automate financial workflows and reduce manual effort. The company offers AI agents, a spend-management platform, tax-compliant expense invoicing through WhatsApp, and integrations with existing internal tools, enabling finance and admin teams at businesses to automate expense processes and reclaim time and tax benefits.</t>
  </si>
  <si>
    <t>Alamo Angels, GG Capital (Santiago), MassChallenge, MIT Delta V, Outside Venture Capital, SBXi, Seedstars, Techstars, Wollef</t>
  </si>
  <si>
    <t>www.zummafinancial.com</t>
  </si>
  <si>
    <t>232612-12</t>
  </si>
  <si>
    <t>Züs</t>
  </si>
  <si>
    <t>Developer of a decentralized storage platform designed to offer clients unparalleled security, performance and availability. The company's platform allows customers to back up their data with ease, that it near-impossible to breach, and every action is immutably registered on the blockchain, enabling users to store their data securely.</t>
  </si>
  <si>
    <t>Block Ventures, Team in Residence, VentureOut (US), Yasar Corporation</t>
  </si>
  <si>
    <t>www.zus.network</t>
  </si>
  <si>
    <t>819549-28</t>
  </si>
  <si>
    <t>Zynk</t>
  </si>
  <si>
    <t>Operator of a global payment infrastructure designed to enable instant settlements across multiple currencies. The company's platform offers pre-funded transactions via a single Application Programming Interface with round-the-clock availability, enabling financial services providers, trading platforms, and e-commerce businesses to accelerate cross-border transfers, eliminate pre-funding constraints, and enhance end-user accessibility.</t>
  </si>
  <si>
    <t>Alliance (Other Capital Markets/Institutions), Coinbase Ventures, Contribution Capital, Hivemind Capital, Polymorphic Capital, Transpose Platform Management, Tyhke Ventures, WebWise Capital</t>
  </si>
  <si>
    <t>www.zynk.money</t>
  </si>
  <si>
    <t>1261512-46</t>
  </si>
  <si>
    <t>Zynta</t>
  </si>
  <si>
    <t>Operator of a digital asset trading and cross-border settlement platform intended to support high-volume international transactions for businesses and individuals. The company offers an over-the-counter trading desk for large cryptocurrency transactions, third-party payment capabilities, non-custodial wallets, configurable on- and off-ramps, offshore business payment options, and virtual accounts in multiple currencies, enabling institutions, enterprises and individual users to move funds across borders, manage digital asset liquidity, and complete compliant transactions with standardized processes and reduced reliance on traditional banking channels.</t>
  </si>
  <si>
    <t>LAVA (Africa), Solana Incubator, Visa Accelerator</t>
  </si>
  <si>
    <t>www.zynta.com</t>
  </si>
  <si>
    <t>© PitchBook Data, Inc.  2026</t>
  </si>
  <si>
    <t>All data copyright PitchBook Data, Inc.</t>
  </si>
  <si>
    <t>For customized data reports and analyses, contact us at:</t>
  </si>
  <si>
    <t>support@pitchbook.com</t>
  </si>
  <si>
    <t xml:space="preserve">This document and its contents may only be used or shared as permitted in </t>
  </si>
  <si>
    <t>the PitchBook subscription agreement.</t>
  </si>
  <si>
    <t>Subject to limited exceptions, this document may not be used or stored following the termination of your agreement with PitchBook.</t>
  </si>
  <si>
    <t>If you have any further questions or concerns, please contact client services at:</t>
  </si>
  <si>
    <t>US</t>
  </si>
  <si>
    <t>+1 (206) 257-7775</t>
  </si>
  <si>
    <t>UK</t>
  </si>
  <si>
    <t>+44 (0)203 875 3504</t>
  </si>
  <si>
    <t>SG</t>
  </si>
  <si>
    <t>+65 6016 4771</t>
  </si>
  <si>
    <t>Or by email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</si>
</sst>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2" formatCode="dd-mmm-yyyy"/>
    <numFmt numFmtId="83" formatCode="dd-MMM-yyyy"/>
    <numFmt numFmtId="84" formatCode="#,##0.00;[red](#,##0.00)"/>
  </numFmts>
  <fonts count="55">
    <font>
      <sz val="11"/>
      <color theme="1"/>
      <name val="Calibri"/>
      <family val="2"/>
      <scheme val="minor"/>
    </font>
    <font>
      <sz val="8"/>
      <color rgb="FF000000"/>
      <name val="Open Sans"/>
      <family val="2"/>
    </font>
    <font>
      <b/>
      <sz val="8"/>
      <color rgb="FF000000"/>
      <name val="Open Sans"/>
      <family val="2"/>
    </font>
    <font>
      <sz val="8"/>
      <color rgb="FF000000"/>
      <name val="Open Sans"/>
      <family val="2"/>
    </font>
    <font>
      <u/>
      <sz val="11"/>
      <color rgb="FF0563C1"/>
      <name val="Calibri"/>
    </font>
    <font>
      <b/>
      <sz val="8"/>
      <color rgb="FF26649E"/>
      <name val="Open Sans"/>
      <family val="2"/>
    </font>
    <font>
      <sz val="8"/>
      <color rgb="FF000000"/>
      <name val="Open Sans"/>
      <family val="2"/>
    </font>
    <font>
      <b/>
      <sz val="16"/>
      <color rgb="FF000000"/>
      <name val="Open Sans"/>
      <family val="2"/>
    </font>
    <font>
      <b/>
      <sz val="8"/>
      <color rgb="FFFFFFFF"/>
      <name val="Open Sans"/>
      <family val="2"/>
    </font>
    <font>
      <sz val="8"/>
      <color rgb="FF000000"/>
      <name val="Open Sans"/>
      <family val="2"/>
    </font>
    <font>
      <sz val="8"/>
      <color rgb="FF000000"/>
      <name val="Open Sans"/>
      <family val="2"/>
    </font>
    <font>
      <sz val="8"/>
      <color rgb="FF000000"/>
      <name val="Open Sans"/>
      <family val="2"/>
    </font>
    <font>
      <sz val="8"/>
      <color rgb="FF000000"/>
      <name val="Open Sans"/>
      <family val="2"/>
    </font>
    <font>
      <sz val="11"/>
      <color theme="1"/>
      <name val="Calibri"/>
      <family val="2"/>
      <scheme val="minor"/>
    </font>
    <font>
      <sz val="8"/>
      <color rgb="FF000000"/>
      <name val="Open Sans"/>
      <family val="2"/>
    </font>
    <font>
      <sz val="8"/>
      <color rgb="FF000000"/>
      <name val="Open Sans"/>
      <family val="2"/>
    </font>
    <font>
      <sz val="8"/>
      <color rgb="FF000000"/>
      <name val="Open Sans"/>
      <family val="2"/>
    </font>
    <font>
      <sz val="8"/>
      <color rgb="FF000000"/>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sz val="8"/>
      <color rgb="FF26649E"/>
      <name val="Open Sans"/>
      <family val="2"/>
    </font>
    <font>
      <b/>
      <sz val="8"/>
      <color rgb="FF000000"/>
      <name val="Open Sans"/>
      <family val="2"/>
    </font>
    <font>
      <b/>
      <sz val="8"/>
      <color rgb="FF000000"/>
      <name val="Open Sans"/>
      <family val="2"/>
    </font>
    <font>
      <b/>
      <sz val="8"/>
      <color rgb="FF000000"/>
      <name val="Open Sans"/>
      <family val="2"/>
    </font>
    <font>
      <b/>
      <sz val="8"/>
      <color rgb="FF26649E"/>
      <name val="Open Sans"/>
      <family val="2"/>
    </font>
    <font>
      <b/>
      <sz val="8"/>
      <color rgb="FF26649E"/>
      <name val="Open Sans"/>
      <family val="2"/>
    </font>
    <font>
      <b/>
      <sz val="8"/>
      <color rgb="FF26649E"/>
      <name val="Open Sans"/>
      <family val="2"/>
    </font>
    <font>
      <b/>
      <sz val="10"/>
      <color rgb="FF000000"/>
      <name val="Open Sans"/>
      <family val="2"/>
    </font>
    <font>
      <b/>
      <sz val="10"/>
      <color rgb="FF000000"/>
      <name val="Open Sans"/>
      <family val="2"/>
    </font>
    <font>
      <b/>
      <sz val="10"/>
      <color rgb="FF000000"/>
      <name val="Open Sans"/>
      <family val="2"/>
    </font>
    <font>
      <b/>
      <sz val="10"/>
      <color rgb="FF000000"/>
      <name val="Open Sans"/>
      <family val="2"/>
    </font>
    <font>
      <sz val="8"/>
      <color rgb="FF000000"/>
      <name val="Open Sans"/>
      <family val="2"/>
    </font>
    <font>
      <sz val="8"/>
      <color rgb="FF000000"/>
      <name val="Open Sans"/>
      <family val="2"/>
    </font>
    <font>
      <sz val="8"/>
      <color rgb="FF000000"/>
      <name val="Open Sans"/>
      <family val="2"/>
    </font>
    <font>
      <sz val="8"/>
      <color rgb="FF000000"/>
      <name val="Open Sans"/>
      <family val="2"/>
    </font>
    <font>
      <sz val="8"/>
      <color rgb="FF000000"/>
      <name val="Open Sans"/>
      <family val="2"/>
    </font>
    <font>
      <sz val="8"/>
      <color rgb="FF000000"/>
      <name val="Open Sans"/>
      <family val="2"/>
    </font>
    <font>
      <b/>
      <sz val="14"/>
      <color rgb="FF000000"/>
      <name val="Open Sans"/>
      <family val="2"/>
    </font>
    <font>
      <b/>
      <sz val="14"/>
      <color rgb="FF000000"/>
      <name val="Open Sans"/>
      <family val="2"/>
    </font>
    <font>
      <b/>
      <sz val="14"/>
      <color rgb="FF000000"/>
      <name val="Open Sans"/>
      <family val="2"/>
    </font>
    <font>
      <b/>
      <sz val="14"/>
      <color rgb="FF000000"/>
      <name val="Open Sans"/>
      <family val="2"/>
    </font>
    <font>
      <i/>
      <sz val="10"/>
      <color rgb="FF000000"/>
      <name val="Open Sans"/>
      <family val="2"/>
    </font>
    <font>
      <i/>
      <sz val="10"/>
      <color rgb="FF000000"/>
      <name val="Open Sans"/>
      <family val="2"/>
    </font>
    <font>
      <i/>
      <sz val="10"/>
      <color rgb="FF000000"/>
      <name val="Open Sans"/>
      <family val="2"/>
    </font>
    <font>
      <i/>
      <sz val="10"/>
      <color rgb="FF000000"/>
      <name val="Open Sans"/>
      <family val="2"/>
    </font>
    <font>
      <i/>
      <sz val="10"/>
      <color rgb="FF26649E"/>
      <name val="Open Sans"/>
      <family val="2"/>
    </font>
    <font>
      <i/>
      <sz val="10"/>
      <color rgb="FF26649E"/>
      <name val="Open Sans"/>
      <family val="2"/>
    </font>
    <font>
      <i/>
      <sz val="10"/>
      <color rgb="FF26649E"/>
      <name val="Open Sans"/>
      <family val="2"/>
    </font>
    <font>
      <i/>
      <sz val="10"/>
      <color rgb="FF26649E"/>
      <name val="Open Sans"/>
      <family val="2"/>
    </font>
  </fonts>
  <fills count="7">
    <fill>
      <patternFill patternType="none"/>
    </fill>
    <fill>
      <patternFill patternType="gray125"/>
    </fill>
    <fill>
      <patternFill patternType="solid">
        <fgColor rgb="FF051C38"/>
        <bgColor rgb="FF051C38"/>
      </patternFill>
    </fill>
    <fill>
      <patternFill patternType="solid">
        <fgColor rgb="FFF8F5EF"/>
      </patternFill>
    </fill>
    <fill>
      <patternFill patternType="solid">
        <fgColor rgb="FFF0EBDE"/>
      </patternFill>
    </fill>
    <fill>
      <patternFill patternType="solid">
        <fgColor rgb="FFFFFFFF"/>
      </patternFill>
    </fill>
    <fill>
      <patternFill patternType="solid">
        <fgColor rgb="FFD9D9D9"/>
      </patternFill>
    </fill>
  </fills>
  <borders count="14">
    <border>
      <left/>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bottom/>
      <diagonal/>
    </border>
    <border>
      <left/>
      <right style="thin">
        <color rgb="FFD3D3D3"/>
      </right>
      <top style="thin">
        <color rgb="FF78766F"/>
      </top>
      <bottom/>
      <diagonal/>
    </border>
    <border>
      <left/>
      <right style="thin">
        <color rgb="FFD3D3D3"/>
      </right>
      <top style="thin">
        <color rgb="FF78766F"/>
      </top>
      <bottom/>
      <diagonal/>
    </border>
  </borders>
  <cellStyleXfs count="29">
    <xf numFmtId="0" fontId="0" fillId="0" borderId="0"/>
    <xf numFmtId="0" fontId="1" fillId="0" borderId="0">
      <alignment horizontal="right" vertical="center"/>
    </xf>
    <xf numFmtId="0" fontId="2" fillId="0" borderId="0">
      <alignment horizontal="left" vertical="center"/>
    </xf>
    <xf numFmtId="0" fontId="1" fillId="0" borderId="0">
      <alignment horizontal="right" vertical="top"/>
    </xf>
    <xf numFmtId="0" fontId="4" fillId="0" borderId="0" applyNumberFormat="0" applyFill="0" applyBorder="0" applyAlignment="0" applyProtection="0"/>
    <xf numFmtId="0" fontId="5" fillId="0" borderId="0">
      <alignment horizontal="left" vertical="top"/>
    </xf>
    <xf numFmtId="0" fontId="2" fillId="0" borderId="0">
      <alignment horizontal="left" vertical="top" wrapText="1"/>
    </xf>
    <xf numFmtId="0" fontId="7" fillId="0" borderId="0">
      <alignment horizontal="left" vertical="center"/>
    </xf>
    <xf numFmtId="0" fontId="8" fillId="0" borderId="0">
      <alignment horizontal="center" vertical="center" wrapText="1"/>
    </xf>
    <xf numFmtId="0" fontId="1" fillId="0" borderId="1">
      <alignment horizontal="left" vertical="center" indent="1"/>
    </xf>
    <xf numFmtId="0" fontId="1" fillId="3" borderId="1">
      <alignment horizontal="left" vertical="center" indent="1"/>
    </xf>
    <xf numFmtId="0" fontId="1" fillId="0" borderId="1">
      <alignment horizontal="right" vertical="center" indent="1"/>
    </xf>
    <xf numFmtId="0" fontId="12" fillId="3" borderId="1">
      <alignment horizontal="right" vertical="center" indent="1"/>
    </xf>
    <xf numFmtId="0" fontId="12" fillId="0" borderId="1">
      <alignment horizontal="center" vertical="center"/>
    </xf>
    <xf numFmtId="0" fontId="12" fillId="3" borderId="1">
      <alignment horizontal="center" vertical="center"/>
    </xf>
    <xf numFmtId="0" fontId="20" fillId="0" borderId="1">
      <alignment horizontal="left" vertical="center" indent="1"/>
    </xf>
    <xf numFmtId="0" fontId="20" fillId="3" borderId="1">
      <alignment horizontal="left" vertical="center" indent="1"/>
    </xf>
    <xf numFmtId="0" fontId="20" fillId="0" borderId="1">
      <alignment horizontal="right" vertical="center" indent="1"/>
    </xf>
    <xf numFmtId="0" fontId="20" fillId="3" borderId="11">
      <alignment horizontal="right" vertical="center" indent="1"/>
    </xf>
    <xf numFmtId="0" fontId="29" fillId="4" borderId="13">
      <alignment horizontal="left" vertical="center" indent="1"/>
    </xf>
    <xf numFmtId="0" fontId="32" fillId="4" borderId="13">
      <alignment horizontal="left" vertical="center" indent="1"/>
    </xf>
    <xf numFmtId="0" fontId="36" fillId="5" borderId="11">
      <alignment horizontal="left" vertical="center" indent="1"/>
    </xf>
    <xf numFmtId="0" fontId="12" fillId="6" borderId="11">
      <alignment vertical="center" indent="1"/>
    </xf>
    <xf numFmtId="0" fontId="12" fillId="5" borderId="11">
      <alignment vertical="center" indent="1"/>
    </xf>
    <xf numFmtId="0" fontId="12" fillId="0" borderId="0">
      <alignment horizontal="left" vertical="center"/>
    </xf>
    <xf numFmtId="0" fontId="46" fillId="0" borderId="0">
      <alignment horizontal="left" vertical="center"/>
    </xf>
    <xf numFmtId="0" fontId="50" fillId="5" borderId="0">
      <alignment horizontal="left" vertical="center"/>
    </xf>
    <xf numFmtId="0" fontId="54" fillId="5" borderId="0">
      <alignment horizontal="left" vertical="center"/>
    </xf>
    <xf numFmtId="0" fontId="50" fillId="5" borderId="0">
      <alignment horizontal="right" vertical="center"/>
    </xf>
  </cellStyleXfs>
  <cellXfs count="61">
    <xf numFmtId="0" fontId="0" fillId="0" borderId="0" xfId="0"/>
    <xf numFmtId="0" fontId="1" fillId="0" borderId="0" xfId="1">
      <alignment horizontal="right" vertical="center"/>
    </xf>
    <xf numFmtId="0" fontId="2" fillId="0" borderId="0" xfId="2">
      <alignment horizontal="left" vertical="center"/>
    </xf>
    <xf numFmtId="82" fontId="2" fillId="0" borderId="0" xfId="2" applyNumberFormat="1">
      <alignment horizontal="left" vertical="center"/>
    </xf>
    <xf numFmtId="0" fontId="1" fillId="0" borderId="0" xfId="3">
      <alignment horizontal="right" vertical="top"/>
    </xf>
    <xf numFmtId="0" fontId="8" fillId="2" borderId="0" xfId="8" applyFill="1">
      <alignment horizontal="center" vertical="center" wrapText="1"/>
    </xf>
    <xf numFmtId="0" fontId="5" fillId="0" borderId="0" xfId="5">
      <alignment horizontal="left" vertical="top"/>
    </xf>
    <xf numFmtId="0" fontId="2" fillId="0" borderId="0" xfId="6">
      <alignment horizontal="left" vertical="top" wrapText="1"/>
    </xf>
    <xf numFmtId="0" fontId="7" fillId="0" borderId="0" xfId="7">
      <alignment horizontal="left" vertical="center"/>
    </xf>
    <xf numFmtId="14" fontId="0" fillId="0" borderId="0" xfId="0" applyNumberFormat="1"/>
    <xf numFmtId="0" fontId="1" fillId="0" borderId="1" xfId="9">
      <alignment horizontal="left" vertical="center" indent="1"/>
    </xf>
    <xf numFmtId="0" fontId="1" fillId="3" borderId="1" xfId="10">
      <alignment horizontal="left" vertical="center" indent="1"/>
    </xf>
    <xf numFmtId="0" fontId="1" fillId="0" borderId="1" xfId="11">
      <alignment horizontal="right" vertical="center" indent="1"/>
    </xf>
    <xf numFmtId="0" fontId="12" fillId="3" borderId="1" xfId="12">
      <alignment horizontal="right" vertical="center" indent="1"/>
    </xf>
    <xf numFmtId="0" fontId="12" fillId="0" borderId="1" xfId="13">
      <alignment horizontal="center" vertical="center"/>
    </xf>
    <xf numFmtId="0" fontId="12" fillId="3" borderId="1" xfId="14">
      <alignment horizontal="center" vertical="center"/>
    </xf>
    <xf numFmtId="0" fontId="20" fillId="0" borderId="1" xfId="15">
      <alignment horizontal="left" vertical="center" indent="1"/>
    </xf>
    <xf numFmtId="0" fontId="20" fillId="3" borderId="1" xfId="16">
      <alignment horizontal="left" vertical="center" indent="1"/>
    </xf>
    <xf numFmtId="0" fontId="20" fillId="0" borderId="1" xfId="17">
      <alignment horizontal="right" vertical="center" indent="1"/>
    </xf>
    <xf numFmtId="0" fontId="20" fillId="3" borderId="11" xfId="18">
      <alignment horizontal="right" vertical="center" indent="1"/>
    </xf>
    <xf numFmtId="0" fontId="29" fillId="4" borderId="13" xfId="19">
      <alignment horizontal="left" vertical="center" indent="1"/>
    </xf>
    <xf numFmtId="0" fontId="32" fillId="4" borderId="13" xfId="20">
      <alignment horizontal="left" vertical="center" indent="1"/>
    </xf>
    <xf numFmtId="0" fontId="36" fillId="5" borderId="11" xfId="21">
      <alignment horizontal="left" vertical="center" indent="1"/>
    </xf>
    <xf numFmtId="0" fontId="12" fillId="6" borderId="11" xfId="22">
      <alignment vertical="center" indent="1"/>
    </xf>
    <xf numFmtId="0" fontId="12" fillId="5" borderId="11" xfId="23">
      <alignment vertical="center" indent="1"/>
    </xf>
    <xf numFmtId="83" fontId="1" fillId="0" borderId="1" xfId="9" applyNumberFormat="1">
      <alignment horizontal="left" vertical="center" indent="1"/>
    </xf>
    <xf numFmtId="83" fontId="1" fillId="3" borderId="1" xfId="10" applyNumberFormat="1">
      <alignment horizontal="left" vertical="center" indent="1"/>
    </xf>
    <xf numFmtId="83" fontId="1" fillId="0" borderId="1" xfId="11" applyNumberFormat="1">
      <alignment horizontal="right" vertical="center" indent="1"/>
    </xf>
    <xf numFmtId="83" fontId="12" fillId="3" borderId="1" xfId="12" applyNumberFormat="1">
      <alignment horizontal="right" vertical="center" indent="1"/>
    </xf>
    <xf numFmtId="83" fontId="12" fillId="0" borderId="1" xfId="13" applyNumberFormat="1">
      <alignment horizontal="center" vertical="center"/>
    </xf>
    <xf numFmtId="83" fontId="12" fillId="3" borderId="1" xfId="14" applyNumberFormat="1">
      <alignment horizontal="center" vertical="center"/>
    </xf>
    <xf numFmtId="83" fontId="20" fillId="0" borderId="1" xfId="15" applyNumberFormat="1">
      <alignment horizontal="left" vertical="center" indent="1"/>
    </xf>
    <xf numFmtId="83" fontId="20" fillId="3" borderId="1" xfId="16" applyNumberFormat="1">
      <alignment horizontal="left" vertical="center" indent="1"/>
    </xf>
    <xf numFmtId="83" fontId="20" fillId="0" borderId="1" xfId="17" applyNumberFormat="1">
      <alignment horizontal="right" vertical="center" indent="1"/>
    </xf>
    <xf numFmtId="83" fontId="20" fillId="3" borderId="11" xfId="18" applyNumberFormat="1">
      <alignment horizontal="right" vertical="center" indent="1"/>
    </xf>
    <xf numFmtId="83" fontId="29" fillId="4" borderId="13" xfId="19" applyNumberFormat="1">
      <alignment horizontal="left" vertical="center" indent="1"/>
    </xf>
    <xf numFmtId="83" fontId="32" fillId="4" borderId="13" xfId="20" applyNumberFormat="1">
      <alignment horizontal="left" vertical="center" indent="1"/>
    </xf>
    <xf numFmtId="83" fontId="36" fillId="5" borderId="11" xfId="21" applyNumberFormat="1">
      <alignment horizontal="left" vertical="center" indent="1"/>
    </xf>
    <xf numFmtId="83" fontId="12" fillId="6" borderId="11" xfId="22" applyNumberFormat="1">
      <alignment vertical="center" indent="1"/>
    </xf>
    <xf numFmtId="83" fontId="12" fillId="5" borderId="11" xfId="23" applyNumberFormat="1">
      <alignment vertical="center" indent="1"/>
    </xf>
    <xf numFmtId="84" fontId="1" fillId="0" borderId="1" xfId="9" applyNumberFormat="1">
      <alignment horizontal="left" vertical="center" indent="1"/>
    </xf>
    <xf numFmtId="84" fontId="1" fillId="3" borderId="1" xfId="10" applyNumberFormat="1">
      <alignment horizontal="left" vertical="center" indent="1"/>
    </xf>
    <xf numFmtId="84" fontId="1" fillId="0" borderId="1" xfId="11" applyNumberFormat="1">
      <alignment horizontal="right" vertical="center" indent="1"/>
    </xf>
    <xf numFmtId="84" fontId="12" fillId="3" borderId="1" xfId="12" applyNumberFormat="1">
      <alignment horizontal="right" vertical="center" indent="1"/>
    </xf>
    <xf numFmtId="84" fontId="12" fillId="0" borderId="1" xfId="13" applyNumberFormat="1">
      <alignment horizontal="center" vertical="center"/>
    </xf>
    <xf numFmtId="84" fontId="12" fillId="3" borderId="1" xfId="14" applyNumberFormat="1">
      <alignment horizontal="center" vertical="center"/>
    </xf>
    <xf numFmtId="84" fontId="20" fillId="0" borderId="1" xfId="15" applyNumberFormat="1">
      <alignment horizontal="left" vertical="center" indent="1"/>
    </xf>
    <xf numFmtId="84" fontId="20" fillId="3" borderId="1" xfId="16" applyNumberFormat="1">
      <alignment horizontal="left" vertical="center" indent="1"/>
    </xf>
    <xf numFmtId="84" fontId="20" fillId="0" borderId="1" xfId="17" applyNumberFormat="1">
      <alignment horizontal="right" vertical="center" indent="1"/>
    </xf>
    <xf numFmtId="84" fontId="20" fillId="3" borderId="11" xfId="18" applyNumberFormat="1">
      <alignment horizontal="right" vertical="center" indent="1"/>
    </xf>
    <xf numFmtId="84" fontId="29" fillId="4" borderId="13" xfId="19" applyNumberFormat="1">
      <alignment horizontal="left" vertical="center" indent="1"/>
    </xf>
    <xf numFmtId="84" fontId="32" fillId="4" borderId="13" xfId="20" applyNumberFormat="1">
      <alignment horizontal="left" vertical="center" indent="1"/>
    </xf>
    <xf numFmtId="84" fontId="36" fillId="5" borderId="11" xfId="21" applyNumberFormat="1">
      <alignment horizontal="left" vertical="center" indent="1"/>
    </xf>
    <xf numFmtId="84" fontId="12" fillId="6" borderId="11" xfId="22" applyNumberFormat="1">
      <alignment vertical="center" indent="1"/>
    </xf>
    <xf numFmtId="84" fontId="12" fillId="5" borderId="11" xfId="23" applyNumberFormat="1">
      <alignment vertical="center" indent="1"/>
    </xf>
    <xf numFmtId="0" fontId="12" fillId="0" borderId="0" xfId="24">
      <alignment horizontal="left" vertical="center"/>
    </xf>
    <xf numFmtId="0" fontId="46" fillId="0" borderId="0" xfId="25">
      <alignment horizontal="left" vertical="center"/>
    </xf>
    <xf numFmtId="0" fontId="50" fillId="5" borderId="0" xfId="26">
      <alignment horizontal="left" vertical="center"/>
    </xf>
    <xf numFmtId="0" fontId="0" fillId="0" borderId="0" xfId="0">
      <protection locked="0"/>
    </xf>
    <xf numFmtId="0" fontId="54" fillId="5" borderId="0" xfId="27">
      <alignment horizontal="left" vertical="center"/>
    </xf>
    <xf numFmtId="0" fontId="50" fillId="5" borderId="0" xfId="28">
      <alignment horizontal="right" vertical="center"/>
    </xf>
  </cellXfs>
  <cellStyles count="29">
    <cellStyle name="Normal" xfId="0" builtinId="0"/>
    <cellStyle name="horizontalRight" xfId="1"/>
    <cellStyle name="bold" xfId="2"/>
    <cellStyle name="verticalTopHorizontalRight" xfId="3"/>
    <cellStyle name="Hyperlink" xfId="4" builtinId="8"/>
    <cellStyle name="verticalTopHyperlinkBold" xfId="5"/>
    <cellStyle name="verticalTopBoldWrapBold" xfId="6"/>
    <cellStyle name="fontSize16Bold" xfId="7"/>
    <cellStyle name="horizontalCenterWrapWhiteBold" xfId="8"/>
    <cellStyle name="tableCellStyleLeft" xfId="9"/>
    <cellStyle name="tableCellStyleLeftColored" xfId="10"/>
    <cellStyle name="tableCellStyleRight" xfId="11"/>
    <cellStyle name="tableCellStyleRightColored" xfId="12"/>
    <cellStyle name="tableCellStyleCenter" xfId="13"/>
    <cellStyle name="tableCellStyleCenterColored" xfId="14"/>
    <cellStyle name="tableCellStyleLeftHyperlink" xfId="15"/>
    <cellStyle name="tableCellStyleLeftHyperlinkColored" xfId="16"/>
    <cellStyle name="tableCellStyleRightHyperlink" xfId="17"/>
    <cellStyle name="tableCellStyleRightHyperlinkColored" xfId="18"/>
    <cellStyle name="tableCellStyleLeftGroupingColored" xfId="19"/>
    <cellStyle name="hyperlinkTableCellStyleLeftGroupingColored" xfId="20"/>
    <cellStyle name="tableCellTotalRow" xfId="21"/>
    <cellStyle name="tableCellStyleRightSoftGreyColored" xfId="22"/>
    <cellStyle name="tableCellStyleRightSoftWhiteColored" xfId="23"/>
    <cellStyle name="defaultStyle" xfId="24"/>
    <cellStyle name="fontSize14Bold" xfId="25"/>
    <cellStyle name="fontSize10Italic" xfId="26"/>
    <cellStyle name="fontSize10ItalicHyperlink" xfId="27"/>
    <cellStyle name="fontSize10ItalicRight" xfId="2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svg"/></Relationships>
</file>

<file path=xl/drawings/drawing1.xml><?xml version="1.0" encoding="utf-8"?>
<xdr:wsDr xmlns:a="http://schemas.openxmlformats.org/drawingml/2006/main" xmlns:xdr="http://schemas.openxmlformats.org/drawingml/2006/spreadsheetDrawing" xmlns:mc="http://schemas.openxmlformats.org/markup-compatibility/2006" xmlns:a14="http://schemas.microsoft.com/office/drawing/2010/main">
  <xdr:twoCellAnchor xmlns:xdr="http://schemas.openxmlformats.org/drawingml/2006/spreadsheetDrawing" editAs="absolute">
    <xdr:from>
      <xdr:col>0</xdr:col>
      <xdr:colOff>85725</xdr:colOff>
      <xdr:row>0</xdr:row>
      <xdr:rowOff>85725</xdr:rowOff>
    </xdr:from>
    <xdr:to>
      <xdr:col>0</xdr:col>
      <xdr:colOff>1400175</xdr:colOff>
      <xdr:row>0</xdr:row>
      <xdr:rowOff>304800</xdr:rowOff>
    </xdr:to>
    <xdr:pic xmlns:xdr="http://schemas.openxmlformats.org/drawingml/2006/spreadsheetDrawing">
      <xdr:nvPicPr xmlns:xdr="http://schemas.openxmlformats.org/drawingml/2006/spreadsheetDrawing">
        <xdr:cNvPr xmlns:xdr="http://schemas.openxmlformats.org/drawingml/2006/spreadsheetDrawing" id="2" name="Graphic 1"/>
        <xdr:cNvPicPr xmlns:xdr="http://schemas.openxmlformats.org/drawingml/2006/spreadsheetDrawing">
          <a:picLocks xmlns:a="http://schemas.openxmlformats.org/drawingml/2006/main" noChangeAspect="1"/>
          <a:extLst xmlns:a="http://schemas.openxmlformats.org/drawingml/2006/main"/>
        </xdr:cNvPicPr>
      </xdr:nvPicPr>
      <xdr:blipFill xmlns:xdr="http://schemas.openxmlformats.org/drawingml/2006/spreadsheetDrawing">
        <a:blip xmlns:a="http://schemas.openxmlformats.org/drawingml/2006/main" xmlns:r="http://schemas.openxmlformats.org/officeDocument/2006/relationships" r:embed="rId1">
          <a:extLst xmlns:a="http://schemas.openxmlformats.org/drawingml/2006/main">
            <a:ext xmlns:a="http://schemas.openxmlformats.org/drawingml/2006/main" uri="{96DAC541-7B7A-43D3-8B79-37D633B846F1}">
              <asvg:svgBlip xmlns:asvg="http://schemas.microsoft.com/office/drawing/2016/SVG/main" r:embed="rId2"/>
            </a:ext>
          </a:extLst>
        </a:blip>
        <a:srcRect/>
        <a:stretch xmlns:a="http://schemas.openxmlformats.org/drawingml/2006/main">
          <a:fillRect/>
        </a:stretch>
      </xdr:blipFill>
      <xdr:spPr xmlns:xdr="http://schemas.openxmlformats.org/drawingml/2006/spreadsheetDrawing">
        <a:xfrm xmlns:a="http://schemas.openxmlformats.org/drawingml/2006/main">
          <a:off x="85725" y="85725"/>
          <a:ext cx="1314450" cy="219075"/>
        </a:xfrm>
        <a:prstGeom xmlns:a="http://schemas.openxmlformats.org/drawingml/2006/main" prst="rect"/>
        <a:effectLst xmlns:a="http://schemas.openxmlformats.org/drawingml/2006/main"/>
        <a:extLst xmlns:a="http://schemas.openxmlformats.org/drawingml/2006/main"/>
      </xdr:spPr>
    </xdr:pic>
    <xdr:clientData/>
  </xdr:twoCellAnchor>
</xdr:wsDr>
</file>

<file path=xl/theme/theme1.xml><?xml version="1.0" encoding="utf-8"?>
<a:theme xmlns:a="http://schemas.openxmlformats.org/drawingml/2006/main" name="Office Theme">
  <a:themeElements>
    <a:clrScheme name="Office Them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Them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Theme">
      <a:fillStyleLst xmlns:a="http://schemas.openxmlformats.org/drawingml/2006/main">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xmlns:a="http://schemas.openxmlformats.org/drawingml/2006/main">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xmlns:a="http://schemas.openxmlformats.org/drawingml/2006/main">
        <a:effectStyle>
          <a:effectLst/>
        </a:effectStyle>
        <a:effectStyle>
          <a:effectLst/>
        </a:effectStyle>
        <a:effectStyle>
          <a:effectLst>
            <a:outerShdw blurRad="57150" dist="19050" dir="5400000" algn="ctr" rotWithShape="0">
              <a:srgbClr val="000000">
                <a:alpha val="63000"/>
              </a:srgbClr>
            </a:outerShdw>
          </a:effectLst>
        </a:effectStyle>
      </a:effectStyleLst>
      <a:bgFillStyleLst xmlns:a="http://schemas.openxmlformats.org/drawingml/2006/main">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Id="rId1" Type="http://schemas.openxmlformats.org/officeDocument/2006/relationships/hyperlink" Target="https://my.pitchbook.com/?pcc=1372769-20" TargetMode="External"/><Relationship Id="rId2" Type="http://schemas.openxmlformats.org/officeDocument/2006/relationships/hyperlink" Target="https://pitchbook.brightspotcdn.com/f7/98/aa1007cb450a999718033c9a9cee/q1-2026-fintech-vc-trends.pdf" TargetMode="External"/><Relationship Id="rId3" Type="http://schemas.openxmlformats.org/officeDocument/2006/relationships/drawing" Target="../drawings/drawing1.xml"/></Relationships>
</file>

<file path=xl/worksheets/_rels/sheet3.xml.rels><?xml version="1.0" encoding="UTF-8"?><Relationships xmlns="http://schemas.openxmlformats.org/package/2006/relationships"><Relationship Id="rId1" Type="http://schemas.openxmlformats.org/officeDocument/2006/relationships/hyperlink" Target="support@pitchbook.com" TargetMode="External"/><Relationship Id="rId2" Type="http://schemas.openxmlformats.org/officeDocument/2006/relationships/hyperlink" Target="https://pitchbook.com/subscription-agreement" TargetMode="External"/><Relationship Id="rId3" Type="http://schemas.openxmlformats.org/officeDocument/2006/relationships/hyperlink" Target="support@pitchboo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M7201"/>
  <sheetViews>
    <sheetView showGridLines="0" workbookViewId="0"/>
  </sheetViews>
  <sheetFormatPr defaultRowHeight="15"/>
  <cols>
    <col min="1" max="1" width="21.7109375" customWidth="1"/>
    <col min="2" max="2" width="55.140625" customWidth="1"/>
    <col min="3" max="4" width="29.5703125" customWidth="1"/>
    <col min="5" max="5" width="29.140625" customWidth="1"/>
    <col min="6" max="6" width="27.5703125" customWidth="1"/>
    <col min="7" max="7" width="30.140625" customWidth="1"/>
    <col min="8" max="9" width="25" customWidth="1"/>
    <col min="10" max="10" width="81.5703125" customWidth="1"/>
    <col min="11" max="11" width="29.5703125" customWidth="1"/>
    <col min="12" max="12" width="22.42578125" customWidth="1"/>
    <col min="13" max="13" width="18.7109375" customWidth="1"/>
  </cols>
  <sheetData>
    <row r="1" ht="25" customHeight="1">
      <c r="D1" s="8" t="s">
        <v>11</v>
      </c>
    </row>
    <row r="3">
      <c r="A3" s="1" t="s">
        <v>0</v>
      </c>
      <c r="B3" s="3">
        <v>46247</v>
      </c>
    </row>
    <row r="4">
      <c r="A4" s="1" t="s">
        <v>1</v>
      </c>
      <c r="B4" s="2" t="s">
        <v>2</v>
      </c>
    </row>
    <row r="5">
      <c r="A5" s="4" t="s">
        <v>3</v>
      </c>
      <c r="B5" s="6" t="s">
        <v>4</v>
      </c>
    </row>
    <row r="6">
      <c r="A6" s="4" t="s">
        <v>5</v>
      </c>
      <c r="B6" s="6" t="s">
        <v>6</v>
      </c>
    </row>
    <row r="7">
      <c r="A7" s="4" t="s">
        <v>7</v>
      </c>
      <c r="B7" s="7" t="s">
        <v>8</v>
      </c>
    </row>
    <row r="8">
      <c r="A8" s="4" t="s">
        <v>9</v>
      </c>
      <c r="B8" s="7" t="s">
        <v>10</v>
      </c>
    </row>
    <row r="10" ht="35" customHeight="1">
      <c r="A10" s="5" t="s">
        <v>12</v>
      </c>
      <c r="B10" s="5" t="s">
        <v>13</v>
      </c>
      <c r="C10" s="5" t="s">
        <v>14</v>
      </c>
      <c r="D10" s="5" t="s">
        <v>15</v>
      </c>
      <c r="E10" s="5" t="s">
        <v>16</v>
      </c>
      <c r="F10" s="5" t="s">
        <v>17</v>
      </c>
      <c r="G10" s="5" t="s">
        <v>18</v>
      </c>
      <c r="H10" s="5" t="s">
        <v>19</v>
      </c>
      <c r="I10" s="5" t="s">
        <v>20</v>
      </c>
      <c r="J10" s="5" t="s">
        <v>21</v>
      </c>
      <c r="K10" s="5" t="s">
        <v>22</v>
      </c>
      <c r="L10" s="5" t="s">
        <v>23</v>
      </c>
      <c r="M10" s="5" t="s">
        <v>24</v>
      </c>
    </row>
    <row r="11">
      <c r="A11" t="s" s="11">
        <v>25</v>
      </c>
      <c r="B11" t="s" s="11">
        <v>26</v>
      </c>
      <c r="C11" t="s" s="11">
        <v>27</v>
      </c>
      <c r="D11" t="s" s="11">
        <v>28</v>
      </c>
      <c r="E11" t="s" s="11">
        <v>29</v>
      </c>
      <c r="F11" t="s" s="28">
        <v>30</v>
      </c>
      <c r="G11" t="s" s="11">
        <v>31</v>
      </c>
      <c r="H11" s="43">
        <v>0.25</v>
      </c>
      <c r="I11" s="43">
        <v>159000</v>
      </c>
      <c r="J11" t="s" s="11">
        <v>32</v>
      </c>
      <c r="K11" t="s" s="11">
        <v>33</v>
      </c>
      <c r="L11" s="17">
        <f>HYPERLINK("http://www.stripe.com", "www.stripe.com")</f>
      </c>
      <c r="M11" s="17">
        <f>HYPERLINK("https://my.pitchbook.com?c=54782-29", "View Company Online")</f>
      </c>
    </row>
    <row r="12">
      <c r="A12" t="s" s="10">
        <v>35</v>
      </c>
      <c r="B12" t="s" s="10">
        <v>36</v>
      </c>
      <c r="C12" t="s" s="10">
        <v>37</v>
      </c>
      <c r="D12" t="s" s="10">
        <v>38</v>
      </c>
      <c r="E12" t="s" s="10">
        <v>39</v>
      </c>
      <c r="F12" s="27">
        <v>46078</v>
      </c>
      <c r="G12" t="s" s="10">
        <v>40</v>
      </c>
      <c r="H12" t="s" s="42">
        <v>30</v>
      </c>
      <c r="I12" s="42">
        <v>115000</v>
      </c>
      <c r="J12" t="s" s="10">
        <v>41</v>
      </c>
      <c r="K12" t="s" s="10">
        <v>42</v>
      </c>
      <c r="L12" s="16">
        <f>HYPERLINK("http://www.revolut.com", "www.revolut.com")</f>
      </c>
      <c r="M12" s="16">
        <f>HYPERLINK("https://my.pitchbook.com?c=104383-72", "View Company Online")</f>
      </c>
    </row>
    <row r="13">
      <c r="A13" t="s" s="11">
        <v>44</v>
      </c>
      <c r="B13" t="s" s="11">
        <v>45</v>
      </c>
      <c r="C13" t="s" s="11">
        <v>46</v>
      </c>
      <c r="D13" t="s" s="11">
        <v>47</v>
      </c>
      <c r="E13" t="s" s="11">
        <v>29</v>
      </c>
      <c r="F13" t="s" s="28">
        <v>30</v>
      </c>
      <c r="G13" t="s" s="11">
        <v>48</v>
      </c>
      <c r="H13" t="s" s="43">
        <v>30</v>
      </c>
      <c r="I13" s="43">
        <v>44032</v>
      </c>
      <c r="J13" t="s" s="11">
        <v>49</v>
      </c>
      <c r="K13" t="s" s="11">
        <v>50</v>
      </c>
      <c r="L13" s="17">
        <f>HYPERLINK("http://www.ramp.com", "www.ramp.com")</f>
      </c>
      <c r="M13" s="17">
        <f>HYPERLINK("https://my.pitchbook.com?c=277837-93", "View Company Online")</f>
      </c>
    </row>
    <row r="14">
      <c r="A14" t="s" s="10">
        <v>52</v>
      </c>
      <c r="B14" t="s" s="10">
        <v>53</v>
      </c>
      <c r="C14" t="s" s="10">
        <v>27</v>
      </c>
      <c r="D14" t="s" s="10">
        <v>28</v>
      </c>
      <c r="E14" t="s" s="10">
        <v>54</v>
      </c>
      <c r="F14" t="s" s="27">
        <v>30</v>
      </c>
      <c r="G14" t="s" s="10">
        <v>48</v>
      </c>
      <c r="H14" t="s" s="42">
        <v>30</v>
      </c>
      <c r="I14" s="42">
        <v>40000</v>
      </c>
      <c r="J14" t="s" s="10">
        <v>55</v>
      </c>
      <c r="K14" t="s" s="10">
        <v>56</v>
      </c>
      <c r="L14" s="16">
        <f>HYPERLINK("http://www.checkout.com", "www.checkout.com")</f>
      </c>
      <c r="M14" s="16">
        <f>HYPERLINK("https://my.pitchbook.com?c=221504-68", "View Company Online")</f>
      </c>
    </row>
    <row r="15">
      <c r="A15" t="s" s="11">
        <v>58</v>
      </c>
      <c r="B15" t="s" s="11">
        <v>59</v>
      </c>
      <c r="C15" t="s" s="11">
        <v>60</v>
      </c>
      <c r="D15" t="s" s="11">
        <v>61</v>
      </c>
      <c r="E15" t="s" s="11">
        <v>62</v>
      </c>
      <c r="F15" t="s" s="28">
        <v>63</v>
      </c>
      <c r="G15" t="s" s="11">
        <v>64</v>
      </c>
      <c r="H15" t="s" s="43">
        <v>30</v>
      </c>
      <c r="I15" s="43">
        <v>40000</v>
      </c>
      <c r="J15" t="s" s="11">
        <v>65</v>
      </c>
      <c r="K15" t="s" s="11">
        <v>66</v>
      </c>
      <c r="L15" s="17">
        <f>HYPERLINK("http://www.kalshi.com", "www.kalshi.com")</f>
      </c>
      <c r="M15" s="17">
        <f>HYPERLINK("https://my.pitchbook.com?c=266440-96", "View Company Online")</f>
      </c>
    </row>
    <row r="16">
      <c r="A16" t="s" s="10">
        <v>68</v>
      </c>
      <c r="B16" t="s" s="10">
        <v>69</v>
      </c>
      <c r="C16" t="s" s="10">
        <v>27</v>
      </c>
      <c r="D16" t="s" s="10">
        <v>70</v>
      </c>
      <c r="E16" t="s" s="10">
        <v>71</v>
      </c>
      <c r="F16" s="27">
        <v>46153</v>
      </c>
      <c r="G16" t="s" s="10">
        <v>72</v>
      </c>
      <c r="H16" s="42">
        <v>200</v>
      </c>
      <c r="I16" s="42">
        <v>40000</v>
      </c>
      <c r="J16" t="s" s="10">
        <v>73</v>
      </c>
      <c r="K16" t="s" s="10">
        <v>74</v>
      </c>
      <c r="L16" s="16">
        <f>HYPERLINK("http://www.ripple.com", "www.ripple.com")</f>
      </c>
      <c r="M16" s="16">
        <f>HYPERLINK("https://my.pitchbook.com?c=56502-19", "View Company Online")</f>
      </c>
    </row>
    <row r="17">
      <c r="A17" t="s" s="11">
        <v>76</v>
      </c>
      <c r="B17" t="s" s="11">
        <v>77</v>
      </c>
      <c r="C17" t="s" s="11">
        <v>46</v>
      </c>
      <c r="D17" t="s" s="11">
        <v>78</v>
      </c>
      <c r="E17" t="s" s="11">
        <v>79</v>
      </c>
      <c r="F17" s="28">
        <v>46087</v>
      </c>
      <c r="G17" t="s" s="11">
        <v>48</v>
      </c>
      <c r="H17" t="s" s="43">
        <v>30</v>
      </c>
      <c r="I17" s="43">
        <v>17300</v>
      </c>
      <c r="J17" t="s" s="11">
        <v>80</v>
      </c>
      <c r="K17" t="s" s="11">
        <v>81</v>
      </c>
      <c r="L17" s="17">
        <f>HYPERLINK("http://www.deel.com", "www.deel.com")</f>
      </c>
      <c r="M17" s="17">
        <f>HYPERLINK("https://my.pitchbook.com?c=266258-80", "View Company Online")</f>
      </c>
    </row>
    <row r="18">
      <c r="A18" t="s" s="10">
        <v>83</v>
      </c>
      <c r="B18" t="s" s="10">
        <v>84</v>
      </c>
      <c r="C18" t="s" s="10">
        <v>46</v>
      </c>
      <c r="D18" t="s" s="10">
        <v>78</v>
      </c>
      <c r="E18" t="s" s="10">
        <v>85</v>
      </c>
      <c r="F18" s="27">
        <v>45996</v>
      </c>
      <c r="G18" t="s" s="10">
        <v>40</v>
      </c>
      <c r="H18" t="s" s="42">
        <v>30</v>
      </c>
      <c r="I18" s="42">
        <v>16800</v>
      </c>
      <c r="J18" t="s" s="10">
        <v>86</v>
      </c>
      <c r="K18" t="s" s="10">
        <v>87</v>
      </c>
      <c r="L18" s="16">
        <f>HYPERLINK("http://www.rippling.com", "www.rippling.com")</f>
      </c>
      <c r="M18" s="16">
        <f>HYPERLINK("https://my.pitchbook.com?c=178355-71", "View Company Online")</f>
      </c>
    </row>
    <row r="19">
      <c r="A19" t="s" s="11">
        <v>89</v>
      </c>
      <c r="B19" t="s" s="11">
        <v>90</v>
      </c>
      <c r="C19" t="s" s="11">
        <v>60</v>
      </c>
      <c r="D19" t="s" s="11">
        <v>61</v>
      </c>
      <c r="E19" t="s" s="11">
        <v>29</v>
      </c>
      <c r="F19" s="28">
        <v>46238</v>
      </c>
      <c r="G19" t="s" s="11">
        <v>40</v>
      </c>
      <c r="H19" s="43">
        <v>1000</v>
      </c>
      <c r="I19" s="43">
        <v>15000</v>
      </c>
      <c r="J19" t="s" s="11">
        <v>91</v>
      </c>
      <c r="K19" t="s" s="11">
        <v>92</v>
      </c>
      <c r="L19" s="17">
        <f>HYPERLINK("http://www.polymarket.com", "www.polymarket.com")</f>
      </c>
      <c r="M19" s="17">
        <f>HYPERLINK("https://my.pitchbook.com?c=436089-07", "View Company Online")</f>
      </c>
    </row>
    <row r="20">
      <c r="A20" t="s" s="10">
        <v>94</v>
      </c>
      <c r="B20" t="s" s="10">
        <v>95</v>
      </c>
      <c r="C20" t="s" s="10">
        <v>60</v>
      </c>
      <c r="D20" t="s" s="10">
        <v>61</v>
      </c>
      <c r="E20" t="s" s="10">
        <v>96</v>
      </c>
      <c r="F20" s="27">
        <v>46008</v>
      </c>
      <c r="G20" t="s" s="10">
        <v>48</v>
      </c>
      <c r="H20" s="42">
        <v>1394.99</v>
      </c>
      <c r="I20" s="42">
        <v>14531.16</v>
      </c>
      <c r="J20" t="s" s="10">
        <v>97</v>
      </c>
      <c r="K20" t="s" s="10">
        <v>98</v>
      </c>
      <c r="L20" s="16">
        <f>HYPERLINK("http://www.traderepublic.com", "www.traderepublic.com")</f>
      </c>
      <c r="M20" s="16">
        <f>HYPERLINK("https://my.pitchbook.com?c=277451-74", "View Company Online")</f>
      </c>
    </row>
    <row r="21">
      <c r="A21" t="s" s="11">
        <v>100</v>
      </c>
      <c r="B21" t="s" s="11">
        <v>101</v>
      </c>
      <c r="C21" t="s" s="11">
        <v>27</v>
      </c>
      <c r="D21" t="s" s="11">
        <v>28</v>
      </c>
      <c r="E21" t="s" s="11">
        <v>102</v>
      </c>
      <c r="F21" s="28">
        <v>46097</v>
      </c>
      <c r="G21" t="s" s="11">
        <v>64</v>
      </c>
      <c r="H21" t="s" s="43">
        <v>30</v>
      </c>
      <c r="I21" s="43">
        <v>14500</v>
      </c>
      <c r="J21" t="s" s="11">
        <v>103</v>
      </c>
      <c r="K21" t="s" s="11">
        <v>104</v>
      </c>
      <c r="L21" s="17">
        <f>HYPERLINK("http://www.phonepe.com", "www.phonepe.com")</f>
      </c>
      <c r="M21" s="17">
        <f>HYPERLINK("https://my.pitchbook.com?c=156397-78", "View Company Online")</f>
      </c>
    </row>
    <row r="22">
      <c r="A22" t="s" s="10">
        <v>106</v>
      </c>
      <c r="B22" t="s" s="10">
        <v>107</v>
      </c>
      <c r="C22" t="s" s="10">
        <v>27</v>
      </c>
      <c r="D22" t="s" s="10">
        <v>28</v>
      </c>
      <c r="E22" t="s" s="10">
        <v>108</v>
      </c>
      <c r="F22" s="27">
        <v>45444</v>
      </c>
      <c r="G22" t="s" s="10">
        <v>40</v>
      </c>
      <c r="H22" t="s" s="42">
        <v>30</v>
      </c>
      <c r="I22" s="42">
        <v>14000</v>
      </c>
      <c r="J22" t="s" s="10">
        <v>109</v>
      </c>
      <c r="K22" t="s" s="10">
        <v>110</v>
      </c>
      <c r="L22" s="16">
        <f>HYPERLINK("http://www.bolt.com", "www.bolt.com")</f>
      </c>
      <c r="M22" s="16">
        <f>HYPERLINK("https://my.pitchbook.com?c=107633-08", "View Company Online")</f>
      </c>
    </row>
    <row r="23">
      <c r="A23" t="s" s="11">
        <v>112</v>
      </c>
      <c r="B23" t="s" s="11">
        <v>113</v>
      </c>
      <c r="C23" t="s" s="11">
        <v>114</v>
      </c>
      <c r="D23" t="s" s="11">
        <v>115</v>
      </c>
      <c r="E23" t="s" s="11">
        <v>116</v>
      </c>
      <c r="F23" s="28">
        <v>45702</v>
      </c>
      <c r="G23" t="s" s="11">
        <v>48</v>
      </c>
      <c r="H23" t="s" s="43">
        <v>30</v>
      </c>
      <c r="I23" s="43">
        <v>12000</v>
      </c>
      <c r="J23" t="s" s="11">
        <v>117</v>
      </c>
      <c r="K23" t="s" s="11">
        <v>118</v>
      </c>
      <c r="L23" s="17">
        <f>HYPERLINK("http://www.goodleap.com", "www.goodleap.com")</f>
      </c>
      <c r="M23" s="17">
        <f>HYPERLINK("https://my.pitchbook.com?c=299326-60", "View Company Online")</f>
      </c>
    </row>
    <row r="24">
      <c r="A24" t="s" s="10">
        <v>120</v>
      </c>
      <c r="B24" t="s" s="10">
        <v>121</v>
      </c>
      <c r="C24" t="s" s="10">
        <v>27</v>
      </c>
      <c r="D24" t="s" s="10">
        <v>122</v>
      </c>
      <c r="E24" t="s" s="10">
        <v>29</v>
      </c>
      <c r="F24" s="27">
        <v>46198</v>
      </c>
      <c r="G24" t="s" s="10">
        <v>40</v>
      </c>
      <c r="H24" s="42">
        <v>320</v>
      </c>
      <c r="I24" s="42">
        <v>11000</v>
      </c>
      <c r="J24" t="s" s="10">
        <v>123</v>
      </c>
      <c r="K24" t="s" s="10">
        <v>124</v>
      </c>
      <c r="L24" s="16">
        <f>HYPERLINK("http://www.airwallex.com", "www.airwallex.com")</f>
      </c>
      <c r="M24" s="16">
        <f>HYPERLINK("https://my.pitchbook.com?c=158063-68", "View Company Online")</f>
      </c>
    </row>
    <row r="25">
      <c r="A25" t="s" s="11">
        <v>126</v>
      </c>
      <c r="B25" t="s" s="11">
        <v>127</v>
      </c>
      <c r="C25" t="s" s="11">
        <v>128</v>
      </c>
      <c r="D25" t="s" s="11">
        <v>129</v>
      </c>
      <c r="E25" t="s" s="11">
        <v>130</v>
      </c>
      <c r="F25" s="28">
        <v>45848</v>
      </c>
      <c r="G25" t="s" s="11">
        <v>40</v>
      </c>
      <c r="H25" s="43">
        <v>250</v>
      </c>
      <c r="I25" s="43">
        <v>10750</v>
      </c>
      <c r="J25" t="s" s="11">
        <v>131</v>
      </c>
      <c r="K25" t="s" s="11">
        <v>132</v>
      </c>
      <c r="L25" s="17">
        <f>HYPERLINK("http://www.biltrewards.com", "www.biltrewards.com")</f>
      </c>
      <c r="M25" s="17">
        <f>HYPERLINK("https://my.pitchbook.com?c=469085-32", "View Company Online")</f>
      </c>
    </row>
    <row r="26">
      <c r="A26" t="s" s="10">
        <v>134</v>
      </c>
      <c r="B26" t="s" s="10">
        <v>135</v>
      </c>
      <c r="C26" t="s" s="10">
        <v>114</v>
      </c>
      <c r="D26" t="s" s="10">
        <v>136</v>
      </c>
      <c r="E26" t="s" s="10">
        <v>137</v>
      </c>
      <c r="F26" s="27">
        <v>46218</v>
      </c>
      <c r="G26" t="s" s="10">
        <v>138</v>
      </c>
      <c r="H26" s="42">
        <v>9670</v>
      </c>
      <c r="I26" s="42">
        <v>9670</v>
      </c>
      <c r="J26" t="s" s="10">
        <v>139</v>
      </c>
      <c r="K26" t="s" s="10">
        <v>140</v>
      </c>
      <c r="L26" s="16">
        <f>HYPERLINK("http://www.varthana.com", "www.varthana.com")</f>
      </c>
      <c r="M26" s="16">
        <f>HYPERLINK("https://my.pitchbook.com?c=56855-98", "View Company Online")</f>
      </c>
    </row>
    <row r="27">
      <c r="A27" t="s" s="11">
        <v>142</v>
      </c>
      <c r="B27" t="s" s="11">
        <v>143</v>
      </c>
      <c r="C27" t="s" s="11">
        <v>144</v>
      </c>
      <c r="D27" t="s" s="11">
        <v>38</v>
      </c>
      <c r="E27" t="s" s="11">
        <v>145</v>
      </c>
      <c r="F27" t="s" s="28">
        <v>30</v>
      </c>
      <c r="G27" t="s" s="11">
        <v>146</v>
      </c>
      <c r="H27" s="43">
        <v>1500</v>
      </c>
      <c r="I27" s="43">
        <v>9500</v>
      </c>
      <c r="J27" t="s" s="11">
        <v>147</v>
      </c>
      <c r="K27" t="s" s="11">
        <v>148</v>
      </c>
      <c r="L27" s="17">
        <f>HYPERLINK("http://erebor.bank", "erebor.bank")</f>
      </c>
      <c r="M27" s="17">
        <f>HYPERLINK("https://my.pitchbook.com?c=895156-12", "View Company Online")</f>
      </c>
    </row>
    <row r="28">
      <c r="A28" t="s" s="10">
        <v>150</v>
      </c>
      <c r="B28" t="s" s="10">
        <v>151</v>
      </c>
      <c r="C28" t="s" s="10">
        <v>46</v>
      </c>
      <c r="D28" t="s" s="10">
        <v>78</v>
      </c>
      <c r="E28" t="s" s="10">
        <v>152</v>
      </c>
      <c r="F28" s="27">
        <v>45962</v>
      </c>
      <c r="G28" t="s" s="10">
        <v>31</v>
      </c>
      <c r="H28" s="42">
        <v>178.5</v>
      </c>
      <c r="I28" s="42">
        <v>9300</v>
      </c>
      <c r="J28" t="s" s="10">
        <v>153</v>
      </c>
      <c r="K28" t="s" s="10">
        <v>154</v>
      </c>
      <c r="L28" s="16">
        <f>HYPERLINK("http://www.gusto.com", "www.gusto.com")</f>
      </c>
      <c r="M28" s="16">
        <f>HYPERLINK("https://my.pitchbook.com?c=55758-97", "View Company Online")</f>
      </c>
    </row>
    <row r="29">
      <c r="A29" t="s" s="11">
        <v>156</v>
      </c>
      <c r="B29" t="s" s="11">
        <v>157</v>
      </c>
      <c r="C29" t="s" s="11">
        <v>37</v>
      </c>
      <c r="D29" t="s" s="11">
        <v>38</v>
      </c>
      <c r="E29" t="s" s="11">
        <v>158</v>
      </c>
      <c r="F29" s="28">
        <v>45813</v>
      </c>
      <c r="G29" t="s" s="11">
        <v>40</v>
      </c>
      <c r="H29" s="43">
        <v>400</v>
      </c>
      <c r="I29" s="43">
        <v>9000</v>
      </c>
      <c r="J29" t="s" s="11">
        <v>159</v>
      </c>
      <c r="K29" t="s" s="11">
        <v>160</v>
      </c>
      <c r="L29" s="17">
        <f>HYPERLINK("http://www.n26.com", "www.n26.com")</f>
      </c>
      <c r="M29" s="17">
        <f>HYPERLINK("https://my.pitchbook.com?c=64126-90", "View Company Online")</f>
      </c>
    </row>
    <row r="30">
      <c r="A30" t="s" s="10">
        <v>162</v>
      </c>
      <c r="B30" t="s" s="10">
        <v>163</v>
      </c>
      <c r="C30" t="s" s="10">
        <v>164</v>
      </c>
      <c r="D30" t="s" s="10">
        <v>165</v>
      </c>
      <c r="E30" t="s" s="10">
        <v>166</v>
      </c>
      <c r="F30" s="27">
        <v>45700</v>
      </c>
      <c r="G30" t="s" s="10">
        <v>48</v>
      </c>
      <c r="H30" t="s" s="42">
        <v>30</v>
      </c>
      <c r="I30" s="42">
        <v>8679.1</v>
      </c>
      <c r="J30" t="s" s="10">
        <v>167</v>
      </c>
      <c r="K30" t="s" s="10">
        <v>168</v>
      </c>
      <c r="L30" s="16">
        <f>HYPERLINK("http://www.jddglobal.com", "www.jddglobal.com")</f>
      </c>
      <c r="M30" s="16">
        <f>HYPERLINK("https://my.pitchbook.com?c=152144-11", "View Company Online")</f>
      </c>
    </row>
    <row r="31">
      <c r="A31" t="s" s="11">
        <v>170</v>
      </c>
      <c r="B31" t="s" s="11">
        <v>171</v>
      </c>
      <c r="C31" t="s" s="11">
        <v>172</v>
      </c>
      <c r="D31" t="s" s="11">
        <v>173</v>
      </c>
      <c r="E31" t="s" s="11">
        <v>145</v>
      </c>
      <c r="F31" s="28">
        <v>45946</v>
      </c>
      <c r="G31" t="s" s="11">
        <v>40</v>
      </c>
      <c r="H31" t="s" s="43">
        <v>30</v>
      </c>
      <c r="I31" s="43">
        <v>8600</v>
      </c>
      <c r="J31" t="s" s="11">
        <v>174</v>
      </c>
      <c r="K31" t="s" s="11">
        <v>175</v>
      </c>
      <c r="L31" s="17">
        <f>HYPERLINK("http://www.chainalysis.com", "www.chainalysis.com")</f>
      </c>
      <c r="M31" s="17">
        <f>HYPERLINK("https://my.pitchbook.com?c=133475-77", "View Company Online")</f>
      </c>
    </row>
    <row r="32">
      <c r="A32" t="s" s="10">
        <v>177</v>
      </c>
      <c r="B32" t="s" s="10">
        <v>178</v>
      </c>
      <c r="C32" t="s" s="10">
        <v>46</v>
      </c>
      <c r="D32" t="s" s="10">
        <v>78</v>
      </c>
      <c r="E32" t="s" s="10">
        <v>179</v>
      </c>
      <c r="F32" s="27">
        <v>44733</v>
      </c>
      <c r="G32" t="s" s="10">
        <v>40</v>
      </c>
      <c r="H32" s="42">
        <v>470</v>
      </c>
      <c r="I32" s="42">
        <v>8500</v>
      </c>
      <c r="J32" t="s" s="10">
        <v>180</v>
      </c>
      <c r="K32" t="s" s="10">
        <v>181</v>
      </c>
      <c r="L32" s="16">
        <f>HYPERLINK("http://www.personio.com", "www.personio.com")</f>
      </c>
      <c r="M32" s="16">
        <f>HYPERLINK("https://my.pitchbook.com?c=162649-72", "View Company Online")</f>
      </c>
    </row>
    <row r="33">
      <c r="A33" t="s" s="11">
        <v>183</v>
      </c>
      <c r="B33" t="s" s="11">
        <v>184</v>
      </c>
      <c r="C33" t="s" s="11">
        <v>46</v>
      </c>
      <c r="D33" t="s" s="11">
        <v>47</v>
      </c>
      <c r="E33" t="s" s="11">
        <v>185</v>
      </c>
      <c r="F33" s="28">
        <v>46023</v>
      </c>
      <c r="G33" t="s" s="11">
        <v>186</v>
      </c>
      <c r="H33" t="s" s="43">
        <v>30</v>
      </c>
      <c r="I33" s="43">
        <v>8300</v>
      </c>
      <c r="J33" t="s" s="11">
        <v>187</v>
      </c>
      <c r="K33" t="s" s="11">
        <v>188</v>
      </c>
      <c r="L33" s="17">
        <f>HYPERLINK("http://www.tipalti.com", "www.tipalti.com")</f>
      </c>
      <c r="M33" s="17">
        <f>HYPERLINK("https://my.pitchbook.com?c=60683-68", "View Company Online")</f>
      </c>
    </row>
    <row r="34">
      <c r="A34" t="s" s="10">
        <v>190</v>
      </c>
      <c r="B34" t="s" s="10">
        <v>191</v>
      </c>
      <c r="C34" t="s" s="10">
        <v>60</v>
      </c>
      <c r="D34" t="s" s="10">
        <v>192</v>
      </c>
      <c r="E34" t="s" s="10">
        <v>193</v>
      </c>
      <c r="F34" t="s" s="27">
        <v>30</v>
      </c>
      <c r="G34" t="s" s="10">
        <v>40</v>
      </c>
      <c r="H34" t="s" s="42">
        <v>30</v>
      </c>
      <c r="I34" s="42">
        <v>8100</v>
      </c>
      <c r="J34" t="s" s="10">
        <v>194</v>
      </c>
      <c r="K34" t="s" s="10">
        <v>195</v>
      </c>
      <c r="L34" s="16">
        <f>HYPERLINK("http://www.creditkarma.com", "www.creditkarma.com")</f>
      </c>
      <c r="M34" s="16">
        <f>HYPERLINK("https://my.pitchbook.com?c=53629-75", "View Company Online")</f>
      </c>
    </row>
    <row r="35">
      <c r="A35" t="s" s="11">
        <v>197</v>
      </c>
      <c r="B35" t="s" s="11">
        <v>198</v>
      </c>
      <c r="C35" t="s" s="11">
        <v>128</v>
      </c>
      <c r="D35" t="s" s="11">
        <v>199</v>
      </c>
      <c r="E35" t="s" s="11">
        <v>200</v>
      </c>
      <c r="F35" s="28">
        <v>46190</v>
      </c>
      <c r="G35" t="s" s="11">
        <v>64</v>
      </c>
      <c r="H35" s="43">
        <v>1000</v>
      </c>
      <c r="I35" s="43">
        <v>8000</v>
      </c>
      <c r="J35" t="s" s="11">
        <v>201</v>
      </c>
      <c r="K35" t="s" s="11">
        <v>202</v>
      </c>
      <c r="L35" s="17">
        <f>HYPERLINK("http://www.mynt.com.ph", "www.mynt.com.ph")</f>
      </c>
      <c r="M35" s="17">
        <f>HYPERLINK("https://my.pitchbook.com?c=170700-13", "View Company Online")</f>
      </c>
    </row>
    <row r="36">
      <c r="A36" t="s" s="10">
        <v>204</v>
      </c>
      <c r="B36" t="s" s="10">
        <v>205</v>
      </c>
      <c r="C36" t="s" s="10">
        <v>164</v>
      </c>
      <c r="D36" t="s" s="10">
        <v>206</v>
      </c>
      <c r="E36" t="s" s="10">
        <v>193</v>
      </c>
      <c r="F36" t="s" s="27">
        <v>30</v>
      </c>
      <c r="G36" t="s" s="10">
        <v>64</v>
      </c>
      <c r="H36" t="s" s="42">
        <v>30</v>
      </c>
      <c r="I36" s="42">
        <v>8000</v>
      </c>
      <c r="J36" t="s" s="10">
        <v>207</v>
      </c>
      <c r="K36" t="s" s="10">
        <v>208</v>
      </c>
      <c r="L36" s="16">
        <f>HYPERLINK("http://www.plaid.com", "www.plaid.com")</f>
      </c>
      <c r="M36" s="16">
        <f>HYPERLINK("https://my.pitchbook.com?c=59128-48", "View Company Online")</f>
      </c>
    </row>
    <row r="37">
      <c r="A37" t="s" s="11">
        <v>210</v>
      </c>
      <c r="B37" t="s" s="11">
        <v>211</v>
      </c>
      <c r="C37" t="s" s="11">
        <v>37</v>
      </c>
      <c r="D37" t="s" s="11">
        <v>38</v>
      </c>
      <c r="E37" t="s" s="11">
        <v>193</v>
      </c>
      <c r="F37" s="28">
        <v>45787</v>
      </c>
      <c r="G37" t="s" s="11">
        <v>64</v>
      </c>
      <c r="H37" t="s" s="43">
        <v>30</v>
      </c>
      <c r="I37" s="43">
        <v>7918.81</v>
      </c>
      <c r="J37" t="s" s="11">
        <v>212</v>
      </c>
      <c r="K37" t="s" s="11">
        <v>213</v>
      </c>
      <c r="L37" s="17">
        <f>HYPERLINK("http://www.monzo.com", "www.monzo.com")</f>
      </c>
      <c r="M37" s="17">
        <f>HYPERLINK("https://my.pitchbook.com?c=118978-21", "View Company Online")</f>
      </c>
    </row>
    <row r="38">
      <c r="A38" t="s" s="10">
        <v>215</v>
      </c>
      <c r="B38" t="s" s="10">
        <v>216</v>
      </c>
      <c r="C38" t="s" s="10">
        <v>37</v>
      </c>
      <c r="D38" t="s" s="10">
        <v>38</v>
      </c>
      <c r="E38" t="s" s="10">
        <v>137</v>
      </c>
      <c r="F38" s="27">
        <v>43733</v>
      </c>
      <c r="G38" t="s" s="10">
        <v>40</v>
      </c>
      <c r="H38" s="42">
        <v>1404.28</v>
      </c>
      <c r="I38" s="42">
        <v>7863.94</v>
      </c>
      <c r="J38" t="s" s="10">
        <v>217</v>
      </c>
      <c r="K38" t="s" s="10">
        <v>218</v>
      </c>
      <c r="L38" s="16">
        <f>HYPERLINK("http://www.financesn.com", "www.financesn.com")</f>
      </c>
      <c r="M38" s="16">
        <f>HYPERLINK("https://my.pitchbook.com?c=223658-29", "View Company Online")</f>
      </c>
    </row>
    <row r="39">
      <c r="A39" t="s" s="11">
        <v>220</v>
      </c>
      <c r="B39" t="s" s="11">
        <v>221</v>
      </c>
      <c r="C39" t="s" s="11">
        <v>222</v>
      </c>
      <c r="D39" t="s" s="11">
        <v>223</v>
      </c>
      <c r="E39" t="s" s="11">
        <v>224</v>
      </c>
      <c r="F39" s="28">
        <v>46176</v>
      </c>
      <c r="G39" t="s" s="11">
        <v>40</v>
      </c>
      <c r="H39" s="43">
        <v>350</v>
      </c>
      <c r="I39" s="43">
        <v>7500</v>
      </c>
      <c r="J39" t="s" s="11">
        <v>225</v>
      </c>
      <c r="K39" t="s" s="11">
        <v>226</v>
      </c>
      <c r="L39" s="17">
        <f>HYPERLINK("http://www.alpha-sense.com", "www.alpha-sense.com")</f>
      </c>
      <c r="M39" s="17">
        <f>HYPERLINK("https://my.pitchbook.com?c=81979-84", "View Company Online")</f>
      </c>
    </row>
    <row r="40">
      <c r="A40" t="s" s="10">
        <v>228</v>
      </c>
      <c r="B40" t="s" s="10">
        <v>229</v>
      </c>
      <c r="C40" t="s" s="10">
        <v>27</v>
      </c>
      <c r="D40" t="s" s="10">
        <v>28</v>
      </c>
      <c r="E40" t="s" s="10">
        <v>29</v>
      </c>
      <c r="F40" s="27">
        <v>46069</v>
      </c>
      <c r="G40" t="s" s="10">
        <v>64</v>
      </c>
      <c r="H40" s="42">
        <v>0.44</v>
      </c>
      <c r="I40" s="42">
        <v>7500</v>
      </c>
      <c r="J40" t="s" s="10">
        <v>230</v>
      </c>
      <c r="K40" t="s" s="10">
        <v>231</v>
      </c>
      <c r="L40" s="16">
        <f>HYPERLINK("http://www.razorpay.com", "www.razorpay.com")</f>
      </c>
      <c r="M40" s="16">
        <f>HYPERLINK("https://my.pitchbook.com?c=110393-29", "View Company Online")</f>
      </c>
    </row>
    <row r="41">
      <c r="A41" t="s" s="11">
        <v>233</v>
      </c>
      <c r="B41" t="s" s="11">
        <v>234</v>
      </c>
      <c r="C41" t="s" s="11">
        <v>222</v>
      </c>
      <c r="D41" t="s" s="11">
        <v>235</v>
      </c>
      <c r="E41" t="s" s="11">
        <v>193</v>
      </c>
      <c r="F41" s="28">
        <v>45428</v>
      </c>
      <c r="G41" t="s" s="11">
        <v>48</v>
      </c>
      <c r="H41" t="s" s="43">
        <v>30</v>
      </c>
      <c r="I41" s="43">
        <v>7400</v>
      </c>
      <c r="J41" t="s" s="11">
        <v>236</v>
      </c>
      <c r="K41" t="s" s="11">
        <v>237</v>
      </c>
      <c r="L41" s="17">
        <f>HYPERLINK("http://www.carta.com", "www.carta.com")</f>
      </c>
      <c r="M41" s="17">
        <f>HYPERLINK("https://my.pitchbook.com?c=56265-94", "View Company Online")</f>
      </c>
    </row>
    <row r="42">
      <c r="A42" t="s" s="10">
        <v>239</v>
      </c>
      <c r="B42" t="s" s="10">
        <v>240</v>
      </c>
      <c r="C42" t="s" s="10">
        <v>37</v>
      </c>
      <c r="D42" t="s" s="10">
        <v>38</v>
      </c>
      <c r="E42" t="s" s="10">
        <v>193</v>
      </c>
      <c r="F42" t="s" s="27">
        <v>30</v>
      </c>
      <c r="G42" t="s" s="10">
        <v>48</v>
      </c>
      <c r="H42" t="s" s="42">
        <v>30</v>
      </c>
      <c r="I42" s="42">
        <v>7300</v>
      </c>
      <c r="J42" t="s" s="10">
        <v>241</v>
      </c>
      <c r="K42" t="s" s="10">
        <v>242</v>
      </c>
      <c r="L42" s="16">
        <f>HYPERLINK("http://www.upgrade.com", "www.upgrade.com")</f>
      </c>
      <c r="M42" s="16">
        <f>HYPERLINK("https://my.pitchbook.com?c=179520-76", "View Company Online")</f>
      </c>
    </row>
    <row r="43">
      <c r="A43" t="s" s="11">
        <v>244</v>
      </c>
      <c r="B43" t="s" s="11">
        <v>245</v>
      </c>
      <c r="C43" t="s" s="11">
        <v>60</v>
      </c>
      <c r="D43" t="s" s="11">
        <v>246</v>
      </c>
      <c r="E43" t="s" s="11">
        <v>137</v>
      </c>
      <c r="F43" s="28">
        <v>45957</v>
      </c>
      <c r="G43" t="s" s="11">
        <v>40</v>
      </c>
      <c r="H43" s="43">
        <v>536.12</v>
      </c>
      <c r="I43" s="43">
        <v>7148.29</v>
      </c>
      <c r="J43" t="s" s="11">
        <v>247</v>
      </c>
      <c r="K43" t="s" s="11">
        <v>248</v>
      </c>
      <c r="L43" s="17">
        <f>HYPERLINK("http://www.wealthsimple.com", "www.wealthsimple.com")</f>
      </c>
      <c r="M43" s="17">
        <f>HYPERLINK("https://my.pitchbook.com?c=97519-69", "View Company Online")</f>
      </c>
    </row>
    <row r="44">
      <c r="A44" t="s" s="10">
        <v>250</v>
      </c>
      <c r="B44" t="s" s="10">
        <v>251</v>
      </c>
      <c r="C44" t="s" s="10">
        <v>222</v>
      </c>
      <c r="D44" t="s" s="10">
        <v>252</v>
      </c>
      <c r="E44" t="s" s="10">
        <v>253</v>
      </c>
      <c r="F44" s="27">
        <v>46072</v>
      </c>
      <c r="G44" t="s" s="10">
        <v>64</v>
      </c>
      <c r="H44" s="42">
        <v>351</v>
      </c>
      <c r="I44" s="42">
        <v>6942.66</v>
      </c>
      <c r="J44" t="s" s="10">
        <v>254</v>
      </c>
      <c r="K44" t="s" s="10">
        <v>255</v>
      </c>
      <c r="L44" s="16">
        <f>HYPERLINK("http://www.clearstreet.io", "www.clearstreet.io")</f>
      </c>
      <c r="M44" s="16">
        <f>HYPERLINK("https://my.pitchbook.com?c=438029-20", "View Company Online")</f>
      </c>
    </row>
    <row r="45">
      <c r="A45" t="s" s="11">
        <v>257</v>
      </c>
      <c r="B45" t="s" s="11">
        <v>258</v>
      </c>
      <c r="C45" t="s" s="11">
        <v>27</v>
      </c>
      <c r="D45" t="s" s="11">
        <v>28</v>
      </c>
      <c r="E45" t="s" s="11">
        <v>259</v>
      </c>
      <c r="F45" t="s" s="28">
        <v>30</v>
      </c>
      <c r="G45" t="s" s="11">
        <v>48</v>
      </c>
      <c r="H45" t="s" s="43">
        <v>30</v>
      </c>
      <c r="I45" s="43">
        <v>6543.48</v>
      </c>
      <c r="J45" t="s" s="11">
        <v>260</v>
      </c>
      <c r="K45" t="s" s="11">
        <v>261</v>
      </c>
      <c r="L45" s="17">
        <f>HYPERLINK("http://www.mollie.com", "www.mollie.com")</f>
      </c>
      <c r="M45" s="17">
        <f>HYPERLINK("https://my.pitchbook.com?c=118418-14", "View Company Online")</f>
      </c>
    </row>
    <row r="46">
      <c r="A46" t="s" s="10">
        <v>263</v>
      </c>
      <c r="B46" t="s" s="10">
        <v>264</v>
      </c>
      <c r="C46" t="s" s="10">
        <v>46</v>
      </c>
      <c r="D46" t="s" s="10">
        <v>47</v>
      </c>
      <c r="E46" t="s" s="10">
        <v>29</v>
      </c>
      <c r="F46" s="27">
        <v>45959</v>
      </c>
      <c r="G46" t="s" s="10">
        <v>64</v>
      </c>
      <c r="H46" s="42">
        <v>923.11</v>
      </c>
      <c r="I46" s="42">
        <v>6206.05</v>
      </c>
      <c r="J46" t="s" s="10">
        <v>265</v>
      </c>
      <c r="K46" t="s" s="10">
        <v>266</v>
      </c>
      <c r="L46" s="16">
        <f>HYPERLINK("http://navan.com", "navan.com")</f>
      </c>
      <c r="M46" s="16">
        <f>HYPERLINK("https://my.pitchbook.com?c=112950-64", "View Company Online")</f>
      </c>
    </row>
    <row r="47">
      <c r="A47" t="s" s="11">
        <v>268</v>
      </c>
      <c r="B47" t="s" s="11">
        <v>269</v>
      </c>
      <c r="C47" t="s" s="11">
        <v>222</v>
      </c>
      <c r="D47" t="s" s="11">
        <v>235</v>
      </c>
      <c r="E47" t="s" s="11">
        <v>270</v>
      </c>
      <c r="F47" s="28">
        <v>45571</v>
      </c>
      <c r="G47" t="s" s="11">
        <v>271</v>
      </c>
      <c r="H47" t="s" s="43">
        <v>30</v>
      </c>
      <c r="I47" s="43">
        <v>6100</v>
      </c>
      <c r="J47" t="s" s="11">
        <v>272</v>
      </c>
      <c r="K47" t="s" s="11">
        <v>30</v>
      </c>
      <c r="L47" s="17">
        <f>HYPERLINK("http://www.blackunicornfactory.com", "www.blackunicornfactory.com")</f>
      </c>
      <c r="M47" s="17">
        <f>HYPERLINK("https://my.pitchbook.com?c=527531-23", "View Company Online")</f>
      </c>
    </row>
    <row r="48">
      <c r="A48" t="s" s="10">
        <v>274</v>
      </c>
      <c r="B48" t="s" s="10">
        <v>275</v>
      </c>
      <c r="C48" t="s" s="10">
        <v>128</v>
      </c>
      <c r="D48" t="s" s="10">
        <v>276</v>
      </c>
      <c r="E48" t="s" s="10">
        <v>200</v>
      </c>
      <c r="F48" s="27">
        <v>45748</v>
      </c>
      <c r="G48" t="s" s="10">
        <v>31</v>
      </c>
      <c r="H48" s="42">
        <v>165</v>
      </c>
      <c r="I48" s="42">
        <v>6000</v>
      </c>
      <c r="J48" t="s" s="10">
        <v>277</v>
      </c>
      <c r="K48" t="s" s="10">
        <v>278</v>
      </c>
      <c r="L48" s="16">
        <f>HYPERLINK("http://www.zepz.io", "www.zepz.io")</f>
      </c>
      <c r="M48" s="16">
        <f>HYPERLINK("https://my.pitchbook.com?c=61925-68", "View Company Online")</f>
      </c>
    </row>
    <row r="49">
      <c r="A49" t="s" s="11">
        <v>280</v>
      </c>
      <c r="B49" t="s" s="11">
        <v>281</v>
      </c>
      <c r="C49" t="s" s="11">
        <v>164</v>
      </c>
      <c r="D49" t="s" s="11">
        <v>165</v>
      </c>
      <c r="E49" t="s" s="11">
        <v>253</v>
      </c>
      <c r="F49" s="28">
        <v>44552</v>
      </c>
      <c r="G49" t="s" s="11">
        <v>40</v>
      </c>
      <c r="H49" s="43">
        <v>265.2</v>
      </c>
      <c r="I49" s="43">
        <v>5529.74</v>
      </c>
      <c r="J49" t="s" s="11">
        <v>282</v>
      </c>
      <c r="K49" t="s" s="11">
        <v>283</v>
      </c>
      <c r="L49" s="17">
        <f>HYPERLINK("http://www.mambu.com", "www.mambu.com")</f>
      </c>
      <c r="M49" s="17">
        <f>HYPERLINK("https://my.pitchbook.com?c=56129-86", "View Company Online")</f>
      </c>
    </row>
    <row r="50">
      <c r="A50" t="s" s="10">
        <v>285</v>
      </c>
      <c r="B50" t="s" s="10">
        <v>286</v>
      </c>
      <c r="C50" t="s" s="10">
        <v>27</v>
      </c>
      <c r="D50" t="s" s="10">
        <v>28</v>
      </c>
      <c r="E50" t="s" s="10">
        <v>270</v>
      </c>
      <c r="F50" s="27">
        <v>45174</v>
      </c>
      <c r="G50" t="s" s="10">
        <v>40</v>
      </c>
      <c r="H50" s="42">
        <v>100</v>
      </c>
      <c r="I50" s="42">
        <v>5500</v>
      </c>
      <c r="J50" t="s" s="10">
        <v>287</v>
      </c>
      <c r="K50" t="s" s="10">
        <v>288</v>
      </c>
      <c r="L50" s="16">
        <f>HYPERLINK("http://www.bharatpe.com", "www.bharatpe.com")</f>
      </c>
      <c r="M50" s="16">
        <f>HYPERLINK("https://my.pitchbook.com?c=266620-60", "View Company Online")</f>
      </c>
    </row>
    <row r="51">
      <c r="A51" t="s" s="11">
        <v>290</v>
      </c>
      <c r="B51" t="s" s="11">
        <v>291</v>
      </c>
      <c r="C51" t="s" s="11">
        <v>144</v>
      </c>
      <c r="D51" t="s" s="11">
        <v>38</v>
      </c>
      <c r="E51" t="s" s="11">
        <v>29</v>
      </c>
      <c r="F51" s="28">
        <v>46162</v>
      </c>
      <c r="G51" t="s" s="11">
        <v>40</v>
      </c>
      <c r="H51" s="43">
        <v>200</v>
      </c>
      <c r="I51" s="43">
        <v>5200</v>
      </c>
      <c r="J51" t="s" s="11">
        <v>292</v>
      </c>
      <c r="K51" t="s" s="11">
        <v>293</v>
      </c>
      <c r="L51" s="17">
        <f>HYPERLINK("http://mercury.com", "mercury.com")</f>
      </c>
      <c r="M51" s="17">
        <f>HYPERLINK("https://my.pitchbook.com?c=222307-21", "View Company Online")</f>
      </c>
    </row>
    <row r="52">
      <c r="A52" t="s" s="10">
        <v>295</v>
      </c>
      <c r="B52" t="s" s="10">
        <v>296</v>
      </c>
      <c r="C52" t="s" s="10">
        <v>144</v>
      </c>
      <c r="D52" t="s" s="10">
        <v>297</v>
      </c>
      <c r="E52" t="s" s="10">
        <v>298</v>
      </c>
      <c r="F52" s="27">
        <v>46239</v>
      </c>
      <c r="G52" t="s" s="10">
        <v>64</v>
      </c>
      <c r="H52" t="s" s="42">
        <v>30</v>
      </c>
      <c r="I52" s="42">
        <v>5000</v>
      </c>
      <c r="J52" t="s" s="10">
        <v>299</v>
      </c>
      <c r="K52" t="s" s="10">
        <v>300</v>
      </c>
      <c r="L52" s="16">
        <f>HYPERLINK("http://www.ofbusiness.com", "www.ofbusiness.com")</f>
      </c>
      <c r="M52" s="16">
        <f>HYPERLINK("https://my.pitchbook.com?c=154451-26", "View Company Online")</f>
      </c>
    </row>
    <row r="53">
      <c r="A53" t="s" s="11">
        <v>302</v>
      </c>
      <c r="B53" t="s" s="11">
        <v>303</v>
      </c>
      <c r="C53" t="s" s="11">
        <v>37</v>
      </c>
      <c r="D53" t="s" s="11">
        <v>304</v>
      </c>
      <c r="E53" t="s" s="11">
        <v>305</v>
      </c>
      <c r="F53" s="28">
        <v>46127</v>
      </c>
      <c r="G53" t="s" s="11">
        <v>40</v>
      </c>
      <c r="H53" s="43">
        <v>405</v>
      </c>
      <c r="I53" s="43">
        <v>5000</v>
      </c>
      <c r="J53" t="s" s="11">
        <v>306</v>
      </c>
      <c r="K53" t="s" s="11">
        <v>307</v>
      </c>
      <c r="L53" s="17">
        <f>HYPERLINK("http://www.platacard.mx", "www.platacard.mx")</f>
      </c>
      <c r="M53" s="17">
        <f>HYPERLINK("https://my.pitchbook.com?c=535744-72", "View Company Online")</f>
      </c>
    </row>
    <row r="54">
      <c r="A54" t="s" s="10">
        <v>309</v>
      </c>
      <c r="B54" t="s" s="10">
        <v>310</v>
      </c>
      <c r="C54" t="s" s="10">
        <v>27</v>
      </c>
      <c r="D54" t="s" s="10">
        <v>70</v>
      </c>
      <c r="E54" t="s" s="10">
        <v>311</v>
      </c>
      <c r="F54" s="27">
        <v>45947</v>
      </c>
      <c r="G54" t="s" s="10">
        <v>146</v>
      </c>
      <c r="H54" s="42">
        <v>500</v>
      </c>
      <c r="I54" s="42">
        <v>5000</v>
      </c>
      <c r="J54" t="s" s="10">
        <v>312</v>
      </c>
      <c r="K54" t="s" s="10">
        <v>313</v>
      </c>
      <c r="L54" s="16">
        <f>HYPERLINK("http://tempo.xyz", "tempo.xyz")</f>
      </c>
      <c r="M54" s="16">
        <f>HYPERLINK("https://my.pitchbook.com?c=969386-32", "View Company Online")</f>
      </c>
    </row>
    <row r="55">
      <c r="A55" t="s" s="11">
        <v>315</v>
      </c>
      <c r="B55" t="s" s="11">
        <v>316</v>
      </c>
      <c r="C55" t="s" s="11">
        <v>46</v>
      </c>
      <c r="D55" t="s" s="11">
        <v>47</v>
      </c>
      <c r="E55" t="s" s="11">
        <v>29</v>
      </c>
      <c r="F55" t="s" s="28">
        <v>30</v>
      </c>
      <c r="G55" t="s" s="11">
        <v>40</v>
      </c>
      <c r="H55" t="s" s="43">
        <v>30</v>
      </c>
      <c r="I55" s="43">
        <v>4977.85</v>
      </c>
      <c r="J55" t="s" s="11">
        <v>317</v>
      </c>
      <c r="K55" t="s" s="11">
        <v>318</v>
      </c>
      <c r="L55" s="17">
        <f>HYPERLINK("http://www.qonto.com", "www.qonto.com")</f>
      </c>
      <c r="M55" s="17">
        <f>HYPERLINK("https://my.pitchbook.com?c=169758-19", "View Company Online")</f>
      </c>
    </row>
    <row r="56">
      <c r="A56" t="s" s="10">
        <v>320</v>
      </c>
      <c r="B56" t="s" s="10">
        <v>321</v>
      </c>
      <c r="C56" t="s" s="10">
        <v>46</v>
      </c>
      <c r="D56" t="s" s="10">
        <v>47</v>
      </c>
      <c r="E56" t="s" s="10">
        <v>158</v>
      </c>
      <c r="F56" s="27">
        <v>45413</v>
      </c>
      <c r="G56" t="s" s="10">
        <v>31</v>
      </c>
      <c r="H56" s="42">
        <v>42.85</v>
      </c>
      <c r="I56" s="42">
        <v>4700</v>
      </c>
      <c r="J56" t="s" s="10">
        <v>322</v>
      </c>
      <c r="K56" t="s" s="10">
        <v>323</v>
      </c>
      <c r="L56" s="16">
        <f>HYPERLINK("http://www.pleo.io", "www.pleo.io")</f>
      </c>
      <c r="M56" s="16">
        <f>HYPERLINK("https://my.pitchbook.com?c=160230-88", "View Company Online")</f>
      </c>
    </row>
    <row r="57">
      <c r="A57" t="s" s="11">
        <v>325</v>
      </c>
      <c r="B57" t="s" s="11">
        <v>326</v>
      </c>
      <c r="C57" t="s" s="11">
        <v>37</v>
      </c>
      <c r="D57" t="s" s="11">
        <v>304</v>
      </c>
      <c r="E57" t="s" s="11">
        <v>270</v>
      </c>
      <c r="F57" s="28">
        <v>46205</v>
      </c>
      <c r="G57" t="s" s="11">
        <v>48</v>
      </c>
      <c r="H57" t="s" s="43">
        <v>30</v>
      </c>
      <c r="I57" s="43">
        <v>4500</v>
      </c>
      <c r="J57" t="s" s="11">
        <v>327</v>
      </c>
      <c r="K57" t="s" s="11">
        <v>328</v>
      </c>
      <c r="L57" s="17">
        <f>HYPERLINK("http://www.cred.club", "www.cred.club")</f>
      </c>
      <c r="M57" s="17">
        <f>HYPERLINK("https://my.pitchbook.com?c=234804-97", "View Company Online")</f>
      </c>
    </row>
    <row r="58">
      <c r="A58" t="s" s="10">
        <v>330</v>
      </c>
      <c r="B58" t="s" s="10">
        <v>331</v>
      </c>
      <c r="C58" t="s" s="10">
        <v>27</v>
      </c>
      <c r="D58" t="s" s="10">
        <v>70</v>
      </c>
      <c r="E58" t="s" s="10">
        <v>332</v>
      </c>
      <c r="F58" s="27">
        <v>45910</v>
      </c>
      <c r="G58" t="s" s="10">
        <v>40</v>
      </c>
      <c r="H58" s="42">
        <v>500</v>
      </c>
      <c r="I58" s="42">
        <v>4500</v>
      </c>
      <c r="J58" t="s" s="10">
        <v>333</v>
      </c>
      <c r="K58" t="s" s="10">
        <v>334</v>
      </c>
      <c r="L58" s="16">
        <f>HYPERLINK("http://www.rapyd.net", "www.rapyd.net")</f>
      </c>
      <c r="M58" s="16">
        <f>HYPERLINK("https://my.pitchbook.com?c=231414-22", "View Company Online")</f>
      </c>
    </row>
    <row r="59">
      <c r="A59" t="s" s="11">
        <v>336</v>
      </c>
      <c r="B59" t="s" s="11">
        <v>337</v>
      </c>
      <c r="C59" t="s" s="11">
        <v>172</v>
      </c>
      <c r="D59" t="s" s="11">
        <v>338</v>
      </c>
      <c r="E59" t="s" s="11">
        <v>339</v>
      </c>
      <c r="F59" s="28">
        <v>45658</v>
      </c>
      <c r="G59" t="s" s="11">
        <v>40</v>
      </c>
      <c r="H59" t="s" s="43">
        <v>30</v>
      </c>
      <c r="I59" s="43">
        <v>4500</v>
      </c>
      <c r="J59" t="s" s="11">
        <v>340</v>
      </c>
      <c r="K59" t="s" s="11">
        <v>341</v>
      </c>
      <c r="L59" s="17">
        <f>HYPERLINK("http://www.socure.com", "www.socure.com")</f>
      </c>
      <c r="M59" s="17">
        <f>HYPERLINK("https://my.pitchbook.com?c=58411-45", "View Company Online")</f>
      </c>
    </row>
    <row r="60">
      <c r="A60" t="s" s="10">
        <v>343</v>
      </c>
      <c r="B60" t="s" s="10">
        <v>344</v>
      </c>
      <c r="C60" t="s" s="10">
        <v>37</v>
      </c>
      <c r="D60" t="s" s="10">
        <v>304</v>
      </c>
      <c r="E60" t="s" s="10">
        <v>345</v>
      </c>
      <c r="F60" s="27">
        <v>45698</v>
      </c>
      <c r="G60" t="s" s="10">
        <v>64</v>
      </c>
      <c r="H60" t="s" s="42">
        <v>30</v>
      </c>
      <c r="I60" s="42">
        <v>4500</v>
      </c>
      <c r="J60" t="s" s="10">
        <v>346</v>
      </c>
      <c r="K60" t="s" s="10">
        <v>347</v>
      </c>
      <c r="L60" s="16">
        <f>HYPERLINK("http://www.tabby.ai", "www.tabby.ai")</f>
      </c>
      <c r="M60" s="16">
        <f>HYPERLINK("https://my.pitchbook.com?c=342062-65", "View Company Online")</f>
      </c>
    </row>
    <row r="61">
      <c r="A61" t="s" s="11">
        <v>349</v>
      </c>
      <c r="B61" t="s" s="11">
        <v>350</v>
      </c>
      <c r="C61" t="s" s="11">
        <v>222</v>
      </c>
      <c r="D61" t="s" s="11">
        <v>252</v>
      </c>
      <c r="E61" t="s" s="11">
        <v>145</v>
      </c>
      <c r="F61" s="28">
        <v>46057</v>
      </c>
      <c r="G61" t="s" s="11">
        <v>40</v>
      </c>
      <c r="H61" s="43">
        <v>100</v>
      </c>
      <c r="I61" s="43">
        <v>4200</v>
      </c>
      <c r="J61" t="s" s="11">
        <v>351</v>
      </c>
      <c r="K61" t="s" s="11">
        <v>352</v>
      </c>
      <c r="L61" s="17">
        <f>HYPERLINK("http://www.anchorage.com", "www.anchorage.com")</f>
      </c>
      <c r="M61" s="17">
        <f>HYPERLINK("https://my.pitchbook.com?c=264918-79", "View Company Online")</f>
      </c>
    </row>
    <row r="62">
      <c r="A62" t="s" s="10">
        <v>354</v>
      </c>
      <c r="B62" t="s" s="10">
        <v>355</v>
      </c>
      <c r="C62" t="s" s="10">
        <v>222</v>
      </c>
      <c r="D62" t="s" s="10">
        <v>235</v>
      </c>
      <c r="E62" t="s" s="10">
        <v>356</v>
      </c>
      <c r="F62" t="s" s="27">
        <v>30</v>
      </c>
      <c r="G62" t="s" s="10">
        <v>48</v>
      </c>
      <c r="H62" t="s" s="42">
        <v>30</v>
      </c>
      <c r="I62" s="42">
        <v>4100</v>
      </c>
      <c r="J62" t="s" s="10">
        <v>357</v>
      </c>
      <c r="K62" t="s" s="10">
        <v>358</v>
      </c>
      <c r="L62" s="16">
        <f>HYPERLINK("http://www.angellist.com", "www.angellist.com")</f>
      </c>
      <c r="M62" s="16">
        <f>HYPERLINK("https://my.pitchbook.com?c=54220-06", "View Company Online")</f>
      </c>
    </row>
    <row r="63">
      <c r="A63" t="s" s="11">
        <v>360</v>
      </c>
      <c r="B63" t="s" s="11">
        <v>361</v>
      </c>
      <c r="C63" t="s" s="11">
        <v>60</v>
      </c>
      <c r="D63" t="s" s="11">
        <v>61</v>
      </c>
      <c r="E63" t="s" s="11">
        <v>62</v>
      </c>
      <c r="F63" s="28">
        <v>46036</v>
      </c>
      <c r="G63" t="s" s="11">
        <v>64</v>
      </c>
      <c r="H63" t="s" s="43">
        <v>30</v>
      </c>
      <c r="I63" s="43">
        <v>4100</v>
      </c>
      <c r="J63" t="s" s="11">
        <v>362</v>
      </c>
      <c r="K63" t="s" s="11">
        <v>363</v>
      </c>
      <c r="L63" s="17">
        <f>HYPERLINK("http://www.bitpanda.com", "www.bitpanda.com")</f>
      </c>
      <c r="M63" s="17">
        <f>HYPERLINK("https://my.pitchbook.com?c=267691-60", "View Company Online")</f>
      </c>
    </row>
    <row r="64">
      <c r="A64" t="s" s="10">
        <v>365</v>
      </c>
      <c r="B64" t="s" s="10">
        <v>366</v>
      </c>
      <c r="C64" t="s" s="10">
        <v>37</v>
      </c>
      <c r="D64" t="s" s="10">
        <v>304</v>
      </c>
      <c r="E64" t="s" s="10">
        <v>367</v>
      </c>
      <c r="F64" s="27">
        <v>45335</v>
      </c>
      <c r="G64" t="s" s="10">
        <v>40</v>
      </c>
      <c r="H64" s="42">
        <v>25</v>
      </c>
      <c r="I64" s="42">
        <v>4041.44</v>
      </c>
      <c r="J64" t="s" s="10">
        <v>368</v>
      </c>
      <c r="K64" t="s" s="10">
        <v>369</v>
      </c>
      <c r="L64" s="16">
        <f>HYPERLINK("http://www.missionlane.com", "www.missionlane.com")</f>
      </c>
      <c r="M64" s="16">
        <f>HYPERLINK("https://my.pitchbook.com?c=146594-89", "View Company Online")</f>
      </c>
    </row>
    <row r="65">
      <c r="A65" t="s" s="11">
        <v>371</v>
      </c>
      <c r="B65" t="s" s="11">
        <v>372</v>
      </c>
      <c r="C65" t="s" s="11">
        <v>46</v>
      </c>
      <c r="D65" t="s" s="11">
        <v>47</v>
      </c>
      <c r="E65" t="s" s="11">
        <v>373</v>
      </c>
      <c r="F65" s="28">
        <v>45566</v>
      </c>
      <c r="G65" t="s" s="11">
        <v>40</v>
      </c>
      <c r="H65" t="s" s="43">
        <v>30</v>
      </c>
      <c r="I65" s="43">
        <v>3750</v>
      </c>
      <c r="J65" t="s" s="11">
        <v>374</v>
      </c>
      <c r="K65" t="s" s="11">
        <v>375</v>
      </c>
      <c r="L65" s="17">
        <f>HYPERLINK("http://www.chargebee.com", "www.chargebee.com")</f>
      </c>
      <c r="M65" s="17">
        <f>HYPERLINK("https://my.pitchbook.com?c=55782-55", "View Company Online")</f>
      </c>
    </row>
    <row r="66">
      <c r="A66" t="s" s="10">
        <v>377</v>
      </c>
      <c r="B66" t="s" s="10">
        <v>378</v>
      </c>
      <c r="C66" t="s" s="10">
        <v>27</v>
      </c>
      <c r="D66" t="s" s="10">
        <v>28</v>
      </c>
      <c r="E66" t="s" s="10">
        <v>379</v>
      </c>
      <c r="F66" s="27">
        <v>46203</v>
      </c>
      <c r="G66" t="s" s="10">
        <v>31</v>
      </c>
      <c r="H66" s="42">
        <v>4</v>
      </c>
      <c r="I66" s="42">
        <v>3750</v>
      </c>
      <c r="J66" t="s" s="10">
        <v>380</v>
      </c>
      <c r="K66" t="s" s="10">
        <v>381</v>
      </c>
      <c r="L66" s="16">
        <f>HYPERLINK("http://dutchie.com", "dutchie.com")</f>
      </c>
      <c r="M66" s="16">
        <f>HYPERLINK("https://my.pitchbook.com?c=233221-15", "View Company Online")</f>
      </c>
    </row>
    <row r="67">
      <c r="A67" t="s" s="11">
        <v>383</v>
      </c>
      <c r="B67" t="s" s="11">
        <v>384</v>
      </c>
      <c r="C67" t="s" s="11">
        <v>164</v>
      </c>
      <c r="D67" t="s" s="11">
        <v>206</v>
      </c>
      <c r="E67" t="s" s="11">
        <v>193</v>
      </c>
      <c r="F67" s="28">
        <v>45771</v>
      </c>
      <c r="G67" t="s" s="11">
        <v>48</v>
      </c>
      <c r="H67" t="s" s="43">
        <v>30</v>
      </c>
      <c r="I67" s="43">
        <v>3700</v>
      </c>
      <c r="J67" t="s" s="11">
        <v>385</v>
      </c>
      <c r="K67" t="s" s="11">
        <v>386</v>
      </c>
      <c r="L67" s="17">
        <f>HYPERLINK("http://www.drivewealth.com", "www.drivewealth.com")</f>
      </c>
      <c r="M67" s="17">
        <f>HYPERLINK("https://my.pitchbook.com?c=58659-49", "View Company Online")</f>
      </c>
    </row>
    <row r="68">
      <c r="A68" t="s" s="10">
        <v>388</v>
      </c>
      <c r="B68" t="s" s="10">
        <v>389</v>
      </c>
      <c r="C68" t="s" s="10">
        <v>46</v>
      </c>
      <c r="D68" t="s" s="10">
        <v>78</v>
      </c>
      <c r="E68" t="s" s="10">
        <v>390</v>
      </c>
      <c r="F68" t="s" s="27">
        <v>30</v>
      </c>
      <c r="G68" t="s" s="10">
        <v>391</v>
      </c>
      <c r="H68" t="s" s="42">
        <v>30</v>
      </c>
      <c r="I68" s="42">
        <v>3700</v>
      </c>
      <c r="J68" t="s" s="10">
        <v>392</v>
      </c>
      <c r="K68" t="s" s="10">
        <v>393</v>
      </c>
      <c r="L68" s="16">
        <f>HYPERLINK("http://www.papayaglobal.com", "www.papayaglobal.com")</f>
      </c>
      <c r="M68" s="16">
        <f>HYPERLINK("https://my.pitchbook.com?c=173510-74", "View Company Online")</f>
      </c>
    </row>
    <row r="69">
      <c r="A69" t="s" s="11">
        <v>395</v>
      </c>
      <c r="B69" t="s" s="11">
        <v>396</v>
      </c>
      <c r="C69" t="s" s="11">
        <v>46</v>
      </c>
      <c r="D69" t="s" s="11">
        <v>397</v>
      </c>
      <c r="E69" t="s" s="11">
        <v>373</v>
      </c>
      <c r="F69" s="28">
        <v>46042</v>
      </c>
      <c r="G69" t="s" s="11">
        <v>40</v>
      </c>
      <c r="H69" s="43">
        <v>204.74</v>
      </c>
      <c r="I69" s="43">
        <v>3639.64</v>
      </c>
      <c r="J69" t="s" s="11">
        <v>398</v>
      </c>
      <c r="K69" t="s" s="11">
        <v>399</v>
      </c>
      <c r="L69" s="17">
        <f>HYPERLINK("http://www.pennylane.com", "www.pennylane.com")</f>
      </c>
      <c r="M69" s="17">
        <f>HYPERLINK("https://my.pitchbook.com?c=435217-06", "View Company Online")</f>
      </c>
    </row>
    <row r="70">
      <c r="A70" t="s" s="10">
        <v>401</v>
      </c>
      <c r="B70" t="s" s="10">
        <v>402</v>
      </c>
      <c r="C70" t="s" s="10">
        <v>27</v>
      </c>
      <c r="D70" t="s" s="10">
        <v>28</v>
      </c>
      <c r="E70" t="s" s="10">
        <v>403</v>
      </c>
      <c r="F70" s="27">
        <v>44699</v>
      </c>
      <c r="G70" t="s" s="10">
        <v>40</v>
      </c>
      <c r="H70" s="42">
        <v>300</v>
      </c>
      <c r="I70" s="42">
        <v>3600</v>
      </c>
      <c r="J70" t="s" s="10">
        <v>404</v>
      </c>
      <c r="K70" t="s" s="10">
        <v>405</v>
      </c>
      <c r="L70" s="16">
        <f>HYPERLINK("http://www.spoton.com", "www.spoton.com")</f>
      </c>
      <c r="M70" s="16">
        <f>HYPERLINK("https://my.pitchbook.com?c=55040-77", "View Company Online")</f>
      </c>
    </row>
    <row r="71">
      <c r="A71" t="s" s="11">
        <v>407</v>
      </c>
      <c r="B71" t="s" s="11">
        <v>408</v>
      </c>
      <c r="C71" t="s" s="11">
        <v>37</v>
      </c>
      <c r="D71" t="s" s="11">
        <v>38</v>
      </c>
      <c r="E71" t="s" s="11">
        <v>137</v>
      </c>
      <c r="F71" s="28">
        <v>45771</v>
      </c>
      <c r="G71" t="s" s="11">
        <v>391</v>
      </c>
      <c r="H71" t="s" s="43">
        <v>30</v>
      </c>
      <c r="I71" s="43">
        <v>3429.23</v>
      </c>
      <c r="J71" t="s" s="11">
        <v>409</v>
      </c>
      <c r="K71" t="s" s="11">
        <v>410</v>
      </c>
      <c r="L71" s="17">
        <f>HYPERLINK("http://www.starlingbank.com", "www.starlingbank.com")</f>
      </c>
      <c r="M71" s="17">
        <f>HYPERLINK("https://my.pitchbook.com?c=114397-03", "View Company Online")</f>
      </c>
    </row>
    <row r="72">
      <c r="A72" t="s" s="10">
        <v>412</v>
      </c>
      <c r="B72" t="s" s="10">
        <v>413</v>
      </c>
      <c r="C72" t="s" s="10">
        <v>164</v>
      </c>
      <c r="D72" t="s" s="10">
        <v>165</v>
      </c>
      <c r="E72" t="s" s="10">
        <v>414</v>
      </c>
      <c r="F72" s="27">
        <v>45084</v>
      </c>
      <c r="G72" t="s" s="10">
        <v>40</v>
      </c>
      <c r="H72" s="42">
        <v>87</v>
      </c>
      <c r="I72" s="42">
        <v>3385.99</v>
      </c>
      <c r="J72" t="s" s="10">
        <v>415</v>
      </c>
      <c r="K72" t="s" s="10">
        <v>416</v>
      </c>
      <c r="L72" s="16">
        <f>HYPERLINK("http://www.lentra.ai", "www.lentra.ai")</f>
      </c>
      <c r="M72" s="16">
        <f>HYPERLINK("https://my.pitchbook.com?c=343159-03", "View Company Online")</f>
      </c>
    </row>
    <row r="73">
      <c r="A73" t="s" s="11">
        <v>418</v>
      </c>
      <c r="B73" t="s" s="11">
        <v>419</v>
      </c>
      <c r="C73" t="s" s="11">
        <v>60</v>
      </c>
      <c r="D73" t="s" s="11">
        <v>420</v>
      </c>
      <c r="E73" t="s" s="11">
        <v>253</v>
      </c>
      <c r="F73" s="28">
        <v>46052</v>
      </c>
      <c r="G73" t="s" s="11">
        <v>40</v>
      </c>
      <c r="H73" s="43">
        <v>385</v>
      </c>
      <c r="I73" s="43">
        <v>3335</v>
      </c>
      <c r="J73" t="s" s="11">
        <v>421</v>
      </c>
      <c r="K73" t="s" s="11">
        <v>422</v>
      </c>
      <c r="L73" s="17">
        <f>HYPERLINK("http://www.vestwell.com", "www.vestwell.com")</f>
      </c>
      <c r="M73" s="17">
        <f>HYPERLINK("https://my.pitchbook.com?c=166464-10", "View Company Online")</f>
      </c>
    </row>
    <row r="74">
      <c r="A74" t="s" s="10">
        <v>424</v>
      </c>
      <c r="B74" t="s" s="10">
        <v>425</v>
      </c>
      <c r="C74" t="s" s="10">
        <v>114</v>
      </c>
      <c r="D74" t="s" s="10">
        <v>115</v>
      </c>
      <c r="E74" t="s" s="10">
        <v>426</v>
      </c>
      <c r="F74" s="27">
        <v>45992</v>
      </c>
      <c r="G74" t="s" s="10">
        <v>40</v>
      </c>
      <c r="H74" s="42">
        <v>108</v>
      </c>
      <c r="I74" s="42">
        <v>3300</v>
      </c>
      <c r="J74" t="s" s="10">
        <v>427</v>
      </c>
      <c r="K74" t="s" s="10">
        <v>428</v>
      </c>
      <c r="L74" s="16">
        <f>HYPERLINK("http://www.creditas.com", "www.creditas.com")</f>
      </c>
      <c r="M74" s="16">
        <f>HYPERLINK("https://my.pitchbook.com?c=84640-15", "View Company Online")</f>
      </c>
    </row>
    <row r="75">
      <c r="A75" t="s" s="11">
        <v>430</v>
      </c>
      <c r="B75" t="s" s="11">
        <v>431</v>
      </c>
      <c r="C75" t="s" s="11">
        <v>60</v>
      </c>
      <c r="D75" t="s" s="11">
        <v>432</v>
      </c>
      <c r="E75" t="s" s="11">
        <v>373</v>
      </c>
      <c r="F75" t="s" s="28">
        <v>30</v>
      </c>
      <c r="G75" t="s" s="11">
        <v>48</v>
      </c>
      <c r="H75" t="s" s="43">
        <v>30</v>
      </c>
      <c r="I75" s="43">
        <v>3250</v>
      </c>
      <c r="J75" t="s" s="11">
        <v>433</v>
      </c>
      <c r="K75" t="s" s="11">
        <v>434</v>
      </c>
      <c r="L75" s="17">
        <f>HYPERLINK("http://www.addepar.com", "www.addepar.com")</f>
      </c>
      <c r="M75" s="17">
        <f>HYPERLINK("https://my.pitchbook.com?c=53736-85", "View Company Online")</f>
      </c>
    </row>
    <row r="76">
      <c r="A76" t="s" s="10">
        <v>436</v>
      </c>
      <c r="B76" t="s" s="10">
        <v>437</v>
      </c>
      <c r="C76" t="s" s="10">
        <v>27</v>
      </c>
      <c r="D76" t="s" s="10">
        <v>28</v>
      </c>
      <c r="E76" t="s" s="10">
        <v>29</v>
      </c>
      <c r="F76" s="27">
        <v>46190</v>
      </c>
      <c r="G76" t="s" s="10">
        <v>40</v>
      </c>
      <c r="H76" s="42">
        <v>262</v>
      </c>
      <c r="I76" s="42">
        <v>3250</v>
      </c>
      <c r="J76" t="s" s="10">
        <v>438</v>
      </c>
      <c r="K76" t="s" s="10">
        <v>439</v>
      </c>
      <c r="L76" s="16">
        <f>HYPERLINK("http://www.flutterwave.com", "www.flutterwave.com")</f>
      </c>
      <c r="M76" s="16">
        <f>HYPERLINK("https://my.pitchbook.com?c=164343-88", "View Company Online")</f>
      </c>
    </row>
    <row r="77">
      <c r="A77" t="s" s="11">
        <v>441</v>
      </c>
      <c r="B77" t="s" s="11">
        <v>442</v>
      </c>
      <c r="C77" t="s" s="11">
        <v>27</v>
      </c>
      <c r="D77" t="s" s="11">
        <v>28</v>
      </c>
      <c r="E77" t="s" s="11">
        <v>443</v>
      </c>
      <c r="F77" s="28">
        <v>45200</v>
      </c>
      <c r="G77" t="s" s="11">
        <v>48</v>
      </c>
      <c r="H77" t="s" s="43">
        <v>30</v>
      </c>
      <c r="I77" s="43">
        <v>3200</v>
      </c>
      <c r="J77" t="s" s="11">
        <v>444</v>
      </c>
      <c r="K77" t="s" s="11">
        <v>445</v>
      </c>
      <c r="L77" s="17">
        <f>HYPERLINK("http://www.cedar.com", "www.cedar.com")</f>
      </c>
      <c r="M77" s="17">
        <f>HYPERLINK("https://my.pitchbook.com?c=169586-02", "View Company Online")</f>
      </c>
    </row>
    <row r="78">
      <c r="A78" t="s" s="10">
        <v>447</v>
      </c>
      <c r="B78" t="s" s="10">
        <v>448</v>
      </c>
      <c r="C78" t="s" s="10">
        <v>37</v>
      </c>
      <c r="D78" t="s" s="10">
        <v>38</v>
      </c>
      <c r="E78" t="s" s="10">
        <v>29</v>
      </c>
      <c r="F78" s="27">
        <v>46219</v>
      </c>
      <c r="G78" t="s" s="10">
        <v>40</v>
      </c>
      <c r="H78" s="42">
        <v>197</v>
      </c>
      <c r="I78" s="42">
        <v>3200</v>
      </c>
      <c r="J78" t="s" s="10">
        <v>449</v>
      </c>
      <c r="K78" t="s" s="10">
        <v>450</v>
      </c>
      <c r="L78" s="16">
        <f>HYPERLINK("http://www.uala.com.ar", "www.uala.com.ar")</f>
      </c>
      <c r="M78" s="16">
        <f>HYPERLINK("https://my.pitchbook.com?c=183752-92", "View Company Online")</f>
      </c>
    </row>
    <row r="79">
      <c r="A79" t="s" s="11">
        <v>452</v>
      </c>
      <c r="B79" t="s" s="11">
        <v>453</v>
      </c>
      <c r="C79" t="s" s="11">
        <v>46</v>
      </c>
      <c r="D79" t="s" s="11">
        <v>47</v>
      </c>
      <c r="E79" t="s" s="11">
        <v>454</v>
      </c>
      <c r="F79" s="28">
        <v>44285</v>
      </c>
      <c r="G79" t="s" s="11">
        <v>40</v>
      </c>
      <c r="H79" s="43">
        <v>300</v>
      </c>
      <c r="I79" s="43">
        <v>3100</v>
      </c>
      <c r="J79" t="s" s="11">
        <v>455</v>
      </c>
      <c r="K79" t="s" s="11">
        <v>456</v>
      </c>
      <c r="L79" s="17">
        <f>HYPERLINK("http://www.highradius.com", "www.highradius.com")</f>
      </c>
      <c r="M79" s="17">
        <f>HYPERLINK("https://my.pitchbook.com?c=127406-44", "View Company Online")</f>
      </c>
    </row>
    <row r="80">
      <c r="A80" t="s" s="10">
        <v>458</v>
      </c>
      <c r="B80" t="s" s="10">
        <v>459</v>
      </c>
      <c r="C80" t="s" s="10">
        <v>27</v>
      </c>
      <c r="D80" t="s" s="10">
        <v>122</v>
      </c>
      <c r="E80" t="s" s="10">
        <v>253</v>
      </c>
      <c r="F80" s="27">
        <v>46079</v>
      </c>
      <c r="G80" t="s" s="10">
        <v>40</v>
      </c>
      <c r="H80" s="42">
        <v>70</v>
      </c>
      <c r="I80" s="42">
        <v>3100</v>
      </c>
      <c r="J80" t="s" s="10">
        <v>460</v>
      </c>
      <c r="K80" t="s" s="10">
        <v>461</v>
      </c>
      <c r="L80" s="16">
        <f>HYPERLINK("http://www.xtransfer.cn", "www.xtransfer.cn")</f>
      </c>
      <c r="M80" s="16">
        <f>HYPERLINK("https://my.pitchbook.com?c=234058-42", "View Company Online")</f>
      </c>
    </row>
    <row r="81">
      <c r="A81" t="s" s="11">
        <v>463</v>
      </c>
      <c r="B81" t="s" s="11">
        <v>464</v>
      </c>
      <c r="C81" t="s" s="11">
        <v>172</v>
      </c>
      <c r="D81" t="s" s="11">
        <v>173</v>
      </c>
      <c r="E81" t="s" s="11">
        <v>465</v>
      </c>
      <c r="F81" s="28">
        <v>45597</v>
      </c>
      <c r="G81" t="s" s="11">
        <v>48</v>
      </c>
      <c r="H81" t="s" s="43">
        <v>30</v>
      </c>
      <c r="I81" s="43">
        <v>3000</v>
      </c>
      <c r="J81" t="s" s="11">
        <v>466</v>
      </c>
      <c r="K81" t="s" s="11">
        <v>467</v>
      </c>
      <c r="L81" s="17">
        <f>HYPERLINK("http://www.forter.com", "www.forter.com")</f>
      </c>
      <c r="M81" s="17">
        <f>HYPERLINK("https://my.pitchbook.com?c=62094-97", "View Company Online")</f>
      </c>
    </row>
    <row r="82">
      <c r="A82" t="s" s="10">
        <v>469</v>
      </c>
      <c r="B82" t="s" s="10">
        <v>470</v>
      </c>
      <c r="C82" t="s" s="10">
        <v>60</v>
      </c>
      <c r="D82" t="s" s="10">
        <v>420</v>
      </c>
      <c r="E82" t="s" s="10">
        <v>373</v>
      </c>
      <c r="F82" s="27">
        <v>46052</v>
      </c>
      <c r="G82" t="s" s="10">
        <v>40</v>
      </c>
      <c r="H82" s="42">
        <v>200</v>
      </c>
      <c r="I82" s="42">
        <v>3000</v>
      </c>
      <c r="J82" t="s" s="10">
        <v>471</v>
      </c>
      <c r="K82" t="s" s="10">
        <v>472</v>
      </c>
      <c r="L82" s="16">
        <f>HYPERLINK("http://www.humaninterest.com", "www.humaninterest.com")</f>
      </c>
      <c r="M82" s="16">
        <f>HYPERLINK("https://my.pitchbook.com?c=120927-25", "View Company Online")</f>
      </c>
    </row>
    <row r="83">
      <c r="A83" t="s" s="11">
        <v>474</v>
      </c>
      <c r="B83" t="s" s="11">
        <v>475</v>
      </c>
      <c r="C83" t="s" s="11">
        <v>46</v>
      </c>
      <c r="D83" t="s" s="11">
        <v>78</v>
      </c>
      <c r="E83" t="s" s="11">
        <v>476</v>
      </c>
      <c r="F83" t="s" s="28">
        <v>30</v>
      </c>
      <c r="G83" t="s" s="11">
        <v>48</v>
      </c>
      <c r="H83" t="s" s="43">
        <v>30</v>
      </c>
      <c r="I83" s="43">
        <v>2910.05</v>
      </c>
      <c r="J83" t="s" s="11">
        <v>477</v>
      </c>
      <c r="K83" t="s" s="11">
        <v>478</v>
      </c>
      <c r="L83" s="17">
        <f>HYPERLINK("http://www.remote.com", "www.remote.com")</f>
      </c>
      <c r="M83" s="17">
        <f>HYPERLINK("https://my.pitchbook.com?c=169763-05", "View Company Online")</f>
      </c>
    </row>
    <row r="84">
      <c r="A84" t="s" s="10">
        <v>480</v>
      </c>
      <c r="B84" t="s" s="10">
        <v>481</v>
      </c>
      <c r="C84" t="s" s="10">
        <v>114</v>
      </c>
      <c r="D84" t="s" s="10">
        <v>115</v>
      </c>
      <c r="E84" t="s" s="10">
        <v>482</v>
      </c>
      <c r="F84" s="27">
        <v>45140</v>
      </c>
      <c r="G84" t="s" s="10">
        <v>40</v>
      </c>
      <c r="H84" s="42">
        <v>100</v>
      </c>
      <c r="I84" s="42">
        <v>2900</v>
      </c>
      <c r="J84" t="s" s="10">
        <v>483</v>
      </c>
      <c r="K84" t="s" s="10">
        <v>484</v>
      </c>
      <c r="L84" s="16">
        <f>HYPERLINK("http://www.loft.com.br", "www.loft.com.br")</f>
      </c>
      <c r="M84" s="16">
        <f>HYPERLINK("https://my.pitchbook.com?c=234177-04", "View Company Online")</f>
      </c>
    </row>
    <row r="85">
      <c r="A85" t="s" s="11">
        <v>486</v>
      </c>
      <c r="B85" t="s" s="11">
        <v>487</v>
      </c>
      <c r="C85" t="s" s="11">
        <v>37</v>
      </c>
      <c r="D85" t="s" s="11">
        <v>38</v>
      </c>
      <c r="E85" t="s" s="11">
        <v>158</v>
      </c>
      <c r="F85" t="s" s="28">
        <v>30</v>
      </c>
      <c r="G85" t="s" s="11">
        <v>48</v>
      </c>
      <c r="H85" t="s" s="43">
        <v>30</v>
      </c>
      <c r="I85" s="43">
        <v>2800</v>
      </c>
      <c r="J85" t="s" s="11">
        <v>488</v>
      </c>
      <c r="K85" t="s" s="11">
        <v>489</v>
      </c>
      <c r="L85" s="17">
        <f>HYPERLINK("http://www.onepay.com", "www.onepay.com")</f>
      </c>
      <c r="M85" s="17">
        <f>HYPERLINK("https://my.pitchbook.com?c=277801-21", "View Company Online")</f>
      </c>
    </row>
    <row r="86">
      <c r="A86" t="s" s="10">
        <v>491</v>
      </c>
      <c r="B86" t="s" s="10">
        <v>492</v>
      </c>
      <c r="C86" t="s" s="10">
        <v>46</v>
      </c>
      <c r="D86" t="s" s="10">
        <v>47</v>
      </c>
      <c r="E86" t="s" s="10">
        <v>493</v>
      </c>
      <c r="F86" s="27">
        <v>46176</v>
      </c>
      <c r="G86" t="s" s="10">
        <v>494</v>
      </c>
      <c r="H86" s="42">
        <v>300</v>
      </c>
      <c r="I86" s="42">
        <v>2700</v>
      </c>
      <c r="J86" t="s" s="10">
        <v>495</v>
      </c>
      <c r="K86" t="s" s="10">
        <v>496</v>
      </c>
      <c r="L86" s="16">
        <f>HYPERLINK("http://www.perk.com", "www.perk.com")</f>
      </c>
      <c r="M86" s="16">
        <f>HYPERLINK("https://my.pitchbook.com?c=113643-01", "View Company Online")</f>
      </c>
    </row>
    <row r="87">
      <c r="A87" t="s" s="11">
        <v>498</v>
      </c>
      <c r="B87" t="s" s="11">
        <v>499</v>
      </c>
      <c r="C87" t="s" s="11">
        <v>27</v>
      </c>
      <c r="D87" t="s" s="11">
        <v>70</v>
      </c>
      <c r="E87" t="s" s="11">
        <v>500</v>
      </c>
      <c r="F87" s="28">
        <v>45152</v>
      </c>
      <c r="G87" t="s" s="11">
        <v>40</v>
      </c>
      <c r="H87" s="43">
        <v>70</v>
      </c>
      <c r="I87" s="43">
        <v>2700</v>
      </c>
      <c r="J87" t="s" s="11">
        <v>501</v>
      </c>
      <c r="K87" t="s" s="11">
        <v>502</v>
      </c>
      <c r="L87" s="17">
        <f>HYPERLINK("http://www.tradeshift.com", "www.tradeshift.com")</f>
      </c>
      <c r="M87" s="17">
        <f>HYPERLINK("https://my.pitchbook.com?c=55139-05", "View Company Online")</f>
      </c>
    </row>
    <row r="88">
      <c r="A88" t="s" s="10">
        <v>504</v>
      </c>
      <c r="B88" t="s" s="10">
        <v>505</v>
      </c>
      <c r="C88" t="s" s="10">
        <v>37</v>
      </c>
      <c r="D88" t="s" s="10">
        <v>304</v>
      </c>
      <c r="E88" t="s" s="10">
        <v>116</v>
      </c>
      <c r="F88" s="27">
        <v>46006</v>
      </c>
      <c r="G88" t="s" s="10">
        <v>40</v>
      </c>
      <c r="H88" s="42">
        <v>100</v>
      </c>
      <c r="I88" s="42">
        <v>2600</v>
      </c>
      <c r="J88" t="s" s="10">
        <v>506</v>
      </c>
      <c r="K88" t="s" s="10">
        <v>507</v>
      </c>
      <c r="L88" s="16">
        <f>HYPERLINK("http://www.kredivocorp.com", "www.kredivocorp.com")</f>
      </c>
      <c r="M88" s="16">
        <f>HYPERLINK("https://my.pitchbook.com?c=160713-64", "View Company Online")</f>
      </c>
    </row>
    <row r="89">
      <c r="A89" t="s" s="11">
        <v>509</v>
      </c>
      <c r="B89" t="s" s="11">
        <v>510</v>
      </c>
      <c r="C89" t="s" s="11">
        <v>164</v>
      </c>
      <c r="D89" t="s" s="11">
        <v>206</v>
      </c>
      <c r="E89" t="s" s="11">
        <v>511</v>
      </c>
      <c r="F89" s="28">
        <v>46001</v>
      </c>
      <c r="G89" t="s" s="11">
        <v>138</v>
      </c>
      <c r="H89" t="s" s="43">
        <v>30</v>
      </c>
      <c r="I89" s="43">
        <v>2494.06</v>
      </c>
      <c r="J89" t="s" s="11">
        <v>512</v>
      </c>
      <c r="K89" t="s" s="11">
        <v>513</v>
      </c>
      <c r="L89" s="17">
        <f>HYPERLINK("http://www.alkami.com", "www.alkami.com")</f>
      </c>
      <c r="M89" s="17">
        <f>HYPERLINK("https://my.pitchbook.com?c=54554-05", "View Company Online")</f>
      </c>
    </row>
    <row r="90">
      <c r="A90" t="s" s="10">
        <v>515</v>
      </c>
      <c r="B90" t="s" s="10">
        <v>516</v>
      </c>
      <c r="C90" t="s" s="10">
        <v>60</v>
      </c>
      <c r="D90" t="s" s="10">
        <v>61</v>
      </c>
      <c r="E90" t="s" s="10">
        <v>62</v>
      </c>
      <c r="F90" t="s" s="27">
        <v>30</v>
      </c>
      <c r="G90" t="s" s="10">
        <v>48</v>
      </c>
      <c r="H90" t="s" s="42">
        <v>30</v>
      </c>
      <c r="I90" s="42">
        <v>2450</v>
      </c>
      <c r="J90" t="s" s="10">
        <v>517</v>
      </c>
      <c r="K90" t="s" s="10">
        <v>518</v>
      </c>
      <c r="L90" s="16">
        <f>HYPERLINK("http://www.coindcx.com", "www.coindcx.com")</f>
      </c>
      <c r="M90" s="16">
        <f>HYPERLINK("https://my.pitchbook.com?c=266279-68", "View Company Online")</f>
      </c>
    </row>
    <row r="91">
      <c r="A91" t="s" s="11">
        <v>520</v>
      </c>
      <c r="B91" t="s" s="11">
        <v>521</v>
      </c>
      <c r="C91" t="s" s="11">
        <v>27</v>
      </c>
      <c r="D91" t="s" s="11">
        <v>28</v>
      </c>
      <c r="E91" t="s" s="11">
        <v>137</v>
      </c>
      <c r="F91" s="28">
        <v>45506</v>
      </c>
      <c r="G91" t="s" s="11">
        <v>138</v>
      </c>
      <c r="H91" t="s" s="43">
        <v>30</v>
      </c>
      <c r="I91" s="43">
        <v>2436.97</v>
      </c>
      <c r="J91" t="s" s="11">
        <v>522</v>
      </c>
      <c r="K91" t="s" s="11">
        <v>523</v>
      </c>
      <c r="L91" s="17">
        <f>HYPERLINK("http://www.flywire.com", "www.flywire.com")</f>
      </c>
      <c r="M91" s="17">
        <f>HYPERLINK("https://my.pitchbook.com?c=51207-94", "View Company Online")</f>
      </c>
    </row>
    <row r="92">
      <c r="A92" t="s" s="10">
        <v>525</v>
      </c>
      <c r="B92" t="s" s="10">
        <v>526</v>
      </c>
      <c r="C92" t="s" s="10">
        <v>37</v>
      </c>
      <c r="D92" t="s" s="10">
        <v>38</v>
      </c>
      <c r="E92" t="s" s="10">
        <v>193</v>
      </c>
      <c r="F92" s="27">
        <v>44313</v>
      </c>
      <c r="G92" t="s" s="10">
        <v>40</v>
      </c>
      <c r="H92" s="42">
        <v>260</v>
      </c>
      <c r="I92" s="42">
        <v>2360</v>
      </c>
      <c r="J92" t="s" s="10">
        <v>527</v>
      </c>
      <c r="K92" t="s" s="10">
        <v>528</v>
      </c>
      <c r="L92" s="16">
        <f>HYPERLINK("http://www.greenlight.com", "www.greenlight.com")</f>
      </c>
      <c r="M92" s="16">
        <f>HYPERLINK("https://my.pitchbook.com?c=156786-49", "View Company Online")</f>
      </c>
    </row>
    <row r="93">
      <c r="A93" t="s" s="11">
        <v>530</v>
      </c>
      <c r="B93" t="s" s="11">
        <v>531</v>
      </c>
      <c r="C93" t="s" s="11">
        <v>46</v>
      </c>
      <c r="D93" t="s" s="11">
        <v>47</v>
      </c>
      <c r="E93" t="s" s="11">
        <v>259</v>
      </c>
      <c r="F93" s="28">
        <v>46003</v>
      </c>
      <c r="G93" t="s" s="11">
        <v>31</v>
      </c>
      <c r="H93" s="43">
        <v>100</v>
      </c>
      <c r="I93" s="43">
        <v>2310</v>
      </c>
      <c r="J93" t="s" s="11">
        <v>532</v>
      </c>
      <c r="K93" t="s" s="11">
        <v>533</v>
      </c>
      <c r="L93" s="17">
        <f>HYPERLINK("http://www.tryjeeves.com", "www.tryjeeves.com")</f>
      </c>
      <c r="M93" s="17">
        <f>HYPERLINK("https://my.pitchbook.com?c=442706-05", "View Company Online")</f>
      </c>
    </row>
    <row r="94">
      <c r="A94" t="s" s="10">
        <v>535</v>
      </c>
      <c r="B94" t="s" s="10">
        <v>536</v>
      </c>
      <c r="C94" t="s" s="10">
        <v>222</v>
      </c>
      <c r="D94" t="s" s="10">
        <v>537</v>
      </c>
      <c r="E94" t="s" s="10">
        <v>373</v>
      </c>
      <c r="F94" s="27">
        <v>46233</v>
      </c>
      <c r="G94" t="s" s="10">
        <v>391</v>
      </c>
      <c r="H94" s="42">
        <v>2300</v>
      </c>
      <c r="I94" s="42">
        <v>2300</v>
      </c>
      <c r="J94" t="s" s="10">
        <v>538</v>
      </c>
      <c r="K94" t="s" s="10">
        <v>539</v>
      </c>
      <c r="L94" s="16">
        <f>HYPERLINK("http://www.memx.com", "www.memx.com")</f>
      </c>
      <c r="M94" s="16">
        <f>HYPERLINK("https://my.pitchbook.com?c=277133-41", "View Company Online")</f>
      </c>
    </row>
    <row r="95">
      <c r="A95" t="s" s="11">
        <v>541</v>
      </c>
      <c r="B95" t="s" s="11">
        <v>542</v>
      </c>
      <c r="C95" t="s" s="11">
        <v>46</v>
      </c>
      <c r="D95" t="s" s="11">
        <v>47</v>
      </c>
      <c r="E95" t="s" s="11">
        <v>253</v>
      </c>
      <c r="F95" s="28">
        <v>44650</v>
      </c>
      <c r="G95" t="s" s="11">
        <v>40</v>
      </c>
      <c r="H95" s="43">
        <v>135</v>
      </c>
      <c r="I95" s="43">
        <v>2235</v>
      </c>
      <c r="J95" t="s" s="11">
        <v>543</v>
      </c>
      <c r="K95" t="s" s="11">
        <v>544</v>
      </c>
      <c r="L95" s="17">
        <f>HYPERLINK("http://www.moderntreasury.com", "www.moderntreasury.com")</f>
      </c>
      <c r="M95" s="17">
        <f>HYPERLINK("https://my.pitchbook.com?c=232149-34", "View Company Online")</f>
      </c>
    </row>
    <row r="96">
      <c r="A96" t="s" s="10">
        <v>546</v>
      </c>
      <c r="B96" t="s" s="10">
        <v>547</v>
      </c>
      <c r="C96" t="s" s="10">
        <v>128</v>
      </c>
      <c r="D96" t="s" s="10">
        <v>276</v>
      </c>
      <c r="E96" t="s" s="10">
        <v>270</v>
      </c>
      <c r="F96" s="27">
        <v>45870</v>
      </c>
      <c r="G96" t="s" s="10">
        <v>40</v>
      </c>
      <c r="H96" t="s" s="42">
        <v>30</v>
      </c>
      <c r="I96" s="42">
        <v>2225</v>
      </c>
      <c r="J96" t="s" s="10">
        <v>548</v>
      </c>
      <c r="K96" t="s" s="10">
        <v>549</v>
      </c>
      <c r="L96" s="16">
        <f>HYPERLINK("http://www.chippercash.com", "www.chippercash.com")</f>
      </c>
      <c r="M96" s="16">
        <f>HYPERLINK("https://my.pitchbook.com?c=265979-35", "View Company Online")</f>
      </c>
    </row>
    <row r="97">
      <c r="A97" t="s" s="11">
        <v>551</v>
      </c>
      <c r="B97" t="s" s="11">
        <v>552</v>
      </c>
      <c r="C97" t="s" s="11">
        <v>37</v>
      </c>
      <c r="D97" t="s" s="11">
        <v>304</v>
      </c>
      <c r="E97" t="s" s="11">
        <v>116</v>
      </c>
      <c r="F97" s="28">
        <v>45909</v>
      </c>
      <c r="G97" t="s" s="11">
        <v>40</v>
      </c>
      <c r="H97" s="43">
        <v>110</v>
      </c>
      <c r="I97" s="43">
        <v>2200</v>
      </c>
      <c r="J97" t="s" s="11">
        <v>553</v>
      </c>
      <c r="K97" t="s" s="11">
        <v>554</v>
      </c>
      <c r="L97" s="17">
        <f>HYPERLINK("http://www.aven.com", "www.aven.com")</f>
      </c>
      <c r="M97" s="17">
        <f>HYPERLINK("https://my.pitchbook.com?c=431605-36", "View Company Online")</f>
      </c>
    </row>
    <row r="98">
      <c r="A98" t="s" s="10">
        <v>556</v>
      </c>
      <c r="B98" t="s" s="10">
        <v>557</v>
      </c>
      <c r="C98" t="s" s="10">
        <v>37</v>
      </c>
      <c r="D98" t="s" s="10">
        <v>38</v>
      </c>
      <c r="E98" t="s" s="10">
        <v>137</v>
      </c>
      <c r="F98" s="27">
        <v>45461</v>
      </c>
      <c r="G98" t="s" s="10">
        <v>40</v>
      </c>
      <c r="H98" s="42">
        <v>35</v>
      </c>
      <c r="I98" s="42">
        <v>2200</v>
      </c>
      <c r="J98" t="s" s="10">
        <v>558</v>
      </c>
      <c r="K98" t="s" s="10">
        <v>559</v>
      </c>
      <c r="L98" s="16">
        <f>HYPERLINK("http://za.group", "za.group")</f>
      </c>
      <c r="M98" s="16">
        <f>HYPERLINK("https://my.pitchbook.com?c=434844-28", "View Company Online")</f>
      </c>
    </row>
    <row r="99">
      <c r="A99" t="s" s="11">
        <v>561</v>
      </c>
      <c r="B99" t="s" s="11">
        <v>562</v>
      </c>
      <c r="C99" t="s" s="11">
        <v>46</v>
      </c>
      <c r="D99" t="s" s="11">
        <v>47</v>
      </c>
      <c r="E99" t="s" s="11">
        <v>373</v>
      </c>
      <c r="F99" s="28">
        <v>45586</v>
      </c>
      <c r="G99" t="s" s="11">
        <v>40</v>
      </c>
      <c r="H99" s="43">
        <v>189.75</v>
      </c>
      <c r="I99" s="43">
        <v>2200</v>
      </c>
      <c r="J99" t="s" s="11">
        <v>563</v>
      </c>
      <c r="K99" t="s" s="11">
        <v>564</v>
      </c>
      <c r="L99" s="17">
        <f>HYPERLINK("http://www.zip.com", "www.zip.com")</f>
      </c>
      <c r="M99" s="17">
        <f>HYPERLINK("https://my.pitchbook.com?c=438505-84", "View Company Online")</f>
      </c>
    </row>
    <row r="100">
      <c r="A100" t="s" s="10">
        <v>566</v>
      </c>
      <c r="B100" t="s" s="10">
        <v>567</v>
      </c>
      <c r="C100" t="s" s="10">
        <v>27</v>
      </c>
      <c r="D100" t="s" s="10">
        <v>28</v>
      </c>
      <c r="E100" t="s" s="10">
        <v>185</v>
      </c>
      <c r="F100" s="27">
        <v>46113</v>
      </c>
      <c r="G100" t="s" s="10">
        <v>48</v>
      </c>
      <c r="H100" t="s" s="42">
        <v>30</v>
      </c>
      <c r="I100" s="42">
        <v>2150</v>
      </c>
      <c r="J100" t="s" s="10">
        <v>568</v>
      </c>
      <c r="K100" t="s" s="10">
        <v>569</v>
      </c>
      <c r="L100" s="16">
        <f>HYPERLINK("http://www.cloudwalk.io", "www.cloudwalk.io")</f>
      </c>
      <c r="M100" s="16">
        <f>HYPERLINK("https://my.pitchbook.com?c=98420-77", "View Company Online")</f>
      </c>
    </row>
    <row r="101">
      <c r="A101" t="s" s="11">
        <v>571</v>
      </c>
      <c r="B101" t="s" s="11">
        <v>572</v>
      </c>
      <c r="C101" t="s" s="11">
        <v>37</v>
      </c>
      <c r="D101" t="s" s="11">
        <v>38</v>
      </c>
      <c r="E101" t="s" s="11">
        <v>116</v>
      </c>
      <c r="F101" s="28">
        <v>46049</v>
      </c>
      <c r="G101" t="s" s="11">
        <v>40</v>
      </c>
      <c r="H101" s="43">
        <v>46</v>
      </c>
      <c r="I101" s="43">
        <v>2125.59</v>
      </c>
      <c r="J101" t="s" s="11">
        <v>573</v>
      </c>
      <c r="K101" t="s" s="11">
        <v>574</v>
      </c>
      <c r="L101" s="17">
        <f>HYPERLINK("http://www.lunar.app", "www.lunar.app")</f>
      </c>
      <c r="M101" s="17">
        <f>HYPERLINK("https://my.pitchbook.com?c=151423-66", "View Company Online")</f>
      </c>
    </row>
    <row r="102">
      <c r="A102" t="s" s="10">
        <v>576</v>
      </c>
      <c r="B102" t="s" s="10">
        <v>577</v>
      </c>
      <c r="C102" t="s" s="10">
        <v>222</v>
      </c>
      <c r="D102" t="s" s="10">
        <v>235</v>
      </c>
      <c r="E102" t="s" s="10">
        <v>373</v>
      </c>
      <c r="F102" s="27">
        <v>45069</v>
      </c>
      <c r="G102" t="s" s="10">
        <v>48</v>
      </c>
      <c r="H102" t="s" s="42">
        <v>30</v>
      </c>
      <c r="I102" s="42">
        <v>2117</v>
      </c>
      <c r="J102" t="s" s="10">
        <v>578</v>
      </c>
      <c r="K102" t="s" s="10">
        <v>579</v>
      </c>
      <c r="L102" s="16">
        <f>HYPERLINK("http://www.naxgrp.com", "www.naxgrp.com")</f>
      </c>
      <c r="M102" s="16">
        <f>HYPERLINK("https://my.pitchbook.com?c=265317-40", "View Company Online")</f>
      </c>
    </row>
    <row r="103">
      <c r="A103" t="s" s="11">
        <v>581</v>
      </c>
      <c r="B103" t="s" s="11">
        <v>582</v>
      </c>
      <c r="C103" t="s" s="11">
        <v>144</v>
      </c>
      <c r="D103" t="s" s="11">
        <v>297</v>
      </c>
      <c r="E103" t="s" s="11">
        <v>583</v>
      </c>
      <c r="F103" t="s" s="28">
        <v>30</v>
      </c>
      <c r="G103" t="s" s="11">
        <v>584</v>
      </c>
      <c r="H103" s="43">
        <v>1200</v>
      </c>
      <c r="I103" s="43">
        <v>2100</v>
      </c>
      <c r="J103" t="s" s="11">
        <v>585</v>
      </c>
      <c r="K103" t="s" s="11">
        <v>586</v>
      </c>
      <c r="L103" s="17">
        <f>HYPERLINK("http://www.moove.io", "www.moove.io")</f>
      </c>
      <c r="M103" s="17">
        <f>HYPERLINK("https://my.pitchbook.com?c=462370-42", "View Company Online")</f>
      </c>
    </row>
    <row r="104">
      <c r="A104" t="s" s="10">
        <v>588</v>
      </c>
      <c r="B104" t="s" s="10">
        <v>589</v>
      </c>
      <c r="C104" t="s" s="10">
        <v>37</v>
      </c>
      <c r="D104" t="s" s="10">
        <v>38</v>
      </c>
      <c r="E104" t="s" s="10">
        <v>193</v>
      </c>
      <c r="F104" s="27">
        <v>45884</v>
      </c>
      <c r="G104" t="s" s="10">
        <v>48</v>
      </c>
      <c r="H104" t="s" s="42">
        <v>30</v>
      </c>
      <c r="I104" s="42">
        <v>2100</v>
      </c>
      <c r="J104" t="s" s="10">
        <v>590</v>
      </c>
      <c r="K104" t="s" s="10">
        <v>591</v>
      </c>
      <c r="L104" s="16">
        <f>HYPERLINK("http://www.oaknorth.co.uk", "www.oaknorth.co.uk")</f>
      </c>
      <c r="M104" s="16">
        <f>HYPERLINK("https://my.pitchbook.com?c=114455-53", "View Company Online")</f>
      </c>
    </row>
    <row r="105">
      <c r="A105" t="s" s="11">
        <v>593</v>
      </c>
      <c r="B105" t="s" s="11">
        <v>594</v>
      </c>
      <c r="C105" t="s" s="11">
        <v>27</v>
      </c>
      <c r="D105" t="s" s="11">
        <v>28</v>
      </c>
      <c r="E105" t="s" s="11">
        <v>595</v>
      </c>
      <c r="F105" s="28">
        <v>44322</v>
      </c>
      <c r="G105" t="s" s="11">
        <v>40</v>
      </c>
      <c r="H105" s="43">
        <v>227</v>
      </c>
      <c r="I105" s="43">
        <v>2100</v>
      </c>
      <c r="J105" t="s" s="11">
        <v>596</v>
      </c>
      <c r="K105" t="s" s="11">
        <v>597</v>
      </c>
      <c r="L105" s="17">
        <f>HYPERLINK("http://www.getrecharge.com", "www.getrecharge.com")</f>
      </c>
      <c r="M105" s="17">
        <f>HYPERLINK("https://my.pitchbook.com?c=268258-06", "View Company Online")</f>
      </c>
    </row>
    <row r="106">
      <c r="A106" t="s" s="10">
        <v>599</v>
      </c>
      <c r="B106" t="s" s="10">
        <v>600</v>
      </c>
      <c r="C106" t="s" s="10">
        <v>164</v>
      </c>
      <c r="D106" t="s" s="10">
        <v>206</v>
      </c>
      <c r="E106" t="s" s="10">
        <v>601</v>
      </c>
      <c r="F106" t="s" s="27">
        <v>30</v>
      </c>
      <c r="G106" t="s" s="10">
        <v>48</v>
      </c>
      <c r="H106" t="s" s="42">
        <v>30</v>
      </c>
      <c r="I106" s="42">
        <v>2049.91</v>
      </c>
      <c r="J106" t="s" s="10">
        <v>602</v>
      </c>
      <c r="K106" t="s" s="10">
        <v>603</v>
      </c>
      <c r="L106" s="16">
        <f>HYPERLINK("http://www.unqork.com", "www.unqork.com")</f>
      </c>
      <c r="M106" s="16">
        <f>HYPERLINK("https://my.pitchbook.com?c=223380-37", "View Company Online")</f>
      </c>
    </row>
    <row r="107">
      <c r="A107" t="s" s="11">
        <v>605</v>
      </c>
      <c r="B107" t="s" s="11">
        <v>606</v>
      </c>
      <c r="C107" t="s" s="11">
        <v>46</v>
      </c>
      <c r="D107" t="s" s="11">
        <v>78</v>
      </c>
      <c r="E107" t="s" s="11">
        <v>152</v>
      </c>
      <c r="F107" s="28">
        <v>45385</v>
      </c>
      <c r="G107" t="s" s="11">
        <v>607</v>
      </c>
      <c r="H107" t="s" s="43">
        <v>30</v>
      </c>
      <c r="I107" s="43">
        <v>2035.3</v>
      </c>
      <c r="J107" t="s" s="11">
        <v>608</v>
      </c>
      <c r="K107" t="s" s="11">
        <v>609</v>
      </c>
      <c r="L107" s="17">
        <f>HYPERLINK("http://www.payfit.com", "www.payfit.com")</f>
      </c>
      <c r="M107" s="17">
        <f>HYPERLINK("https://my.pitchbook.com?c=152414-38", "View Company Online")</f>
      </c>
    </row>
    <row r="108">
      <c r="A108" t="s" s="10">
        <v>611</v>
      </c>
      <c r="B108" t="s" s="10">
        <v>612</v>
      </c>
      <c r="C108" t="s" s="10">
        <v>37</v>
      </c>
      <c r="D108" t="s" s="10">
        <v>304</v>
      </c>
      <c r="E108" t="s" s="10">
        <v>193</v>
      </c>
      <c r="F108" s="27">
        <v>45974</v>
      </c>
      <c r="G108" t="s" s="10">
        <v>40</v>
      </c>
      <c r="H108" s="42">
        <v>176.7</v>
      </c>
      <c r="I108" s="42">
        <v>2008.03</v>
      </c>
      <c r="J108" t="s" s="10">
        <v>613</v>
      </c>
      <c r="K108" t="s" s="10">
        <v>614</v>
      </c>
      <c r="L108" s="16">
        <f>HYPERLINK("http://www.zilch.com", "www.zilch.com")</f>
      </c>
      <c r="M108" s="16">
        <f>HYPERLINK("https://my.pitchbook.com?c=290991-61", "View Company Online")</f>
      </c>
    </row>
    <row r="109">
      <c r="A109" t="s" s="11">
        <v>616</v>
      </c>
      <c r="B109" t="s" s="11">
        <v>617</v>
      </c>
      <c r="C109" t="s" s="11">
        <v>46</v>
      </c>
      <c r="D109" t="s" s="11">
        <v>47</v>
      </c>
      <c r="E109" t="s" s="11">
        <v>29</v>
      </c>
      <c r="F109" t="s" s="28">
        <v>30</v>
      </c>
      <c r="G109" t="s" s="11">
        <v>40</v>
      </c>
      <c r="H109" s="43">
        <v>100.27</v>
      </c>
      <c r="I109" s="43">
        <v>2005.36</v>
      </c>
      <c r="J109" t="s" s="11">
        <v>618</v>
      </c>
      <c r="K109" t="s" s="11">
        <v>619</v>
      </c>
      <c r="L109" s="17">
        <f>HYPERLINK("http://www.payhawk.com", "www.payhawk.com")</f>
      </c>
      <c r="M109" s="17">
        <f>HYPERLINK("https://my.pitchbook.com?c=277307-56", "View Company Online")</f>
      </c>
    </row>
    <row r="110">
      <c r="A110" t="s" s="10">
        <v>621</v>
      </c>
      <c r="B110" t="s" s="10">
        <v>622</v>
      </c>
      <c r="C110" t="s" s="10">
        <v>128</v>
      </c>
      <c r="D110" t="s" s="10">
        <v>199</v>
      </c>
      <c r="E110" t="s" s="10">
        <v>623</v>
      </c>
      <c r="F110" s="27">
        <v>44511</v>
      </c>
      <c r="G110" t="s" s="10">
        <v>40</v>
      </c>
      <c r="H110" s="42">
        <v>250</v>
      </c>
      <c r="I110" s="42">
        <v>2000</v>
      </c>
      <c r="J110" t="s" s="10">
        <v>624</v>
      </c>
      <c r="K110" t="s" s="10">
        <v>625</v>
      </c>
      <c r="L110" s="16">
        <f>HYPERLINK("http://www.bkash.com", "www.bkash.com")</f>
      </c>
      <c r="M110" s="16">
        <f>HYPERLINK("https://my.pitchbook.com?c=56319-76", "View Company Online")</f>
      </c>
    </row>
    <row r="111">
      <c r="A111" t="s" s="11">
        <v>627</v>
      </c>
      <c r="B111" t="s" s="11">
        <v>628</v>
      </c>
      <c r="C111" t="s" s="11">
        <v>27</v>
      </c>
      <c r="D111" t="s" s="11">
        <v>70</v>
      </c>
      <c r="E111" t="s" s="11">
        <v>629</v>
      </c>
      <c r="F111" s="28">
        <v>46237</v>
      </c>
      <c r="G111" t="s" s="11">
        <v>391</v>
      </c>
      <c r="H111" t="s" s="43">
        <v>30</v>
      </c>
      <c r="I111" s="43">
        <v>2000</v>
      </c>
      <c r="J111" t="s" s="11">
        <v>630</v>
      </c>
      <c r="K111" t="s" s="11">
        <v>30</v>
      </c>
      <c r="L111" s="17">
        <f>HYPERLINK("http://www.bvnk.com", "www.bvnk.com")</f>
      </c>
      <c r="M111" s="17">
        <f>HYPERLINK("https://my.pitchbook.com?c=231240-07", "View Company Online")</f>
      </c>
    </row>
    <row r="112">
      <c r="A112" t="s" s="10">
        <v>632</v>
      </c>
      <c r="B112" t="s" s="10">
        <v>633</v>
      </c>
      <c r="C112" t="s" s="10">
        <v>144</v>
      </c>
      <c r="D112" t="s" s="10">
        <v>297</v>
      </c>
      <c r="E112" t="s" s="10">
        <v>634</v>
      </c>
      <c r="F112" s="27">
        <v>45202</v>
      </c>
      <c r="G112" t="s" s="10">
        <v>40</v>
      </c>
      <c r="H112" s="42">
        <v>60</v>
      </c>
      <c r="I112" s="42">
        <v>2000</v>
      </c>
      <c r="J112" t="s" s="10">
        <v>635</v>
      </c>
      <c r="K112" t="s" s="10">
        <v>636</v>
      </c>
      <c r="L112" s="16">
        <f>HYPERLINK("http://www.clear.co", "www.clear.co")</f>
      </c>
      <c r="M112" s="16">
        <f>HYPERLINK("https://my.pitchbook.com?c=148927-78", "View Company Online")</f>
      </c>
    </row>
    <row r="113">
      <c r="A113" t="s" s="11">
        <v>638</v>
      </c>
      <c r="B113" t="s" s="11">
        <v>639</v>
      </c>
      <c r="C113" t="s" s="11">
        <v>27</v>
      </c>
      <c r="D113" t="s" s="11">
        <v>28</v>
      </c>
      <c r="E113" t="s" s="11">
        <v>640</v>
      </c>
      <c r="F113" s="28">
        <v>46214</v>
      </c>
      <c r="G113" t="s" s="11">
        <v>40</v>
      </c>
      <c r="H113" s="43">
        <v>500</v>
      </c>
      <c r="I113" s="43">
        <v>2000</v>
      </c>
      <c r="J113" t="s" s="11">
        <v>641</v>
      </c>
      <c r="K113" t="s" s="11">
        <v>642</v>
      </c>
      <c r="L113" s="17">
        <f>HYPERLINK("http://www.clip.mx", "www.clip.mx")</f>
      </c>
      <c r="M113" s="17">
        <f>HYPERLINK("https://my.pitchbook.com?c=56847-88", "View Company Online")</f>
      </c>
    </row>
    <row r="114">
      <c r="A114" t="s" s="10">
        <v>644</v>
      </c>
      <c r="B114" t="s" s="10">
        <v>645</v>
      </c>
      <c r="C114" t="s" s="10">
        <v>222</v>
      </c>
      <c r="D114" t="s" s="10">
        <v>252</v>
      </c>
      <c r="E114" t="s" s="10">
        <v>646</v>
      </c>
      <c r="F114" s="27">
        <v>46224</v>
      </c>
      <c r="G114" t="s" s="10">
        <v>40</v>
      </c>
      <c r="H114" s="42">
        <v>365</v>
      </c>
      <c r="I114" s="42">
        <v>2000</v>
      </c>
      <c r="J114" t="s" s="10">
        <v>647</v>
      </c>
      <c r="K114" t="s" s="10">
        <v>648</v>
      </c>
      <c r="L114" s="16">
        <f>HYPERLINK("http://www.digitalasset.com", "www.digitalasset.com")</f>
      </c>
      <c r="M114" s="16">
        <f>HYPERLINK("https://my.pitchbook.com?c=118818-37", "View Company Online")</f>
      </c>
    </row>
    <row r="115">
      <c r="A115" t="s" s="11">
        <v>650</v>
      </c>
      <c r="B115" t="s" s="11">
        <v>651</v>
      </c>
      <c r="C115" t="s" s="11">
        <v>60</v>
      </c>
      <c r="D115" t="s" s="11">
        <v>432</v>
      </c>
      <c r="E115" t="s" s="11">
        <v>652</v>
      </c>
      <c r="F115" s="28">
        <v>43491</v>
      </c>
      <c r="G115" t="s" s="11">
        <v>40</v>
      </c>
      <c r="H115" t="s" s="43">
        <v>30</v>
      </c>
      <c r="I115" s="43">
        <v>2000</v>
      </c>
      <c r="J115" t="s" s="11">
        <v>653</v>
      </c>
      <c r="K115" t="s" s="11">
        <v>654</v>
      </c>
      <c r="L115" s="17">
        <f>HYPERLINK("http://www.edaili.com", "www.edaili.com")</f>
      </c>
      <c r="M115" s="17">
        <f>HYPERLINK("https://my.pitchbook.com?c=227117-44", "View Company Online")</f>
      </c>
    </row>
    <row r="116">
      <c r="A116" t="s" s="10">
        <v>656</v>
      </c>
      <c r="B116" t="s" s="10">
        <v>657</v>
      </c>
      <c r="C116" t="s" s="10">
        <v>172</v>
      </c>
      <c r="D116" t="s" s="10">
        <v>173</v>
      </c>
      <c r="E116" t="s" s="10">
        <v>658</v>
      </c>
      <c r="F116" s="27">
        <v>45932</v>
      </c>
      <c r="G116" t="s" s="10">
        <v>40</v>
      </c>
      <c r="H116" s="42">
        <v>75</v>
      </c>
      <c r="I116" s="42">
        <v>2000</v>
      </c>
      <c r="J116" t="s" s="10">
        <v>659</v>
      </c>
      <c r="K116" t="s" s="10">
        <v>660</v>
      </c>
      <c r="L116" s="16">
        <f>HYPERLINK("http://www.feedzai.com", "www.feedzai.com")</f>
      </c>
      <c r="M116" s="16">
        <f>HYPERLINK("https://my.pitchbook.com?c=55245-88", "View Company Online")</f>
      </c>
    </row>
    <row r="117">
      <c r="A117" t="s" s="11">
        <v>662</v>
      </c>
      <c r="B117" t="s" s="11">
        <v>663</v>
      </c>
      <c r="C117" t="s" s="11">
        <v>114</v>
      </c>
      <c r="D117" t="s" s="11">
        <v>136</v>
      </c>
      <c r="E117" t="s" s="11">
        <v>137</v>
      </c>
      <c r="F117" s="28">
        <v>45912</v>
      </c>
      <c r="G117" t="s" s="11">
        <v>64</v>
      </c>
      <c r="H117" t="s" s="43">
        <v>30</v>
      </c>
      <c r="I117" s="43">
        <v>2000</v>
      </c>
      <c r="J117" t="s" s="11">
        <v>664</v>
      </c>
      <c r="K117" t="s" s="11">
        <v>665</v>
      </c>
      <c r="L117" s="17">
        <f>HYPERLINK("http://www.lendbuzz.com", "www.lendbuzz.com")</f>
      </c>
      <c r="M117" s="17">
        <f>HYPERLINK("https://my.pitchbook.com?c=229240-27", "View Company Online")</f>
      </c>
    </row>
    <row r="118">
      <c r="A118" t="s" s="10">
        <v>667</v>
      </c>
      <c r="B118" t="s" s="10">
        <v>668</v>
      </c>
      <c r="C118" t="s" s="10">
        <v>128</v>
      </c>
      <c r="D118" t="s" s="10">
        <v>199</v>
      </c>
      <c r="E118" t="s" s="10">
        <v>253</v>
      </c>
      <c r="F118" s="27">
        <v>46176</v>
      </c>
      <c r="G118" t="s" s="10">
        <v>138</v>
      </c>
      <c r="H118" s="42">
        <v>1000</v>
      </c>
      <c r="I118" s="42">
        <v>2000</v>
      </c>
      <c r="J118" t="s" s="10">
        <v>669</v>
      </c>
      <c r="K118" t="s" s="10">
        <v>670</v>
      </c>
      <c r="L118" s="16">
        <f>HYPERLINK("http://www.momo.vn", "www.momo.vn")</f>
      </c>
      <c r="M118" s="16">
        <f>HYPERLINK("https://my.pitchbook.com?c=155652-22", "View Company Online")</f>
      </c>
    </row>
    <row r="119">
      <c r="A119" t="s" s="11">
        <v>672</v>
      </c>
      <c r="B119" t="s" s="11">
        <v>673</v>
      </c>
      <c r="C119" t="s" s="11">
        <v>114</v>
      </c>
      <c r="D119" t="s" s="11">
        <v>136</v>
      </c>
      <c r="E119" t="s" s="11">
        <v>270</v>
      </c>
      <c r="F119" s="28">
        <v>46209</v>
      </c>
      <c r="G119" t="s" s="11">
        <v>64</v>
      </c>
      <c r="H119" s="43">
        <v>315.98</v>
      </c>
      <c r="I119" s="43">
        <v>2000</v>
      </c>
      <c r="J119" t="s" s="11">
        <v>674</v>
      </c>
      <c r="K119" t="s" s="11">
        <v>675</v>
      </c>
      <c r="L119" s="17">
        <f>HYPERLINK("http://www.navi.com", "www.navi.com")</f>
      </c>
      <c r="M119" s="17">
        <f>HYPERLINK("https://my.pitchbook.com?c=342166-51", "View Company Online")</f>
      </c>
    </row>
    <row r="120">
      <c r="A120" t="s" s="10">
        <v>677</v>
      </c>
      <c r="B120" t="s" s="10">
        <v>678</v>
      </c>
      <c r="C120" t="s" s="10">
        <v>128</v>
      </c>
      <c r="D120" t="s" s="10">
        <v>199</v>
      </c>
      <c r="E120" t="s" s="10">
        <v>270</v>
      </c>
      <c r="F120" s="27">
        <v>46146</v>
      </c>
      <c r="G120" t="s" s="10">
        <v>64</v>
      </c>
      <c r="H120" t="s" s="42">
        <v>30</v>
      </c>
      <c r="I120" s="42">
        <v>2000</v>
      </c>
      <c r="J120" t="s" s="10">
        <v>679</v>
      </c>
      <c r="K120" t="s" s="10">
        <v>680</v>
      </c>
      <c r="L120" s="16">
        <f>HYPERLINK("http://www.opayweb.com", "www.opayweb.com")</f>
      </c>
      <c r="M120" s="16">
        <f>HYPERLINK("https://my.pitchbook.com?c=268751-35", "View Company Online")</f>
      </c>
    </row>
    <row r="121">
      <c r="A121" t="s" s="11">
        <v>682</v>
      </c>
      <c r="B121" t="s" s="11">
        <v>683</v>
      </c>
      <c r="C121" t="s" s="11">
        <v>172</v>
      </c>
      <c r="D121" t="s" s="11">
        <v>338</v>
      </c>
      <c r="E121" t="s" s="11">
        <v>684</v>
      </c>
      <c r="F121" s="28">
        <v>45777</v>
      </c>
      <c r="G121" t="s" s="11">
        <v>40</v>
      </c>
      <c r="H121" s="43">
        <v>200</v>
      </c>
      <c r="I121" s="43">
        <v>2000</v>
      </c>
      <c r="J121" t="s" s="11">
        <v>685</v>
      </c>
      <c r="K121" t="s" s="11">
        <v>686</v>
      </c>
      <c r="L121" s="17">
        <f>HYPERLINK("http://www.withpersona.com", "www.withpersona.com")</f>
      </c>
      <c r="M121" s="17">
        <f>HYPERLINK("https://my.pitchbook.com?c=265324-42", "View Company Online")</f>
      </c>
    </row>
    <row r="122">
      <c r="A122" t="s" s="10">
        <v>688</v>
      </c>
      <c r="B122" t="s" s="10">
        <v>689</v>
      </c>
      <c r="C122" t="s" s="10">
        <v>144</v>
      </c>
      <c r="D122" t="s" s="10">
        <v>297</v>
      </c>
      <c r="E122" t="s" s="10">
        <v>690</v>
      </c>
      <c r="F122" s="27">
        <v>46121</v>
      </c>
      <c r="G122" t="s" s="10">
        <v>40</v>
      </c>
      <c r="H122" s="42">
        <v>30</v>
      </c>
      <c r="I122" s="42">
        <v>2000</v>
      </c>
      <c r="J122" t="s" s="10">
        <v>691</v>
      </c>
      <c r="K122" t="s" s="10">
        <v>692</v>
      </c>
      <c r="L122" s="16">
        <f>HYPERLINK("http://www.pipe.com", "www.pipe.com")</f>
      </c>
      <c r="M122" s="16">
        <f>HYPERLINK("https://my.pitchbook.com?c=432607-24", "View Company Online")</f>
      </c>
    </row>
    <row r="123">
      <c r="A123" t="s" s="11">
        <v>694</v>
      </c>
      <c r="B123" t="s" s="11">
        <v>695</v>
      </c>
      <c r="C123" t="s" s="11">
        <v>164</v>
      </c>
      <c r="D123" t="s" s="11">
        <v>206</v>
      </c>
      <c r="E123" t="s" s="11">
        <v>29</v>
      </c>
      <c r="F123" s="28">
        <v>46141</v>
      </c>
      <c r="G123" t="s" s="11">
        <v>40</v>
      </c>
      <c r="H123" s="43">
        <v>160</v>
      </c>
      <c r="I123" s="43">
        <v>2000</v>
      </c>
      <c r="J123" t="s" s="11">
        <v>696</v>
      </c>
      <c r="K123" t="s" s="11">
        <v>697</v>
      </c>
      <c r="L123" s="17">
        <f>HYPERLINK("http://www.rogo.ai", "www.rogo.ai")</f>
      </c>
      <c r="M123" s="17">
        <f>HYPERLINK("https://my.pitchbook.com?c=507301-75", "View Company Online")</f>
      </c>
    </row>
    <row r="124">
      <c r="A124" t="s" s="10">
        <v>699</v>
      </c>
      <c r="B124" t="s" s="10">
        <v>700</v>
      </c>
      <c r="C124" t="s" s="10">
        <v>164</v>
      </c>
      <c r="D124" t="s" s="10">
        <v>165</v>
      </c>
      <c r="E124" t="s" s="10">
        <v>270</v>
      </c>
      <c r="F124" s="27">
        <v>45698</v>
      </c>
      <c r="G124" t="s" s="10">
        <v>40</v>
      </c>
      <c r="H124" s="42">
        <v>50</v>
      </c>
      <c r="I124" s="42">
        <v>2000</v>
      </c>
      <c r="J124" t="s" s="10">
        <v>701</v>
      </c>
      <c r="K124" t="s" s="10">
        <v>702</v>
      </c>
      <c r="L124" s="16">
        <f>HYPERLINK("http://www.zeta.tech", "www.zeta.tech")</f>
      </c>
      <c r="M124" s="16">
        <f>HYPERLINK("https://my.pitchbook.com?c=183817-90", "View Company Online")</f>
      </c>
    </row>
    <row r="125">
      <c r="A125" t="s" s="11">
        <v>704</v>
      </c>
      <c r="B125" t="s" s="11">
        <v>705</v>
      </c>
      <c r="C125" t="s" s="11">
        <v>27</v>
      </c>
      <c r="D125" t="s" s="11">
        <v>28</v>
      </c>
      <c r="E125" t="s" s="11">
        <v>137</v>
      </c>
      <c r="F125" s="28">
        <v>45632</v>
      </c>
      <c r="G125" t="s" s="11">
        <v>40</v>
      </c>
      <c r="H125" s="43">
        <v>5.55</v>
      </c>
      <c r="I125" s="43">
        <v>1954.35</v>
      </c>
      <c r="J125" t="s" s="11">
        <v>706</v>
      </c>
      <c r="K125" t="s" s="11">
        <v>707</v>
      </c>
      <c r="L125" s="17">
        <f>HYPERLINK("http://www.gve.net/en", "www.gve.net/en")</f>
      </c>
      <c r="M125" s="17">
        <f>HYPERLINK("https://my.pitchbook.com?c=490006-81", "View Company Online")</f>
      </c>
    </row>
    <row r="126">
      <c r="A126" t="s" s="10">
        <v>709</v>
      </c>
      <c r="B126" t="s" s="10">
        <v>710</v>
      </c>
      <c r="C126" t="s" s="10">
        <v>60</v>
      </c>
      <c r="D126" t="s" s="10">
        <v>246</v>
      </c>
      <c r="E126" t="s" s="10">
        <v>130</v>
      </c>
      <c r="F126" s="27">
        <v>45602</v>
      </c>
      <c r="G126" t="s" s="10">
        <v>40</v>
      </c>
      <c r="H126" s="42">
        <v>200</v>
      </c>
      <c r="I126" s="42">
        <v>1950</v>
      </c>
      <c r="J126" t="s" s="10">
        <v>711</v>
      </c>
      <c r="K126" t="s" s="10">
        <v>712</v>
      </c>
      <c r="L126" s="16">
        <f>HYPERLINK("http://www.getflex.com", "www.getflex.com")</f>
      </c>
      <c r="M126" s="16">
        <f>HYPERLINK("https://my.pitchbook.com?c=279171-91", "View Company Online")</f>
      </c>
    </row>
    <row r="127">
      <c r="A127" t="s" s="11">
        <v>714</v>
      </c>
      <c r="B127" t="s" s="11">
        <v>715</v>
      </c>
      <c r="C127" t="s" s="11">
        <v>46</v>
      </c>
      <c r="D127" t="s" s="11">
        <v>78</v>
      </c>
      <c r="E127" t="s" s="11">
        <v>152</v>
      </c>
      <c r="F127" s="28">
        <v>45231</v>
      </c>
      <c r="G127" t="s" s="11">
        <v>40</v>
      </c>
      <c r="H127" s="43">
        <v>16.84</v>
      </c>
      <c r="I127" s="43">
        <v>1950</v>
      </c>
      <c r="J127" t="s" s="11">
        <v>716</v>
      </c>
      <c r="K127" t="s" s="11">
        <v>717</v>
      </c>
      <c r="L127" s="17">
        <f>HYPERLINK("http://www.justworks.com", "www.justworks.com")</f>
      </c>
      <c r="M127" s="17">
        <f>HYPERLINK("https://my.pitchbook.com?c=59990-50", "View Company Online")</f>
      </c>
    </row>
    <row r="128">
      <c r="A128" t="s" s="10">
        <v>719</v>
      </c>
      <c r="B128" t="s" s="10">
        <v>720</v>
      </c>
      <c r="C128" t="s" s="10">
        <v>27</v>
      </c>
      <c r="D128" t="s" s="10">
        <v>70</v>
      </c>
      <c r="E128" t="s" s="10">
        <v>721</v>
      </c>
      <c r="F128" s="27">
        <v>46031</v>
      </c>
      <c r="G128" t="s" s="10">
        <v>40</v>
      </c>
      <c r="H128" s="42">
        <v>250</v>
      </c>
      <c r="I128" s="42">
        <v>1950</v>
      </c>
      <c r="J128" t="s" s="10">
        <v>722</v>
      </c>
      <c r="K128" t="s" s="10">
        <v>723</v>
      </c>
      <c r="L128" s="16">
        <f>HYPERLINK("http://www.rain.xyz", "www.rain.xyz")</f>
      </c>
      <c r="M128" s="16">
        <f>HYPERLINK("https://my.pitchbook.com?c=493077-52", "View Company Online")</f>
      </c>
    </row>
    <row r="129">
      <c r="A129" t="s" s="11">
        <v>725</v>
      </c>
      <c r="B129" t="s" s="11">
        <v>726</v>
      </c>
      <c r="C129" t="s" s="11">
        <v>60</v>
      </c>
      <c r="D129" t="s" s="11">
        <v>727</v>
      </c>
      <c r="E129" t="s" s="11">
        <v>482</v>
      </c>
      <c r="F129" s="28">
        <v>45394</v>
      </c>
      <c r="G129" t="s" s="11">
        <v>607</v>
      </c>
      <c r="H129" t="s" s="43">
        <v>30</v>
      </c>
      <c r="I129" s="43">
        <v>1950</v>
      </c>
      <c r="J129" t="s" s="11">
        <v>728</v>
      </c>
      <c r="K129" t="s" s="11">
        <v>729</v>
      </c>
      <c r="L129" s="17">
        <f>HYPERLINK("http://www.roofstock.com", "www.roofstock.com")</f>
      </c>
      <c r="M129" s="17">
        <f>HYPERLINK("https://my.pitchbook.com?c=114628-06", "View Company Online")</f>
      </c>
    </row>
    <row r="130">
      <c r="A130" t="s" s="10">
        <v>731</v>
      </c>
      <c r="B130" t="s" s="10">
        <v>732</v>
      </c>
      <c r="C130" t="s" s="10">
        <v>60</v>
      </c>
      <c r="D130" t="s" s="10">
        <v>432</v>
      </c>
      <c r="E130" t="s" s="10">
        <v>137</v>
      </c>
      <c r="F130" s="27">
        <v>45769</v>
      </c>
      <c r="G130" t="s" s="10">
        <v>40</v>
      </c>
      <c r="H130" s="42">
        <v>152</v>
      </c>
      <c r="I130" s="42">
        <v>1900</v>
      </c>
      <c r="J130" t="s" s="10">
        <v>733</v>
      </c>
      <c r="K130" t="s" s="10">
        <v>734</v>
      </c>
      <c r="L130" s="16">
        <f>HYPERLINK("http://www.altruist.com", "www.altruist.com")</f>
      </c>
      <c r="M130" s="16">
        <f>HYPERLINK("https://my.pitchbook.com?c=265626-01", "View Company Online")</f>
      </c>
    </row>
    <row r="131">
      <c r="A131" t="s" s="11">
        <v>736</v>
      </c>
      <c r="B131" t="s" s="11">
        <v>737</v>
      </c>
      <c r="C131" t="s" s="11">
        <v>164</v>
      </c>
      <c r="D131" t="s" s="11">
        <v>206</v>
      </c>
      <c r="E131" t="s" s="11">
        <v>253</v>
      </c>
      <c r="F131" t="s" s="28">
        <v>30</v>
      </c>
      <c r="G131" t="s" s="11">
        <v>40</v>
      </c>
      <c r="H131" t="s" s="43">
        <v>30</v>
      </c>
      <c r="I131" s="43">
        <v>1900</v>
      </c>
      <c r="J131" t="s" s="11">
        <v>738</v>
      </c>
      <c r="K131" t="s" s="11">
        <v>739</v>
      </c>
      <c r="L131" s="17">
        <f>HYPERLINK("http://www.mx.com", "www.mx.com")</f>
      </c>
      <c r="M131" s="17">
        <f>HYPERLINK("https://my.pitchbook.com?c=54920-17", "View Company Online")</f>
      </c>
    </row>
    <row r="132">
      <c r="A132" t="s" s="10">
        <v>741</v>
      </c>
      <c r="B132" t="s" s="10">
        <v>742</v>
      </c>
      <c r="C132" t="s" s="10">
        <v>37</v>
      </c>
      <c r="D132" t="s" s="10">
        <v>38</v>
      </c>
      <c r="E132" t="s" s="10">
        <v>137</v>
      </c>
      <c r="F132" s="27">
        <v>44154</v>
      </c>
      <c r="G132" t="s" s="10">
        <v>146</v>
      </c>
      <c r="H132" t="s" s="42">
        <v>30</v>
      </c>
      <c r="I132" s="42">
        <v>1892.8</v>
      </c>
      <c r="J132" t="s" s="10">
        <v>743</v>
      </c>
      <c r="K132" t="s" s="10">
        <v>744</v>
      </c>
      <c r="L132" s="16">
        <f>HYPERLINK("http://www.aibank.com", "www.aibank.com")</f>
      </c>
      <c r="M132" s="16">
        <f>HYPERLINK("https://my.pitchbook.com?c=453523-51", "View Company Online")</f>
      </c>
    </row>
    <row r="133">
      <c r="A133" t="s" s="11">
        <v>746</v>
      </c>
      <c r="B133" t="s" s="11">
        <v>747</v>
      </c>
      <c r="C133" t="s" s="11">
        <v>27</v>
      </c>
      <c r="D133" t="s" s="11">
        <v>28</v>
      </c>
      <c r="E133" t="s" s="11">
        <v>270</v>
      </c>
      <c r="F133" s="28">
        <v>45977</v>
      </c>
      <c r="G133" t="s" s="11">
        <v>40</v>
      </c>
      <c r="H133" s="43">
        <v>198.67</v>
      </c>
      <c r="I133" s="43">
        <v>1884.03</v>
      </c>
      <c r="J133" t="s" s="11">
        <v>748</v>
      </c>
      <c r="K133" t="s" s="11">
        <v>749</v>
      </c>
      <c r="L133" s="17">
        <f>HYPERLINK("http://www.flatpay.com", "www.flatpay.com")</f>
      </c>
      <c r="M133" s="17">
        <f>HYPERLINK("https://my.pitchbook.com?c=510577-39", "View Company Online")</f>
      </c>
    </row>
    <row r="134">
      <c r="A134" t="s" s="10">
        <v>751</v>
      </c>
      <c r="B134" t="s" s="10">
        <v>752</v>
      </c>
      <c r="C134" t="s" s="10">
        <v>37</v>
      </c>
      <c r="D134" t="s" s="10">
        <v>38</v>
      </c>
      <c r="E134" t="s" s="10">
        <v>753</v>
      </c>
      <c r="F134" s="27">
        <v>46055</v>
      </c>
      <c r="G134" t="s" s="10">
        <v>40</v>
      </c>
      <c r="H134" s="42">
        <v>123.9</v>
      </c>
      <c r="I134" s="42">
        <v>1850</v>
      </c>
      <c r="J134" t="s" s="10">
        <v>754</v>
      </c>
      <c r="K134" t="s" s="10">
        <v>755</v>
      </c>
      <c r="L134" s="16">
        <f>HYPERLINK("http://www.varomoney.com", "www.varomoney.com")</f>
      </c>
      <c r="M134" s="16">
        <f>HYPERLINK("https://my.pitchbook.com?c=158232-16", "View Company Online")</f>
      </c>
    </row>
    <row r="135">
      <c r="A135" t="s" s="11">
        <v>757</v>
      </c>
      <c r="B135" t="s" s="11">
        <v>758</v>
      </c>
      <c r="C135" t="s" s="11">
        <v>46</v>
      </c>
      <c r="D135" t="s" s="11">
        <v>78</v>
      </c>
      <c r="E135" t="s" s="11">
        <v>759</v>
      </c>
      <c r="F135" t="s" s="28">
        <v>30</v>
      </c>
      <c r="G135" t="s" s="11">
        <v>48</v>
      </c>
      <c r="H135" t="s" s="43">
        <v>30</v>
      </c>
      <c r="I135" s="43">
        <v>1825</v>
      </c>
      <c r="J135" t="s" s="11">
        <v>760</v>
      </c>
      <c r="K135" t="s" s="11">
        <v>761</v>
      </c>
      <c r="L135" s="17">
        <f>HYPERLINK("http://www.dailypay.com", "www.dailypay.com")</f>
      </c>
      <c r="M135" s="17">
        <f>HYPERLINK("https://my.pitchbook.com?c=154599-22", "View Company Online")</f>
      </c>
    </row>
    <row r="136">
      <c r="A136" t="s" s="10">
        <v>763</v>
      </c>
      <c r="B136" t="s" s="10">
        <v>764</v>
      </c>
      <c r="C136" t="s" s="10">
        <v>60</v>
      </c>
      <c r="D136" t="s" s="10">
        <v>246</v>
      </c>
      <c r="E136" t="s" s="10">
        <v>373</v>
      </c>
      <c r="F136" t="s" s="27">
        <v>30</v>
      </c>
      <c r="G136" t="s" s="10">
        <v>48</v>
      </c>
      <c r="H136" t="s" s="42">
        <v>30</v>
      </c>
      <c r="I136" s="42">
        <v>1800</v>
      </c>
      <c r="J136" t="s" s="10">
        <v>765</v>
      </c>
      <c r="K136" t="s" s="10">
        <v>766</v>
      </c>
      <c r="L136" s="16">
        <f>HYPERLINK("http://www.acorns.com", "www.acorns.com")</f>
      </c>
      <c r="M136" s="16">
        <f>HYPERLINK("https://my.pitchbook.com?c=61927-03", "View Company Online")</f>
      </c>
    </row>
    <row r="137">
      <c r="A137" t="s" s="11">
        <v>768</v>
      </c>
      <c r="B137" t="s" s="11">
        <v>769</v>
      </c>
      <c r="C137" t="s" s="11">
        <v>164</v>
      </c>
      <c r="D137" t="s" s="11">
        <v>165</v>
      </c>
      <c r="E137" t="s" s="11">
        <v>137</v>
      </c>
      <c r="F137" s="28">
        <v>45261</v>
      </c>
      <c r="G137" t="s" s="11">
        <v>40</v>
      </c>
      <c r="H137" s="43">
        <v>28</v>
      </c>
      <c r="I137" s="43">
        <v>1750</v>
      </c>
      <c r="J137" t="s" s="11">
        <v>770</v>
      </c>
      <c r="K137" t="s" s="11">
        <v>771</v>
      </c>
      <c r="L137" s="17">
        <f>HYPERLINK("http://www.clar.co", "www.clar.co")</f>
      </c>
      <c r="M137" s="17">
        <f>HYPERLINK("https://my.pitchbook.com?c=471323-35", "View Company Online")</f>
      </c>
    </row>
    <row r="138">
      <c r="A138" t="s" s="10">
        <v>773</v>
      </c>
      <c r="B138" t="s" s="10">
        <v>774</v>
      </c>
      <c r="C138" t="s" s="10">
        <v>172</v>
      </c>
      <c r="D138" t="s" s="10">
        <v>338</v>
      </c>
      <c r="E138" t="s" s="10">
        <v>166</v>
      </c>
      <c r="F138" s="27">
        <v>46082</v>
      </c>
      <c r="G138" t="s" s="10">
        <v>48</v>
      </c>
      <c r="H138" t="s" s="42">
        <v>30</v>
      </c>
      <c r="I138" s="42">
        <v>1750</v>
      </c>
      <c r="J138" t="s" s="10">
        <v>775</v>
      </c>
      <c r="K138" t="s" s="10">
        <v>776</v>
      </c>
      <c r="L138" s="16">
        <f>HYPERLINK("http://www.trulioo.com", "www.trulioo.com")</f>
      </c>
      <c r="M138" s="16">
        <f>HYPERLINK("https://my.pitchbook.com?c=55639-99", "View Company Online")</f>
      </c>
    </row>
    <row r="139">
      <c r="A139" t="s" s="11">
        <v>778</v>
      </c>
      <c r="B139" t="s" s="11">
        <v>779</v>
      </c>
      <c r="C139" t="s" s="11">
        <v>222</v>
      </c>
      <c r="D139" t="s" s="11">
        <v>235</v>
      </c>
      <c r="E139" t="s" s="11">
        <v>137</v>
      </c>
      <c r="F139" s="28">
        <v>46013</v>
      </c>
      <c r="G139" t="s" s="11">
        <v>64</v>
      </c>
      <c r="H139" t="s" s="43">
        <v>30</v>
      </c>
      <c r="I139" s="43">
        <v>1700</v>
      </c>
      <c r="J139" t="s" s="11">
        <v>780</v>
      </c>
      <c r="K139" t="s" s="11">
        <v>781</v>
      </c>
      <c r="L139" s="17">
        <f>HYPERLINK("http://www.microconnect.com", "www.microconnect.com")</f>
      </c>
      <c r="M139" s="17">
        <f>HYPERLINK("https://my.pitchbook.com?c=494114-23", "View Company Online")</f>
      </c>
    </row>
    <row r="140">
      <c r="A140" t="s" s="10">
        <v>783</v>
      </c>
      <c r="B140" t="s" s="10">
        <v>784</v>
      </c>
      <c r="C140" t="s" s="10">
        <v>37</v>
      </c>
      <c r="D140" t="s" s="10">
        <v>38</v>
      </c>
      <c r="E140" t="s" s="10">
        <v>158</v>
      </c>
      <c r="F140" s="27">
        <v>45848</v>
      </c>
      <c r="G140" t="s" s="10">
        <v>40</v>
      </c>
      <c r="H140" s="42">
        <v>131.01</v>
      </c>
      <c r="I140" s="42">
        <v>1700</v>
      </c>
      <c r="J140" t="s" s="10">
        <v>785</v>
      </c>
      <c r="K140" t="s" s="10">
        <v>786</v>
      </c>
      <c r="L140" s="16">
        <f>HYPERLINK("http://www.neon.com.br", "www.neon.com.br")</f>
      </c>
      <c r="M140" s="16">
        <f>HYPERLINK("https://my.pitchbook.com?c=170920-90", "View Company Online")</f>
      </c>
    </row>
    <row r="141">
      <c r="A141" t="s" s="11">
        <v>788</v>
      </c>
      <c r="B141" t="s" s="11">
        <v>789</v>
      </c>
      <c r="C141" t="s" s="11">
        <v>144</v>
      </c>
      <c r="D141" t="s" s="11">
        <v>297</v>
      </c>
      <c r="E141" t="s" s="11">
        <v>137</v>
      </c>
      <c r="F141" s="28">
        <v>45953</v>
      </c>
      <c r="G141" t="s" s="11">
        <v>40</v>
      </c>
      <c r="H141" t="s" s="43">
        <v>30</v>
      </c>
      <c r="I141" s="43">
        <v>1700</v>
      </c>
      <c r="J141" t="s" s="11">
        <v>790</v>
      </c>
      <c r="K141" t="s" s="11">
        <v>791</v>
      </c>
      <c r="L141" s="17">
        <f>HYPERLINK("http://www.spotter.com", "www.spotter.com")</f>
      </c>
      <c r="M141" s="17">
        <f>HYPERLINK("https://my.pitchbook.com?c=300299-23", "View Company Online")</f>
      </c>
    </row>
    <row r="142">
      <c r="A142" t="s" s="10">
        <v>793</v>
      </c>
      <c r="B142" t="s" s="10">
        <v>794</v>
      </c>
      <c r="C142" t="s" s="10">
        <v>37</v>
      </c>
      <c r="D142" t="s" s="10">
        <v>38</v>
      </c>
      <c r="E142" t="s" s="10">
        <v>270</v>
      </c>
      <c r="F142" s="27">
        <v>45838</v>
      </c>
      <c r="G142" t="s" s="10">
        <v>584</v>
      </c>
      <c r="H142" s="42">
        <v>137</v>
      </c>
      <c r="I142" s="42">
        <v>1700</v>
      </c>
      <c r="J142" t="s" s="10">
        <v>795</v>
      </c>
      <c r="K142" t="s" s="10">
        <v>796</v>
      </c>
      <c r="L142" s="16">
        <f>HYPERLINK("http://www.wave.com", "www.wave.com")</f>
      </c>
      <c r="M142" s="16">
        <f>HYPERLINK("https://my.pitchbook.com?c=500865-67", "View Company Online")</f>
      </c>
    </row>
    <row r="143">
      <c r="A143" t="s" s="11">
        <v>798</v>
      </c>
      <c r="B143" t="s" s="11">
        <v>799</v>
      </c>
      <c r="C143" t="s" s="11">
        <v>60</v>
      </c>
      <c r="D143" t="s" s="11">
        <v>246</v>
      </c>
      <c r="E143" t="s" s="11">
        <v>137</v>
      </c>
      <c r="F143" s="28">
        <v>45811</v>
      </c>
      <c r="G143" t="s" s="11">
        <v>40</v>
      </c>
      <c r="H143" s="43">
        <v>174.86</v>
      </c>
      <c r="I143" s="43">
        <v>1692.18</v>
      </c>
      <c r="J143" t="s" s="11">
        <v>800</v>
      </c>
      <c r="K143" t="s" s="11">
        <v>801</v>
      </c>
      <c r="L143" s="17">
        <f>HYPERLINK("http://www.scalable.capital", "www.scalable.capital")</f>
      </c>
      <c r="M143" s="17">
        <f>HYPERLINK("https://my.pitchbook.com?c=125143-57", "View Company Online")</f>
      </c>
    </row>
    <row r="144">
      <c r="A144" t="s" s="10">
        <v>803</v>
      </c>
      <c r="B144" t="s" s="10">
        <v>804</v>
      </c>
      <c r="C144" t="s" s="10">
        <v>144</v>
      </c>
      <c r="D144" t="s" s="10">
        <v>297</v>
      </c>
      <c r="E144" t="s" s="10">
        <v>805</v>
      </c>
      <c r="F144" s="27">
        <v>46071</v>
      </c>
      <c r="G144" t="s" s="10">
        <v>72</v>
      </c>
      <c r="H144" s="42">
        <v>250</v>
      </c>
      <c r="I144" s="42">
        <v>1635</v>
      </c>
      <c r="J144" t="s" s="10">
        <v>806</v>
      </c>
      <c r="K144" t="s" s="10">
        <v>807</v>
      </c>
      <c r="L144" s="16">
        <f>HYPERLINK("http://www.wayflyer.com", "www.wayflyer.com")</f>
      </c>
      <c r="M144" s="16">
        <f>HYPERLINK("https://my.pitchbook.com?c=433217-89", "View Company Online")</f>
      </c>
    </row>
    <row r="145">
      <c r="A145" t="s" s="11">
        <v>809</v>
      </c>
      <c r="B145" t="s" s="11">
        <v>810</v>
      </c>
      <c r="C145" t="s" s="11">
        <v>164</v>
      </c>
      <c r="D145" t="s" s="11">
        <v>206</v>
      </c>
      <c r="E145" t="s" s="11">
        <v>253</v>
      </c>
      <c r="F145" s="28">
        <v>45691</v>
      </c>
      <c r="G145" t="s" s="11">
        <v>40</v>
      </c>
      <c r="H145" s="43">
        <v>144.87</v>
      </c>
      <c r="I145" s="43">
        <v>1632.78</v>
      </c>
      <c r="J145" t="s" s="11">
        <v>811</v>
      </c>
      <c r="K145" t="s" s="11">
        <v>812</v>
      </c>
      <c r="L145" s="17">
        <f>HYPERLINK("http://www.solarisgroup.com", "www.solarisgroup.com")</f>
      </c>
      <c r="M145" s="17">
        <f>HYPERLINK("https://my.pitchbook.com?c=161554-69", "View Company Online")</f>
      </c>
    </row>
    <row r="146">
      <c r="A146" t="s" s="10">
        <v>814</v>
      </c>
      <c r="B146" t="s" s="10">
        <v>815</v>
      </c>
      <c r="C146" t="s" s="10">
        <v>222</v>
      </c>
      <c r="D146" t="s" s="10">
        <v>252</v>
      </c>
      <c r="E146" t="s" s="10">
        <v>253</v>
      </c>
      <c r="F146" s="27">
        <v>45875</v>
      </c>
      <c r="G146" t="s" s="10">
        <v>40</v>
      </c>
      <c r="H146" s="42">
        <v>56</v>
      </c>
      <c r="I146" s="42">
        <v>1600</v>
      </c>
      <c r="J146" t="s" s="10">
        <v>816</v>
      </c>
      <c r="K146" t="s" s="10">
        <v>817</v>
      </c>
      <c r="L146" s="16">
        <f>HYPERLINK("http://www.capitolis.com", "www.capitolis.com")</f>
      </c>
      <c r="M146" s="16">
        <f>HYPERLINK("https://my.pitchbook.com?c=186757-66", "View Company Online")</f>
      </c>
    </row>
    <row r="147">
      <c r="A147" t="s" s="11">
        <v>819</v>
      </c>
      <c r="B147" t="s" s="11">
        <v>820</v>
      </c>
      <c r="C147" t="s" s="11">
        <v>46</v>
      </c>
      <c r="D147" t="s" s="11">
        <v>397</v>
      </c>
      <c r="E147" t="s" s="11">
        <v>821</v>
      </c>
      <c r="F147" s="28">
        <v>45392</v>
      </c>
      <c r="G147" t="s" s="11">
        <v>40</v>
      </c>
      <c r="H147" s="43">
        <v>100</v>
      </c>
      <c r="I147" s="43">
        <v>1600</v>
      </c>
      <c r="J147" t="s" s="11">
        <v>822</v>
      </c>
      <c r="K147" t="s" s="11">
        <v>823</v>
      </c>
      <c r="L147" s="17">
        <f>HYPERLINK("http://www.floqast.com", "www.floqast.com")</f>
      </c>
      <c r="M147" s="17">
        <f>HYPERLINK("https://my.pitchbook.com?c=57762-82", "View Company Online")</f>
      </c>
    </row>
    <row r="148">
      <c r="A148" t="s" s="10">
        <v>825</v>
      </c>
      <c r="B148" t="s" s="10">
        <v>826</v>
      </c>
      <c r="C148" t="s" s="10">
        <v>164</v>
      </c>
      <c r="D148" t="s" s="10">
        <v>165</v>
      </c>
      <c r="E148" t="s" s="10">
        <v>634</v>
      </c>
      <c r="F148" s="27">
        <v>46024</v>
      </c>
      <c r="G148" t="s" s="10">
        <v>40</v>
      </c>
      <c r="H148" s="42">
        <v>115</v>
      </c>
      <c r="I148" s="42">
        <v>1600</v>
      </c>
      <c r="J148" t="s" s="10">
        <v>827</v>
      </c>
      <c r="K148" t="s" s="10">
        <v>828</v>
      </c>
      <c r="L148" s="16">
        <f>HYPERLINK("http://www.lumindigital.com", "www.lumindigital.com")</f>
      </c>
      <c r="M148" s="16">
        <f>HYPERLINK("https://my.pitchbook.com?c=336248-74", "View Company Online")</f>
      </c>
    </row>
    <row r="149">
      <c r="A149" t="s" s="11">
        <v>830</v>
      </c>
      <c r="B149" t="s" s="11">
        <v>831</v>
      </c>
      <c r="C149" t="s" s="11">
        <v>46</v>
      </c>
      <c r="D149" t="s" s="11">
        <v>78</v>
      </c>
      <c r="E149" t="s" s="11">
        <v>253</v>
      </c>
      <c r="F149" t="s" s="28">
        <v>30</v>
      </c>
      <c r="G149" t="s" s="11">
        <v>40</v>
      </c>
      <c r="H149" t="s" s="43">
        <v>30</v>
      </c>
      <c r="I149" s="43">
        <v>1600</v>
      </c>
      <c r="J149" t="s" s="11">
        <v>832</v>
      </c>
      <c r="K149" t="s" s="11">
        <v>833</v>
      </c>
      <c r="L149" s="17">
        <f>HYPERLINK("http://www.pave.com", "www.pave.com")</f>
      </c>
      <c r="M149" s="17">
        <f>HYPERLINK("https://my.pitchbook.com?c=340875-01", "View Company Online")</f>
      </c>
    </row>
    <row r="150">
      <c r="A150" t="s" s="10">
        <v>835</v>
      </c>
      <c r="B150" t="s" s="10">
        <v>836</v>
      </c>
      <c r="C150" t="s" s="10">
        <v>60</v>
      </c>
      <c r="D150" t="s" s="10">
        <v>246</v>
      </c>
      <c r="E150" t="s" s="10">
        <v>193</v>
      </c>
      <c r="F150" s="27">
        <v>44455</v>
      </c>
      <c r="G150" t="s" s="10">
        <v>40</v>
      </c>
      <c r="H150" s="42">
        <v>50</v>
      </c>
      <c r="I150" s="42">
        <v>1560</v>
      </c>
      <c r="J150" t="s" s="10">
        <v>837</v>
      </c>
      <c r="K150" t="s" s="10">
        <v>838</v>
      </c>
      <c r="L150" s="16">
        <f>HYPERLINK("http://www.self.inc", "www.self.inc")</f>
      </c>
      <c r="M150" s="16">
        <f>HYPERLINK("https://my.pitchbook.com?c=95108-77", "View Company Online")</f>
      </c>
    </row>
    <row r="151">
      <c r="A151" t="s" s="11">
        <v>840</v>
      </c>
      <c r="B151" t="s" s="11">
        <v>841</v>
      </c>
      <c r="C151" t="s" s="11">
        <v>172</v>
      </c>
      <c r="D151" t="s" s="11">
        <v>338</v>
      </c>
      <c r="E151" t="s" s="11">
        <v>373</v>
      </c>
      <c r="F151" s="28">
        <v>46023</v>
      </c>
      <c r="G151" t="s" s="11">
        <v>48</v>
      </c>
      <c r="H151" t="s" s="43">
        <v>30</v>
      </c>
      <c r="I151" s="43">
        <v>1550</v>
      </c>
      <c r="J151" t="s" s="11">
        <v>842</v>
      </c>
      <c r="K151" t="s" s="11">
        <v>843</v>
      </c>
      <c r="L151" s="17">
        <f>HYPERLINK("http://www.alloy.com", "www.alloy.com")</f>
      </c>
      <c r="M151" s="17">
        <f>HYPERLINK("https://my.pitchbook.com?c=122771-08", "View Company Online")</f>
      </c>
    </row>
    <row r="152">
      <c r="A152" t="s" s="10">
        <v>845</v>
      </c>
      <c r="B152" t="s" s="10">
        <v>846</v>
      </c>
      <c r="C152" t="s" s="10">
        <v>128</v>
      </c>
      <c r="D152" t="s" s="10">
        <v>199</v>
      </c>
      <c r="E152" t="s" s="10">
        <v>270</v>
      </c>
      <c r="F152" s="27">
        <v>46002</v>
      </c>
      <c r="G152" t="s" s="10">
        <v>40</v>
      </c>
      <c r="H152" t="s" s="42">
        <v>30</v>
      </c>
      <c r="I152" s="42">
        <v>1500</v>
      </c>
      <c r="J152" t="s" s="10">
        <v>847</v>
      </c>
      <c r="K152" t="s" s="10">
        <v>848</v>
      </c>
      <c r="L152" s="16">
        <f>HYPERLINK("http://ascendmoneygroup.com", "ascendmoneygroup.com")</f>
      </c>
      <c r="M152" s="16">
        <f>HYPERLINK("https://my.pitchbook.com?c=161471-35", "View Company Online")</f>
      </c>
    </row>
    <row r="153">
      <c r="A153" t="s" s="11">
        <v>850</v>
      </c>
      <c r="B153" t="s" s="11">
        <v>851</v>
      </c>
      <c r="C153" t="s" s="11">
        <v>114</v>
      </c>
      <c r="D153" t="s" s="11">
        <v>852</v>
      </c>
      <c r="E153" t="s" s="11">
        <v>853</v>
      </c>
      <c r="F153" s="28">
        <v>45995</v>
      </c>
      <c r="G153" t="s" s="11">
        <v>40</v>
      </c>
      <c r="H153" t="s" s="43">
        <v>30</v>
      </c>
      <c r="I153" s="43">
        <v>1500</v>
      </c>
      <c r="J153" t="s" s="11">
        <v>854</v>
      </c>
      <c r="K153" t="s" s="11">
        <v>855</v>
      </c>
      <c r="L153" s="17">
        <f>HYPERLINK("http://www.getbuilt.com", "www.getbuilt.com")</f>
      </c>
      <c r="M153" s="17">
        <f>HYPERLINK("https://my.pitchbook.com?c=122957-92", "View Company Online")</f>
      </c>
    </row>
    <row r="154">
      <c r="A154" t="s" s="10">
        <v>857</v>
      </c>
      <c r="B154" t="s" s="10">
        <v>858</v>
      </c>
      <c r="C154" t="s" s="10">
        <v>37</v>
      </c>
      <c r="D154" t="s" s="10">
        <v>38</v>
      </c>
      <c r="E154" t="s" s="10">
        <v>859</v>
      </c>
      <c r="F154" s="27">
        <v>46184</v>
      </c>
      <c r="G154" t="s" s="10">
        <v>40</v>
      </c>
      <c r="H154" s="42">
        <v>80</v>
      </c>
      <c r="I154" s="42">
        <v>1500</v>
      </c>
      <c r="J154" t="s" s="10">
        <v>860</v>
      </c>
      <c r="K154" t="s" s="10">
        <v>861</v>
      </c>
      <c r="L154" s="16">
        <f>HYPERLINK("http://www.current.com", "www.current.com")</f>
      </c>
      <c r="M154" s="16">
        <f>HYPERLINK("https://my.pitchbook.com?c=117674-11", "View Company Online")</f>
      </c>
    </row>
    <row r="155">
      <c r="A155" t="s" s="11">
        <v>863</v>
      </c>
      <c r="B155" t="s" s="11">
        <v>864</v>
      </c>
      <c r="C155" t="s" s="11">
        <v>60</v>
      </c>
      <c r="D155" t="s" s="11">
        <v>246</v>
      </c>
      <c r="E155" t="s" s="11">
        <v>373</v>
      </c>
      <c r="F155" s="28">
        <v>46084</v>
      </c>
      <c r="G155" t="s" s="11">
        <v>48</v>
      </c>
      <c r="H155" s="43">
        <v>10</v>
      </c>
      <c r="I155" s="43">
        <v>1500</v>
      </c>
      <c r="J155" t="s" s="11">
        <v>865</v>
      </c>
      <c r="K155" t="s" s="11">
        <v>866</v>
      </c>
      <c r="L155" s="17">
        <f>HYPERLINK("http://www.kikoff.com", "www.kikoff.com")</f>
      </c>
      <c r="M155" s="17">
        <f>HYPERLINK("https://my.pitchbook.com?c=434261-17", "View Company Online")</f>
      </c>
    </row>
    <row r="156">
      <c r="A156" t="s" s="10">
        <v>868</v>
      </c>
      <c r="B156" t="s" s="10">
        <v>869</v>
      </c>
      <c r="C156" t="s" s="10">
        <v>114</v>
      </c>
      <c r="D156" t="s" s="10">
        <v>870</v>
      </c>
      <c r="E156" t="s" s="10">
        <v>270</v>
      </c>
      <c r="F156" s="27">
        <v>46120</v>
      </c>
      <c r="G156" t="s" s="10">
        <v>40</v>
      </c>
      <c r="H156" s="42">
        <v>280</v>
      </c>
      <c r="I156" s="42">
        <v>1500</v>
      </c>
      <c r="J156" t="s" s="10">
        <v>871</v>
      </c>
      <c r="K156" t="s" s="10">
        <v>872</v>
      </c>
      <c r="L156" s="16">
        <f>HYPERLINK("http://www.kreditbee.in", "www.kreditbee.in")</f>
      </c>
      <c r="M156" s="16">
        <f>HYPERLINK("https://my.pitchbook.com?c=160824-52", "View Company Online")</f>
      </c>
    </row>
    <row r="157">
      <c r="A157" t="s" s="11">
        <v>874</v>
      </c>
      <c r="B157" t="s" s="11">
        <v>875</v>
      </c>
      <c r="C157" t="s" s="11">
        <v>27</v>
      </c>
      <c r="D157" t="s" s="11">
        <v>28</v>
      </c>
      <c r="E157" t="s" s="11">
        <v>200</v>
      </c>
      <c r="F157" t="s" s="28">
        <v>30</v>
      </c>
      <c r="G157" t="s" s="11">
        <v>48</v>
      </c>
      <c r="H157" t="s" s="43">
        <v>30</v>
      </c>
      <c r="I157" s="43">
        <v>1500</v>
      </c>
      <c r="J157" t="s" s="11">
        <v>876</v>
      </c>
      <c r="K157" t="s" s="11">
        <v>877</v>
      </c>
      <c r="L157" s="17">
        <f>HYPERLINK("http://www.kushkipagos.com", "www.kushkipagos.com")</f>
      </c>
      <c r="M157" s="17">
        <f>HYPERLINK("https://my.pitchbook.com?c=264839-59", "View Company Online")</f>
      </c>
    </row>
    <row r="158">
      <c r="A158" t="s" s="10">
        <v>879</v>
      </c>
      <c r="B158" t="s" s="10">
        <v>880</v>
      </c>
      <c r="C158" t="s" s="10">
        <v>172</v>
      </c>
      <c r="D158" t="s" s="10">
        <v>338</v>
      </c>
      <c r="E158" t="s" s="10">
        <v>881</v>
      </c>
      <c r="F158" s="27">
        <v>46210</v>
      </c>
      <c r="G158" t="s" s="10">
        <v>40</v>
      </c>
      <c r="H158" s="42">
        <v>120</v>
      </c>
      <c r="I158" s="42">
        <v>1500</v>
      </c>
      <c r="J158" t="s" s="10">
        <v>882</v>
      </c>
      <c r="K158" t="s" s="10">
        <v>883</v>
      </c>
      <c r="L158" s="16">
        <f>HYPERLINK("http://www.norm.ai", "www.norm.ai")</f>
      </c>
      <c r="M158" s="16">
        <f>HYPERLINK("https://my.pitchbook.com?c=554358-07", "View Company Online")</f>
      </c>
    </row>
    <row r="159">
      <c r="A159" t="s" s="11">
        <v>885</v>
      </c>
      <c r="B159" t="s" s="11">
        <v>886</v>
      </c>
      <c r="C159" t="s" s="11">
        <v>27</v>
      </c>
      <c r="D159" t="s" s="11">
        <v>70</v>
      </c>
      <c r="E159" t="s" s="11">
        <v>887</v>
      </c>
      <c r="F159" s="28">
        <v>45979</v>
      </c>
      <c r="G159" t="s" s="11">
        <v>40</v>
      </c>
      <c r="H159" s="43">
        <v>106</v>
      </c>
      <c r="I159" s="43">
        <v>1500</v>
      </c>
      <c r="J159" t="s" s="11">
        <v>888</v>
      </c>
      <c r="K159" t="s" s="11">
        <v>889</v>
      </c>
      <c r="L159" s="17">
        <f>HYPERLINK("http://www.paystand.com", "www.paystand.com")</f>
      </c>
      <c r="M159" s="17">
        <f>HYPERLINK("https://my.pitchbook.com?c=62210-71", "View Company Online")</f>
      </c>
    </row>
    <row r="160">
      <c r="A160" t="s" s="10">
        <v>891</v>
      </c>
      <c r="B160" t="s" s="10">
        <v>892</v>
      </c>
      <c r="C160" t="s" s="10">
        <v>128</v>
      </c>
      <c r="D160" t="s" s="10">
        <v>129</v>
      </c>
      <c r="E160" t="s" s="10">
        <v>270</v>
      </c>
      <c r="F160" s="27">
        <v>44636</v>
      </c>
      <c r="G160" t="s" s="10">
        <v>40</v>
      </c>
      <c r="H160" s="42">
        <v>165</v>
      </c>
      <c r="I160" s="42">
        <v>1500</v>
      </c>
      <c r="J160" t="s" s="10">
        <v>893</v>
      </c>
      <c r="K160" t="s" s="10">
        <v>894</v>
      </c>
      <c r="L160" s="16">
        <f>HYPERLINK("http://www.upside.com", "www.upside.com")</f>
      </c>
      <c r="M160" s="16">
        <f>HYPERLINK("https://my.pitchbook.com?c=150350-77", "View Company Online")</f>
      </c>
    </row>
    <row r="161">
      <c r="A161" t="s" s="11">
        <v>896</v>
      </c>
      <c r="B161" t="s" s="11">
        <v>897</v>
      </c>
      <c r="C161" t="s" s="11">
        <v>172</v>
      </c>
      <c r="D161" t="s" s="11">
        <v>338</v>
      </c>
      <c r="E161" t="s" s="11">
        <v>898</v>
      </c>
      <c r="F161" s="28">
        <v>45981</v>
      </c>
      <c r="G161" t="s" s="11">
        <v>48</v>
      </c>
      <c r="H161" t="s" s="43">
        <v>30</v>
      </c>
      <c r="I161" s="43">
        <v>1500</v>
      </c>
      <c r="J161" t="s" s="11">
        <v>899</v>
      </c>
      <c r="K161" t="s" s="11">
        <v>900</v>
      </c>
      <c r="L161" s="17">
        <f>HYPERLINK("http://www.veriff.com", "www.veriff.com")</f>
      </c>
      <c r="M161" s="17">
        <f>HYPERLINK("https://my.pitchbook.com?c=182847-25", "View Company Online")</f>
      </c>
    </row>
    <row r="162">
      <c r="A162" t="s" s="10">
        <v>902</v>
      </c>
      <c r="B162" t="s" s="10">
        <v>903</v>
      </c>
      <c r="C162" t="s" s="10">
        <v>164</v>
      </c>
      <c r="D162" t="s" s="10">
        <v>206</v>
      </c>
      <c r="E162" t="s" s="10">
        <v>904</v>
      </c>
      <c r="F162" s="27">
        <v>46042</v>
      </c>
      <c r="G162" t="s" s="10">
        <v>40</v>
      </c>
      <c r="H162" t="s" s="42">
        <v>30</v>
      </c>
      <c r="I162" s="42">
        <v>1500</v>
      </c>
      <c r="J162" t="s" s="10">
        <v>905</v>
      </c>
      <c r="K162" t="s" s="10">
        <v>906</v>
      </c>
      <c r="L162" s="16">
        <f>HYPERLINK("http://www.zerohash.com", "www.zerohash.com")</f>
      </c>
      <c r="M162" s="16">
        <f>HYPERLINK("https://my.pitchbook.com?c=126941-14", "View Company Online")</f>
      </c>
    </row>
    <row r="163">
      <c r="A163" t="s" s="11">
        <v>908</v>
      </c>
      <c r="B163" t="s" s="11">
        <v>909</v>
      </c>
      <c r="C163" t="s" s="11">
        <v>27</v>
      </c>
      <c r="D163" t="s" s="11">
        <v>28</v>
      </c>
      <c r="E163" t="s" s="11">
        <v>185</v>
      </c>
      <c r="F163" s="28">
        <v>45855</v>
      </c>
      <c r="G163" t="s" s="11">
        <v>72</v>
      </c>
      <c r="H163" s="43">
        <v>25</v>
      </c>
      <c r="I163" s="43">
        <v>1477.56</v>
      </c>
      <c r="J163" t="s" s="11">
        <v>910</v>
      </c>
      <c r="K163" t="s" s="11">
        <v>911</v>
      </c>
      <c r="L163" s="17">
        <f>HYPERLINK("http://www.paddle.com", "www.paddle.com")</f>
      </c>
      <c r="M163" s="17">
        <f>HYPERLINK("https://my.pitchbook.com?c=58964-68", "View Company Online")</f>
      </c>
    </row>
    <row r="164">
      <c r="A164" t="s" s="10">
        <v>913</v>
      </c>
      <c r="B164" t="s" s="10">
        <v>914</v>
      </c>
      <c r="C164" t="s" s="10">
        <v>46</v>
      </c>
      <c r="D164" t="s" s="10">
        <v>915</v>
      </c>
      <c r="E164" t="s" s="10">
        <v>916</v>
      </c>
      <c r="F164" s="27">
        <v>45434</v>
      </c>
      <c r="G164" t="s" s="10">
        <v>607</v>
      </c>
      <c r="H164" t="s" s="42">
        <v>30</v>
      </c>
      <c r="I164" s="42">
        <v>1464.16</v>
      </c>
      <c r="J164" t="s" s="10">
        <v>917</v>
      </c>
      <c r="K164" t="s" s="10">
        <v>918</v>
      </c>
      <c r="L164" s="16">
        <f>HYPERLINK("http://www.pigment.com", "www.pigment.com")</f>
      </c>
      <c r="M164" s="16">
        <f>HYPERLINK("https://my.pitchbook.com?c=435866-68", "View Company Online")</f>
      </c>
    </row>
    <row r="165">
      <c r="A165" t="s" s="11">
        <v>920</v>
      </c>
      <c r="B165" t="s" s="11">
        <v>921</v>
      </c>
      <c r="C165" t="s" s="11">
        <v>27</v>
      </c>
      <c r="D165" t="s" s="11">
        <v>28</v>
      </c>
      <c r="E165" t="s" s="11">
        <v>922</v>
      </c>
      <c r="F165" s="28">
        <v>46141</v>
      </c>
      <c r="G165" t="s" s="11">
        <v>64</v>
      </c>
      <c r="H165" s="43">
        <v>154.84</v>
      </c>
      <c r="I165" s="43">
        <v>1462.55</v>
      </c>
      <c r="J165" t="s" s="11">
        <v>923</v>
      </c>
      <c r="K165" t="s" s="11">
        <v>924</v>
      </c>
      <c r="L165" s="17">
        <f>HYPERLINK("http://www.sunmi.com", "www.sunmi.com")</f>
      </c>
      <c r="M165" s="17">
        <f>HYPERLINK("https://my.pitchbook.com?c=222690-61", "View Company Online")</f>
      </c>
    </row>
    <row r="166">
      <c r="A166" t="s" s="10">
        <v>926</v>
      </c>
      <c r="B166" t="s" s="10">
        <v>927</v>
      </c>
      <c r="C166" t="s" s="10">
        <v>222</v>
      </c>
      <c r="D166" t="s" s="10">
        <v>223</v>
      </c>
      <c r="E166" t="s" s="10">
        <v>928</v>
      </c>
      <c r="F166" s="27">
        <v>44746</v>
      </c>
      <c r="G166" t="s" s="10">
        <v>40</v>
      </c>
      <c r="H166" s="42">
        <v>35.8</v>
      </c>
      <c r="I166" s="42">
        <v>1452.23</v>
      </c>
      <c r="J166" t="s" s="10">
        <v>929</v>
      </c>
      <c r="K166" t="s" s="10">
        <v>930</v>
      </c>
      <c r="L166" s="16">
        <f>HYPERLINK("http://www.ouyeel.com", "www.ouyeel.com")</f>
      </c>
      <c r="M166" s="16">
        <f>HYPERLINK("https://my.pitchbook.com?c=181699-66", "View Company Online")</f>
      </c>
    </row>
    <row r="167">
      <c r="A167" t="s" s="11">
        <v>932</v>
      </c>
      <c r="B167" t="s" s="11">
        <v>933</v>
      </c>
      <c r="C167" t="s" s="11">
        <v>164</v>
      </c>
      <c r="D167" t="s" s="11">
        <v>934</v>
      </c>
      <c r="E167" t="s" s="11">
        <v>916</v>
      </c>
      <c r="F167" s="28">
        <v>46058</v>
      </c>
      <c r="G167" t="s" s="11">
        <v>146</v>
      </c>
      <c r="H167" s="43">
        <v>225</v>
      </c>
      <c r="I167" s="43">
        <v>1451.61</v>
      </c>
      <c r="J167" t="s" s="11">
        <v>935</v>
      </c>
      <c r="K167" t="s" s="11">
        <v>936</v>
      </c>
      <c r="L167" s="17">
        <f>HYPERLINK("http://fundamental.tech", "fundamental.tech")</f>
      </c>
      <c r="M167" s="17">
        <f>HYPERLINK("https://my.pitchbook.com?c=1158146-29", "View Company Online")</f>
      </c>
    </row>
    <row r="168">
      <c r="A168" t="s" s="10">
        <v>938</v>
      </c>
      <c r="B168" t="s" s="10">
        <v>939</v>
      </c>
      <c r="C168" t="s" s="10">
        <v>128</v>
      </c>
      <c r="D168" t="s" s="10">
        <v>199</v>
      </c>
      <c r="E168" t="s" s="10">
        <v>29</v>
      </c>
      <c r="F168" s="27">
        <v>44391</v>
      </c>
      <c r="G168" t="s" s="10">
        <v>40</v>
      </c>
      <c r="H168" s="42">
        <v>150</v>
      </c>
      <c r="I168" s="42">
        <v>1429</v>
      </c>
      <c r="J168" t="s" s="10">
        <v>940</v>
      </c>
      <c r="K168" t="s" s="10">
        <v>941</v>
      </c>
      <c r="L168" s="16">
        <f>HYPERLINK("http://www.m1.com", "www.m1.com")</f>
      </c>
      <c r="M168" s="16">
        <f>HYPERLINK("https://my.pitchbook.com?c=166288-96", "View Company Online")</f>
      </c>
    </row>
    <row r="169">
      <c r="A169" t="s" s="11">
        <v>943</v>
      </c>
      <c r="B169" t="s" s="11">
        <v>944</v>
      </c>
      <c r="C169" t="s" s="11">
        <v>37</v>
      </c>
      <c r="D169" t="s" s="11">
        <v>304</v>
      </c>
      <c r="E169" t="s" s="11">
        <v>945</v>
      </c>
      <c r="F169" s="28">
        <v>45962</v>
      </c>
      <c r="G169" t="s" s="11">
        <v>40</v>
      </c>
      <c r="H169" t="s" s="43">
        <v>30</v>
      </c>
      <c r="I169" s="43">
        <v>1423</v>
      </c>
      <c r="J169" t="s" s="11">
        <v>946</v>
      </c>
      <c r="K169" t="s" s="11">
        <v>947</v>
      </c>
      <c r="L169" s="17">
        <f>HYPERLINK("http://www.array.com", "www.array.com")</f>
      </c>
      <c r="M169" s="17">
        <f>HYPERLINK("https://my.pitchbook.com?c=462664-45", "View Company Online")</f>
      </c>
    </row>
    <row r="170">
      <c r="A170" t="s" s="10">
        <v>949</v>
      </c>
      <c r="B170" t="s" s="10">
        <v>950</v>
      </c>
      <c r="C170" t="s" s="10">
        <v>27</v>
      </c>
      <c r="D170" t="s" s="10">
        <v>122</v>
      </c>
      <c r="E170" t="s" s="10">
        <v>951</v>
      </c>
      <c r="F170" s="27">
        <v>45775</v>
      </c>
      <c r="G170" t="s" s="10">
        <v>40</v>
      </c>
      <c r="H170" s="42">
        <v>151.34</v>
      </c>
      <c r="I170" s="42">
        <v>1412.97</v>
      </c>
      <c r="J170" t="s" s="10">
        <v>952</v>
      </c>
      <c r="K170" t="s" s="10">
        <v>953</v>
      </c>
      <c r="L170" s="16">
        <f>HYPERLINK("http://www.thunes.com", "www.thunes.com")</f>
      </c>
      <c r="M170" s="16">
        <f>HYPERLINK("https://my.pitchbook.com?c=267243-76", "View Company Online")</f>
      </c>
    </row>
    <row r="171">
      <c r="A171" t="s" s="11">
        <v>955</v>
      </c>
      <c r="B171" t="s" s="11">
        <v>956</v>
      </c>
      <c r="C171" t="s" s="11">
        <v>222</v>
      </c>
      <c r="D171" t="s" s="11">
        <v>235</v>
      </c>
      <c r="E171" t="s" s="11">
        <v>367</v>
      </c>
      <c r="F171" s="28">
        <v>45737</v>
      </c>
      <c r="G171" t="s" s="11">
        <v>584</v>
      </c>
      <c r="H171" s="43">
        <v>450</v>
      </c>
      <c r="I171" s="43">
        <v>1400</v>
      </c>
      <c r="J171" t="s" s="11">
        <v>957</v>
      </c>
      <c r="K171" t="s" s="11">
        <v>958</v>
      </c>
      <c r="L171" s="17">
        <f>HYPERLINK("http://www.liquidity.com", "www.liquidity.com")</f>
      </c>
      <c r="M171" s="17">
        <f>HYPERLINK("https://my.pitchbook.com?c=264599-92", "View Company Online")</f>
      </c>
    </row>
    <row r="172">
      <c r="A172" t="s" s="10">
        <v>960</v>
      </c>
      <c r="B172" t="s" s="10">
        <v>961</v>
      </c>
      <c r="C172" t="s" s="10">
        <v>144</v>
      </c>
      <c r="D172" t="s" s="10">
        <v>38</v>
      </c>
      <c r="E172" t="s" s="10">
        <v>193</v>
      </c>
      <c r="F172" s="27">
        <v>46128</v>
      </c>
      <c r="G172" t="s" s="10">
        <v>40</v>
      </c>
      <c r="H172" s="42">
        <v>100</v>
      </c>
      <c r="I172" s="42">
        <v>1400</v>
      </c>
      <c r="J172" t="s" s="10">
        <v>962</v>
      </c>
      <c r="K172" t="s" s="10">
        <v>963</v>
      </c>
      <c r="L172" s="16">
        <f>HYPERLINK("http://www.slash.com", "www.slash.com")</f>
      </c>
      <c r="M172" s="16">
        <f>HYPERLINK("https://my.pitchbook.com?c=442989-28", "View Company Online")</f>
      </c>
    </row>
    <row r="173">
      <c r="A173" t="s" s="11">
        <v>965</v>
      </c>
      <c r="B173" t="s" s="11">
        <v>966</v>
      </c>
      <c r="C173" t="s" s="11">
        <v>37</v>
      </c>
      <c r="D173" t="s" s="11">
        <v>304</v>
      </c>
      <c r="E173" t="s" s="11">
        <v>967</v>
      </c>
      <c r="F173" s="28">
        <v>46000</v>
      </c>
      <c r="G173" t="s" s="11">
        <v>31</v>
      </c>
      <c r="H173" s="43">
        <v>81.14</v>
      </c>
      <c r="I173" s="43">
        <v>1352.79</v>
      </c>
      <c r="J173" t="s" s="11">
        <v>968</v>
      </c>
      <c r="K173" t="s" s="11">
        <v>969</v>
      </c>
      <c r="L173" s="17">
        <f>HYPERLINK("http://www.scalapay.com", "www.scalapay.com")</f>
      </c>
      <c r="M173" s="17">
        <f>HYPERLINK("https://my.pitchbook.com?c=343124-74", "View Company Online")</f>
      </c>
    </row>
    <row r="174">
      <c r="A174" t="s" s="10">
        <v>971</v>
      </c>
      <c r="B174" t="s" s="10">
        <v>972</v>
      </c>
      <c r="C174" t="s" s="10">
        <v>144</v>
      </c>
      <c r="D174" t="s" s="10">
        <v>38</v>
      </c>
      <c r="E174" t="s" s="10">
        <v>973</v>
      </c>
      <c r="F174" s="27">
        <v>45951</v>
      </c>
      <c r="G174" t="s" s="10">
        <v>48</v>
      </c>
      <c r="H174" t="s" s="42">
        <v>30</v>
      </c>
      <c r="I174" s="42">
        <v>1350</v>
      </c>
      <c r="J174" t="s" s="10">
        <v>974</v>
      </c>
      <c r="K174" t="s" s="10">
        <v>975</v>
      </c>
      <c r="L174" s="16">
        <f>HYPERLINK("http://www.moniepoint.com", "www.moniepoint.com")</f>
      </c>
      <c r="M174" s="16">
        <f>HYPERLINK("https://my.pitchbook.com?c=265754-98", "View Company Online")</f>
      </c>
    </row>
    <row r="175">
      <c r="A175" t="s" s="11">
        <v>977</v>
      </c>
      <c r="B175" t="s" s="11">
        <v>978</v>
      </c>
      <c r="C175" t="s" s="11">
        <v>27</v>
      </c>
      <c r="D175" t="s" s="11">
        <v>122</v>
      </c>
      <c r="E175" t="s" s="11">
        <v>979</v>
      </c>
      <c r="F175" s="28">
        <v>45447</v>
      </c>
      <c r="G175" t="s" s="11">
        <v>40</v>
      </c>
      <c r="H175" s="43">
        <v>52</v>
      </c>
      <c r="I175" s="43">
        <v>1336.16</v>
      </c>
      <c r="J175" t="s" s="11">
        <v>980</v>
      </c>
      <c r="K175" t="s" s="11">
        <v>981</v>
      </c>
      <c r="L175" s="17">
        <f>HYPERLINK("http://www.nium.com", "www.nium.com")</f>
      </c>
      <c r="M175" s="17">
        <f>HYPERLINK("https://my.pitchbook.com?c=113844-16", "View Company Online")</f>
      </c>
    </row>
    <row r="176">
      <c r="A176" t="s" s="10">
        <v>983</v>
      </c>
      <c r="B176" t="s" s="10">
        <v>984</v>
      </c>
      <c r="C176" t="s" s="10">
        <v>37</v>
      </c>
      <c r="D176" t="s" s="10">
        <v>38</v>
      </c>
      <c r="E176" t="s" s="10">
        <v>270</v>
      </c>
      <c r="F176" s="27">
        <v>45621</v>
      </c>
      <c r="G176" t="s" s="10">
        <v>40</v>
      </c>
      <c r="H176" s="42">
        <v>2.84</v>
      </c>
      <c r="I176" s="42">
        <v>1332.93</v>
      </c>
      <c r="J176" t="s" s="10">
        <v>985</v>
      </c>
      <c r="K176" t="s" s="10">
        <v>986</v>
      </c>
      <c r="L176" s="16">
        <f>HYPERLINK("http://www.getonecard.app", "www.getonecard.app")</f>
      </c>
      <c r="M176" s="16">
        <f>HYPERLINK("https://my.pitchbook.com?c=280085-77", "View Company Online")</f>
      </c>
    </row>
    <row r="177">
      <c r="A177" t="s" s="11">
        <v>988</v>
      </c>
      <c r="B177" t="s" s="11">
        <v>989</v>
      </c>
      <c r="C177" t="s" s="11">
        <v>172</v>
      </c>
      <c r="D177" t="s" s="11">
        <v>338</v>
      </c>
      <c r="E177" t="s" s="11">
        <v>253</v>
      </c>
      <c r="F177" t="s" s="28">
        <v>30</v>
      </c>
      <c r="G177" t="s" s="11">
        <v>48</v>
      </c>
      <c r="H177" t="s" s="43">
        <v>30</v>
      </c>
      <c r="I177" s="43">
        <v>1330</v>
      </c>
      <c r="J177" t="s" s="11">
        <v>990</v>
      </c>
      <c r="K177" t="s" s="11">
        <v>991</v>
      </c>
      <c r="L177" s="17">
        <f>HYPERLINK("http://www.taxbit.com", "www.taxbit.com")</f>
      </c>
      <c r="M177" s="17">
        <f>HYPERLINK("https://my.pitchbook.com?c=268290-46", "View Company Online")</f>
      </c>
    </row>
    <row r="178">
      <c r="A178" t="s" s="10">
        <v>993</v>
      </c>
      <c r="B178" t="s" s="10">
        <v>994</v>
      </c>
      <c r="C178" t="s" s="10">
        <v>60</v>
      </c>
      <c r="D178" t="s" s="10">
        <v>420</v>
      </c>
      <c r="E178" t="s" s="10">
        <v>995</v>
      </c>
      <c r="F178" s="27">
        <v>46189</v>
      </c>
      <c r="G178" t="s" s="10">
        <v>40</v>
      </c>
      <c r="H178" s="42">
        <v>130</v>
      </c>
      <c r="I178" s="42">
        <v>1305</v>
      </c>
      <c r="J178" t="s" s="10">
        <v>996</v>
      </c>
      <c r="K178" t="s" s="10">
        <v>997</v>
      </c>
      <c r="L178" s="16">
        <f>HYPERLINK("http://www.itrustcapital.com", "www.itrustcapital.com")</f>
      </c>
      <c r="M178" s="16">
        <f>HYPERLINK("https://my.pitchbook.com?c=454899-34", "View Company Online")</f>
      </c>
    </row>
    <row r="179">
      <c r="A179" t="s" s="11">
        <v>999</v>
      </c>
      <c r="B179" t="s" s="11">
        <v>1000</v>
      </c>
      <c r="C179" t="s" s="11">
        <v>60</v>
      </c>
      <c r="D179" t="s" s="11">
        <v>246</v>
      </c>
      <c r="E179" t="s" s="11">
        <v>859</v>
      </c>
      <c r="F179" t="s" s="28">
        <v>30</v>
      </c>
      <c r="G179" t="s" s="11">
        <v>40</v>
      </c>
      <c r="H179" t="s" s="43">
        <v>30</v>
      </c>
      <c r="I179" s="43">
        <v>1300</v>
      </c>
      <c r="J179" t="s" s="11">
        <v>1001</v>
      </c>
      <c r="K179" t="s" s="11">
        <v>1002</v>
      </c>
      <c r="L179" s="17">
        <f>HYPERLINK("http://www.betterment.com", "www.betterment.com")</f>
      </c>
      <c r="M179" s="17">
        <f>HYPERLINK("https://my.pitchbook.com?c=51346-81", "View Company Online")</f>
      </c>
    </row>
    <row r="180">
      <c r="A180" t="s" s="10">
        <v>1004</v>
      </c>
      <c r="B180" t="s" s="10">
        <v>1005</v>
      </c>
      <c r="C180" t="s" s="10">
        <v>144</v>
      </c>
      <c r="D180" t="s" s="10">
        <v>38</v>
      </c>
      <c r="E180" t="s" s="10">
        <v>1006</v>
      </c>
      <c r="F180" s="27">
        <v>45902</v>
      </c>
      <c r="G180" t="s" s="10">
        <v>40</v>
      </c>
      <c r="H180" s="42">
        <v>100</v>
      </c>
      <c r="I180" s="42">
        <v>1300</v>
      </c>
      <c r="J180" t="s" s="10">
        <v>1007</v>
      </c>
      <c r="K180" t="s" s="10">
        <v>1008</v>
      </c>
      <c r="L180" s="16">
        <f>HYPERLINK("http://www.kapital.com", "www.kapital.com")</f>
      </c>
      <c r="M180" s="16">
        <f>HYPERLINK("https://my.pitchbook.com?c=493372-90", "View Company Online")</f>
      </c>
    </row>
    <row r="181">
      <c r="A181" t="s" s="11">
        <v>1010</v>
      </c>
      <c r="B181" t="s" s="11">
        <v>1011</v>
      </c>
      <c r="C181" t="s" s="11">
        <v>114</v>
      </c>
      <c r="D181" t="s" s="11">
        <v>852</v>
      </c>
      <c r="E181" t="s" s="11">
        <v>193</v>
      </c>
      <c r="F181" s="28">
        <v>46204</v>
      </c>
      <c r="G181" t="s" s="11">
        <v>40</v>
      </c>
      <c r="H181" t="s" s="43">
        <v>30</v>
      </c>
      <c r="I181" s="43">
        <v>1300</v>
      </c>
      <c r="J181" t="s" s="11">
        <v>1012</v>
      </c>
      <c r="K181" t="s" s="11">
        <v>1013</v>
      </c>
      <c r="L181" s="17">
        <f>HYPERLINK("http://www.konfio.mx", "www.konfio.mx")</f>
      </c>
      <c r="M181" s="17">
        <f>HYPERLINK("https://my.pitchbook.com?c=93703-42", "View Company Online")</f>
      </c>
    </row>
    <row r="182">
      <c r="A182" t="s" s="10">
        <v>1015</v>
      </c>
      <c r="B182" t="s" s="10">
        <v>1016</v>
      </c>
      <c r="C182" t="s" s="10">
        <v>37</v>
      </c>
      <c r="D182" t="s" s="10">
        <v>304</v>
      </c>
      <c r="E182" t="s" s="10">
        <v>193</v>
      </c>
      <c r="F182" t="s" s="27">
        <v>30</v>
      </c>
      <c r="G182" t="s" s="10">
        <v>40</v>
      </c>
      <c r="H182" s="42">
        <v>100</v>
      </c>
      <c r="I182" s="42">
        <v>1300</v>
      </c>
      <c r="J182" t="s" s="10">
        <v>1017</v>
      </c>
      <c r="K182" t="s" s="10">
        <v>1018</v>
      </c>
      <c r="L182" s="16">
        <f>HYPERLINK("http://www.slice.bank.in", "www.slice.bank.in")</f>
      </c>
      <c r="M182" s="16">
        <f>HYPERLINK("https://my.pitchbook.com?c=153720-37", "View Company Online")</f>
      </c>
    </row>
    <row r="183">
      <c r="A183" t="s" s="11">
        <v>1020</v>
      </c>
      <c r="B183" t="s" s="11">
        <v>1021</v>
      </c>
      <c r="C183" t="s" s="11">
        <v>60</v>
      </c>
      <c r="D183" t="s" s="11">
        <v>246</v>
      </c>
      <c r="E183" t="s" s="11">
        <v>137</v>
      </c>
      <c r="F183" s="28">
        <v>46146</v>
      </c>
      <c r="G183" t="s" s="11">
        <v>40</v>
      </c>
      <c r="H183" s="43">
        <v>150</v>
      </c>
      <c r="I183" s="43">
        <v>1250</v>
      </c>
      <c r="J183" t="s" s="11">
        <v>1022</v>
      </c>
      <c r="K183" t="s" s="11">
        <v>1023</v>
      </c>
      <c r="L183" s="17">
        <f>HYPERLINK("http://www.farther.com", "www.farther.com")</f>
      </c>
      <c r="M183" s="17">
        <f>HYPERLINK("https://my.pitchbook.com?c=338656-51", "View Company Online")</f>
      </c>
    </row>
    <row r="184">
      <c r="A184" t="s" s="10">
        <v>1025</v>
      </c>
      <c r="B184" t="s" s="10">
        <v>1026</v>
      </c>
      <c r="C184" t="s" s="10">
        <v>46</v>
      </c>
      <c r="D184" t="s" s="10">
        <v>397</v>
      </c>
      <c r="E184" t="s" s="10">
        <v>185</v>
      </c>
      <c r="F184" t="s" s="27">
        <v>30</v>
      </c>
      <c r="G184" t="s" s="10">
        <v>40</v>
      </c>
      <c r="H184" t="s" s="42">
        <v>30</v>
      </c>
      <c r="I184" s="42">
        <v>1250</v>
      </c>
      <c r="J184" t="s" s="10">
        <v>1027</v>
      </c>
      <c r="K184" t="s" s="10">
        <v>1028</v>
      </c>
      <c r="L184" s="16">
        <f>HYPERLINK("http://www.pilot.com", "www.pilot.com")</f>
      </c>
      <c r="M184" s="16">
        <f>HYPERLINK("https://my.pitchbook.com?c=226728-64", "View Company Online")</f>
      </c>
    </row>
    <row r="185">
      <c r="A185" t="s" s="11">
        <v>1030</v>
      </c>
      <c r="B185" t="s" s="11">
        <v>1031</v>
      </c>
      <c r="C185" t="s" s="11">
        <v>60</v>
      </c>
      <c r="D185" t="s" s="11">
        <v>246</v>
      </c>
      <c r="E185" t="s" s="11">
        <v>1032</v>
      </c>
      <c r="F185" s="28">
        <v>46002</v>
      </c>
      <c r="G185" t="s" s="11">
        <v>40</v>
      </c>
      <c r="H185" s="43">
        <v>50</v>
      </c>
      <c r="I185" s="43">
        <v>1200</v>
      </c>
      <c r="J185" t="s" s="11">
        <v>1033</v>
      </c>
      <c r="K185" t="s" s="11">
        <v>1034</v>
      </c>
      <c r="L185" s="17">
        <f>HYPERLINK("http://www.esusurent.com", "www.esusurent.com")</f>
      </c>
      <c r="M185" s="17">
        <f>HYPERLINK("https://my.pitchbook.com?c=230976-73", "View Company Online")</f>
      </c>
    </row>
    <row r="186">
      <c r="A186" t="s" s="10">
        <v>1036</v>
      </c>
      <c r="B186" t="s" s="10">
        <v>1037</v>
      </c>
      <c r="C186" t="s" s="10">
        <v>46</v>
      </c>
      <c r="D186" t="s" s="10">
        <v>47</v>
      </c>
      <c r="E186" t="s" s="10">
        <v>1038</v>
      </c>
      <c r="F186" s="27">
        <v>46164</v>
      </c>
      <c r="G186" t="s" s="10">
        <v>40</v>
      </c>
      <c r="H186" s="42">
        <v>70</v>
      </c>
      <c r="I186" s="42">
        <v>1200</v>
      </c>
      <c r="J186" t="s" s="10">
        <v>1039</v>
      </c>
      <c r="K186" t="s" s="10">
        <v>1040</v>
      </c>
      <c r="L186" s="16">
        <f>HYPERLINK("http://www.flex.one", "www.flex.one")</f>
      </c>
      <c r="M186" s="16">
        <f>HYPERLINK("https://my.pitchbook.com?c=454650-67", "View Company Online")</f>
      </c>
    </row>
    <row r="187">
      <c r="A187" t="s" s="11">
        <v>1042</v>
      </c>
      <c r="B187" t="s" s="11">
        <v>1043</v>
      </c>
      <c r="C187" t="s" s="11">
        <v>37</v>
      </c>
      <c r="D187" t="s" s="11">
        <v>304</v>
      </c>
      <c r="E187" t="s" s="11">
        <v>137</v>
      </c>
      <c r="F187" s="28">
        <v>45995</v>
      </c>
      <c r="G187" t="s" s="11">
        <v>40</v>
      </c>
      <c r="H187" s="43">
        <v>149.41</v>
      </c>
      <c r="I187" s="43">
        <v>1200</v>
      </c>
      <c r="J187" t="s" s="11">
        <v>1044</v>
      </c>
      <c r="K187" t="s" s="11">
        <v>1045</v>
      </c>
      <c r="L187" s="17">
        <f>HYPERLINK("http://www.imprint.co", "www.imprint.co")</f>
      </c>
      <c r="M187" s="17">
        <f>HYPERLINK("https://my.pitchbook.com?c=458649-28", "View Company Online")</f>
      </c>
    </row>
    <row r="188">
      <c r="A188" t="s" s="10">
        <v>1047</v>
      </c>
      <c r="B188" t="s" s="10">
        <v>1048</v>
      </c>
      <c r="C188" t="s" s="10">
        <v>27</v>
      </c>
      <c r="D188" t="s" s="10">
        <v>70</v>
      </c>
      <c r="E188" t="s" s="10">
        <v>259</v>
      </c>
      <c r="F188" s="27">
        <v>46045</v>
      </c>
      <c r="G188" t="s" s="10">
        <v>40</v>
      </c>
      <c r="H188" s="42">
        <v>110</v>
      </c>
      <c r="I188" s="42">
        <v>1200</v>
      </c>
      <c r="J188" t="s" s="10">
        <v>1049</v>
      </c>
      <c r="K188" t="s" s="10">
        <v>1050</v>
      </c>
      <c r="L188" s="16">
        <f>HYPERLINK("http://www.juspay.io", "www.juspay.io")</f>
      </c>
      <c r="M188" s="16">
        <f>HYPERLINK("https://my.pitchbook.com?c=634680-91", "View Company Online")</f>
      </c>
    </row>
    <row r="189">
      <c r="A189" t="s" s="11">
        <v>1052</v>
      </c>
      <c r="B189" t="s" s="11">
        <v>1053</v>
      </c>
      <c r="C189" t="s" s="11">
        <v>114</v>
      </c>
      <c r="D189" t="s" s="11">
        <v>136</v>
      </c>
      <c r="E189" t="s" s="11">
        <v>1054</v>
      </c>
      <c r="F189" s="28">
        <v>45790</v>
      </c>
      <c r="G189" t="s" s="11">
        <v>64</v>
      </c>
      <c r="H189" t="s" s="43">
        <v>30</v>
      </c>
      <c r="I189" s="43">
        <v>1200</v>
      </c>
      <c r="J189" t="s" s="11">
        <v>1055</v>
      </c>
      <c r="K189" t="s" s="11">
        <v>1056</v>
      </c>
      <c r="L189" s="17">
        <f>HYPERLINK("http://www.moneyview.in", "www.moneyview.in")</f>
      </c>
      <c r="M189" s="17">
        <f>HYPERLINK("https://my.pitchbook.com?c=109314-73", "View Company Online")</f>
      </c>
    </row>
    <row r="190">
      <c r="A190" t="s" s="10">
        <v>1058</v>
      </c>
      <c r="B190" t="s" s="10">
        <v>1059</v>
      </c>
      <c r="C190" t="s" s="10">
        <v>60</v>
      </c>
      <c r="D190" t="s" s="10">
        <v>727</v>
      </c>
      <c r="E190" t="s" s="10">
        <v>137</v>
      </c>
      <c r="F190" s="27">
        <v>45936</v>
      </c>
      <c r="G190" t="s" s="10">
        <v>146</v>
      </c>
      <c r="H190" s="42">
        <v>120</v>
      </c>
      <c r="I190" s="42">
        <v>1200</v>
      </c>
      <c r="J190" t="s" s="10">
        <v>1060</v>
      </c>
      <c r="K190" t="s" s="10">
        <v>1061</v>
      </c>
      <c r="L190" s="16">
        <f>HYPERLINK("http://www.raiseholding.co", "www.raiseholding.co")</f>
      </c>
      <c r="M190" s="16">
        <f>HYPERLINK("https://my.pitchbook.com?c=461970-91", "View Company Online")</f>
      </c>
    </row>
    <row r="191">
      <c r="A191" t="s" s="11">
        <v>1063</v>
      </c>
      <c r="B191" t="s" s="11">
        <v>1064</v>
      </c>
      <c r="C191" t="s" s="11">
        <v>37</v>
      </c>
      <c r="D191" t="s" s="11">
        <v>304</v>
      </c>
      <c r="E191" t="s" s="11">
        <v>1065</v>
      </c>
      <c r="F191" s="28">
        <v>45881</v>
      </c>
      <c r="G191" t="s" s="11">
        <v>64</v>
      </c>
      <c r="H191" t="s" s="43">
        <v>30</v>
      </c>
      <c r="I191" s="43">
        <v>1200</v>
      </c>
      <c r="J191" t="s" s="11">
        <v>1066</v>
      </c>
      <c r="K191" t="s" s="11">
        <v>1067</v>
      </c>
      <c r="L191" s="17">
        <f>HYPERLINK("http://www.storicard.com", "www.storicard.com")</f>
      </c>
      <c r="M191" s="17">
        <f>HYPERLINK("https://my.pitchbook.com?c=294878-26", "View Company Online")</f>
      </c>
    </row>
    <row r="192">
      <c r="A192" t="s" s="10">
        <v>1069</v>
      </c>
      <c r="B192" t="s" s="10">
        <v>1070</v>
      </c>
      <c r="C192" t="s" s="10">
        <v>60</v>
      </c>
      <c r="D192" t="s" s="10">
        <v>246</v>
      </c>
      <c r="E192" t="s" s="10">
        <v>1071</v>
      </c>
      <c r="F192" s="27">
        <v>46210</v>
      </c>
      <c r="G192" t="s" s="10">
        <v>40</v>
      </c>
      <c r="H192" s="42">
        <v>65</v>
      </c>
      <c r="I192" s="42">
        <v>1200</v>
      </c>
      <c r="J192" t="s" s="10">
        <v>1072</v>
      </c>
      <c r="K192" t="s" s="10">
        <v>1073</v>
      </c>
      <c r="L192" s="16">
        <f>HYPERLINK("http://www.super.com", "www.super.com")</f>
      </c>
      <c r="M192" s="16">
        <f>HYPERLINK("https://my.pitchbook.com?c=162586-36", "View Company Online")</f>
      </c>
    </row>
    <row r="193">
      <c r="A193" t="s" s="11">
        <v>1075</v>
      </c>
      <c r="B193" t="s" s="11">
        <v>1076</v>
      </c>
      <c r="C193" t="s" s="11">
        <v>164</v>
      </c>
      <c r="D193" t="s" s="11">
        <v>206</v>
      </c>
      <c r="E193" t="s" s="11">
        <v>137</v>
      </c>
      <c r="F193" t="s" s="28">
        <v>30</v>
      </c>
      <c r="G193" t="s" s="11">
        <v>40</v>
      </c>
      <c r="H193" t="s" s="43">
        <v>30</v>
      </c>
      <c r="I193" s="43">
        <v>1200</v>
      </c>
      <c r="J193" t="s" s="11">
        <v>1077</v>
      </c>
      <c r="K193" t="s" s="11">
        <v>1078</v>
      </c>
      <c r="L193" s="17">
        <f>HYPERLINK("http://www.unit.co", "www.unit.co")</f>
      </c>
      <c r="M193" s="17">
        <f>HYPERLINK("https://my.pitchbook.com?c=437250-97", "View Company Online")</f>
      </c>
    </row>
    <row r="194">
      <c r="A194" t="s" s="10">
        <v>1080</v>
      </c>
      <c r="B194" t="s" s="10">
        <v>1081</v>
      </c>
      <c r="C194" t="s" s="10">
        <v>222</v>
      </c>
      <c r="D194" t="s" s="10">
        <v>537</v>
      </c>
      <c r="E194" t="s" s="10">
        <v>1082</v>
      </c>
      <c r="F194" t="s" s="27">
        <v>30</v>
      </c>
      <c r="G194" t="s" s="10">
        <v>40</v>
      </c>
      <c r="H194" t="s" s="42">
        <v>30</v>
      </c>
      <c r="I194" s="42">
        <v>1200</v>
      </c>
      <c r="J194" t="s" s="10">
        <v>1083</v>
      </c>
      <c r="K194" t="s" s="10">
        <v>1084</v>
      </c>
      <c r="L194" s="16">
        <f>HYPERLINK("http://www.xpansiv.com", "www.xpansiv.com")</f>
      </c>
      <c r="M194" s="16">
        <f>HYPERLINK("https://my.pitchbook.com?c=186641-83", "View Company Online")</f>
      </c>
    </row>
    <row r="195">
      <c r="A195" t="s" s="11">
        <v>1086</v>
      </c>
      <c r="B195" t="s" s="11">
        <v>1087</v>
      </c>
      <c r="C195" t="s" s="11">
        <v>114</v>
      </c>
      <c r="D195" t="s" s="11">
        <v>136</v>
      </c>
      <c r="E195" t="s" s="11">
        <v>270</v>
      </c>
      <c r="F195" s="28">
        <v>46023</v>
      </c>
      <c r="G195" t="s" s="11">
        <v>40</v>
      </c>
      <c r="H195" t="s" s="43">
        <v>30</v>
      </c>
      <c r="I195" s="43">
        <v>1172.59</v>
      </c>
      <c r="J195" t="s" s="11">
        <v>1088</v>
      </c>
      <c r="K195" t="s" s="11">
        <v>1089</v>
      </c>
      <c r="L195" s="17">
        <f>HYPERLINK("http://www.zopa.com", "www.zopa.com")</f>
      </c>
      <c r="M195" s="17">
        <f>HYPERLINK("https://my.pitchbook.com?c=53964-82", "View Company Online")</f>
      </c>
    </row>
    <row r="196">
      <c r="A196" t="s" s="10">
        <v>1091</v>
      </c>
      <c r="B196" t="s" s="10">
        <v>1092</v>
      </c>
      <c r="C196" t="s" s="10">
        <v>114</v>
      </c>
      <c r="D196" t="s" s="10">
        <v>136</v>
      </c>
      <c r="E196" t="s" s="10">
        <v>1093</v>
      </c>
      <c r="F196" s="27">
        <v>44700</v>
      </c>
      <c r="G196" t="s" s="10">
        <v>40</v>
      </c>
      <c r="H196" s="42">
        <v>116.28</v>
      </c>
      <c r="I196" s="42">
        <v>1170</v>
      </c>
      <c r="J196" t="s" s="10">
        <v>1094</v>
      </c>
      <c r="K196" t="s" s="10">
        <v>1095</v>
      </c>
      <c r="L196" s="16">
        <f>HYPERLINK("http://www.caribou.com", "www.caribou.com")</f>
      </c>
      <c r="M196" s="16">
        <f>HYPERLINK("https://my.pitchbook.com?c=225758-08", "View Company Online")</f>
      </c>
    </row>
    <row r="197">
      <c r="A197" t="s" s="11">
        <v>1097</v>
      </c>
      <c r="B197" t="s" s="11">
        <v>1098</v>
      </c>
      <c r="C197" t="s" s="11">
        <v>222</v>
      </c>
      <c r="D197" t="s" s="11">
        <v>235</v>
      </c>
      <c r="E197" t="s" s="11">
        <v>253</v>
      </c>
      <c r="F197" s="28">
        <v>45991</v>
      </c>
      <c r="G197" t="s" s="11">
        <v>40</v>
      </c>
      <c r="H197" s="43">
        <v>46.4</v>
      </c>
      <c r="I197" s="43">
        <v>1166.05</v>
      </c>
      <c r="J197" t="s" s="11">
        <v>1099</v>
      </c>
      <c r="K197" t="s" s="11">
        <v>1100</v>
      </c>
      <c r="L197" s="17">
        <f>HYPERLINK("http://www.go-yubi.com", "www.go-yubi.com")</f>
      </c>
      <c r="M197" s="17">
        <f>HYPERLINK("https://my.pitchbook.com?c=472212-01", "View Company Online")</f>
      </c>
    </row>
    <row r="198">
      <c r="A198" t="s" s="10">
        <v>1102</v>
      </c>
      <c r="B198" t="s" s="10">
        <v>1103</v>
      </c>
      <c r="C198" t="s" s="10">
        <v>128</v>
      </c>
      <c r="D198" t="s" s="10">
        <v>276</v>
      </c>
      <c r="E198" t="s" s="10">
        <v>345</v>
      </c>
      <c r="F198" s="27">
        <v>46027</v>
      </c>
      <c r="G198" t="s" s="10">
        <v>40</v>
      </c>
      <c r="H198" t="s" s="42">
        <v>30</v>
      </c>
      <c r="I198" s="42">
        <v>1165</v>
      </c>
      <c r="J198" t="s" s="10">
        <v>1104</v>
      </c>
      <c r="K198" t="s" s="10">
        <v>1105</v>
      </c>
      <c r="L198" s="16">
        <f>HYPERLINK("http://www.taptapsend.com", "www.taptapsend.com")</f>
      </c>
      <c r="M198" s="16">
        <f>HYPERLINK("https://my.pitchbook.com?c=277209-37", "View Company Online")</f>
      </c>
    </row>
    <row r="199">
      <c r="A199" t="s" s="11">
        <v>1107</v>
      </c>
      <c r="B199" t="s" s="11">
        <v>1108</v>
      </c>
      <c r="C199" t="s" s="11">
        <v>128</v>
      </c>
      <c r="D199" t="s" s="11">
        <v>276</v>
      </c>
      <c r="E199" t="s" s="11">
        <v>1109</v>
      </c>
      <c r="F199" s="28">
        <v>46184</v>
      </c>
      <c r="G199" t="s" s="11">
        <v>40</v>
      </c>
      <c r="H199" s="43">
        <v>69.69</v>
      </c>
      <c r="I199" s="43">
        <v>1161.53</v>
      </c>
      <c r="J199" t="s" s="11">
        <v>1110</v>
      </c>
      <c r="K199" t="s" s="11">
        <v>1111</v>
      </c>
      <c r="L199" s="17">
        <f>HYPERLINK("http://www.satispay.com", "www.satispay.com")</f>
      </c>
      <c r="M199" s="17">
        <f>HYPERLINK("https://my.pitchbook.com?c=95062-42", "View Company Online")</f>
      </c>
    </row>
    <row r="200">
      <c r="A200" t="s" s="10">
        <v>1113</v>
      </c>
      <c r="B200" t="s" s="10">
        <v>1114</v>
      </c>
      <c r="C200" t="s" s="10">
        <v>114</v>
      </c>
      <c r="D200" t="s" s="10">
        <v>136</v>
      </c>
      <c r="E200" t="s" s="10">
        <v>137</v>
      </c>
      <c r="F200" t="s" s="27">
        <v>30</v>
      </c>
      <c r="G200" t="s" s="10">
        <v>48</v>
      </c>
      <c r="H200" t="s" s="42">
        <v>30</v>
      </c>
      <c r="I200" s="42">
        <v>1152.56</v>
      </c>
      <c r="J200" t="s" s="10">
        <v>1115</v>
      </c>
      <c r="K200" t="s" s="10">
        <v>1116</v>
      </c>
      <c r="L200" s="16">
        <f>HYPERLINK("http://www.happymoney.com", "www.happymoney.com")</f>
      </c>
      <c r="M200" s="16">
        <f>HYPERLINK("https://my.pitchbook.com?c=40694-86", "View Company Online")</f>
      </c>
    </row>
    <row r="201">
      <c r="A201" t="s" s="11">
        <v>1118</v>
      </c>
      <c r="B201" t="s" s="11">
        <v>1119</v>
      </c>
      <c r="C201" t="s" s="11">
        <v>222</v>
      </c>
      <c r="D201" t="s" s="11">
        <v>252</v>
      </c>
      <c r="E201" t="s" s="11">
        <v>1120</v>
      </c>
      <c r="F201" s="28">
        <v>46219</v>
      </c>
      <c r="G201" t="s" s="11">
        <v>40</v>
      </c>
      <c r="H201" s="43">
        <v>435</v>
      </c>
      <c r="I201" s="43">
        <v>1150</v>
      </c>
      <c r="J201" t="s" s="11">
        <v>1121</v>
      </c>
      <c r="K201" t="s" s="11">
        <v>1122</v>
      </c>
      <c r="L201" s="17">
        <f>HYPERLINK("http://www.alpaca.markets", "www.alpaca.markets")</f>
      </c>
      <c r="M201" s="17">
        <f>HYPERLINK("https://my.pitchbook.com?c=126270-37", "View Company Online")</f>
      </c>
    </row>
    <row r="202">
      <c r="A202" t="s" s="10">
        <v>1124</v>
      </c>
      <c r="B202" t="s" s="10">
        <v>1125</v>
      </c>
      <c r="C202" t="s" s="10">
        <v>46</v>
      </c>
      <c r="D202" t="s" s="10">
        <v>397</v>
      </c>
      <c r="E202" t="s" s="10">
        <v>108</v>
      </c>
      <c r="F202" s="27">
        <v>46077</v>
      </c>
      <c r="G202" t="s" s="10">
        <v>146</v>
      </c>
      <c r="H202" s="42">
        <v>100</v>
      </c>
      <c r="I202" s="42">
        <v>1150</v>
      </c>
      <c r="J202" t="s" s="10">
        <v>1126</v>
      </c>
      <c r="K202" t="s" s="10">
        <v>1127</v>
      </c>
      <c r="L202" s="16">
        <f>HYPERLINK("http://www.getbasis.ai", "www.getbasis.ai")</f>
      </c>
      <c r="M202" s="16">
        <f>HYPERLINK("https://my.pitchbook.com?c=537946-39", "View Company Online")</f>
      </c>
    </row>
    <row r="203">
      <c r="A203" t="s" s="11">
        <v>1129</v>
      </c>
      <c r="B203" t="s" s="11">
        <v>1130</v>
      </c>
      <c r="C203" t="s" s="11">
        <v>27</v>
      </c>
      <c r="D203" t="s" s="11">
        <v>28</v>
      </c>
      <c r="E203" t="s" s="11">
        <v>1131</v>
      </c>
      <c r="F203" s="28">
        <v>45931</v>
      </c>
      <c r="G203" t="s" s="11">
        <v>40</v>
      </c>
      <c r="H203" t="s" s="43">
        <v>30</v>
      </c>
      <c r="I203" s="43">
        <v>1145</v>
      </c>
      <c r="J203" t="s" s="11">
        <v>1132</v>
      </c>
      <c r="K203" t="s" s="11">
        <v>1133</v>
      </c>
      <c r="L203" s="17">
        <f>HYPERLINK("http://www.housecallpro.com", "www.housecallpro.com")</f>
      </c>
      <c r="M203" s="17">
        <f>HYPERLINK("https://my.pitchbook.com?c=58361-41", "View Company Online")</f>
      </c>
    </row>
    <row r="204">
      <c r="A204" t="s" s="10">
        <v>1135</v>
      </c>
      <c r="B204" t="s" s="10">
        <v>1136</v>
      </c>
      <c r="C204" t="s" s="10">
        <v>46</v>
      </c>
      <c r="D204" t="s" s="10">
        <v>47</v>
      </c>
      <c r="E204" t="s" s="10">
        <v>373</v>
      </c>
      <c r="F204" s="27">
        <v>46239</v>
      </c>
      <c r="G204" t="s" s="10">
        <v>40</v>
      </c>
      <c r="H204" s="42">
        <v>40.03</v>
      </c>
      <c r="I204" s="42">
        <v>1143.64</v>
      </c>
      <c r="J204" t="s" s="10">
        <v>1137</v>
      </c>
      <c r="K204" t="s" s="10">
        <v>1138</v>
      </c>
      <c r="L204" s="16">
        <f>HYPERLINK("http://www.getmoss.com", "www.getmoss.com")</f>
      </c>
      <c r="M204" s="16">
        <f>HYPERLINK("https://my.pitchbook.com?c=343311-04", "View Company Online")</f>
      </c>
    </row>
    <row r="205">
      <c r="A205" t="s" s="11">
        <v>1140</v>
      </c>
      <c r="B205" t="s" s="11">
        <v>1141</v>
      </c>
      <c r="C205" t="s" s="11">
        <v>27</v>
      </c>
      <c r="D205" t="s" s="11">
        <v>70</v>
      </c>
      <c r="E205" t="s" s="11">
        <v>259</v>
      </c>
      <c r="F205" s="28">
        <v>44609</v>
      </c>
      <c r="G205" t="s" s="11">
        <v>40</v>
      </c>
      <c r="H205" s="43">
        <v>140</v>
      </c>
      <c r="I205" s="43">
        <v>1140</v>
      </c>
      <c r="J205" t="s" s="11">
        <v>1142</v>
      </c>
      <c r="K205" t="s" s="11">
        <v>1143</v>
      </c>
      <c r="L205" s="17">
        <f>HYPERLINK("http://www.fenbeitong.com", "www.fenbeitong.com")</f>
      </c>
      <c r="M205" s="17">
        <f>HYPERLINK("https://my.pitchbook.com?c=277195-78", "View Company Online")</f>
      </c>
    </row>
    <row r="206">
      <c r="A206" t="s" s="10">
        <v>1145</v>
      </c>
      <c r="B206" t="s" s="10">
        <v>1146</v>
      </c>
      <c r="C206" t="s" s="10">
        <v>46</v>
      </c>
      <c r="D206" t="s" s="10">
        <v>47</v>
      </c>
      <c r="E206" t="s" s="10">
        <v>193</v>
      </c>
      <c r="F206" s="27">
        <v>45434</v>
      </c>
      <c r="G206" t="s" s="10">
        <v>607</v>
      </c>
      <c r="H206" t="s" s="42">
        <v>30</v>
      </c>
      <c r="I206" s="42">
        <v>1134.53</v>
      </c>
      <c r="J206" t="s" s="10">
        <v>1147</v>
      </c>
      <c r="K206" t="s" s="10">
        <v>1148</v>
      </c>
      <c r="L206" s="16">
        <f>HYPERLINK("http://www.spendesk.com", "www.spendesk.com")</f>
      </c>
      <c r="M206" s="16">
        <f>HYPERLINK("https://my.pitchbook.com?c=161260-66", "View Company Online")</f>
      </c>
    </row>
    <row r="207">
      <c r="A207" t="s" s="11">
        <v>1150</v>
      </c>
      <c r="B207" t="s" s="11">
        <v>1151</v>
      </c>
      <c r="C207" t="s" s="11">
        <v>37</v>
      </c>
      <c r="D207" t="s" s="11">
        <v>38</v>
      </c>
      <c r="E207" t="s" s="11">
        <v>137</v>
      </c>
      <c r="F207" s="28">
        <v>46246</v>
      </c>
      <c r="G207" t="s" s="11">
        <v>48</v>
      </c>
      <c r="H207" t="s" s="43">
        <v>30</v>
      </c>
      <c r="I207" s="43">
        <v>1132.14</v>
      </c>
      <c r="J207" t="s" s="11">
        <v>1152</v>
      </c>
      <c r="K207" t="s" s="11">
        <v>1153</v>
      </c>
      <c r="L207" s="17">
        <f>HYPERLINK("http://www.www.elife-fin.com", "www.www.elife-fin.com")</f>
      </c>
      <c r="M207" s="17">
        <f>HYPERLINK("https://my.pitchbook.com?c=169415-83", "View Company Online")</f>
      </c>
    </row>
    <row r="208">
      <c r="A208" t="s" s="10">
        <v>1155</v>
      </c>
      <c r="B208" t="s" s="10">
        <v>1156</v>
      </c>
      <c r="C208" t="s" s="10">
        <v>222</v>
      </c>
      <c r="D208" t="s" s="10">
        <v>223</v>
      </c>
      <c r="E208" t="s" s="10">
        <v>634</v>
      </c>
      <c r="F208" s="27">
        <v>46099</v>
      </c>
      <c r="G208" t="s" s="10">
        <v>40</v>
      </c>
      <c r="H208" s="42">
        <v>170</v>
      </c>
      <c r="I208" s="42">
        <v>1131.51</v>
      </c>
      <c r="J208" t="s" s="10">
        <v>1157</v>
      </c>
      <c r="K208" t="s" s="10">
        <v>1158</v>
      </c>
      <c r="L208" s="16">
        <f>HYPERLINK("http://www.9fin.com", "www.9fin.com")</f>
      </c>
      <c r="M208" s="16">
        <f>HYPERLINK("https://my.pitchbook.com?c=179022-16", "View Company Online")</f>
      </c>
    </row>
    <row r="209">
      <c r="A209" t="s" s="11">
        <v>1160</v>
      </c>
      <c r="B209" t="s" s="11">
        <v>1161</v>
      </c>
      <c r="C209" t="s" s="11">
        <v>46</v>
      </c>
      <c r="D209" t="s" s="11">
        <v>47</v>
      </c>
      <c r="E209" t="s" s="11">
        <v>1162</v>
      </c>
      <c r="F209" s="28">
        <v>45482</v>
      </c>
      <c r="G209" t="s" s="11">
        <v>64</v>
      </c>
      <c r="H209" s="43">
        <v>46.2</v>
      </c>
      <c r="I209" s="43">
        <v>1126.79</v>
      </c>
      <c r="J209" t="s" s="11">
        <v>1163</v>
      </c>
      <c r="K209" t="s" s="11">
        <v>30</v>
      </c>
      <c r="L209" s="17">
        <f>HYPERLINK("http://www.baiwang.com", "www.baiwang.com")</f>
      </c>
      <c r="M209" s="17">
        <f>HYPERLINK("https://my.pitchbook.com?c=226652-41", "View Company Online")</f>
      </c>
    </row>
    <row r="210">
      <c r="A210" t="s" s="10">
        <v>1165</v>
      </c>
      <c r="B210" t="s" s="10">
        <v>1166</v>
      </c>
      <c r="C210" t="s" s="10">
        <v>114</v>
      </c>
      <c r="D210" t="s" s="10">
        <v>136</v>
      </c>
      <c r="E210" t="s" s="10">
        <v>137</v>
      </c>
      <c r="F210" s="27">
        <v>45973</v>
      </c>
      <c r="G210" t="s" s="10">
        <v>40</v>
      </c>
      <c r="H210" s="42">
        <v>100</v>
      </c>
      <c r="I210" s="42">
        <v>1110</v>
      </c>
      <c r="J210" t="s" s="10">
        <v>1167</v>
      </c>
      <c r="K210" t="s" s="10">
        <v>1168</v>
      </c>
      <c r="L210" s="16">
        <f>HYPERLINK("http://www.octane.co", "www.octane.co")</f>
      </c>
      <c r="M210" s="16">
        <f>HYPERLINK("https://my.pitchbook.com?c=64995-76", "View Company Online")</f>
      </c>
    </row>
    <row r="211">
      <c r="A211" t="s" s="11">
        <v>1170</v>
      </c>
      <c r="B211" t="s" s="11">
        <v>1171</v>
      </c>
      <c r="C211" t="s" s="11">
        <v>60</v>
      </c>
      <c r="D211" t="s" s="11">
        <v>246</v>
      </c>
      <c r="E211" t="s" s="11">
        <v>270</v>
      </c>
      <c r="F211" s="28">
        <v>46216</v>
      </c>
      <c r="G211" t="s" s="11">
        <v>48</v>
      </c>
      <c r="H211" t="s" s="43">
        <v>30</v>
      </c>
      <c r="I211" s="43">
        <v>1100</v>
      </c>
      <c r="J211" t="s" s="11">
        <v>1172</v>
      </c>
      <c r="K211" t="s" s="11">
        <v>1173</v>
      </c>
      <c r="L211" s="17">
        <f>HYPERLINK("http://www.moneyboxapp.com", "www.moneyboxapp.com")</f>
      </c>
      <c r="M211" s="17">
        <f>HYPERLINK("https://my.pitchbook.com?c=151333-39", "View Company Online")</f>
      </c>
    </row>
    <row r="212">
      <c r="A212" t="s" s="10">
        <v>1175</v>
      </c>
      <c r="B212" t="s" s="10">
        <v>1176</v>
      </c>
      <c r="C212" t="s" s="10">
        <v>114</v>
      </c>
      <c r="D212" t="s" s="10">
        <v>852</v>
      </c>
      <c r="E212" t="s" s="10">
        <v>414</v>
      </c>
      <c r="F212" s="27">
        <v>46072</v>
      </c>
      <c r="G212" t="s" s="10">
        <v>31</v>
      </c>
      <c r="H212" t="s" s="42">
        <v>30</v>
      </c>
      <c r="I212" s="42">
        <v>1100</v>
      </c>
      <c r="J212" t="s" s="10">
        <v>1177</v>
      </c>
      <c r="K212" t="s" s="10">
        <v>1178</v>
      </c>
      <c r="L212" s="16">
        <f>HYPERLINK("http://www.fundbox.com", "www.fundbox.com")</f>
      </c>
      <c r="M212" s="16">
        <f>HYPERLINK("https://my.pitchbook.com?c=58860-91", "View Company Online")</f>
      </c>
    </row>
    <row r="213">
      <c r="A213" t="s" s="11">
        <v>1180</v>
      </c>
      <c r="B213" t="s" s="11">
        <v>1181</v>
      </c>
      <c r="C213" t="s" s="11">
        <v>222</v>
      </c>
      <c r="D213" t="s" s="11">
        <v>235</v>
      </c>
      <c r="E213" t="s" s="11">
        <v>1032</v>
      </c>
      <c r="F213" s="28">
        <v>46000</v>
      </c>
      <c r="G213" t="s" s="11">
        <v>31</v>
      </c>
      <c r="H213" s="43">
        <v>22.27</v>
      </c>
      <c r="I213" s="43">
        <v>1100</v>
      </c>
      <c r="J213" t="s" s="11">
        <v>1182</v>
      </c>
      <c r="K213" t="s" s="11">
        <v>1183</v>
      </c>
      <c r="L213" s="17">
        <f>HYPERLINK("http://www.junipersquare.com", "www.junipersquare.com")</f>
      </c>
      <c r="M213" s="17">
        <f>HYPERLINK("https://my.pitchbook.com?c=169756-21", "View Company Online")</f>
      </c>
    </row>
    <row r="214">
      <c r="A214" t="s" s="10">
        <v>1185</v>
      </c>
      <c r="B214" t="s" s="10">
        <v>1186</v>
      </c>
      <c r="C214" t="s" s="10">
        <v>222</v>
      </c>
      <c r="D214" t="s" s="10">
        <v>252</v>
      </c>
      <c r="E214" t="s" s="10">
        <v>859</v>
      </c>
      <c r="F214" s="27">
        <v>46112</v>
      </c>
      <c r="G214" t="s" s="10">
        <v>40</v>
      </c>
      <c r="H214" s="42">
        <v>100</v>
      </c>
      <c r="I214" s="42">
        <v>1100</v>
      </c>
      <c r="J214" t="s" s="10">
        <v>1187</v>
      </c>
      <c r="K214" t="s" s="10">
        <v>1188</v>
      </c>
      <c r="L214" s="16">
        <f>HYPERLINK("http://www.keyrock.com", "www.keyrock.com")</f>
      </c>
      <c r="M214" s="16">
        <f>HYPERLINK("https://my.pitchbook.com?c=230106-70", "View Company Online")</f>
      </c>
    </row>
    <row r="215">
      <c r="A215" t="s" s="11">
        <v>1190</v>
      </c>
      <c r="B215" t="s" s="11">
        <v>1191</v>
      </c>
      <c r="C215" t="s" s="11">
        <v>37</v>
      </c>
      <c r="D215" t="s" s="11">
        <v>304</v>
      </c>
      <c r="E215" t="s" s="11">
        <v>29</v>
      </c>
      <c r="F215" s="28">
        <v>45600</v>
      </c>
      <c r="G215" t="s" s="11">
        <v>31</v>
      </c>
      <c r="H215" s="43">
        <v>355</v>
      </c>
      <c r="I215" s="43">
        <v>1100</v>
      </c>
      <c r="J215" t="s" s="11">
        <v>1192</v>
      </c>
      <c r="K215" t="s" s="11">
        <v>1193</v>
      </c>
      <c r="L215" s="17">
        <f>HYPERLINK("http://www.sunbit.com", "www.sunbit.com")</f>
      </c>
      <c r="M215" s="17">
        <f>HYPERLINK("https://my.pitchbook.com?c=161830-54", "View Company Online")</f>
      </c>
    </row>
    <row r="216">
      <c r="A216" t="s" s="10">
        <v>1195</v>
      </c>
      <c r="B216" t="s" s="10">
        <v>1196</v>
      </c>
      <c r="C216" t="s" s="10">
        <v>46</v>
      </c>
      <c r="D216" t="s" s="10">
        <v>397</v>
      </c>
      <c r="E216" t="s" s="10">
        <v>373</v>
      </c>
      <c r="F216" s="27">
        <v>45301</v>
      </c>
      <c r="G216" t="s" s="10">
        <v>40</v>
      </c>
      <c r="H216" s="42">
        <v>100.9</v>
      </c>
      <c r="I216" s="42">
        <v>1096.7</v>
      </c>
      <c r="J216" t="s" s="10">
        <v>1197</v>
      </c>
      <c r="K216" t="s" s="10">
        <v>1198</v>
      </c>
      <c r="L216" s="16">
        <f>HYPERLINK("http://www.datasnipper.com", "www.datasnipper.com")</f>
      </c>
      <c r="M216" s="16">
        <f>HYPERLINK("https://my.pitchbook.com?c=493215-31", "View Company Online")</f>
      </c>
    </row>
    <row r="217">
      <c r="A217" t="s" s="11">
        <v>1200</v>
      </c>
      <c r="B217" t="s" s="11">
        <v>1201</v>
      </c>
      <c r="C217" t="s" s="11">
        <v>60</v>
      </c>
      <c r="D217" t="s" s="11">
        <v>727</v>
      </c>
      <c r="E217" t="s" s="11">
        <v>137</v>
      </c>
      <c r="F217" s="28">
        <v>45002</v>
      </c>
      <c r="G217" t="s" s="11">
        <v>40</v>
      </c>
      <c r="H217" s="43">
        <v>148.89</v>
      </c>
      <c r="I217" s="43">
        <v>1091.54</v>
      </c>
      <c r="J217" t="s" s="11">
        <v>1202</v>
      </c>
      <c r="K217" t="s" s="11">
        <v>1203</v>
      </c>
      <c r="L217" s="17">
        <f>HYPERLINK("http://www.moonfare.com", "www.moonfare.com")</f>
      </c>
      <c r="M217" s="17">
        <f>HYPERLINK("https://my.pitchbook.com?c=227393-47", "View Company Online")</f>
      </c>
    </row>
    <row r="218">
      <c r="A218" t="s" s="10">
        <v>1205</v>
      </c>
      <c r="B218" t="s" s="10">
        <v>1206</v>
      </c>
      <c r="C218" t="s" s="10">
        <v>60</v>
      </c>
      <c r="D218" t="s" s="10">
        <v>727</v>
      </c>
      <c r="E218" t="s" s="10">
        <v>1207</v>
      </c>
      <c r="F218" s="27">
        <v>45839</v>
      </c>
      <c r="G218" t="s" s="10">
        <v>31</v>
      </c>
      <c r="H218" s="42">
        <v>26.49</v>
      </c>
      <c r="I218" s="42">
        <v>1080</v>
      </c>
      <c r="J218" t="s" s="10">
        <v>1208</v>
      </c>
      <c r="K218" t="s" s="10">
        <v>1209</v>
      </c>
      <c r="L218" s="16">
        <f>HYPERLINK("http://www.titan.com", "www.titan.com")</f>
      </c>
      <c r="M218" s="16">
        <f>HYPERLINK("https://my.pitchbook.com?c=232137-28", "View Company Online")</f>
      </c>
    </row>
    <row r="219">
      <c r="A219" t="s" s="11">
        <v>1211</v>
      </c>
      <c r="B219" t="s" s="11">
        <v>1212</v>
      </c>
      <c r="C219" t="s" s="11">
        <v>114</v>
      </c>
      <c r="D219" t="s" s="11">
        <v>852</v>
      </c>
      <c r="E219" t="s" s="11">
        <v>1213</v>
      </c>
      <c r="F219" s="28">
        <v>45720</v>
      </c>
      <c r="G219" t="s" s="11">
        <v>40</v>
      </c>
      <c r="H219" s="43">
        <v>39.63</v>
      </c>
      <c r="I219" s="43">
        <v>1076.01</v>
      </c>
      <c r="J219" t="s" s="11">
        <v>1214</v>
      </c>
      <c r="K219" t="s" s="11">
        <v>1215</v>
      </c>
      <c r="L219" s="17">
        <f>HYPERLINK("http://www.nxin.com", "www.nxin.com")</f>
      </c>
      <c r="M219" s="17">
        <f>HYPERLINK("https://my.pitchbook.com?c=265188-34", "View Company Online")</f>
      </c>
    </row>
    <row r="220">
      <c r="A220" t="s" s="10">
        <v>1217</v>
      </c>
      <c r="B220" t="s" s="10">
        <v>1218</v>
      </c>
      <c r="C220" t="s" s="10">
        <v>114</v>
      </c>
      <c r="D220" t="s" s="10">
        <v>115</v>
      </c>
      <c r="E220" t="s" s="10">
        <v>1219</v>
      </c>
      <c r="F220" s="27">
        <v>46183</v>
      </c>
      <c r="G220" t="s" s="10">
        <v>40</v>
      </c>
      <c r="H220" s="42">
        <v>218.61</v>
      </c>
      <c r="I220" s="42">
        <v>1064.08</v>
      </c>
      <c r="J220" t="s" s="10">
        <v>1220</v>
      </c>
      <c r="K220" t="s" s="10">
        <v>1221</v>
      </c>
      <c r="L220" s="16">
        <f>HYPERLINK("http://www.nesto.ca", "www.nesto.ca")</f>
      </c>
      <c r="M220" s="16">
        <f>HYPERLINK("https://my.pitchbook.com?c=234576-82", "View Company Online")</f>
      </c>
    </row>
    <row r="221">
      <c r="A221" t="s" s="11">
        <v>1223</v>
      </c>
      <c r="B221" t="s" s="11">
        <v>1224</v>
      </c>
      <c r="C221" t="s" s="11">
        <v>27</v>
      </c>
      <c r="D221" t="s" s="11">
        <v>70</v>
      </c>
      <c r="E221" t="s" s="11">
        <v>259</v>
      </c>
      <c r="F221" s="28">
        <v>45761</v>
      </c>
      <c r="G221" t="s" s="11">
        <v>40</v>
      </c>
      <c r="H221" s="43">
        <v>30</v>
      </c>
      <c r="I221" s="43">
        <v>1030</v>
      </c>
      <c r="J221" t="s" s="11">
        <v>1225</v>
      </c>
      <c r="K221" t="s" s="11">
        <v>1226</v>
      </c>
      <c r="L221" s="17">
        <f>HYPERLINK("http://www.c2fo.com", "www.c2fo.com")</f>
      </c>
      <c r="M221" s="17">
        <f>HYPERLINK("https://my.pitchbook.com?c=54811-09", "View Company Online")</f>
      </c>
    </row>
    <row r="222">
      <c r="A222" t="s" s="10">
        <v>1228</v>
      </c>
      <c r="B222" t="s" s="10">
        <v>1229</v>
      </c>
      <c r="C222" t="s" s="10">
        <v>37</v>
      </c>
      <c r="D222" t="s" s="10">
        <v>38</v>
      </c>
      <c r="E222" t="s" s="10">
        <v>859</v>
      </c>
      <c r="F222" t="s" s="27">
        <v>30</v>
      </c>
      <c r="G222" t="s" s="10">
        <v>48</v>
      </c>
      <c r="H222" t="s" s="42">
        <v>30</v>
      </c>
      <c r="I222" s="42">
        <v>1012.4</v>
      </c>
      <c r="J222" t="s" s="10">
        <v>1230</v>
      </c>
      <c r="K222" t="s" s="10">
        <v>1231</v>
      </c>
      <c r="L222" s="16">
        <f>HYPERLINK("http://www.sygnum.com", "www.sygnum.com")</f>
      </c>
      <c r="M222" s="16">
        <f>HYPERLINK("https://my.pitchbook.com?c=243635-77", "View Company Online")</f>
      </c>
    </row>
    <row r="223">
      <c r="A223" t="s" s="11">
        <v>1233</v>
      </c>
      <c r="B223" t="s" s="11">
        <v>1234</v>
      </c>
      <c r="C223" t="s" s="11">
        <v>60</v>
      </c>
      <c r="D223" t="s" s="11">
        <v>61</v>
      </c>
      <c r="E223" t="s" s="11">
        <v>759</v>
      </c>
      <c r="F223" s="28">
        <v>44473</v>
      </c>
      <c r="G223" t="s" s="11">
        <v>146</v>
      </c>
      <c r="H223" s="43">
        <v>153</v>
      </c>
      <c r="I223" s="43">
        <v>1000</v>
      </c>
      <c r="J223" t="s" s="11">
        <v>1235</v>
      </c>
      <c r="K223" t="s" s="11">
        <v>1236</v>
      </c>
      <c r="L223" s="17">
        <f>HYPERLINK("http://ajaib.co.id", "ajaib.co.id")</f>
      </c>
      <c r="M223" s="17">
        <f>HYPERLINK("https://my.pitchbook.com?c=232142-95", "View Company Online")</f>
      </c>
    </row>
    <row r="224">
      <c r="A224" t="s" s="10">
        <v>1238</v>
      </c>
      <c r="B224" t="s" s="10">
        <v>1239</v>
      </c>
      <c r="C224" t="s" s="10">
        <v>37</v>
      </c>
      <c r="D224" t="s" s="10">
        <v>304</v>
      </c>
      <c r="E224" t="s" s="10">
        <v>137</v>
      </c>
      <c r="F224" s="27">
        <v>45897</v>
      </c>
      <c r="G224" t="s" s="10">
        <v>31</v>
      </c>
      <c r="H224" s="42">
        <v>12.25</v>
      </c>
      <c r="I224" s="42">
        <v>1000</v>
      </c>
      <c r="J224" t="s" s="10">
        <v>1240</v>
      </c>
      <c r="K224" t="s" s="10">
        <v>1241</v>
      </c>
      <c r="L224" s="16">
        <f>HYPERLINK("http://www.akulaku.com", "www.akulaku.com")</f>
      </c>
      <c r="M224" s="16">
        <f>HYPERLINK("https://my.pitchbook.com?c=167233-51", "View Company Online")</f>
      </c>
    </row>
    <row r="225">
      <c r="A225" t="s" s="11">
        <v>1243</v>
      </c>
      <c r="B225" t="s" s="11">
        <v>1244</v>
      </c>
      <c r="C225" t="s" s="11">
        <v>27</v>
      </c>
      <c r="D225" t="s" s="11">
        <v>28</v>
      </c>
      <c r="E225" t="s" s="11">
        <v>373</v>
      </c>
      <c r="F225" s="28">
        <v>46224</v>
      </c>
      <c r="G225" t="s" s="11">
        <v>40</v>
      </c>
      <c r="H225" s="43">
        <v>180</v>
      </c>
      <c r="I225" s="43">
        <v>1000</v>
      </c>
      <c r="J225" t="s" s="11">
        <v>1245</v>
      </c>
      <c r="K225" t="s" s="11">
        <v>1246</v>
      </c>
      <c r="L225" s="17">
        <f>HYPERLINK("http://www.augustus.com", "www.augustus.com")</f>
      </c>
      <c r="M225" s="17">
        <f>HYPERLINK("https://my.pitchbook.com?c=493319-44", "View Company Online")</f>
      </c>
    </row>
    <row r="226">
      <c r="A226" t="s" s="10">
        <v>1248</v>
      </c>
      <c r="B226" t="s" s="10">
        <v>1249</v>
      </c>
      <c r="C226" t="s" s="10">
        <v>46</v>
      </c>
      <c r="D226" t="s" s="10">
        <v>397</v>
      </c>
      <c r="E226" t="s" s="10">
        <v>253</v>
      </c>
      <c r="F226" t="s" s="27">
        <v>30</v>
      </c>
      <c r="G226" t="s" s="10">
        <v>48</v>
      </c>
      <c r="H226" t="s" s="42">
        <v>30</v>
      </c>
      <c r="I226" s="42">
        <v>1000</v>
      </c>
      <c r="J226" t="s" s="10">
        <v>1250</v>
      </c>
      <c r="K226" t="s" s="10">
        <v>1251</v>
      </c>
      <c r="L226" s="16">
        <f>HYPERLINK("http://www.freshbooks.com", "www.freshbooks.com")</f>
      </c>
      <c r="M226" s="16">
        <f>HYPERLINK("https://my.pitchbook.com?c=65261-08", "View Company Online")</f>
      </c>
    </row>
    <row r="227">
      <c r="A227" t="s" s="11">
        <v>1253</v>
      </c>
      <c r="B227" t="s" s="11">
        <v>1254</v>
      </c>
      <c r="C227" t="s" s="11">
        <v>46</v>
      </c>
      <c r="D227" t="s" s="11">
        <v>397</v>
      </c>
      <c r="E227" t="s" s="11">
        <v>1054</v>
      </c>
      <c r="F227" s="28">
        <v>45543</v>
      </c>
      <c r="G227" t="s" s="11">
        <v>64</v>
      </c>
      <c r="H227" t="s" s="43">
        <v>30</v>
      </c>
      <c r="I227" s="43">
        <v>1000</v>
      </c>
      <c r="J227" t="s" s="11">
        <v>1255</v>
      </c>
      <c r="K227" t="s" s="11">
        <v>1256</v>
      </c>
      <c r="L227" s="17">
        <f>HYPERLINK("http://www.huisuanzhang.com", "www.huisuanzhang.com")</f>
      </c>
      <c r="M227" s="17">
        <f>HYPERLINK("https://my.pitchbook.com?c=169379-47", "View Company Online")</f>
      </c>
    </row>
    <row r="228">
      <c r="A228" t="s" s="10">
        <v>1258</v>
      </c>
      <c r="B228" t="s" s="10">
        <v>1259</v>
      </c>
      <c r="C228" t="s" s="10">
        <v>37</v>
      </c>
      <c r="D228" t="s" s="10">
        <v>38</v>
      </c>
      <c r="E228" t="s" s="10">
        <v>1260</v>
      </c>
      <c r="F228" s="27">
        <v>46054</v>
      </c>
      <c r="G228" t="s" s="10">
        <v>40</v>
      </c>
      <c r="H228" t="s" s="42">
        <v>30</v>
      </c>
      <c r="I228" s="42">
        <v>1000</v>
      </c>
      <c r="J228" t="s" s="10">
        <v>1261</v>
      </c>
      <c r="K228" t="s" s="10">
        <v>1262</v>
      </c>
      <c r="L228" s="16">
        <f>HYPERLINK("http://www.jihuiduo.cn", "www.jihuiduo.cn")</f>
      </c>
      <c r="M228" s="16">
        <f>HYPERLINK("https://my.pitchbook.com?c=458373-52", "View Company Online")</f>
      </c>
    </row>
    <row r="229">
      <c r="A229" t="s" s="11">
        <v>1264</v>
      </c>
      <c r="B229" t="s" s="11">
        <v>1265</v>
      </c>
      <c r="C229" t="s" s="11">
        <v>114</v>
      </c>
      <c r="D229" t="s" s="11">
        <v>136</v>
      </c>
      <c r="E229" t="s" s="11">
        <v>1266</v>
      </c>
      <c r="F229" s="28">
        <v>45721</v>
      </c>
      <c r="G229" t="s" s="11">
        <v>31</v>
      </c>
      <c r="H229" s="43">
        <v>100</v>
      </c>
      <c r="I229" s="43">
        <v>1000</v>
      </c>
      <c r="J229" t="s" s="11">
        <v>1267</v>
      </c>
      <c r="K229" t="s" s="11">
        <v>1268</v>
      </c>
      <c r="L229" s="17">
        <f>HYPERLINK("http://www.leapfinance.com", "www.leapfinance.com")</f>
      </c>
      <c r="M229" s="17">
        <f>HYPERLINK("https://my.pitchbook.com?c=432904-78", "View Company Online")</f>
      </c>
    </row>
    <row r="230">
      <c r="A230" t="s" s="10">
        <v>1270</v>
      </c>
      <c r="B230" t="s" s="10">
        <v>1271</v>
      </c>
      <c r="C230" t="s" s="10">
        <v>60</v>
      </c>
      <c r="D230" t="s" s="10">
        <v>727</v>
      </c>
      <c r="E230" t="s" s="10">
        <v>253</v>
      </c>
      <c r="F230" s="27">
        <v>45882</v>
      </c>
      <c r="G230" t="s" s="10">
        <v>40</v>
      </c>
      <c r="H230" s="42">
        <v>4.86</v>
      </c>
      <c r="I230" s="42">
        <v>1000</v>
      </c>
      <c r="J230" t="s" s="10">
        <v>1272</v>
      </c>
      <c r="K230" t="s" s="10">
        <v>1273</v>
      </c>
      <c r="L230" s="16">
        <f>HYPERLINK("http://www.masterworks.com", "www.masterworks.com")</f>
      </c>
      <c r="M230" s="16">
        <f>HYPERLINK("https://my.pitchbook.com?c=231340-24", "View Company Online")</f>
      </c>
    </row>
    <row r="231">
      <c r="A231" t="s" s="11">
        <v>1275</v>
      </c>
      <c r="B231" t="s" s="11">
        <v>1276</v>
      </c>
      <c r="C231" t="s" s="11">
        <v>222</v>
      </c>
      <c r="D231" t="s" s="11">
        <v>223</v>
      </c>
      <c r="E231" t="s" s="11">
        <v>1277</v>
      </c>
      <c r="F231" s="28">
        <v>45317</v>
      </c>
      <c r="G231" t="s" s="11">
        <v>40</v>
      </c>
      <c r="H231" s="43">
        <v>150</v>
      </c>
      <c r="I231" s="43">
        <v>1000</v>
      </c>
      <c r="J231" t="s" s="11">
        <v>1278</v>
      </c>
      <c r="K231" t="s" s="11">
        <v>1279</v>
      </c>
      <c r="L231" s="17">
        <f>HYPERLINK("http://www.miotech.com", "www.miotech.com")</f>
      </c>
      <c r="M231" s="17">
        <f>HYPERLINK("https://my.pitchbook.com?c=183174-76", "View Company Online")</f>
      </c>
    </row>
    <row r="232">
      <c r="A232" t="s" s="10">
        <v>1281</v>
      </c>
      <c r="B232" t="s" s="10">
        <v>1282</v>
      </c>
      <c r="C232" t="s" s="10">
        <v>27</v>
      </c>
      <c r="D232" t="s" s="10">
        <v>28</v>
      </c>
      <c r="E232" t="s" s="10">
        <v>1120</v>
      </c>
      <c r="F232" t="s" s="27">
        <v>30</v>
      </c>
      <c r="G232" t="s" s="10">
        <v>48</v>
      </c>
      <c r="H232" t="s" s="42">
        <v>30</v>
      </c>
      <c r="I232" s="42">
        <v>1000</v>
      </c>
      <c r="J232" t="s" s="10">
        <v>1283</v>
      </c>
      <c r="K232" t="s" s="10">
        <v>1284</v>
      </c>
      <c r="L232" s="16">
        <f>HYPERLINK("http://www.omise.co", "www.omise.co")</f>
      </c>
      <c r="M232" s="16">
        <f>HYPERLINK("https://my.pitchbook.com?c=66113-56", "View Company Online")</f>
      </c>
    </row>
    <row r="233">
      <c r="A233" t="s" s="11">
        <v>1286</v>
      </c>
      <c r="B233" t="s" s="11">
        <v>1287</v>
      </c>
      <c r="C233" t="s" s="11">
        <v>46</v>
      </c>
      <c r="D233" t="s" s="11">
        <v>47</v>
      </c>
      <c r="E233" t="s" s="11">
        <v>1054</v>
      </c>
      <c r="F233" t="s" s="28">
        <v>30</v>
      </c>
      <c r="G233" t="s" s="11">
        <v>48</v>
      </c>
      <c r="H233" t="s" s="43">
        <v>30</v>
      </c>
      <c r="I233" s="43">
        <v>1000</v>
      </c>
      <c r="J233" t="s" s="11">
        <v>1288</v>
      </c>
      <c r="K233" t="s" s="11">
        <v>1289</v>
      </c>
      <c r="L233" s="17">
        <f>HYPERLINK("http://open.money", "open.money")</f>
      </c>
      <c r="M233" s="17">
        <f>HYPERLINK("https://my.pitchbook.com?c=183282-40", "View Company Online")</f>
      </c>
    </row>
    <row r="234">
      <c r="A234" t="s" s="10">
        <v>1291</v>
      </c>
      <c r="B234" t="s" s="10">
        <v>1292</v>
      </c>
      <c r="C234" t="s" s="10">
        <v>27</v>
      </c>
      <c r="D234" t="s" s="10">
        <v>122</v>
      </c>
      <c r="E234" t="s" s="10">
        <v>108</v>
      </c>
      <c r="F234" s="27">
        <v>46174</v>
      </c>
      <c r="G234" t="s" s="10">
        <v>48</v>
      </c>
      <c r="H234" t="s" s="42">
        <v>30</v>
      </c>
      <c r="I234" s="42">
        <v>1000</v>
      </c>
      <c r="J234" t="s" s="10">
        <v>1293</v>
      </c>
      <c r="K234" t="s" s="10">
        <v>1294</v>
      </c>
      <c r="L234" s="16">
        <f>HYPERLINK("http://www.pingpongx.com", "www.pingpongx.com")</f>
      </c>
      <c r="M234" s="16">
        <f>HYPERLINK("https://my.pitchbook.com?c=172599-58", "View Company Online")</f>
      </c>
    </row>
    <row r="235">
      <c r="A235" t="s" s="11">
        <v>1296</v>
      </c>
      <c r="B235" t="s" s="11">
        <v>1297</v>
      </c>
      <c r="C235" t="s" s="11">
        <v>164</v>
      </c>
      <c r="D235" t="s" s="11">
        <v>165</v>
      </c>
      <c r="E235" t="s" s="11">
        <v>253</v>
      </c>
      <c r="F235" s="28">
        <v>45869</v>
      </c>
      <c r="G235" t="s" s="11">
        <v>40</v>
      </c>
      <c r="H235" s="43">
        <v>313</v>
      </c>
      <c r="I235" s="43">
        <v>1000</v>
      </c>
      <c r="J235" t="s" s="11">
        <v>1298</v>
      </c>
      <c r="K235" t="s" s="11">
        <v>1299</v>
      </c>
      <c r="L235" s="17">
        <f>HYPERLINK("http://www.qitech.com.br", "www.qitech.com.br")</f>
      </c>
      <c r="M235" s="17">
        <f>HYPERLINK("https://my.pitchbook.com?c=483567-13", "View Company Online")</f>
      </c>
    </row>
    <row r="236">
      <c r="A236" t="s" s="10">
        <v>1301</v>
      </c>
      <c r="B236" t="s" s="10">
        <v>1302</v>
      </c>
      <c r="C236" t="s" s="10">
        <v>60</v>
      </c>
      <c r="D236" t="s" s="10">
        <v>246</v>
      </c>
      <c r="E236" t="s" s="10">
        <v>137</v>
      </c>
      <c r="F236" s="27">
        <v>44413</v>
      </c>
      <c r="G236" t="s" s="10">
        <v>40</v>
      </c>
      <c r="H236" s="42">
        <v>110</v>
      </c>
      <c r="I236" s="42">
        <v>1000</v>
      </c>
      <c r="J236" t="s" s="10">
        <v>1303</v>
      </c>
      <c r="K236" t="s" s="10">
        <v>1304</v>
      </c>
      <c r="L236" s="16">
        <f>HYPERLINK("http://www.smartasset.com", "www.smartasset.com")</f>
      </c>
      <c r="M236" s="16">
        <f>HYPERLINK("https://my.pitchbook.com?c=54866-89", "View Company Online")</f>
      </c>
    </row>
    <row r="237">
      <c r="A237" t="s" s="11">
        <v>1306</v>
      </c>
      <c r="B237" t="s" s="11">
        <v>1307</v>
      </c>
      <c r="C237" t="s" s="11">
        <v>37</v>
      </c>
      <c r="D237" t="s" s="11">
        <v>304</v>
      </c>
      <c r="E237" t="s" s="11">
        <v>270</v>
      </c>
      <c r="F237" s="28">
        <v>45915</v>
      </c>
      <c r="G237" t="s" s="11">
        <v>494</v>
      </c>
      <c r="H237" s="43">
        <v>1400</v>
      </c>
      <c r="I237" s="43">
        <v>1000</v>
      </c>
      <c r="J237" t="s" s="11">
        <v>1308</v>
      </c>
      <c r="K237" t="s" s="11">
        <v>1309</v>
      </c>
      <c r="L237" s="17">
        <f>HYPERLINK("http://www.tamara.co", "www.tamara.co")</f>
      </c>
      <c r="M237" s="17">
        <f>HYPERLINK("https://my.pitchbook.com?c=459147-07", "View Company Online")</f>
      </c>
    </row>
    <row r="238">
      <c r="A238" t="s" s="10">
        <v>1311</v>
      </c>
      <c r="B238" t="s" s="10">
        <v>1312</v>
      </c>
      <c r="C238" t="s" s="10">
        <v>60</v>
      </c>
      <c r="D238" t="s" s="10">
        <v>246</v>
      </c>
      <c r="E238" t="s" s="10">
        <v>1054</v>
      </c>
      <c r="F238" s="27">
        <v>44774</v>
      </c>
      <c r="G238" t="s" s="10">
        <v>31</v>
      </c>
      <c r="H238" t="s" s="42">
        <v>30</v>
      </c>
      <c r="I238" s="42">
        <v>1000</v>
      </c>
      <c r="J238" t="s" s="10">
        <v>1313</v>
      </c>
      <c r="K238" t="s" s="10">
        <v>1314</v>
      </c>
      <c r="L238" s="16">
        <f>HYPERLINK("http://www.taxfix.de", "www.taxfix.de")</f>
      </c>
      <c r="M238" s="16">
        <f>HYPERLINK("https://my.pitchbook.com?c=174348-64", "View Company Online")</f>
      </c>
    </row>
    <row r="239">
      <c r="A239" t="s" s="11">
        <v>1316</v>
      </c>
      <c r="B239" t="s" s="11">
        <v>1317</v>
      </c>
      <c r="C239" t="s" s="11">
        <v>27</v>
      </c>
      <c r="D239" t="s" s="11">
        <v>28</v>
      </c>
      <c r="E239" t="s" s="11">
        <v>29</v>
      </c>
      <c r="F239" t="s" s="28">
        <v>30</v>
      </c>
      <c r="G239" t="s" s="11">
        <v>48</v>
      </c>
      <c r="H239" t="s" s="43">
        <v>30</v>
      </c>
      <c r="I239" s="43">
        <v>1000</v>
      </c>
      <c r="J239" t="s" s="11">
        <v>1318</v>
      </c>
      <c r="K239" t="s" s="11">
        <v>1319</v>
      </c>
      <c r="L239" s="17">
        <f>HYPERLINK("http://www.teya.com", "www.teya.com")</f>
      </c>
      <c r="M239" s="17">
        <f>HYPERLINK("https://my.pitchbook.com?c=433444-60", "View Company Online")</f>
      </c>
    </row>
    <row r="240">
      <c r="A240" t="s" s="10">
        <v>1321</v>
      </c>
      <c r="B240" t="s" s="10">
        <v>1322</v>
      </c>
      <c r="C240" t="s" s="10">
        <v>128</v>
      </c>
      <c r="D240" t="s" s="10">
        <v>199</v>
      </c>
      <c r="E240" t="s" s="10">
        <v>1323</v>
      </c>
      <c r="F240" s="27">
        <v>43423</v>
      </c>
      <c r="G240" t="s" s="10">
        <v>40</v>
      </c>
      <c r="H240" s="42">
        <v>120</v>
      </c>
      <c r="I240" s="42">
        <v>1000</v>
      </c>
      <c r="J240" t="s" s="10">
        <v>1324</v>
      </c>
      <c r="K240" t="s" s="10">
        <v>1325</v>
      </c>
      <c r="L240" s="16">
        <f>HYPERLINK("http://www.tngfintech.com", "www.tngfintech.com")</f>
      </c>
      <c r="M240" s="16">
        <f>HYPERLINK("https://my.pitchbook.com?c=185055-67", "View Company Online")</f>
      </c>
    </row>
    <row r="241">
      <c r="A241" t="s" s="11">
        <v>1327</v>
      </c>
      <c r="B241" t="s" s="11">
        <v>1328</v>
      </c>
      <c r="C241" t="s" s="11">
        <v>172</v>
      </c>
      <c r="D241" t="s" s="11">
        <v>173</v>
      </c>
      <c r="E241" t="s" s="11">
        <v>859</v>
      </c>
      <c r="F241" s="28">
        <v>46057</v>
      </c>
      <c r="G241" t="s" s="11">
        <v>40</v>
      </c>
      <c r="H241" s="43">
        <v>70</v>
      </c>
      <c r="I241" s="43">
        <v>1000</v>
      </c>
      <c r="J241" t="s" s="11">
        <v>1329</v>
      </c>
      <c r="K241" t="s" s="11">
        <v>1330</v>
      </c>
      <c r="L241" s="17">
        <f>HYPERLINK("http://www.trmlabs.com", "www.trmlabs.com")</f>
      </c>
      <c r="M241" s="17">
        <f>HYPERLINK("https://my.pitchbook.com?c=265140-01", "View Company Online")</f>
      </c>
    </row>
    <row r="242">
      <c r="A242" t="s" s="10">
        <v>1332</v>
      </c>
      <c r="B242" t="s" s="10">
        <v>1333</v>
      </c>
      <c r="C242" t="s" s="10">
        <v>164</v>
      </c>
      <c r="D242" t="s" s="10">
        <v>206</v>
      </c>
      <c r="E242" t="s" s="10">
        <v>270</v>
      </c>
      <c r="F242" s="27">
        <v>45569</v>
      </c>
      <c r="G242" t="s" s="10">
        <v>40</v>
      </c>
      <c r="H242" s="42">
        <v>50</v>
      </c>
      <c r="I242" s="42">
        <v>1000</v>
      </c>
      <c r="J242" t="s" s="10">
        <v>1334</v>
      </c>
      <c r="K242" t="s" s="10">
        <v>1335</v>
      </c>
      <c r="L242" s="16">
        <f>HYPERLINK("http://www.truelayer.com", "www.truelayer.com")</f>
      </c>
      <c r="M242" s="16">
        <f>HYPERLINK("https://my.pitchbook.com?c=170527-06", "View Company Online")</f>
      </c>
    </row>
    <row r="243">
      <c r="A243" t="s" s="11">
        <v>1337</v>
      </c>
      <c r="B243" t="s" s="11">
        <v>1338</v>
      </c>
      <c r="C243" t="s" s="11">
        <v>60</v>
      </c>
      <c r="D243" t="s" s="11">
        <v>432</v>
      </c>
      <c r="E243" t="s" s="11">
        <v>373</v>
      </c>
      <c r="F243" t="s" s="28">
        <v>30</v>
      </c>
      <c r="G243" t="s" s="11">
        <v>40</v>
      </c>
      <c r="H243" t="s" s="43">
        <v>30</v>
      </c>
      <c r="I243" s="43">
        <v>1000</v>
      </c>
      <c r="J243" t="s" s="11">
        <v>1339</v>
      </c>
      <c r="K243" t="s" s="11">
        <v>1340</v>
      </c>
      <c r="L243" s="17">
        <f>HYPERLINK("http://www.vise.com", "www.vise.com")</f>
      </c>
      <c r="M243" s="17">
        <f>HYPERLINK("https://my.pitchbook.com?c=233863-48", "View Company Online")</f>
      </c>
    </row>
    <row r="244">
      <c r="A244" t="s" s="10">
        <v>1342</v>
      </c>
      <c r="B244" t="s" s="10">
        <v>1343</v>
      </c>
      <c r="C244" t="s" s="10">
        <v>37</v>
      </c>
      <c r="D244" t="s" s="10">
        <v>38</v>
      </c>
      <c r="E244" t="s" s="10">
        <v>193</v>
      </c>
      <c r="F244" s="27">
        <v>44599</v>
      </c>
      <c r="G244" t="s" s="10">
        <v>40</v>
      </c>
      <c r="H244" s="42">
        <v>114</v>
      </c>
      <c r="I244" s="42">
        <v>1000</v>
      </c>
      <c r="J244" t="s" s="10">
        <v>1344</v>
      </c>
      <c r="K244" t="s" s="10">
        <v>1345</v>
      </c>
      <c r="L244" s="16">
        <f>HYPERLINK("http://www.vivid.money", "www.vivid.money")</f>
      </c>
      <c r="M244" s="16">
        <f>HYPERLINK("https://my.pitchbook.com?c=435853-27", "View Company Online")</f>
      </c>
    </row>
    <row r="245">
      <c r="A245" t="s" s="11">
        <v>1347</v>
      </c>
      <c r="B245" t="s" s="11">
        <v>1348</v>
      </c>
      <c r="C245" t="s" s="11">
        <v>37</v>
      </c>
      <c r="D245" t="s" s="11">
        <v>38</v>
      </c>
      <c r="E245" t="s" s="11">
        <v>1349</v>
      </c>
      <c r="F245" s="28">
        <v>45988</v>
      </c>
      <c r="G245" t="s" s="11">
        <v>40</v>
      </c>
      <c r="H245" s="43">
        <v>220</v>
      </c>
      <c r="I245" s="43">
        <v>1000</v>
      </c>
      <c r="J245" t="s" s="11">
        <v>1350</v>
      </c>
      <c r="K245" t="s" s="11">
        <v>1351</v>
      </c>
      <c r="L245" s="17">
        <f>HYPERLINK("http://www.wolaishuke.com", "www.wolaishuke.com")</f>
      </c>
      <c r="M245" s="17">
        <f>HYPERLINK("https://my.pitchbook.com?c=63952-57", "View Company Online")</f>
      </c>
    </row>
    <row r="246">
      <c r="A246" t="s" s="10">
        <v>1353</v>
      </c>
      <c r="B246" t="s" s="10">
        <v>1354</v>
      </c>
      <c r="C246" t="s" s="10">
        <v>27</v>
      </c>
      <c r="D246" t="s" s="10">
        <v>28</v>
      </c>
      <c r="E246" t="s" s="10">
        <v>158</v>
      </c>
      <c r="F246" s="27">
        <v>44826</v>
      </c>
      <c r="G246" t="s" s="10">
        <v>40</v>
      </c>
      <c r="H246" s="42">
        <v>300</v>
      </c>
      <c r="I246" s="42">
        <v>1000</v>
      </c>
      <c r="J246" t="s" s="10">
        <v>1355</v>
      </c>
      <c r="K246" t="s" s="10">
        <v>1356</v>
      </c>
      <c r="L246" s="16">
        <f>HYPERLINK("http://www.xendit.co", "www.xendit.co")</f>
      </c>
      <c r="M246" s="16">
        <f>HYPERLINK("https://my.pitchbook.com?c=103397-77", "View Company Online")</f>
      </c>
    </row>
    <row r="247">
      <c r="A247" t="s" s="11">
        <v>1358</v>
      </c>
      <c r="B247" t="s" s="11">
        <v>1359</v>
      </c>
      <c r="C247" t="s" s="11">
        <v>46</v>
      </c>
      <c r="D247" t="s" s="11">
        <v>397</v>
      </c>
      <c r="E247" t="s" s="11">
        <v>1360</v>
      </c>
      <c r="F247" s="28">
        <v>44348</v>
      </c>
      <c r="G247" t="s" s="11">
        <v>40</v>
      </c>
      <c r="H247" s="43">
        <v>100</v>
      </c>
      <c r="I247" s="43">
        <v>1000</v>
      </c>
      <c r="J247" t="s" s="11">
        <v>1361</v>
      </c>
      <c r="K247" t="s" s="11">
        <v>1362</v>
      </c>
      <c r="L247" s="17">
        <f>HYPERLINK("http://www.xforceplus.com", "www.xforceplus.com")</f>
      </c>
      <c r="M247" s="17">
        <f>HYPERLINK("https://my.pitchbook.com?c=163940-23", "View Company Online")</f>
      </c>
    </row>
    <row r="248">
      <c r="A248" t="s" s="10">
        <v>1364</v>
      </c>
      <c r="B248" t="s" s="10">
        <v>1365</v>
      </c>
      <c r="C248" t="s" s="10">
        <v>46</v>
      </c>
      <c r="D248" t="s" s="10">
        <v>47</v>
      </c>
      <c r="E248" t="s" s="10">
        <v>1366</v>
      </c>
      <c r="F248" s="27">
        <v>45987</v>
      </c>
      <c r="G248" t="s" s="10">
        <v>48</v>
      </c>
      <c r="H248" t="s" s="42">
        <v>30</v>
      </c>
      <c r="I248" s="42">
        <v>972.87</v>
      </c>
      <c r="J248" t="s" s="10">
        <v>1367</v>
      </c>
      <c r="K248" t="s" s="10">
        <v>1368</v>
      </c>
      <c r="L248" s="16">
        <f>HYPERLINK("http://www.kcd.co.kr", "www.kcd.co.kr")</f>
      </c>
      <c r="M248" s="16">
        <f>HYPERLINK("https://my.pitchbook.com?c=172908-28", "View Company Online")</f>
      </c>
    </row>
    <row r="249">
      <c r="A249" t="s" s="11">
        <v>1370</v>
      </c>
      <c r="B249" t="s" s="11">
        <v>1371</v>
      </c>
      <c r="C249" t="s" s="11">
        <v>37</v>
      </c>
      <c r="D249" t="s" s="11">
        <v>304</v>
      </c>
      <c r="E249" t="s" s="11">
        <v>29</v>
      </c>
      <c r="F249" s="28">
        <v>46184</v>
      </c>
      <c r="G249" t="s" s="11">
        <v>40</v>
      </c>
      <c r="H249" s="43">
        <v>94.04</v>
      </c>
      <c r="I249" s="43">
        <v>962.11</v>
      </c>
      <c r="J249" t="s" s="11">
        <v>1372</v>
      </c>
      <c r="K249" t="s" s="11">
        <v>1373</v>
      </c>
      <c r="L249" s="17">
        <f>HYPERLINK("http://www.koho.ca", "www.koho.ca")</f>
      </c>
      <c r="M249" s="17">
        <f>HYPERLINK("https://my.pitchbook.com?c=108913-78", "View Company Online")</f>
      </c>
    </row>
    <row r="250">
      <c r="A250" t="s" s="10">
        <v>1375</v>
      </c>
      <c r="B250" t="s" s="10">
        <v>1376</v>
      </c>
      <c r="C250" t="s" s="10">
        <v>114</v>
      </c>
      <c r="D250" t="s" s="10">
        <v>852</v>
      </c>
      <c r="E250" t="s" s="10">
        <v>137</v>
      </c>
      <c r="F250" s="27">
        <v>44578</v>
      </c>
      <c r="G250" t="s" s="10">
        <v>40</v>
      </c>
      <c r="H250" s="42">
        <v>272.15</v>
      </c>
      <c r="I250" s="42">
        <v>947.07</v>
      </c>
      <c r="J250" t="s" s="10">
        <v>1377</v>
      </c>
      <c r="K250" t="s" s="10">
        <v>1378</v>
      </c>
      <c r="L250" t="s" s="10">
        <v>30</v>
      </c>
      <c r="M250" s="16">
        <f>HYPERLINK("https://my.pitchbook.com?c=57010-33", "View Company Online")</f>
      </c>
    </row>
    <row r="251">
      <c r="A251" t="s" s="11">
        <v>1379</v>
      </c>
      <c r="B251" t="s" s="11">
        <v>1380</v>
      </c>
      <c r="C251" t="s" s="11">
        <v>37</v>
      </c>
      <c r="D251" t="s" s="11">
        <v>38</v>
      </c>
      <c r="E251" t="s" s="11">
        <v>1109</v>
      </c>
      <c r="F251" t="s" s="28">
        <v>30</v>
      </c>
      <c r="G251" t="s" s="11">
        <v>607</v>
      </c>
      <c r="H251" t="s" s="43">
        <v>30</v>
      </c>
      <c r="I251" s="43">
        <v>930.19</v>
      </c>
      <c r="J251" t="s" s="11">
        <v>1381</v>
      </c>
      <c r="K251" t="s" s="11">
        <v>1382</v>
      </c>
      <c r="L251" s="17">
        <f>HYPERLINK("http://www.sumeria.eu", "www.sumeria.eu")</f>
      </c>
      <c r="M251" s="17">
        <f>HYPERLINK("https://my.pitchbook.com?c=59048-38", "View Company Online")</f>
      </c>
    </row>
    <row r="252">
      <c r="A252" t="s" s="10">
        <v>1384</v>
      </c>
      <c r="B252" t="s" s="10">
        <v>1385</v>
      </c>
      <c r="C252" t="s" s="10">
        <v>114</v>
      </c>
      <c r="D252" t="s" s="10">
        <v>1386</v>
      </c>
      <c r="E252" t="s" s="10">
        <v>193</v>
      </c>
      <c r="F252" s="27">
        <v>45957</v>
      </c>
      <c r="G252" t="s" s="10">
        <v>40</v>
      </c>
      <c r="H252" s="42">
        <v>225</v>
      </c>
      <c r="I252" s="42">
        <v>919.87</v>
      </c>
      <c r="J252" t="s" s="10">
        <v>1387</v>
      </c>
      <c r="K252" t="s" s="10">
        <v>1388</v>
      </c>
      <c r="L252" s="16">
        <f>HYPERLINK("http://www.savvymoney.com", "www.savvymoney.com")</f>
      </c>
      <c r="M252" s="16">
        <f>HYPERLINK("https://my.pitchbook.com?c=50964-49", "View Company Online")</f>
      </c>
    </row>
    <row r="253">
      <c r="A253" t="s" s="11">
        <v>1390</v>
      </c>
      <c r="B253" t="s" s="11">
        <v>1391</v>
      </c>
      <c r="C253" t="s" s="11">
        <v>172</v>
      </c>
      <c r="D253" t="s" s="11">
        <v>173</v>
      </c>
      <c r="E253" t="s" s="11">
        <v>1392</v>
      </c>
      <c r="F253" s="28">
        <v>45413</v>
      </c>
      <c r="G253" t="s" s="11">
        <v>607</v>
      </c>
      <c r="H253" t="s" s="43">
        <v>30</v>
      </c>
      <c r="I253" s="43">
        <v>915.2</v>
      </c>
      <c r="J253" t="s" s="11">
        <v>1393</v>
      </c>
      <c r="K253" t="s" s="11">
        <v>1394</v>
      </c>
      <c r="L253" s="17">
        <f>HYPERLINK("http://www.shift-technology.com", "www.shift-technology.com")</f>
      </c>
      <c r="M253" s="17">
        <f>HYPERLINK("https://my.pitchbook.com?c=91659-16", "View Company Online")</f>
      </c>
    </row>
    <row r="254">
      <c r="A254" t="s" s="10">
        <v>1396</v>
      </c>
      <c r="B254" t="s" s="10">
        <v>1397</v>
      </c>
      <c r="C254" t="s" s="10">
        <v>27</v>
      </c>
      <c r="D254" t="s" s="10">
        <v>28</v>
      </c>
      <c r="E254" t="s" s="10">
        <v>158</v>
      </c>
      <c r="F254" s="27">
        <v>45755</v>
      </c>
      <c r="G254" t="s" s="10">
        <v>40</v>
      </c>
      <c r="H254" s="42">
        <v>78</v>
      </c>
      <c r="I254" s="42">
        <v>875</v>
      </c>
      <c r="J254" t="s" s="10">
        <v>1398</v>
      </c>
      <c r="K254" t="s" s="10">
        <v>1399</v>
      </c>
      <c r="L254" s="16">
        <f>HYPERLINK("http://www.sipay.com.tr", "www.sipay.com.tr")</f>
      </c>
      <c r="M254" s="16">
        <f>HYPERLINK("https://my.pitchbook.com?c=493413-94", "View Company Online")</f>
      </c>
    </row>
    <row r="255">
      <c r="A255" t="s" s="11">
        <v>1401</v>
      </c>
      <c r="B255" t="s" s="11">
        <v>1402</v>
      </c>
      <c r="C255" t="s" s="11">
        <v>60</v>
      </c>
      <c r="D255" t="s" s="11">
        <v>61</v>
      </c>
      <c r="E255" t="s" s="11">
        <v>193</v>
      </c>
      <c r="F255" s="28">
        <v>45698</v>
      </c>
      <c r="G255" t="s" s="11">
        <v>40</v>
      </c>
      <c r="H255" t="s" s="43">
        <v>30</v>
      </c>
      <c r="I255" s="43">
        <v>872.66</v>
      </c>
      <c r="J255" t="s" s="11">
        <v>1403</v>
      </c>
      <c r="K255" t="s" s="11">
        <v>1404</v>
      </c>
      <c r="L255" s="17">
        <f>HYPERLINK("http://www.paypay-sec.co.jp", "www.paypay-sec.co.jp")</f>
      </c>
      <c r="M255" s="17">
        <f>HYPERLINK("https://my.pitchbook.com?c=170720-20", "View Company Online")</f>
      </c>
    </row>
    <row r="256">
      <c r="A256" t="s" s="10">
        <v>1406</v>
      </c>
      <c r="B256" t="s" s="10">
        <v>1407</v>
      </c>
      <c r="C256" t="s" s="10">
        <v>128</v>
      </c>
      <c r="D256" t="s" s="10">
        <v>199</v>
      </c>
      <c r="E256" t="s" s="10">
        <v>158</v>
      </c>
      <c r="F256" s="27">
        <v>46046</v>
      </c>
      <c r="G256" t="s" s="10">
        <v>391</v>
      </c>
      <c r="H256" t="s" s="42">
        <v>30</v>
      </c>
      <c r="I256" s="42">
        <v>852.14</v>
      </c>
      <c r="J256" t="s" s="10">
        <v>1408</v>
      </c>
      <c r="K256" t="s" s="10">
        <v>1409</v>
      </c>
      <c r="L256" s="16">
        <f>HYPERLINK("http://www.curve.com", "www.curve.com")</f>
      </c>
      <c r="M256" s="16">
        <f>HYPERLINK("https://my.pitchbook.com?c=119616-85", "View Company Online")</f>
      </c>
    </row>
    <row r="257">
      <c r="A257" t="s" s="11">
        <v>1411</v>
      </c>
      <c r="B257" t="s" s="11">
        <v>1412</v>
      </c>
      <c r="C257" t="s" s="11">
        <v>114</v>
      </c>
      <c r="D257" t="s" s="11">
        <v>852</v>
      </c>
      <c r="E257" t="s" s="11">
        <v>973</v>
      </c>
      <c r="F257" s="28">
        <v>45636</v>
      </c>
      <c r="G257" t="s" s="11">
        <v>40</v>
      </c>
      <c r="H257" s="43">
        <v>180</v>
      </c>
      <c r="I257" s="43">
        <v>850</v>
      </c>
      <c r="J257" t="s" s="11">
        <v>1413</v>
      </c>
      <c r="K257" t="s" s="11">
        <v>1414</v>
      </c>
      <c r="L257" s="17">
        <f>HYPERLINK("http://www.mintifi.com", "www.mintifi.com")</f>
      </c>
      <c r="M257" s="17">
        <f>HYPERLINK("https://my.pitchbook.com?c=227661-94", "View Company Online")</f>
      </c>
    </row>
    <row r="258">
      <c r="A258" t="s" s="10">
        <v>1416</v>
      </c>
      <c r="B258" t="s" s="10">
        <v>1417</v>
      </c>
      <c r="C258" t="s" s="10">
        <v>60</v>
      </c>
      <c r="D258" t="s" s="10">
        <v>246</v>
      </c>
      <c r="E258" t="s" s="10">
        <v>373</v>
      </c>
      <c r="F258" s="27">
        <v>45800</v>
      </c>
      <c r="G258" t="s" s="10">
        <v>40</v>
      </c>
      <c r="H258" s="42">
        <v>75</v>
      </c>
      <c r="I258" s="42">
        <v>850</v>
      </c>
      <c r="J258" t="s" s="10">
        <v>1418</v>
      </c>
      <c r="K258" t="s" s="10">
        <v>1419</v>
      </c>
      <c r="L258" s="16">
        <f>HYPERLINK("http://www.monarch.com", "www.monarch.com")</f>
      </c>
      <c r="M258" s="16">
        <f>HYPERLINK("https://my.pitchbook.com?c=267452-92", "View Company Online")</f>
      </c>
    </row>
    <row r="259">
      <c r="A259" t="s" s="11">
        <v>1421</v>
      </c>
      <c r="B259" t="s" s="11">
        <v>1422</v>
      </c>
      <c r="C259" t="s" s="11">
        <v>114</v>
      </c>
      <c r="D259" t="s" s="11">
        <v>136</v>
      </c>
      <c r="E259" t="s" s="11">
        <v>137</v>
      </c>
      <c r="F259" t="s" s="28">
        <v>30</v>
      </c>
      <c r="G259" t="s" s="11">
        <v>48</v>
      </c>
      <c r="H259" t="s" s="43">
        <v>30</v>
      </c>
      <c r="I259" s="43">
        <v>850</v>
      </c>
      <c r="J259" t="s" s="11">
        <v>1423</v>
      </c>
      <c r="K259" t="s" s="11">
        <v>1424</v>
      </c>
      <c r="L259" s="17">
        <f>HYPERLINK("http://www.prosper.com", "www.prosper.com")</f>
      </c>
      <c r="M259" s="17">
        <f>HYPERLINK("https://my.pitchbook.com?c=52258-60", "View Company Online")</f>
      </c>
    </row>
    <row r="260">
      <c r="A260" t="s" s="10">
        <v>1426</v>
      </c>
      <c r="B260" t="s" s="10">
        <v>1427</v>
      </c>
      <c r="C260" t="s" s="10">
        <v>144</v>
      </c>
      <c r="D260" t="s" s="10">
        <v>38</v>
      </c>
      <c r="E260" t="s" s="10">
        <v>373</v>
      </c>
      <c r="F260" s="27">
        <v>45139</v>
      </c>
      <c r="G260" t="s" s="10">
        <v>72</v>
      </c>
      <c r="H260" s="42">
        <v>125</v>
      </c>
      <c r="I260" s="42">
        <v>845</v>
      </c>
      <c r="J260" t="s" s="10">
        <v>1428</v>
      </c>
      <c r="K260" t="s" s="10">
        <v>1429</v>
      </c>
      <c r="L260" s="16">
        <f>HYPERLINK("http://www.novo.co", "www.novo.co")</f>
      </c>
      <c r="M260" s="16">
        <f>HYPERLINK("https://my.pitchbook.com?c=184747-15", "View Company Online")</f>
      </c>
    </row>
    <row r="261">
      <c r="A261" t="s" s="11">
        <v>1431</v>
      </c>
      <c r="B261" t="s" s="11">
        <v>1432</v>
      </c>
      <c r="C261" t="s" s="11">
        <v>144</v>
      </c>
      <c r="D261" t="s" s="11">
        <v>297</v>
      </c>
      <c r="E261" t="s" s="11">
        <v>414</v>
      </c>
      <c r="F261" s="28">
        <v>46169</v>
      </c>
      <c r="G261" t="s" s="11">
        <v>40</v>
      </c>
      <c r="H261" s="43">
        <v>200</v>
      </c>
      <c r="I261" s="43">
        <v>837.5</v>
      </c>
      <c r="J261" t="s" s="11">
        <v>1433</v>
      </c>
      <c r="K261" t="s" s="11">
        <v>1434</v>
      </c>
      <c r="L261" s="17">
        <f>HYPERLINK("http://www.capchase.com", "www.capchase.com")</f>
      </c>
      <c r="M261" s="17">
        <f>HYPERLINK("https://my.pitchbook.com?c=438321-34", "View Company Online")</f>
      </c>
    </row>
    <row r="262">
      <c r="A262" t="s" s="10">
        <v>1436</v>
      </c>
      <c r="B262" t="s" s="10">
        <v>1437</v>
      </c>
      <c r="C262" t="s" s="10">
        <v>60</v>
      </c>
      <c r="D262" t="s" s="10">
        <v>727</v>
      </c>
      <c r="E262" t="s" s="10">
        <v>62</v>
      </c>
      <c r="F262" s="27">
        <v>46098</v>
      </c>
      <c r="G262" t="s" s="10">
        <v>40</v>
      </c>
      <c r="H262" t="s" s="42">
        <v>30</v>
      </c>
      <c r="I262" s="42">
        <v>835</v>
      </c>
      <c r="J262" t="s" s="10">
        <v>1438</v>
      </c>
      <c r="K262" t="s" s="10">
        <v>1439</v>
      </c>
      <c r="L262" s="16">
        <f>HYPERLINK("http://www.republic.com", "www.republic.com")</f>
      </c>
      <c r="M262" s="16">
        <f>HYPERLINK("https://my.pitchbook.com?c=169067-89", "View Company Online")</f>
      </c>
    </row>
    <row r="263">
      <c r="A263" t="s" s="11">
        <v>1441</v>
      </c>
      <c r="B263" t="s" s="11">
        <v>1442</v>
      </c>
      <c r="C263" t="s" s="11">
        <v>37</v>
      </c>
      <c r="D263" t="s" s="11">
        <v>38</v>
      </c>
      <c r="E263" t="s" s="11">
        <v>1443</v>
      </c>
      <c r="F263" s="28">
        <v>44764</v>
      </c>
      <c r="G263" t="s" s="11">
        <v>40</v>
      </c>
      <c r="H263" s="43">
        <v>168.96</v>
      </c>
      <c r="I263" s="43">
        <v>829.49</v>
      </c>
      <c r="J263" t="s" s="11">
        <v>1444</v>
      </c>
      <c r="K263" t="s" s="11">
        <v>1445</v>
      </c>
      <c r="L263" s="17">
        <f>HYPERLINK("http://www.touchngo.com.my", "www.touchngo.com.my")</f>
      </c>
      <c r="M263" s="17">
        <f>HYPERLINK("https://my.pitchbook.com?c=183856-42", "View Company Online")</f>
      </c>
    </row>
    <row r="264">
      <c r="A264" t="s" s="10">
        <v>1447</v>
      </c>
      <c r="B264" t="s" s="10">
        <v>1448</v>
      </c>
      <c r="C264" t="s" s="10">
        <v>164</v>
      </c>
      <c r="D264" t="s" s="10">
        <v>206</v>
      </c>
      <c r="E264" t="s" s="10">
        <v>690</v>
      </c>
      <c r="F264" t="s" s="27">
        <v>30</v>
      </c>
      <c r="G264" t="s" s="10">
        <v>48</v>
      </c>
      <c r="H264" t="s" s="42">
        <v>30</v>
      </c>
      <c r="I264" s="42">
        <v>825</v>
      </c>
      <c r="J264" t="s" s="10">
        <v>1449</v>
      </c>
      <c r="K264" t="s" s="10">
        <v>1450</v>
      </c>
      <c r="L264" s="16">
        <f>HYPERLINK("http://www.codat.io", "www.codat.io")</f>
      </c>
      <c r="M264" s="16">
        <f>HYPERLINK("https://my.pitchbook.com?c=267586-66", "View Company Online")</f>
      </c>
    </row>
    <row r="265">
      <c r="A265" t="s" s="11">
        <v>1452</v>
      </c>
      <c r="B265" t="s" s="11">
        <v>1453</v>
      </c>
      <c r="C265" t="s" s="11">
        <v>172</v>
      </c>
      <c r="D265" t="s" s="11">
        <v>1454</v>
      </c>
      <c r="E265" t="s" s="11">
        <v>373</v>
      </c>
      <c r="F265" s="28">
        <v>45985</v>
      </c>
      <c r="G265" t="s" s="11">
        <v>40</v>
      </c>
      <c r="H265" t="s" s="43">
        <v>30</v>
      </c>
      <c r="I265" s="43">
        <v>810.16</v>
      </c>
      <c r="J265" t="s" s="11">
        <v>1455</v>
      </c>
      <c r="K265" t="s" s="11">
        <v>1456</v>
      </c>
      <c r="L265" s="17">
        <f>HYPERLINK("http://www.accessfintech.com", "www.accessfintech.com")</f>
      </c>
      <c r="M265" s="17">
        <f>HYPERLINK("https://my.pitchbook.com?c=226335-34", "View Company Online")</f>
      </c>
    </row>
    <row r="266">
      <c r="A266" t="s" s="10">
        <v>1458</v>
      </c>
      <c r="B266" t="s" s="10">
        <v>1459</v>
      </c>
      <c r="C266" t="s" s="10">
        <v>164</v>
      </c>
      <c r="D266" t="s" s="10">
        <v>206</v>
      </c>
      <c r="E266" t="s" s="10">
        <v>1460</v>
      </c>
      <c r="F266" s="27">
        <v>44405</v>
      </c>
      <c r="G266" t="s" s="10">
        <v>40</v>
      </c>
      <c r="H266" s="42">
        <v>60</v>
      </c>
      <c r="I266" s="42">
        <v>810</v>
      </c>
      <c r="J266" t="s" s="10">
        <v>1461</v>
      </c>
      <c r="K266" t="s" s="10">
        <v>1462</v>
      </c>
      <c r="L266" s="16">
        <f>HYPERLINK("http://www.lithic.com", "www.lithic.com")</f>
      </c>
      <c r="M266" s="16">
        <f>HYPERLINK("https://my.pitchbook.com?c=126586-00", "View Company Online")</f>
      </c>
    </row>
    <row r="267">
      <c r="A267" t="s" s="11">
        <v>1464</v>
      </c>
      <c r="B267" t="s" s="11">
        <v>1465</v>
      </c>
      <c r="C267" t="s" s="11">
        <v>172</v>
      </c>
      <c r="D267" t="s" s="11">
        <v>338</v>
      </c>
      <c r="E267" t="s" s="11">
        <v>137</v>
      </c>
      <c r="F267" s="28">
        <v>44664</v>
      </c>
      <c r="G267" t="s" s="11">
        <v>146</v>
      </c>
      <c r="H267" s="43">
        <v>57</v>
      </c>
      <c r="I267" s="43">
        <v>807</v>
      </c>
      <c r="J267" t="s" s="11">
        <v>1466</v>
      </c>
      <c r="K267" t="s" s="11">
        <v>1467</v>
      </c>
      <c r="L267" s="17">
        <f>HYPERLINK("http://www.middesk.com", "www.middesk.com")</f>
      </c>
      <c r="M267" s="17">
        <f>HYPERLINK("https://my.pitchbook.com?c=265321-36", "View Company Online")</f>
      </c>
    </row>
    <row r="268">
      <c r="A268" t="s" s="10">
        <v>1469</v>
      </c>
      <c r="B268" t="s" s="10">
        <v>1470</v>
      </c>
      <c r="C268" t="s" s="10">
        <v>114</v>
      </c>
      <c r="D268" t="s" s="10">
        <v>136</v>
      </c>
      <c r="E268" t="s" s="10">
        <v>193</v>
      </c>
      <c r="F268" s="27">
        <v>46143</v>
      </c>
      <c r="G268" t="s" s="10">
        <v>391</v>
      </c>
      <c r="H268" s="42">
        <v>800</v>
      </c>
      <c r="I268" s="42">
        <v>800</v>
      </c>
      <c r="J268" t="s" s="10">
        <v>1471</v>
      </c>
      <c r="K268" t="s" s="10">
        <v>30</v>
      </c>
      <c r="L268" s="16">
        <f>HYPERLINK("http://www.bestegg.com", "www.bestegg.com")</f>
      </c>
      <c r="M268" s="16">
        <f>HYPERLINK("https://my.pitchbook.com?c=119609-47", "View Company Online")</f>
      </c>
    </row>
    <row r="269">
      <c r="A269" t="s" s="11">
        <v>1473</v>
      </c>
      <c r="B269" t="s" s="11">
        <v>1474</v>
      </c>
      <c r="C269" t="s" s="11">
        <v>27</v>
      </c>
      <c r="D269" t="s" s="11">
        <v>70</v>
      </c>
      <c r="E269" t="s" s="11">
        <v>253</v>
      </c>
      <c r="F269" s="28">
        <v>44690</v>
      </c>
      <c r="G269" t="s" s="11">
        <v>146</v>
      </c>
      <c r="H269" s="43">
        <v>206</v>
      </c>
      <c r="I269" s="43">
        <v>800</v>
      </c>
      <c r="J269" t="s" s="11">
        <v>1475</v>
      </c>
      <c r="K269" t="s" s="11">
        <v>1476</v>
      </c>
      <c r="L269" s="17">
        <f>HYPERLINK("http://www.juni.co", "www.juni.co")</f>
      </c>
      <c r="M269" s="17">
        <f>HYPERLINK("https://my.pitchbook.com?c=442706-68", "View Company Online")</f>
      </c>
    </row>
    <row r="270">
      <c r="A270" t="s" s="10">
        <v>1478</v>
      </c>
      <c r="B270" t="s" s="10">
        <v>1479</v>
      </c>
      <c r="C270" t="s" s="10">
        <v>37</v>
      </c>
      <c r="D270" t="s" s="10">
        <v>38</v>
      </c>
      <c r="E270" t="s" s="10">
        <v>270</v>
      </c>
      <c r="F270" s="27">
        <v>45838</v>
      </c>
      <c r="G270" t="s" s="10">
        <v>40</v>
      </c>
      <c r="H270" s="42">
        <v>190</v>
      </c>
      <c r="I270" s="42">
        <v>800</v>
      </c>
      <c r="J270" t="s" s="10">
        <v>1480</v>
      </c>
      <c r="K270" t="s" s="10">
        <v>1481</v>
      </c>
      <c r="L270" s="16">
        <f>HYPERLINK("http://www.klar.mx", "www.klar.mx")</f>
      </c>
      <c r="M270" s="16">
        <f>HYPERLINK("https://my.pitchbook.com?c=265127-77", "View Company Online")</f>
      </c>
    </row>
    <row r="271">
      <c r="A271" t="s" s="11">
        <v>1483</v>
      </c>
      <c r="B271" t="s" s="11">
        <v>1484</v>
      </c>
      <c r="C271" t="s" s="11">
        <v>27</v>
      </c>
      <c r="D271" t="s" s="11">
        <v>70</v>
      </c>
      <c r="E271" t="s" s="11">
        <v>1485</v>
      </c>
      <c r="F271" s="28">
        <v>45497</v>
      </c>
      <c r="G271" t="s" s="11">
        <v>40</v>
      </c>
      <c r="H271" s="43">
        <v>125</v>
      </c>
      <c r="I271" s="43">
        <v>800</v>
      </c>
      <c r="J271" t="s" s="11">
        <v>1486</v>
      </c>
      <c r="K271" t="s" s="11">
        <v>1487</v>
      </c>
      <c r="L271" s="17">
        <f>HYPERLINK("http://www.leaflink.com", "www.leaflink.com")</f>
      </c>
      <c r="M271" s="17">
        <f>HYPERLINK("https://my.pitchbook.com?c=127264-60", "View Company Online")</f>
      </c>
    </row>
    <row r="272">
      <c r="A272" t="s" s="10">
        <v>1489</v>
      </c>
      <c r="B272" t="s" s="10">
        <v>1490</v>
      </c>
      <c r="C272" t="s" s="10">
        <v>164</v>
      </c>
      <c r="D272" t="s" s="10">
        <v>206</v>
      </c>
      <c r="E272" t="s" s="10">
        <v>137</v>
      </c>
      <c r="F272" s="27">
        <v>45077</v>
      </c>
      <c r="G272" t="s" s="10">
        <v>40</v>
      </c>
      <c r="H272" t="s" s="42">
        <v>30</v>
      </c>
      <c r="I272" s="42">
        <v>800</v>
      </c>
      <c r="J272" t="s" s="10">
        <v>1491</v>
      </c>
      <c r="K272" t="s" s="10">
        <v>1492</v>
      </c>
      <c r="L272" s="16">
        <f>HYPERLINK("http://locktrust.com", "locktrust.com")</f>
      </c>
      <c r="M272" s="16">
        <f>HYPERLINK("https://my.pitchbook.com?c=166672-81", "View Company Online")</f>
      </c>
    </row>
    <row r="273">
      <c r="A273" t="s" s="11">
        <v>1494</v>
      </c>
      <c r="B273" t="s" s="11">
        <v>1495</v>
      </c>
      <c r="C273" t="s" s="11">
        <v>37</v>
      </c>
      <c r="D273" t="s" s="11">
        <v>304</v>
      </c>
      <c r="E273" t="s" s="11">
        <v>253</v>
      </c>
      <c r="F273" s="28">
        <v>45391</v>
      </c>
      <c r="G273" t="s" s="11">
        <v>391</v>
      </c>
      <c r="H273" t="s" s="43">
        <v>30</v>
      </c>
      <c r="I273" s="43">
        <v>800</v>
      </c>
      <c r="J273" t="s" s="11">
        <v>1496</v>
      </c>
      <c r="K273" t="s" s="11">
        <v>30</v>
      </c>
      <c r="L273" s="17">
        <f>HYPERLINK("http://www.petalcard.com", "www.petalcard.com")</f>
      </c>
      <c r="M273" s="17">
        <f>HYPERLINK("https://my.pitchbook.com?c=169207-66", "View Company Online")</f>
      </c>
    </row>
    <row r="274">
      <c r="A274" t="s" s="10">
        <v>1498</v>
      </c>
      <c r="B274" t="s" s="10">
        <v>1499</v>
      </c>
      <c r="C274" t="s" s="10">
        <v>37</v>
      </c>
      <c r="D274" t="s" s="10">
        <v>38</v>
      </c>
      <c r="E274" t="s" s="10">
        <v>270</v>
      </c>
      <c r="F274" s="27">
        <v>45727</v>
      </c>
      <c r="G274" t="s" s="10">
        <v>40</v>
      </c>
      <c r="H274" s="42">
        <v>251</v>
      </c>
      <c r="I274" s="42">
        <v>800</v>
      </c>
      <c r="J274" t="s" s="10">
        <v>1500</v>
      </c>
      <c r="K274" t="s" s="10">
        <v>1501</v>
      </c>
      <c r="L274" s="16">
        <f>HYPERLINK("http://www.zolve.com", "www.zolve.com")</f>
      </c>
      <c r="M274" s="16">
        <f>HYPERLINK("https://my.pitchbook.com?c=460203-49", "View Company Online")</f>
      </c>
    </row>
    <row r="275">
      <c r="A275" t="s" s="11">
        <v>1503</v>
      </c>
      <c r="B275" t="s" s="11">
        <v>1504</v>
      </c>
      <c r="C275" t="s" s="11">
        <v>60</v>
      </c>
      <c r="D275" t="s" s="11">
        <v>246</v>
      </c>
      <c r="E275" t="s" s="11">
        <v>29</v>
      </c>
      <c r="F275" s="28">
        <v>45426</v>
      </c>
      <c r="G275" t="s" s="11">
        <v>40</v>
      </c>
      <c r="H275" s="43">
        <v>150</v>
      </c>
      <c r="I275" s="43">
        <v>796.8</v>
      </c>
      <c r="J275" t="s" s="11">
        <v>1505</v>
      </c>
      <c r="K275" t="s" s="11">
        <v>1506</v>
      </c>
      <c r="L275" s="17">
        <f>HYPERLINK("http://tilt.com", "tilt.com")</f>
      </c>
      <c r="M275" s="17">
        <f>HYPERLINK("https://my.pitchbook.com?c=180802-27", "View Company Online")</f>
      </c>
    </row>
    <row r="276">
      <c r="A276" t="s" s="10">
        <v>1508</v>
      </c>
      <c r="B276" t="s" s="10">
        <v>1509</v>
      </c>
      <c r="C276" t="s" s="10">
        <v>37</v>
      </c>
      <c r="D276" t="s" s="10">
        <v>38</v>
      </c>
      <c r="E276" t="s" s="10">
        <v>29</v>
      </c>
      <c r="F276" s="27">
        <v>46056</v>
      </c>
      <c r="G276" t="s" s="10">
        <v>40</v>
      </c>
      <c r="H276" s="42">
        <v>49.69</v>
      </c>
      <c r="I276" s="42">
        <v>782.43</v>
      </c>
      <c r="J276" t="s" s="10">
        <v>1510</v>
      </c>
      <c r="K276" t="s" s="10">
        <v>1511</v>
      </c>
      <c r="L276" s="16">
        <f>HYPERLINK("http://www.neofinancial.com", "www.neofinancial.com")</f>
      </c>
      <c r="M276" s="16">
        <f>HYPERLINK("https://my.pitchbook.com?c=431203-33", "View Company Online")</f>
      </c>
    </row>
    <row r="277">
      <c r="A277" t="s" s="11">
        <v>1513</v>
      </c>
      <c r="B277" t="s" s="11">
        <v>1514</v>
      </c>
      <c r="C277" t="s" s="11">
        <v>164</v>
      </c>
      <c r="D277" t="s" s="11">
        <v>206</v>
      </c>
      <c r="E277" t="s" s="11">
        <v>253</v>
      </c>
      <c r="F277" s="28">
        <v>45558</v>
      </c>
      <c r="G277" t="s" s="11">
        <v>40</v>
      </c>
      <c r="H277" s="43">
        <v>101.34</v>
      </c>
      <c r="I277" s="43">
        <v>780.95</v>
      </c>
      <c r="J277" t="s" s="11">
        <v>1515</v>
      </c>
      <c r="K277" t="s" s="11">
        <v>1516</v>
      </c>
      <c r="L277" s="17">
        <f>HYPERLINK("http://www.m2pfintech.com", "www.m2pfintech.com")</f>
      </c>
      <c r="M277" s="17">
        <f>HYPERLINK("https://my.pitchbook.com?c=301011-22", "View Company Online")</f>
      </c>
    </row>
    <row r="278">
      <c r="A278" t="s" s="10">
        <v>1518</v>
      </c>
      <c r="B278" t="s" s="10">
        <v>1519</v>
      </c>
      <c r="C278" t="s" s="10">
        <v>60</v>
      </c>
      <c r="D278" t="s" s="10">
        <v>727</v>
      </c>
      <c r="E278" t="s" s="10">
        <v>270</v>
      </c>
      <c r="F278" s="27">
        <v>45855</v>
      </c>
      <c r="G278" t="s" s="10">
        <v>40</v>
      </c>
      <c r="H278" s="42">
        <v>77</v>
      </c>
      <c r="I278" s="42">
        <v>773.17</v>
      </c>
      <c r="J278" t="s" s="10">
        <v>1520</v>
      </c>
      <c r="K278" t="s" s="10">
        <v>1521</v>
      </c>
      <c r="L278" s="16">
        <f>HYPERLINK("http://www.willowwealth.com", "www.willowwealth.com")</f>
      </c>
      <c r="M278" s="16">
        <f>HYPERLINK("https://my.pitchbook.com?c=118373-77", "View Company Online")</f>
      </c>
    </row>
    <row r="279">
      <c r="A279" t="s" s="11">
        <v>1523</v>
      </c>
      <c r="B279" t="s" s="11">
        <v>1524</v>
      </c>
      <c r="C279" t="s" s="11">
        <v>222</v>
      </c>
      <c r="D279" t="s" s="11">
        <v>537</v>
      </c>
      <c r="E279" t="s" s="11">
        <v>634</v>
      </c>
      <c r="F279" s="28">
        <v>46161</v>
      </c>
      <c r="G279" t="s" s="11">
        <v>40</v>
      </c>
      <c r="H279" s="43">
        <v>78</v>
      </c>
      <c r="I279" s="43">
        <v>772.5</v>
      </c>
      <c r="J279" t="s" s="11">
        <v>1525</v>
      </c>
      <c r="K279" t="s" s="11">
        <v>1526</v>
      </c>
      <c r="L279" s="17">
        <f>HYPERLINK("http://www.moment.com", "www.moment.com")</f>
      </c>
      <c r="M279" s="17">
        <f>HYPERLINK("https://my.pitchbook.com?c=521195-86", "View Company Online")</f>
      </c>
    </row>
    <row r="280">
      <c r="A280" t="s" s="10">
        <v>1528</v>
      </c>
      <c r="B280" t="s" s="10">
        <v>1529</v>
      </c>
      <c r="C280" t="s" s="10">
        <v>128</v>
      </c>
      <c r="D280" t="s" s="10">
        <v>129</v>
      </c>
      <c r="E280" t="s" s="10">
        <v>1530</v>
      </c>
      <c r="F280" s="27">
        <v>45678</v>
      </c>
      <c r="G280" t="s" s="10">
        <v>40</v>
      </c>
      <c r="H280" s="42">
        <v>60</v>
      </c>
      <c r="I280" s="42">
        <v>772</v>
      </c>
      <c r="J280" t="s" s="10">
        <v>1531</v>
      </c>
      <c r="K280" t="s" s="10">
        <v>1532</v>
      </c>
      <c r="L280" s="16">
        <f>HYPERLINK("http://www.prizeout.com", "www.prizeout.com")</f>
      </c>
      <c r="M280" s="16">
        <f>HYPERLINK("https://my.pitchbook.com?c=277849-45", "View Company Online")</f>
      </c>
    </row>
    <row r="281">
      <c r="A281" t="s" s="11">
        <v>1534</v>
      </c>
      <c r="B281" t="s" s="11">
        <v>1535</v>
      </c>
      <c r="C281" t="s" s="11">
        <v>60</v>
      </c>
      <c r="D281" t="s" s="11">
        <v>192</v>
      </c>
      <c r="E281" t="s" s="11">
        <v>623</v>
      </c>
      <c r="F281" s="28">
        <v>44889</v>
      </c>
      <c r="G281" t="s" s="11">
        <v>40</v>
      </c>
      <c r="H281" s="43">
        <v>57.8</v>
      </c>
      <c r="I281" s="43">
        <v>768.4</v>
      </c>
      <c r="J281" t="s" s="11">
        <v>1536</v>
      </c>
      <c r="K281" t="s" s="11">
        <v>1537</v>
      </c>
      <c r="L281" s="17">
        <f>HYPERLINK("http://www.stockbit.com", "www.stockbit.com")</f>
      </c>
      <c r="M281" s="17">
        <f>HYPERLINK("https://my.pitchbook.com?c=124629-22", "View Company Online")</f>
      </c>
    </row>
    <row r="282">
      <c r="A282" t="s" s="10">
        <v>1539</v>
      </c>
      <c r="B282" t="s" s="10">
        <v>1540</v>
      </c>
      <c r="C282" t="s" s="10">
        <v>27</v>
      </c>
      <c r="D282" t="s" s="10">
        <v>28</v>
      </c>
      <c r="E282" t="s" s="10">
        <v>1541</v>
      </c>
      <c r="F282" s="27">
        <v>44386</v>
      </c>
      <c r="G282" t="s" s="10">
        <v>40</v>
      </c>
      <c r="H282" s="42">
        <v>73.35</v>
      </c>
      <c r="I282" s="42">
        <v>768.33</v>
      </c>
      <c r="J282" t="s" s="10">
        <v>1542</v>
      </c>
      <c r="K282" t="s" s="10">
        <v>1543</v>
      </c>
      <c r="L282" s="16">
        <f>HYPERLINK("http://www.st.inc", "www.st.inc")</f>
      </c>
      <c r="M282" s="16">
        <f>HYPERLINK("https://my.pitchbook.com?c=230727-16", "View Company Online")</f>
      </c>
    </row>
    <row r="283">
      <c r="A283" t="s" s="11">
        <v>1545</v>
      </c>
      <c r="B283" t="s" s="11">
        <v>1546</v>
      </c>
      <c r="C283" t="s" s="11">
        <v>164</v>
      </c>
      <c r="D283" t="s" s="11">
        <v>206</v>
      </c>
      <c r="E283" t="s" s="11">
        <v>253</v>
      </c>
      <c r="F283" t="s" s="28">
        <v>30</v>
      </c>
      <c r="G283" t="s" s="11">
        <v>40</v>
      </c>
      <c r="H283" t="s" s="43">
        <v>30</v>
      </c>
      <c r="I283" s="43">
        <v>762.82</v>
      </c>
      <c r="J283" t="s" s="11">
        <v>1547</v>
      </c>
      <c r="K283" t="s" s="11">
        <v>1548</v>
      </c>
      <c r="L283" s="17">
        <f>HYPERLINK("http://www.raisin.com", "www.raisin.com")</f>
      </c>
      <c r="M283" s="17">
        <f>HYPERLINK("https://my.pitchbook.com?c=63910-54", "View Company Online")</f>
      </c>
    </row>
    <row r="284">
      <c r="A284" t="s" s="10">
        <v>1550</v>
      </c>
      <c r="B284" t="s" s="10">
        <v>1551</v>
      </c>
      <c r="C284" t="s" s="10">
        <v>114</v>
      </c>
      <c r="D284" t="s" s="10">
        <v>136</v>
      </c>
      <c r="E284" t="s" s="10">
        <v>1552</v>
      </c>
      <c r="F284" s="27">
        <v>44200</v>
      </c>
      <c r="G284" t="s" s="10">
        <v>40</v>
      </c>
      <c r="H284" s="42">
        <v>75.64</v>
      </c>
      <c r="I284" s="42">
        <v>756.36</v>
      </c>
      <c r="J284" t="s" s="10">
        <v>1553</v>
      </c>
      <c r="K284" t="s" s="10">
        <v>1554</v>
      </c>
      <c r="L284" s="16">
        <f>HYPERLINK("http://www.brighte.com.au", "www.brighte.com.au")</f>
      </c>
      <c r="M284" s="16">
        <f>HYPERLINK("https://my.pitchbook.com?c=185633-38", "View Company Online")</f>
      </c>
    </row>
    <row r="285">
      <c r="A285" t="s" s="11">
        <v>1556</v>
      </c>
      <c r="B285" t="s" s="11">
        <v>1557</v>
      </c>
      <c r="C285" t="s" s="11">
        <v>27</v>
      </c>
      <c r="D285" t="s" s="11">
        <v>70</v>
      </c>
      <c r="E285" t="s" s="11">
        <v>373</v>
      </c>
      <c r="F285" s="28">
        <v>46080</v>
      </c>
      <c r="G285" t="s" s="11">
        <v>40</v>
      </c>
      <c r="H285" s="43">
        <v>125</v>
      </c>
      <c r="I285" s="43">
        <v>750</v>
      </c>
      <c r="J285" t="s" s="11">
        <v>1558</v>
      </c>
      <c r="K285" t="s" s="11">
        <v>1559</v>
      </c>
      <c r="L285" s="17">
        <f>HYPERLINK("http://www.highnote.com", "www.highnote.com")</f>
      </c>
      <c r="M285" s="17">
        <f>HYPERLINK("https://my.pitchbook.com?c=442766-44", "View Company Online")</f>
      </c>
    </row>
    <row r="286">
      <c r="A286" t="s" s="10">
        <v>1561</v>
      </c>
      <c r="B286" t="s" s="10">
        <v>1562</v>
      </c>
      <c r="C286" t="s" s="10">
        <v>46</v>
      </c>
      <c r="D286" t="s" s="10">
        <v>47</v>
      </c>
      <c r="E286" t="s" s="10">
        <v>500</v>
      </c>
      <c r="F286" s="27">
        <v>46129</v>
      </c>
      <c r="G286" t="s" s="10">
        <v>40</v>
      </c>
      <c r="H286" s="42">
        <v>95</v>
      </c>
      <c r="I286" s="42">
        <v>750</v>
      </c>
      <c r="J286" t="s" s="10">
        <v>1563</v>
      </c>
      <c r="K286" t="s" s="10">
        <v>1564</v>
      </c>
      <c r="L286" s="16">
        <f>HYPERLINK("http://www.loop.com", "www.loop.com")</f>
      </c>
      <c r="M286" s="16">
        <f>HYPERLINK("https://my.pitchbook.com?c=482316-67", "View Company Online")</f>
      </c>
    </row>
    <row r="287">
      <c r="A287" t="s" s="11">
        <v>1566</v>
      </c>
      <c r="B287" t="s" s="11">
        <v>1567</v>
      </c>
      <c r="C287" t="s" s="11">
        <v>144</v>
      </c>
      <c r="D287" t="s" s="11">
        <v>297</v>
      </c>
      <c r="E287" t="s" s="11">
        <v>373</v>
      </c>
      <c r="F287" s="28">
        <v>46148</v>
      </c>
      <c r="G287" t="s" s="11">
        <v>31</v>
      </c>
      <c r="H287" s="43">
        <v>150</v>
      </c>
      <c r="I287" s="43">
        <v>750</v>
      </c>
      <c r="J287" t="s" s="11">
        <v>1568</v>
      </c>
      <c r="K287" t="s" s="11">
        <v>1569</v>
      </c>
      <c r="L287" s="17">
        <f>HYPERLINK("http://www.parafin.com", "www.parafin.com")</f>
      </c>
      <c r="M287" s="17">
        <f>HYPERLINK("https://my.pitchbook.com?c=458494-66", "View Company Online")</f>
      </c>
    </row>
    <row r="288">
      <c r="A288" t="s" s="10">
        <v>1571</v>
      </c>
      <c r="B288" t="s" s="10">
        <v>1572</v>
      </c>
      <c r="C288" t="s" s="10">
        <v>114</v>
      </c>
      <c r="D288" t="s" s="10">
        <v>870</v>
      </c>
      <c r="E288" t="s" s="10">
        <v>270</v>
      </c>
      <c r="F288" s="27">
        <v>45794</v>
      </c>
      <c r="G288" t="s" s="10">
        <v>31</v>
      </c>
      <c r="H288" s="42">
        <v>9.3</v>
      </c>
      <c r="I288" s="42">
        <v>750</v>
      </c>
      <c r="J288" t="s" s="10">
        <v>1573</v>
      </c>
      <c r="K288" t="s" s="10">
        <v>1574</v>
      </c>
      <c r="L288" s="16">
        <f>HYPERLINK("http://www.stashfin.com", "www.stashfin.com")</f>
      </c>
      <c r="M288" s="16">
        <f>HYPERLINK("https://my.pitchbook.com?c=183405-43", "View Company Online")</f>
      </c>
    </row>
    <row r="289">
      <c r="A289" t="s" s="11">
        <v>1576</v>
      </c>
      <c r="B289" t="s" s="11">
        <v>1577</v>
      </c>
      <c r="C289" t="s" s="11">
        <v>46</v>
      </c>
      <c r="D289" t="s" s="11">
        <v>78</v>
      </c>
      <c r="E289" t="s" s="11">
        <v>1578</v>
      </c>
      <c r="F289" s="28">
        <v>45559</v>
      </c>
      <c r="G289" t="s" s="11">
        <v>40</v>
      </c>
      <c r="H289" s="43">
        <v>20</v>
      </c>
      <c r="I289" s="43">
        <v>750</v>
      </c>
      <c r="J289" t="s" s="11">
        <v>1579</v>
      </c>
      <c r="K289" t="s" s="11">
        <v>1580</v>
      </c>
      <c r="L289" s="17">
        <f>HYPERLINK("http://www.wrapbook.com", "www.wrapbook.com")</f>
      </c>
      <c r="M289" s="17">
        <f>HYPERLINK("https://my.pitchbook.com?c=267423-76", "View Company Online")</f>
      </c>
    </row>
    <row r="290">
      <c r="A290" t="s" s="10">
        <v>1582</v>
      </c>
      <c r="B290" t="s" s="10">
        <v>1583</v>
      </c>
      <c r="C290" t="s" s="10">
        <v>27</v>
      </c>
      <c r="D290" t="s" s="10">
        <v>28</v>
      </c>
      <c r="E290" t="s" s="10">
        <v>1054</v>
      </c>
      <c r="F290" s="27">
        <v>45615</v>
      </c>
      <c r="G290" t="s" s="10">
        <v>72</v>
      </c>
      <c r="H290" s="42">
        <v>35</v>
      </c>
      <c r="I290" s="42">
        <v>747.3</v>
      </c>
      <c r="J290" t="s" s="10">
        <v>1584</v>
      </c>
      <c r="K290" t="s" s="10">
        <v>1585</v>
      </c>
      <c r="L290" s="16">
        <f>HYPERLINK("http://www.getsquire.com", "www.getsquire.com")</f>
      </c>
      <c r="M290" s="16">
        <f>HYPERLINK("https://my.pitchbook.com?c=156488-14", "View Company Online")</f>
      </c>
    </row>
    <row r="291">
      <c r="A291" t="s" s="11">
        <v>1587</v>
      </c>
      <c r="B291" t="s" s="11">
        <v>1588</v>
      </c>
      <c r="C291" t="s" s="11">
        <v>222</v>
      </c>
      <c r="D291" t="s" s="11">
        <v>235</v>
      </c>
      <c r="E291" t="s" s="11">
        <v>137</v>
      </c>
      <c r="F291" s="28">
        <v>46192</v>
      </c>
      <c r="G291" t="s" s="11">
        <v>1589</v>
      </c>
      <c r="H291" s="43">
        <v>126.5</v>
      </c>
      <c r="I291" s="43">
        <v>746</v>
      </c>
      <c r="J291" t="s" s="11">
        <v>1590</v>
      </c>
      <c r="K291" t="s" s="11">
        <v>1591</v>
      </c>
      <c r="L291" s="17">
        <f>HYPERLINK("http://www.teamshares.com", "www.teamshares.com")</f>
      </c>
      <c r="M291" s="17">
        <f>HYPERLINK("https://my.pitchbook.com?c=327111-04", "View Company Online")</f>
      </c>
    </row>
    <row r="292">
      <c r="A292" t="s" s="10">
        <v>1593</v>
      </c>
      <c r="B292" t="s" s="10">
        <v>1594</v>
      </c>
      <c r="C292" t="s" s="10">
        <v>27</v>
      </c>
      <c r="D292" t="s" s="10">
        <v>28</v>
      </c>
      <c r="E292" t="s" s="10">
        <v>1595</v>
      </c>
      <c r="F292" t="s" s="27">
        <v>30</v>
      </c>
      <c r="G292" t="s" s="10">
        <v>48</v>
      </c>
      <c r="H292" t="s" s="42">
        <v>30</v>
      </c>
      <c r="I292" s="42">
        <v>741.25</v>
      </c>
      <c r="J292" t="s" s="10">
        <v>1596</v>
      </c>
      <c r="K292" t="s" s="10">
        <v>1597</v>
      </c>
      <c r="L292" s="16">
        <f>HYPERLINK("http://www.yapstone.com", "www.yapstone.com")</f>
      </c>
      <c r="M292" s="16">
        <f>HYPERLINK("https://my.pitchbook.com?c=52260-85", "View Company Online")</f>
      </c>
    </row>
    <row r="293">
      <c r="A293" t="s" s="11">
        <v>1599</v>
      </c>
      <c r="B293" t="s" s="11">
        <v>1600</v>
      </c>
      <c r="C293" t="s" s="11">
        <v>114</v>
      </c>
      <c r="D293" t="s" s="11">
        <v>852</v>
      </c>
      <c r="E293" t="s" s="11">
        <v>270</v>
      </c>
      <c r="F293" s="28">
        <v>45796</v>
      </c>
      <c r="G293" t="s" s="11">
        <v>31</v>
      </c>
      <c r="H293" s="43">
        <v>62.55</v>
      </c>
      <c r="I293" s="43">
        <v>740.69</v>
      </c>
      <c r="J293" t="s" s="11">
        <v>1601</v>
      </c>
      <c r="K293" t="s" s="11">
        <v>1602</v>
      </c>
      <c r="L293" s="17">
        <f>HYPERLINK("http://www.oxyzo.in", "www.oxyzo.in")</f>
      </c>
      <c r="M293" s="17">
        <f>HYPERLINK("https://my.pitchbook.com?c=494027-92", "View Company Online")</f>
      </c>
    </row>
    <row r="294">
      <c r="A294" t="s" s="10">
        <v>1604</v>
      </c>
      <c r="B294" t="s" s="10">
        <v>1605</v>
      </c>
      <c r="C294" t="s" s="10">
        <v>164</v>
      </c>
      <c r="D294" t="s" s="10">
        <v>206</v>
      </c>
      <c r="E294" t="s" s="10">
        <v>137</v>
      </c>
      <c r="F294" s="27">
        <v>44608</v>
      </c>
      <c r="G294" t="s" s="10">
        <v>40</v>
      </c>
      <c r="H294" s="42">
        <v>75</v>
      </c>
      <c r="I294" s="42">
        <v>725</v>
      </c>
      <c r="J294" t="s" s="10">
        <v>1606</v>
      </c>
      <c r="K294" t="s" s="10">
        <v>1607</v>
      </c>
      <c r="L294" s="16">
        <f>HYPERLINK("http://www.checkhq.com", "www.checkhq.com")</f>
      </c>
      <c r="M294" s="16">
        <f>HYPERLINK("https://my.pitchbook.com?c=433064-08", "View Company Online")</f>
      </c>
    </row>
    <row r="295">
      <c r="A295" t="s" s="11">
        <v>1609</v>
      </c>
      <c r="B295" t="s" s="11">
        <v>1610</v>
      </c>
      <c r="C295" t="s" s="11">
        <v>60</v>
      </c>
      <c r="D295" t="s" s="11">
        <v>246</v>
      </c>
      <c r="E295" t="s" s="11">
        <v>759</v>
      </c>
      <c r="F295" s="28">
        <v>43410</v>
      </c>
      <c r="G295" t="s" s="11">
        <v>40</v>
      </c>
      <c r="H295" s="43">
        <v>57.8</v>
      </c>
      <c r="I295" s="43">
        <v>722.46</v>
      </c>
      <c r="J295" t="s" s="11">
        <v>1611</v>
      </c>
      <c r="K295" t="s" s="11">
        <v>30</v>
      </c>
      <c r="L295" s="17">
        <f>HYPERLINK("http://www.xiaoniu66.com", "www.xiaoniu66.com")</f>
      </c>
      <c r="M295" s="17">
        <f>HYPERLINK("https://my.pitchbook.com?c=343169-38", "View Company Online")</f>
      </c>
    </row>
    <row r="296">
      <c r="A296" t="s" s="10">
        <v>1613</v>
      </c>
      <c r="B296" t="s" s="10">
        <v>1614</v>
      </c>
      <c r="C296" t="s" s="10">
        <v>128</v>
      </c>
      <c r="D296" t="s" s="10">
        <v>276</v>
      </c>
      <c r="E296" t="s" s="10">
        <v>270</v>
      </c>
      <c r="F296" s="27">
        <v>46112</v>
      </c>
      <c r="G296" t="s" s="10">
        <v>40</v>
      </c>
      <c r="H296" s="42">
        <v>25</v>
      </c>
      <c r="I296" s="42">
        <v>720</v>
      </c>
      <c r="J296" t="s" s="10">
        <v>1615</v>
      </c>
      <c r="K296" t="s" s="10">
        <v>1616</v>
      </c>
      <c r="L296" s="16">
        <f>HYPERLINK("http://www.paysend.com", "www.paysend.com")</f>
      </c>
      <c r="M296" s="16">
        <f>HYPERLINK("https://my.pitchbook.com?c=223497-73", "View Company Online")</f>
      </c>
    </row>
    <row r="297">
      <c r="A297" t="s" s="11">
        <v>1618</v>
      </c>
      <c r="B297" t="s" s="11">
        <v>1619</v>
      </c>
      <c r="C297" t="s" s="11">
        <v>164</v>
      </c>
      <c r="D297" t="s" s="11">
        <v>206</v>
      </c>
      <c r="E297" t="s" s="11">
        <v>116</v>
      </c>
      <c r="F297" s="28">
        <v>45436</v>
      </c>
      <c r="G297" t="s" s="11">
        <v>40</v>
      </c>
      <c r="H297" s="43">
        <v>150</v>
      </c>
      <c r="I297" s="43">
        <v>718.28</v>
      </c>
      <c r="J297" t="s" s="11">
        <v>1620</v>
      </c>
      <c r="K297" t="s" s="11">
        <v>1621</v>
      </c>
      <c r="L297" s="17">
        <f>HYPERLINK("http://www.colendi.com", "www.colendi.com")</f>
      </c>
      <c r="M297" s="17">
        <f>HYPERLINK("https://my.pitchbook.com?c=231447-25", "View Company Online")</f>
      </c>
    </row>
    <row r="298">
      <c r="A298" t="s" s="10">
        <v>1623</v>
      </c>
      <c r="B298" t="s" s="10">
        <v>1624</v>
      </c>
      <c r="C298" t="s" s="10">
        <v>114</v>
      </c>
      <c r="D298" t="s" s="10">
        <v>115</v>
      </c>
      <c r="E298" t="s" s="10">
        <v>1625</v>
      </c>
      <c r="F298" s="27">
        <v>46183</v>
      </c>
      <c r="G298" t="s" s="10">
        <v>391</v>
      </c>
      <c r="H298" s="42">
        <v>717</v>
      </c>
      <c r="I298" s="42">
        <v>717</v>
      </c>
      <c r="J298" t="s" s="10">
        <v>1626</v>
      </c>
      <c r="K298" t="s" s="10">
        <v>1627</v>
      </c>
      <c r="L298" s="16">
        <f>HYPERLINK("http://www.kiavi.com", "www.kiavi.com")</f>
      </c>
      <c r="M298" s="16">
        <f>HYPERLINK("https://my.pitchbook.com?c=97863-85", "View Company Online")</f>
      </c>
    </row>
    <row r="299">
      <c r="A299" t="s" s="11">
        <v>1629</v>
      </c>
      <c r="B299" t="s" s="11">
        <v>1630</v>
      </c>
      <c r="C299" t="s" s="11">
        <v>27</v>
      </c>
      <c r="D299" t="s" s="11">
        <v>28</v>
      </c>
      <c r="E299" t="s" s="11">
        <v>253</v>
      </c>
      <c r="F299" t="s" s="28">
        <v>30</v>
      </c>
      <c r="G299" t="s" s="11">
        <v>48</v>
      </c>
      <c r="H299" t="s" s="43">
        <v>30</v>
      </c>
      <c r="I299" s="43">
        <v>716.16</v>
      </c>
      <c r="J299" t="s" s="11">
        <v>1631</v>
      </c>
      <c r="K299" t="s" s="11">
        <v>1632</v>
      </c>
      <c r="L299" s="17">
        <f>HYPERLINK("http://www.myzeller.com", "www.myzeller.com")</f>
      </c>
      <c r="M299" s="17">
        <f>HYPERLINK("https://my.pitchbook.com?c=436596-85", "View Company Online")</f>
      </c>
    </row>
    <row r="300">
      <c r="A300" t="s" s="10">
        <v>1634</v>
      </c>
      <c r="B300" t="s" s="10">
        <v>1635</v>
      </c>
      <c r="C300" t="s" s="10">
        <v>172</v>
      </c>
      <c r="D300" t="s" s="10">
        <v>173</v>
      </c>
      <c r="E300" t="s" s="10">
        <v>1636</v>
      </c>
      <c r="F300" s="27">
        <v>45265</v>
      </c>
      <c r="G300" t="s" s="10">
        <v>64</v>
      </c>
      <c r="H300" t="s" s="42">
        <v>30</v>
      </c>
      <c r="I300" s="42">
        <v>711.28</v>
      </c>
      <c r="J300" t="s" s="10">
        <v>1637</v>
      </c>
      <c r="K300" t="s" s="10">
        <v>1638</v>
      </c>
      <c r="L300" s="16">
        <f>HYPERLINK("http://www.bsfit.com", "www.bsfit.com")</f>
      </c>
      <c r="M300" s="16">
        <f>HYPERLINK("https://my.pitchbook.com?c=180702-10", "View Company Online")</f>
      </c>
    </row>
    <row r="301">
      <c r="A301" t="s" s="11">
        <v>1640</v>
      </c>
      <c r="B301" t="s" s="11">
        <v>1641</v>
      </c>
      <c r="C301" t="s" s="11">
        <v>60</v>
      </c>
      <c r="D301" t="s" s="11">
        <v>432</v>
      </c>
      <c r="E301" t="s" s="11">
        <v>373</v>
      </c>
      <c r="F301" s="28">
        <v>44651</v>
      </c>
      <c r="G301" t="s" s="11">
        <v>40</v>
      </c>
      <c r="H301" t="s" s="43">
        <v>30</v>
      </c>
      <c r="I301" s="43">
        <v>703</v>
      </c>
      <c r="J301" t="s" s="11">
        <v>1642</v>
      </c>
      <c r="K301" t="s" s="11">
        <v>1643</v>
      </c>
      <c r="L301" s="17">
        <f>HYPERLINK("http://www.haloinvesting.com", "www.haloinvesting.com")</f>
      </c>
      <c r="M301" s="17">
        <f>HYPERLINK("https://my.pitchbook.com?c=181975-69", "View Company Online")</f>
      </c>
    </row>
    <row r="302">
      <c r="A302" t="s" s="10">
        <v>1645</v>
      </c>
      <c r="B302" t="s" s="10">
        <v>1646</v>
      </c>
      <c r="C302" t="s" s="10">
        <v>164</v>
      </c>
      <c r="D302" t="s" s="10">
        <v>165</v>
      </c>
      <c r="E302" t="s" s="10">
        <v>373</v>
      </c>
      <c r="F302" s="27">
        <v>46237</v>
      </c>
      <c r="G302" t="s" s="10">
        <v>40</v>
      </c>
      <c r="H302" s="42">
        <v>53.58</v>
      </c>
      <c r="I302" s="42">
        <v>700</v>
      </c>
      <c r="J302" t="s" s="10">
        <v>1647</v>
      </c>
      <c r="K302" t="s" s="10">
        <v>1648</v>
      </c>
      <c r="L302" s="16">
        <f>HYPERLINK("http://www.10xbanking.com", "www.10xbanking.com")</f>
      </c>
      <c r="M302" s="16">
        <f>HYPERLINK("https://my.pitchbook.com?c=178231-60", "View Company Online")</f>
      </c>
    </row>
    <row r="303">
      <c r="A303" t="s" s="11">
        <v>1650</v>
      </c>
      <c r="B303" t="s" s="11">
        <v>1651</v>
      </c>
      <c r="C303" t="s" s="11">
        <v>37</v>
      </c>
      <c r="D303" t="s" s="11">
        <v>304</v>
      </c>
      <c r="E303" t="s" s="11">
        <v>1652</v>
      </c>
      <c r="F303" s="28">
        <v>46213</v>
      </c>
      <c r="G303" t="s" s="11">
        <v>40</v>
      </c>
      <c r="H303" s="43">
        <v>85</v>
      </c>
      <c r="I303" s="43">
        <v>700</v>
      </c>
      <c r="J303" t="s" s="11">
        <v>1653</v>
      </c>
      <c r="K303" t="s" s="11">
        <v>1654</v>
      </c>
      <c r="L303" s="17">
        <f>HYPERLINK("http://co.addi.com", "co.addi.com")</f>
      </c>
      <c r="M303" s="17">
        <f>HYPERLINK("https://my.pitchbook.com?c=233935-66", "View Company Online")</f>
      </c>
    </row>
    <row r="304">
      <c r="A304" t="s" s="10">
        <v>1656</v>
      </c>
      <c r="B304" t="s" s="10">
        <v>1657</v>
      </c>
      <c r="C304" t="s" s="10">
        <v>114</v>
      </c>
      <c r="D304" t="s" s="10">
        <v>852</v>
      </c>
      <c r="E304" t="s" s="10">
        <v>253</v>
      </c>
      <c r="F304" s="27">
        <v>44627</v>
      </c>
      <c r="G304" t="s" s="10">
        <v>40</v>
      </c>
      <c r="H304" s="42">
        <v>85</v>
      </c>
      <c r="I304" s="42">
        <v>700</v>
      </c>
      <c r="J304" t="s" s="10">
        <v>1658</v>
      </c>
      <c r="K304" t="s" s="10">
        <v>1659</v>
      </c>
      <c r="L304" s="16">
        <f>HYPERLINK("http://www.autofi.com", "www.autofi.com")</f>
      </c>
      <c r="M304" s="16">
        <f>HYPERLINK("https://my.pitchbook.com?c=152767-81", "View Company Online")</f>
      </c>
    </row>
    <row r="305">
      <c r="A305" t="s" s="11">
        <v>1661</v>
      </c>
      <c r="B305" t="s" s="11">
        <v>1662</v>
      </c>
      <c r="C305" t="s" s="11">
        <v>60</v>
      </c>
      <c r="D305" t="s" s="11">
        <v>246</v>
      </c>
      <c r="E305" t="s" s="11">
        <v>193</v>
      </c>
      <c r="F305" s="28">
        <v>46199</v>
      </c>
      <c r="G305" t="s" s="11">
        <v>64</v>
      </c>
      <c r="H305" s="43">
        <v>2670.09</v>
      </c>
      <c r="I305" s="43">
        <v>700</v>
      </c>
      <c r="J305" t="s" s="11">
        <v>1663</v>
      </c>
      <c r="K305" t="s" s="11">
        <v>1664</v>
      </c>
      <c r="L305" s="17">
        <f>HYPERLINK("http://www.clearscore.com", "www.clearscore.com")</f>
      </c>
      <c r="M305" s="17">
        <f>HYPERLINK("https://my.pitchbook.com?c=121415-77", "View Company Online")</f>
      </c>
    </row>
    <row r="306">
      <c r="A306" t="s" s="10">
        <v>1666</v>
      </c>
      <c r="B306" t="s" s="10">
        <v>1667</v>
      </c>
      <c r="C306" t="s" s="10">
        <v>60</v>
      </c>
      <c r="D306" t="s" s="10">
        <v>432</v>
      </c>
      <c r="E306" t="s" s="10">
        <v>414</v>
      </c>
      <c r="F306" s="27">
        <v>45750</v>
      </c>
      <c r="G306" t="s" s="10">
        <v>40</v>
      </c>
      <c r="H306" s="42">
        <v>64</v>
      </c>
      <c r="I306" s="42">
        <v>700</v>
      </c>
      <c r="J306" t="s" s="10">
        <v>1668</v>
      </c>
      <c r="K306" t="s" s="10">
        <v>1669</v>
      </c>
      <c r="L306" s="16">
        <f>HYPERLINK("http://www.ethic.com", "www.ethic.com")</f>
      </c>
      <c r="M306" s="16">
        <f>HYPERLINK("https://my.pitchbook.com?c=166205-17", "View Company Online")</f>
      </c>
    </row>
    <row r="307">
      <c r="A307" t="s" s="11">
        <v>1671</v>
      </c>
      <c r="B307" t="s" s="11">
        <v>1672</v>
      </c>
      <c r="C307" t="s" s="11">
        <v>46</v>
      </c>
      <c r="D307" t="s" s="11">
        <v>397</v>
      </c>
      <c r="E307" t="s" s="11">
        <v>373</v>
      </c>
      <c r="F307" s="28">
        <v>46170</v>
      </c>
      <c r="G307" t="s" s="11">
        <v>40</v>
      </c>
      <c r="H307" s="43">
        <v>110</v>
      </c>
      <c r="I307" s="43">
        <v>700</v>
      </c>
      <c r="J307" t="s" s="11">
        <v>1673</v>
      </c>
      <c r="K307" t="s" s="11">
        <v>1674</v>
      </c>
      <c r="L307" s="17">
        <f>HYPERLINK("http://www.fonoa.com", "www.fonoa.com")</f>
      </c>
      <c r="M307" s="17">
        <f>HYPERLINK("https://my.pitchbook.com?c=436757-86", "View Company Online")</f>
      </c>
    </row>
    <row r="308">
      <c r="A308" t="s" s="10">
        <v>1676</v>
      </c>
      <c r="B308" t="s" s="10">
        <v>1677</v>
      </c>
      <c r="C308" t="s" s="10">
        <v>164</v>
      </c>
      <c r="D308" t="s" s="10">
        <v>1678</v>
      </c>
      <c r="E308" t="s" s="10">
        <v>1679</v>
      </c>
      <c r="F308" s="27">
        <v>46077</v>
      </c>
      <c r="G308" t="s" s="10">
        <v>40</v>
      </c>
      <c r="H308" t="s" s="42">
        <v>30</v>
      </c>
      <c r="I308" s="42">
        <v>700</v>
      </c>
      <c r="J308" t="s" s="10">
        <v>1680</v>
      </c>
      <c r="K308" t="s" s="10">
        <v>1681</v>
      </c>
      <c r="L308" s="16">
        <f>HYPERLINK("http://www.hebbia.com", "www.hebbia.com")</f>
      </c>
      <c r="M308" s="16">
        <f>HYPERLINK("https://my.pitchbook.com?c=439260-40", "View Company Online")</f>
      </c>
    </row>
    <row r="309">
      <c r="A309" t="s" s="11">
        <v>1683</v>
      </c>
      <c r="B309" t="s" s="11">
        <v>1684</v>
      </c>
      <c r="C309" t="s" s="11">
        <v>172</v>
      </c>
      <c r="D309" t="s" s="11">
        <v>338</v>
      </c>
      <c r="E309" t="s" s="11">
        <v>1685</v>
      </c>
      <c r="F309" s="28">
        <v>45106</v>
      </c>
      <c r="G309" t="s" s="11">
        <v>40</v>
      </c>
      <c r="H309" s="43">
        <v>45</v>
      </c>
      <c r="I309" s="43">
        <v>700</v>
      </c>
      <c r="J309" t="s" s="11">
        <v>1686</v>
      </c>
      <c r="K309" t="s" s="11">
        <v>1687</v>
      </c>
      <c r="L309" s="17">
        <f>HYPERLINK("http://www.unit21.ai", "www.unit21.ai")</f>
      </c>
      <c r="M309" s="17">
        <f>HYPERLINK("https://my.pitchbook.com?c=265190-14", "View Company Online")</f>
      </c>
    </row>
    <row r="310">
      <c r="A310" t="s" s="10">
        <v>1689</v>
      </c>
      <c r="B310" t="s" s="10">
        <v>1690</v>
      </c>
      <c r="C310" t="s" s="10">
        <v>60</v>
      </c>
      <c r="D310" t="s" s="10">
        <v>192</v>
      </c>
      <c r="E310" t="s" s="10">
        <v>1691</v>
      </c>
      <c r="F310" s="27">
        <v>46113</v>
      </c>
      <c r="G310" t="s" s="10">
        <v>48</v>
      </c>
      <c r="H310" t="s" s="42">
        <v>30</v>
      </c>
      <c r="I310" s="42">
        <v>688.95</v>
      </c>
      <c r="J310" t="s" s="10">
        <v>1692</v>
      </c>
      <c r="K310" t="s" s="10">
        <v>1693</v>
      </c>
      <c r="L310" s="16">
        <f>HYPERLINK("http://www.clarity.ai", "www.clarity.ai")</f>
      </c>
      <c r="M310" s="16">
        <f>HYPERLINK("https://my.pitchbook.com?c=222753-16", "View Company Online")</f>
      </c>
    </row>
    <row r="311">
      <c r="A311" t="s" s="11">
        <v>1695</v>
      </c>
      <c r="B311" t="s" s="11">
        <v>1696</v>
      </c>
      <c r="C311" t="s" s="11">
        <v>172</v>
      </c>
      <c r="D311" t="s" s="11">
        <v>173</v>
      </c>
      <c r="E311" t="s" s="11">
        <v>1685</v>
      </c>
      <c r="F311" s="28">
        <v>46087</v>
      </c>
      <c r="G311" t="s" s="11">
        <v>40</v>
      </c>
      <c r="H311" s="43">
        <v>25</v>
      </c>
      <c r="I311" s="43">
        <v>680</v>
      </c>
      <c r="J311" t="s" s="11">
        <v>1697</v>
      </c>
      <c r="K311" t="s" s="11">
        <v>1698</v>
      </c>
      <c r="L311" s="17">
        <f>HYPERLINK("http://www.sardine.ai", "www.sardine.ai")</f>
      </c>
      <c r="M311" s="17">
        <f>HYPERLINK("https://my.pitchbook.com?c=458583-04", "View Company Online")</f>
      </c>
    </row>
    <row r="312">
      <c r="A312" t="s" s="10">
        <v>1700</v>
      </c>
      <c r="B312" t="s" s="10">
        <v>1701</v>
      </c>
      <c r="C312" t="s" s="10">
        <v>164</v>
      </c>
      <c r="D312" t="s" s="10">
        <v>206</v>
      </c>
      <c r="E312" t="s" s="10">
        <v>1702</v>
      </c>
      <c r="F312" t="s" s="27">
        <v>30</v>
      </c>
      <c r="G312" t="s" s="10">
        <v>40</v>
      </c>
      <c r="H312" t="s" s="42">
        <v>30</v>
      </c>
      <c r="I312" s="42">
        <v>675.02</v>
      </c>
      <c r="J312" t="s" s="10">
        <v>1703</v>
      </c>
      <c r="K312" t="s" s="10">
        <v>1704</v>
      </c>
      <c r="L312" s="16">
        <f>HYPERLINK("http://www.matchmove.com", "www.matchmove.com")</f>
      </c>
      <c r="M312" s="16">
        <f>HYPERLINK("https://my.pitchbook.com?c=89601-85", "View Company Online")</f>
      </c>
    </row>
    <row r="313">
      <c r="A313" t="s" s="11">
        <v>1706</v>
      </c>
      <c r="B313" t="s" s="11">
        <v>1707</v>
      </c>
      <c r="C313" t="s" s="11">
        <v>128</v>
      </c>
      <c r="D313" t="s" s="11">
        <v>129</v>
      </c>
      <c r="E313" t="s" s="11">
        <v>759</v>
      </c>
      <c r="F313" s="28">
        <v>45714</v>
      </c>
      <c r="G313" t="s" s="11">
        <v>40</v>
      </c>
      <c r="H313" s="43">
        <v>63</v>
      </c>
      <c r="I313" s="43">
        <v>675</v>
      </c>
      <c r="J313" t="s" s="11">
        <v>1708</v>
      </c>
      <c r="K313" t="s" s="11">
        <v>1709</v>
      </c>
      <c r="L313" s="17">
        <f>HYPERLINK("http://www.raise.com", "www.raise.com")</f>
      </c>
      <c r="M313" s="17">
        <f>HYPERLINK("https://my.pitchbook.com?c=52925-05", "View Company Online")</f>
      </c>
    </row>
    <row r="314">
      <c r="A314" t="s" s="10">
        <v>1711</v>
      </c>
      <c r="B314" t="s" s="10">
        <v>1712</v>
      </c>
      <c r="C314" t="s" s="10">
        <v>172</v>
      </c>
      <c r="D314" t="s" s="10">
        <v>338</v>
      </c>
      <c r="E314" t="s" s="10">
        <v>1713</v>
      </c>
      <c r="F314" s="27">
        <v>46212</v>
      </c>
      <c r="G314" t="s" s="10">
        <v>40</v>
      </c>
      <c r="H314" s="42">
        <v>120</v>
      </c>
      <c r="I314" s="42">
        <v>670</v>
      </c>
      <c r="J314" t="s" s="10">
        <v>1714</v>
      </c>
      <c r="K314" t="s" s="10">
        <v>1715</v>
      </c>
      <c r="L314" s="16">
        <f>HYPERLINK("http://www.elliptic.co", "www.elliptic.co")</f>
      </c>
      <c r="M314" s="16">
        <f>HYPERLINK("https://my.pitchbook.com?c=64980-73", "View Company Online")</f>
      </c>
    </row>
    <row r="315">
      <c r="A315" t="s" s="11">
        <v>1717</v>
      </c>
      <c r="B315" t="s" s="11">
        <v>1718</v>
      </c>
      <c r="C315" t="s" s="11">
        <v>46</v>
      </c>
      <c r="D315" t="s" s="11">
        <v>397</v>
      </c>
      <c r="E315" t="s" s="11">
        <v>253</v>
      </c>
      <c r="F315" s="28">
        <v>43756</v>
      </c>
      <c r="G315" t="s" s="11">
        <v>146</v>
      </c>
      <c r="H315" s="43">
        <v>140.47</v>
      </c>
      <c r="I315" s="43">
        <v>650.92</v>
      </c>
      <c r="J315" t="s" s="11">
        <v>1719</v>
      </c>
      <c r="K315" t="s" s="11">
        <v>1720</v>
      </c>
      <c r="L315" s="17">
        <f>HYPERLINK("http://www.goldentec.com", "www.goldentec.com")</f>
      </c>
      <c r="M315" s="17">
        <f>HYPERLINK("https://my.pitchbook.com?c=225235-36", "View Company Online")</f>
      </c>
    </row>
    <row r="316">
      <c r="A316" t="s" s="10">
        <v>1722</v>
      </c>
      <c r="B316" t="s" s="10">
        <v>1723</v>
      </c>
      <c r="C316" t="s" s="10">
        <v>60</v>
      </c>
      <c r="D316" t="s" s="10">
        <v>727</v>
      </c>
      <c r="E316" t="s" s="10">
        <v>253</v>
      </c>
      <c r="F316" t="s" s="27">
        <v>30</v>
      </c>
      <c r="G316" t="s" s="10">
        <v>146</v>
      </c>
      <c r="H316" t="s" s="42">
        <v>30</v>
      </c>
      <c r="I316" s="42">
        <v>650</v>
      </c>
      <c r="J316" t="s" s="10">
        <v>1724</v>
      </c>
      <c r="K316" t="s" s="10">
        <v>1725</v>
      </c>
      <c r="L316" s="16">
        <f>HYPERLINK("http://www.hiive.com", "www.hiive.com")</f>
      </c>
      <c r="M316" s="16">
        <f>HYPERLINK("https://my.pitchbook.com?c=503131-87", "View Company Online")</f>
      </c>
    </row>
    <row r="317">
      <c r="A317" t="s" s="11">
        <v>1727</v>
      </c>
      <c r="B317" t="s" s="11">
        <v>1728</v>
      </c>
      <c r="C317" t="s" s="11">
        <v>60</v>
      </c>
      <c r="D317" t="s" s="11">
        <v>246</v>
      </c>
      <c r="E317" t="s" s="11">
        <v>29</v>
      </c>
      <c r="F317" s="28">
        <v>44648</v>
      </c>
      <c r="G317" t="s" s="11">
        <v>40</v>
      </c>
      <c r="H317" s="43">
        <v>86</v>
      </c>
      <c r="I317" s="43">
        <v>650</v>
      </c>
      <c r="J317" t="s" s="11">
        <v>1729</v>
      </c>
      <c r="K317" t="s" s="11">
        <v>1730</v>
      </c>
      <c r="L317" s="17">
        <f>HYPERLINK("http://www.indmoney.com", "www.indmoney.com")</f>
      </c>
      <c r="M317" s="17">
        <f>HYPERLINK("https://my.pitchbook.com?c=234208-09", "View Company Online")</f>
      </c>
    </row>
    <row r="318">
      <c r="A318" t="s" s="10">
        <v>1732</v>
      </c>
      <c r="B318" t="s" s="10">
        <v>1733</v>
      </c>
      <c r="C318" t="s" s="10">
        <v>114</v>
      </c>
      <c r="D318" t="s" s="10">
        <v>870</v>
      </c>
      <c r="E318" t="s" s="10">
        <v>137</v>
      </c>
      <c r="F318" s="27">
        <v>45993</v>
      </c>
      <c r="G318" t="s" s="10">
        <v>72</v>
      </c>
      <c r="H318" s="42">
        <v>140</v>
      </c>
      <c r="I318" s="42">
        <v>650</v>
      </c>
      <c r="J318" t="s" s="10">
        <v>1734</v>
      </c>
      <c r="K318" t="s" s="10">
        <v>1735</v>
      </c>
      <c r="L318" s="16">
        <f>HYPERLINK("http://www.payjoy.com", "www.payjoy.com")</f>
      </c>
      <c r="M318" s="16">
        <f>HYPERLINK("https://my.pitchbook.com?c=113370-76", "View Company Online")</f>
      </c>
    </row>
    <row r="319">
      <c r="A319" t="s" s="11">
        <v>1737</v>
      </c>
      <c r="B319" t="s" s="11">
        <v>1738</v>
      </c>
      <c r="C319" t="s" s="11">
        <v>222</v>
      </c>
      <c r="D319" t="s" s="11">
        <v>537</v>
      </c>
      <c r="E319" t="s" s="11">
        <v>30</v>
      </c>
      <c r="F319" s="28">
        <v>45017</v>
      </c>
      <c r="G319" t="s" s="11">
        <v>48</v>
      </c>
      <c r="H319" t="s" s="43">
        <v>30</v>
      </c>
      <c r="I319" s="43">
        <v>641.1</v>
      </c>
      <c r="J319" t="s" s="11">
        <v>1739</v>
      </c>
      <c r="K319" t="s" s="11">
        <v>1740</v>
      </c>
      <c r="L319" s="17">
        <f>HYPERLINK("http://www.ltse.com", "www.ltse.com")</f>
      </c>
      <c r="M319" s="17">
        <f>HYPERLINK("https://my.pitchbook.com?c=163297-36", "View Company Online")</f>
      </c>
    </row>
    <row r="320">
      <c r="A320" t="s" s="10">
        <v>1742</v>
      </c>
      <c r="B320" t="s" s="10">
        <v>1743</v>
      </c>
      <c r="C320" t="s" s="10">
        <v>144</v>
      </c>
      <c r="D320" t="s" s="10">
        <v>297</v>
      </c>
      <c r="E320" t="s" s="10">
        <v>1744</v>
      </c>
      <c r="F320" s="27">
        <v>44491</v>
      </c>
      <c r="G320" t="s" s="10">
        <v>40</v>
      </c>
      <c r="H320" s="42">
        <v>298.61</v>
      </c>
      <c r="I320" s="42">
        <v>639.05</v>
      </c>
      <c r="J320" t="s" s="10">
        <v>1745</v>
      </c>
      <c r="K320" t="s" s="10">
        <v>1746</v>
      </c>
      <c r="L320" s="16">
        <f>HYPERLINK("http://www.billie.io", "www.billie.io")</f>
      </c>
      <c r="M320" s="16">
        <f>HYPERLINK("https://my.pitchbook.com?c=179964-64", "View Company Online")</f>
      </c>
    </row>
    <row r="321">
      <c r="A321" t="s" s="11">
        <v>1748</v>
      </c>
      <c r="B321" t="s" s="11">
        <v>1749</v>
      </c>
      <c r="C321" t="s" s="11">
        <v>114</v>
      </c>
      <c r="D321" t="s" s="11">
        <v>852</v>
      </c>
      <c r="E321" t="s" s="11">
        <v>137</v>
      </c>
      <c r="F321" s="28">
        <v>46010</v>
      </c>
      <c r="G321" t="s" s="11">
        <v>40</v>
      </c>
      <c r="H321" s="43">
        <v>106.8</v>
      </c>
      <c r="I321" s="43">
        <v>620.38</v>
      </c>
      <c r="J321" t="s" s="11">
        <v>1750</v>
      </c>
      <c r="K321" t="s" s="11">
        <v>1751</v>
      </c>
      <c r="L321" s="17">
        <f>HYPERLINK("http://www.oxbury.com", "www.oxbury.com")</f>
      </c>
      <c r="M321" s="17">
        <f>HYPERLINK("https://my.pitchbook.com?c=431359-12", "View Company Online")</f>
      </c>
    </row>
    <row r="322">
      <c r="A322" t="s" s="10">
        <v>1753</v>
      </c>
      <c r="B322" t="s" s="10">
        <v>1754</v>
      </c>
      <c r="C322" t="s" s="10">
        <v>114</v>
      </c>
      <c r="D322" t="s" s="10">
        <v>136</v>
      </c>
      <c r="E322" t="s" s="10">
        <v>253</v>
      </c>
      <c r="F322" s="27">
        <v>46237</v>
      </c>
      <c r="G322" t="s" s="10">
        <v>31</v>
      </c>
      <c r="H322" t="s" s="42">
        <v>30</v>
      </c>
      <c r="I322" s="42">
        <v>617.61</v>
      </c>
      <c r="J322" t="s" s="10">
        <v>1755</v>
      </c>
      <c r="K322" t="s" s="10">
        <v>1756</v>
      </c>
      <c r="L322" s="16">
        <f>HYPERLINK("http://www.fundingsocieties.com", "www.fundingsocieties.com")</f>
      </c>
      <c r="M322" s="16">
        <f>HYPERLINK("https://my.pitchbook.com?c=154309-24", "View Company Online")</f>
      </c>
    </row>
    <row r="323">
      <c r="A323" t="s" s="11">
        <v>1758</v>
      </c>
      <c r="B323" t="s" s="11">
        <v>1759</v>
      </c>
      <c r="C323" t="s" s="11">
        <v>144</v>
      </c>
      <c r="D323" t="s" s="11">
        <v>38</v>
      </c>
      <c r="E323" t="s" s="11">
        <v>270</v>
      </c>
      <c r="F323" s="28">
        <v>44597</v>
      </c>
      <c r="G323" t="s" s="11">
        <v>31</v>
      </c>
      <c r="H323" s="43">
        <v>75</v>
      </c>
      <c r="I323" s="43">
        <v>602.5</v>
      </c>
      <c r="J323" t="s" s="11">
        <v>1760</v>
      </c>
      <c r="K323" t="s" s="11">
        <v>1761</v>
      </c>
      <c r="L323" s="17">
        <f>HYPERLINK("http://www.bluevine.com", "www.bluevine.com")</f>
      </c>
      <c r="M323" s="17">
        <f>HYPERLINK("https://my.pitchbook.com?c=58737-97", "View Company Online")</f>
      </c>
    </row>
    <row r="324">
      <c r="A324" t="s" s="10">
        <v>1763</v>
      </c>
      <c r="B324" t="s" s="10">
        <v>1764</v>
      </c>
      <c r="C324" t="s" s="10">
        <v>46</v>
      </c>
      <c r="D324" t="s" s="10">
        <v>78</v>
      </c>
      <c r="E324" t="s" s="10">
        <v>270</v>
      </c>
      <c r="F324" t="s" s="27">
        <v>30</v>
      </c>
      <c r="G324" t="s" s="10">
        <v>48</v>
      </c>
      <c r="H324" t="s" s="42">
        <v>30</v>
      </c>
      <c r="I324" s="42">
        <v>601.94</v>
      </c>
      <c r="J324" t="s" s="10">
        <v>1765</v>
      </c>
      <c r="K324" t="s" s="10">
        <v>1766</v>
      </c>
      <c r="L324" s="16">
        <f>HYPERLINK("http://www.stream.co", "www.stream.co")</f>
      </c>
      <c r="M324" s="16">
        <f>HYPERLINK("https://my.pitchbook.com?c=231541-03", "View Company Online")</f>
      </c>
    </row>
    <row r="325">
      <c r="A325" t="s" s="11">
        <v>1768</v>
      </c>
      <c r="B325" t="s" s="11">
        <v>1769</v>
      </c>
      <c r="C325" t="s" s="11">
        <v>46</v>
      </c>
      <c r="D325" t="s" s="11">
        <v>47</v>
      </c>
      <c r="E325" t="s" s="11">
        <v>1770</v>
      </c>
      <c r="F325" s="28">
        <v>46056</v>
      </c>
      <c r="G325" t="s" s="11">
        <v>40</v>
      </c>
      <c r="H325" s="43">
        <v>82</v>
      </c>
      <c r="I325" s="43">
        <v>600</v>
      </c>
      <c r="J325" t="s" s="11">
        <v>1771</v>
      </c>
      <c r="K325" t="s" s="11">
        <v>1772</v>
      </c>
      <c r="L325" s="17">
        <f>HYPERLINK("http://www.atob.com", "www.atob.com")</f>
      </c>
      <c r="M325" s="17">
        <f>HYPERLINK("https://my.pitchbook.com?c=411241-69", "View Company Online")</f>
      </c>
    </row>
    <row r="326">
      <c r="A326" t="s" s="10">
        <v>1774</v>
      </c>
      <c r="B326" t="s" s="10">
        <v>1775</v>
      </c>
      <c r="C326" t="s" s="10">
        <v>37</v>
      </c>
      <c r="D326" t="s" s="10">
        <v>38</v>
      </c>
      <c r="E326" t="s" s="10">
        <v>270</v>
      </c>
      <c r="F326" s="27">
        <v>45959</v>
      </c>
      <c r="G326" t="s" s="10">
        <v>40</v>
      </c>
      <c r="H326" s="42">
        <v>15</v>
      </c>
      <c r="I326" s="42">
        <v>600</v>
      </c>
      <c r="J326" t="s" s="10">
        <v>1776</v>
      </c>
      <c r="K326" t="s" s="10">
        <v>1777</v>
      </c>
      <c r="L326" s="16">
        <f>HYPERLINK("http://www.jupiter.money", "www.jupiter.money")</f>
      </c>
      <c r="M326" s="16">
        <f>HYPERLINK("https://my.pitchbook.com?c=327445-48", "View Company Online")</f>
      </c>
    </row>
    <row r="327">
      <c r="A327" t="s" s="11">
        <v>1779</v>
      </c>
      <c r="B327" t="s" s="11">
        <v>1780</v>
      </c>
      <c r="C327" t="s" s="11">
        <v>37</v>
      </c>
      <c r="D327" t="s" s="11">
        <v>38</v>
      </c>
      <c r="E327" t="s" s="11">
        <v>137</v>
      </c>
      <c r="F327" s="28">
        <v>46090</v>
      </c>
      <c r="G327" t="s" s="11">
        <v>146</v>
      </c>
      <c r="H327" s="43">
        <v>80</v>
      </c>
      <c r="I327" s="43">
        <v>600</v>
      </c>
      <c r="J327" t="s" s="11">
        <v>1781</v>
      </c>
      <c r="K327" t="s" s="11">
        <v>1782</v>
      </c>
      <c r="L327" s="17">
        <f>HYPERLINK("http://www.kast.xyz", "www.kast.xyz")</f>
      </c>
      <c r="M327" s="17">
        <f>HYPERLINK("https://my.pitchbook.com?c=720005-14", "View Company Online")</f>
      </c>
    </row>
    <row r="328">
      <c r="A328" t="s" s="10">
        <v>1784</v>
      </c>
      <c r="B328" t="s" s="10">
        <v>1785</v>
      </c>
      <c r="C328" t="s" s="10">
        <v>27</v>
      </c>
      <c r="D328" t="s" s="10">
        <v>28</v>
      </c>
      <c r="E328" t="s" s="10">
        <v>193</v>
      </c>
      <c r="F328" s="27">
        <v>44432</v>
      </c>
      <c r="G328" t="s" s="10">
        <v>40</v>
      </c>
      <c r="H328" s="42">
        <v>100</v>
      </c>
      <c r="I328" s="42">
        <v>600</v>
      </c>
      <c r="J328" t="s" s="10">
        <v>1786</v>
      </c>
      <c r="K328" t="s" s="10">
        <v>1787</v>
      </c>
      <c r="L328" s="16">
        <f>HYPERLINK("http://www.khatabook.com", "www.khatabook.com")</f>
      </c>
      <c r="M328" s="16">
        <f>HYPERLINK("https://my.pitchbook.com?c=268570-63", "View Company Online")</f>
      </c>
    </row>
    <row r="329">
      <c r="A329" t="s" s="11">
        <v>1789</v>
      </c>
      <c r="B329" t="s" s="11">
        <v>1790</v>
      </c>
      <c r="C329" t="s" s="11">
        <v>46</v>
      </c>
      <c r="D329" t="s" s="11">
        <v>47</v>
      </c>
      <c r="E329" t="s" s="11">
        <v>137</v>
      </c>
      <c r="F329" s="28">
        <v>46204</v>
      </c>
      <c r="G329" t="s" s="11">
        <v>391</v>
      </c>
      <c r="H329" s="43">
        <v>600</v>
      </c>
      <c r="I329" s="43">
        <v>600</v>
      </c>
      <c r="J329" t="s" s="11">
        <v>1791</v>
      </c>
      <c r="K329" t="s" s="11">
        <v>30</v>
      </c>
      <c r="L329" s="17">
        <f>HYPERLINK("http://www.reap.global", "www.reap.global")</f>
      </c>
      <c r="M329" s="17">
        <f>HYPERLINK("https://my.pitchbook.com?c=340743-34", "View Company Online")</f>
      </c>
    </row>
    <row r="330">
      <c r="A330" t="s" s="10">
        <v>1793</v>
      </c>
      <c r="B330" t="s" s="10">
        <v>1794</v>
      </c>
      <c r="C330" t="s" s="10">
        <v>114</v>
      </c>
      <c r="D330" t="s" s="10">
        <v>136</v>
      </c>
      <c r="E330" t="s" s="10">
        <v>270</v>
      </c>
      <c r="F330" s="27">
        <v>45938</v>
      </c>
      <c r="G330" t="s" s="10">
        <v>64</v>
      </c>
      <c r="H330" t="s" s="42">
        <v>30</v>
      </c>
      <c r="I330" s="42">
        <v>595</v>
      </c>
      <c r="J330" t="s" s="10">
        <v>1795</v>
      </c>
      <c r="K330" t="s" s="10">
        <v>1796</v>
      </c>
      <c r="L330" s="16">
        <f>HYPERLINK("http://www.fibe.in", "www.fibe.in")</f>
      </c>
      <c r="M330" s="16">
        <f>HYPERLINK("https://my.pitchbook.com?c=140773-78", "View Company Online")</f>
      </c>
    </row>
    <row r="331">
      <c r="A331" t="s" s="11">
        <v>1798</v>
      </c>
      <c r="B331" t="s" s="11">
        <v>1799</v>
      </c>
      <c r="C331" t="s" s="11">
        <v>27</v>
      </c>
      <c r="D331" t="s" s="11">
        <v>70</v>
      </c>
      <c r="E331" t="s" s="11">
        <v>1800</v>
      </c>
      <c r="F331" s="28">
        <v>44715</v>
      </c>
      <c r="G331" t="s" s="11">
        <v>40</v>
      </c>
      <c r="H331" s="43">
        <v>7.1</v>
      </c>
      <c r="I331" s="43">
        <v>594.71</v>
      </c>
      <c r="J331" t="s" s="11">
        <v>1801</v>
      </c>
      <c r="K331" t="s" s="11">
        <v>1802</v>
      </c>
      <c r="L331" s="17">
        <f>HYPERLINK("http://www.relaypayments.com", "www.relaypayments.com")</f>
      </c>
      <c r="M331" s="17">
        <f>HYPERLINK("https://my.pitchbook.com?c=437651-02", "View Company Online")</f>
      </c>
    </row>
    <row r="332">
      <c r="A332" t="s" s="10">
        <v>1804</v>
      </c>
      <c r="B332" t="s" s="10">
        <v>1805</v>
      </c>
      <c r="C332" t="s" s="10">
        <v>46</v>
      </c>
      <c r="D332" t="s" s="10">
        <v>47</v>
      </c>
      <c r="E332" t="s" s="10">
        <v>108</v>
      </c>
      <c r="F332" s="27">
        <v>46057</v>
      </c>
      <c r="G332" t="s" s="10">
        <v>31</v>
      </c>
      <c r="H332" s="42">
        <v>100</v>
      </c>
      <c r="I332" s="42">
        <v>586.93</v>
      </c>
      <c r="J332" t="s" s="10">
        <v>1806</v>
      </c>
      <c r="K332" t="s" s="10">
        <v>1807</v>
      </c>
      <c r="L332" s="16">
        <f>HYPERLINK("http://www.clara.com", "www.clara.com")</f>
      </c>
      <c r="M332" s="16">
        <f>HYPERLINK("https://my.pitchbook.com?c=462296-26", "View Company Online")</f>
      </c>
    </row>
    <row r="333">
      <c r="A333" t="s" s="11">
        <v>1809</v>
      </c>
      <c r="B333" t="s" s="11">
        <v>1810</v>
      </c>
      <c r="C333" t="s" s="11">
        <v>60</v>
      </c>
      <c r="D333" t="s" s="11">
        <v>61</v>
      </c>
      <c r="E333" t="s" s="11">
        <v>96</v>
      </c>
      <c r="F333" s="28">
        <v>45628</v>
      </c>
      <c r="G333" t="s" s="11">
        <v>40</v>
      </c>
      <c r="H333" s="43">
        <v>135</v>
      </c>
      <c r="I333" s="43">
        <v>585</v>
      </c>
      <c r="J333" t="s" s="11">
        <v>1811</v>
      </c>
      <c r="K333" t="s" s="11">
        <v>1812</v>
      </c>
      <c r="L333" s="17">
        <f>HYPERLINK("http://www.public.com", "www.public.com")</f>
      </c>
      <c r="M333" s="17">
        <f>HYPERLINK("https://my.pitchbook.com?c=222614-65", "View Company Online")</f>
      </c>
    </row>
    <row r="334">
      <c r="A334" t="s" s="10">
        <v>1814</v>
      </c>
      <c r="B334" t="s" s="10">
        <v>1815</v>
      </c>
      <c r="C334" t="s" s="10">
        <v>172</v>
      </c>
      <c r="D334" t="s" s="10">
        <v>338</v>
      </c>
      <c r="E334" t="s" s="10">
        <v>373</v>
      </c>
      <c r="F334" s="27">
        <v>46063</v>
      </c>
      <c r="G334" t="s" s="10">
        <v>146</v>
      </c>
      <c r="H334" s="42">
        <v>75</v>
      </c>
      <c r="I334" s="42">
        <v>580</v>
      </c>
      <c r="J334" t="s" s="10">
        <v>1816</v>
      </c>
      <c r="K334" t="s" s="10">
        <v>1817</v>
      </c>
      <c r="L334" s="16">
        <f>HYPERLINK("http://www.bretton.com", "www.bretton.com")</f>
      </c>
      <c r="M334" s="16">
        <f>HYPERLINK("https://my.pitchbook.com?c=534561-49", "View Company Online")</f>
      </c>
    </row>
    <row r="335">
      <c r="A335" t="s" s="11">
        <v>1819</v>
      </c>
      <c r="B335" t="s" s="11">
        <v>1820</v>
      </c>
      <c r="C335" t="s" s="11">
        <v>164</v>
      </c>
      <c r="D335" t="s" s="11">
        <v>206</v>
      </c>
      <c r="E335" t="s" s="11">
        <v>259</v>
      </c>
      <c r="F335" s="28">
        <v>46143</v>
      </c>
      <c r="G335" t="s" s="11">
        <v>48</v>
      </c>
      <c r="H335" t="s" s="43">
        <v>30</v>
      </c>
      <c r="I335" s="43">
        <v>580</v>
      </c>
      <c r="J335" t="s" s="11">
        <v>1821</v>
      </c>
      <c r="K335" t="s" s="11">
        <v>1822</v>
      </c>
      <c r="L335" s="17">
        <f>HYPERLINK("http://www.finix.com", "www.finix.com")</f>
      </c>
      <c r="M335" s="17">
        <f>HYPERLINK("https://my.pitchbook.com?c=182911-06", "View Company Online")</f>
      </c>
    </row>
    <row r="336">
      <c r="A336" t="s" s="10">
        <v>1824</v>
      </c>
      <c r="B336" t="s" s="10">
        <v>1825</v>
      </c>
      <c r="C336" t="s" s="10">
        <v>114</v>
      </c>
      <c r="D336" t="s" s="10">
        <v>1386</v>
      </c>
      <c r="E336" t="s" s="10">
        <v>1826</v>
      </c>
      <c r="F336" t="s" s="27">
        <v>30</v>
      </c>
      <c r="G336" t="s" s="10">
        <v>40</v>
      </c>
      <c r="H336" t="s" s="42">
        <v>30</v>
      </c>
      <c r="I336" s="42">
        <v>579.3</v>
      </c>
      <c r="J336" t="s" s="10">
        <v>1827</v>
      </c>
      <c r="K336" t="s" s="10">
        <v>1828</v>
      </c>
      <c r="L336" s="16">
        <f>HYPERLINK("http://www.icekredit.com", "www.icekredit.com")</f>
      </c>
      <c r="M336" s="16">
        <f>HYPERLINK("https://my.pitchbook.com?c=149862-07", "View Company Online")</f>
      </c>
    </row>
    <row r="337">
      <c r="A337" t="s" s="11">
        <v>1830</v>
      </c>
      <c r="B337" t="s" s="11">
        <v>1831</v>
      </c>
      <c r="C337" t="s" s="11">
        <v>114</v>
      </c>
      <c r="D337" t="s" s="11">
        <v>136</v>
      </c>
      <c r="E337" t="s" s="11">
        <v>1832</v>
      </c>
      <c r="F337" s="28">
        <v>45975</v>
      </c>
      <c r="G337" t="s" s="11">
        <v>31</v>
      </c>
      <c r="H337" s="43">
        <v>24</v>
      </c>
      <c r="I337" s="43">
        <v>571.77</v>
      </c>
      <c r="J337" t="s" s="11">
        <v>1833</v>
      </c>
      <c r="K337" t="s" s="11">
        <v>1834</v>
      </c>
      <c r="L337" s="17">
        <f>HYPERLINK("http://www.jerry.ai", "www.jerry.ai")</f>
      </c>
      <c r="M337" s="17">
        <f>HYPERLINK("https://my.pitchbook.com?c=182455-30", "View Company Online")</f>
      </c>
    </row>
    <row r="338">
      <c r="A338" t="s" s="10">
        <v>1836</v>
      </c>
      <c r="B338" t="s" s="10">
        <v>1837</v>
      </c>
      <c r="C338" t="s" s="10">
        <v>27</v>
      </c>
      <c r="D338" t="s" s="10">
        <v>70</v>
      </c>
      <c r="E338" t="s" s="10">
        <v>253</v>
      </c>
      <c r="F338" s="27">
        <v>45545</v>
      </c>
      <c r="G338" t="s" s="10">
        <v>40</v>
      </c>
      <c r="H338" s="42">
        <v>220</v>
      </c>
      <c r="I338" s="42">
        <v>570</v>
      </c>
      <c r="J338" t="s" s="10">
        <v>1838</v>
      </c>
      <c r="K338" t="s" s="10">
        <v>1839</v>
      </c>
      <c r="L338" s="16">
        <f>HYPERLINK("http://www.form3.tech", "www.form3.tech")</f>
      </c>
      <c r="M338" s="16">
        <f>HYPERLINK("https://my.pitchbook.com?c=182849-23", "View Company Online")</f>
      </c>
    </row>
    <row r="339">
      <c r="A339" t="s" s="11">
        <v>1841</v>
      </c>
      <c r="B339" t="s" s="11">
        <v>1842</v>
      </c>
      <c r="C339" t="s" s="11">
        <v>222</v>
      </c>
      <c r="D339" t="s" s="11">
        <v>252</v>
      </c>
      <c r="E339" t="s" s="11">
        <v>373</v>
      </c>
      <c r="F339" s="28">
        <v>45615</v>
      </c>
      <c r="G339" t="s" s="11">
        <v>40</v>
      </c>
      <c r="H339" s="43">
        <v>32</v>
      </c>
      <c r="I339" s="43">
        <v>570</v>
      </c>
      <c r="J339" t="s" s="11">
        <v>1843</v>
      </c>
      <c r="K339" t="s" s="11">
        <v>1844</v>
      </c>
      <c r="L339" s="17">
        <f>HYPERLINK("http://www.onechronos.com", "www.onechronos.com")</f>
      </c>
      <c r="M339" s="17">
        <f>HYPERLINK("https://my.pitchbook.com?c=164350-90", "View Company Online")</f>
      </c>
    </row>
    <row r="340">
      <c r="A340" t="s" s="10">
        <v>1846</v>
      </c>
      <c r="B340" t="s" s="10">
        <v>1847</v>
      </c>
      <c r="C340" t="s" s="10">
        <v>46</v>
      </c>
      <c r="D340" t="s" s="10">
        <v>915</v>
      </c>
      <c r="E340" t="s" s="10">
        <v>108</v>
      </c>
      <c r="F340" s="27">
        <v>44644</v>
      </c>
      <c r="G340" t="s" s="10">
        <v>40</v>
      </c>
      <c r="H340" s="42">
        <v>65</v>
      </c>
      <c r="I340" s="42">
        <v>565</v>
      </c>
      <c r="J340" t="s" s="10">
        <v>1848</v>
      </c>
      <c r="K340" t="s" s="10">
        <v>1849</v>
      </c>
      <c r="L340" s="16">
        <f>HYPERLINK("http://www.digits.com", "www.digits.com")</f>
      </c>
      <c r="M340" s="16">
        <f>HYPERLINK("https://my.pitchbook.com?c=340840-90", "View Company Online")</f>
      </c>
    </row>
    <row r="341">
      <c r="A341" t="s" s="11">
        <v>1851</v>
      </c>
      <c r="B341" t="s" s="11">
        <v>1852</v>
      </c>
      <c r="C341" t="s" s="11">
        <v>114</v>
      </c>
      <c r="D341" t="s" s="11">
        <v>115</v>
      </c>
      <c r="E341" t="s" s="11">
        <v>1853</v>
      </c>
      <c r="F341" s="28">
        <v>45792</v>
      </c>
      <c r="G341" t="s" s="11">
        <v>31</v>
      </c>
      <c r="H341" s="43">
        <v>141</v>
      </c>
      <c r="I341" s="43">
        <v>565</v>
      </c>
      <c r="J341" t="s" s="11">
        <v>1854</v>
      </c>
      <c r="K341" t="s" s="11">
        <v>1855</v>
      </c>
      <c r="L341" s="17">
        <f>HYPERLINK("http://www.point.com", "www.point.com")</f>
      </c>
      <c r="M341" s="17">
        <f>HYPERLINK("https://my.pitchbook.com?c=110137-96", "View Company Online")</f>
      </c>
    </row>
    <row r="342">
      <c r="A342" t="s" s="10">
        <v>1857</v>
      </c>
      <c r="B342" t="s" s="10">
        <v>1858</v>
      </c>
      <c r="C342" t="s" s="10">
        <v>27</v>
      </c>
      <c r="D342" t="s" s="10">
        <v>70</v>
      </c>
      <c r="E342" t="s" s="10">
        <v>1859</v>
      </c>
      <c r="F342" s="27">
        <v>46093</v>
      </c>
      <c r="G342" t="s" s="10">
        <v>64</v>
      </c>
      <c r="H342" t="s" s="42">
        <v>30</v>
      </c>
      <c r="I342" s="42">
        <v>562</v>
      </c>
      <c r="J342" t="s" s="10">
        <v>1860</v>
      </c>
      <c r="K342" t="s" s="10">
        <v>1861</v>
      </c>
      <c r="L342" s="16">
        <f>HYPERLINK("http://www.pay.com.au", "www.pay.com.au")</f>
      </c>
      <c r="M342" s="16">
        <f>HYPERLINK("https://my.pitchbook.com?c=509698-00", "View Company Online")</f>
      </c>
    </row>
    <row r="343">
      <c r="A343" t="s" s="11">
        <v>1863</v>
      </c>
      <c r="B343" t="s" s="11">
        <v>1864</v>
      </c>
      <c r="C343" t="s" s="11">
        <v>222</v>
      </c>
      <c r="D343" t="s" s="11">
        <v>223</v>
      </c>
      <c r="E343" t="s" s="11">
        <v>253</v>
      </c>
      <c r="F343" t="s" s="28">
        <v>30</v>
      </c>
      <c r="G343" t="s" s="11">
        <v>48</v>
      </c>
      <c r="H343" t="s" s="43">
        <v>30</v>
      </c>
      <c r="I343" s="43">
        <v>558.75</v>
      </c>
      <c r="J343" t="s" s="11">
        <v>1865</v>
      </c>
      <c r="K343" t="s" s="11">
        <v>1866</v>
      </c>
      <c r="L343" s="17">
        <f>HYPERLINK("http://www.nelogica.com.br", "www.nelogica.com.br")</f>
      </c>
      <c r="M343" s="17">
        <f>HYPERLINK("https://my.pitchbook.com?c=454435-21", "View Company Online")</f>
      </c>
    </row>
    <row r="344">
      <c r="A344" t="s" s="10">
        <v>1868</v>
      </c>
      <c r="B344" t="s" s="10">
        <v>1869</v>
      </c>
      <c r="C344" t="s" s="10">
        <v>37</v>
      </c>
      <c r="D344" t="s" s="10">
        <v>38</v>
      </c>
      <c r="E344" t="s" s="10">
        <v>270</v>
      </c>
      <c r="F344" s="27">
        <v>46190</v>
      </c>
      <c r="G344" t="s" s="10">
        <v>40</v>
      </c>
      <c r="H344" s="42">
        <v>12</v>
      </c>
      <c r="I344" s="42">
        <v>552.68</v>
      </c>
      <c r="J344" t="s" s="10">
        <v>1870</v>
      </c>
      <c r="K344" t="s" s="10">
        <v>1871</v>
      </c>
      <c r="L344" s="16">
        <f>HYPERLINK("http://www.tonikbank.com", "www.tonikbank.com")</f>
      </c>
      <c r="M344" s="16">
        <f>HYPERLINK("https://my.pitchbook.com?c=432613-27", "View Company Online")</f>
      </c>
    </row>
    <row r="345">
      <c r="A345" t="s" s="11">
        <v>1873</v>
      </c>
      <c r="B345" t="s" s="11">
        <v>1874</v>
      </c>
      <c r="C345" t="s" s="11">
        <v>46</v>
      </c>
      <c r="D345" t="s" s="11">
        <v>915</v>
      </c>
      <c r="E345" t="s" s="11">
        <v>1652</v>
      </c>
      <c r="F345" s="28">
        <v>46043</v>
      </c>
      <c r="G345" t="s" s="11">
        <v>40</v>
      </c>
      <c r="H345" s="43">
        <v>70</v>
      </c>
      <c r="I345" s="43">
        <v>550</v>
      </c>
      <c r="J345" t="s" s="11">
        <v>1875</v>
      </c>
      <c r="K345" t="s" s="11">
        <v>1876</v>
      </c>
      <c r="L345" s="17">
        <f>HYPERLINK("http://www.datarails.com", "www.datarails.com")</f>
      </c>
      <c r="M345" s="17">
        <f>HYPERLINK("https://my.pitchbook.com?c=160527-43", "View Company Online")</f>
      </c>
    </row>
    <row r="346">
      <c r="A346" t="s" s="10">
        <v>1878</v>
      </c>
      <c r="B346" t="s" s="10">
        <v>1879</v>
      </c>
      <c r="C346" t="s" s="10">
        <v>60</v>
      </c>
      <c r="D346" t="s" s="10">
        <v>246</v>
      </c>
      <c r="E346" t="s" s="10">
        <v>1120</v>
      </c>
      <c r="F346" t="s" s="27">
        <v>30</v>
      </c>
      <c r="G346" t="s" s="10">
        <v>40</v>
      </c>
      <c r="H346" s="42">
        <v>100</v>
      </c>
      <c r="I346" s="42">
        <v>550</v>
      </c>
      <c r="J346" t="s" s="10">
        <v>1880</v>
      </c>
      <c r="K346" t="s" s="10">
        <v>1881</v>
      </c>
      <c r="L346" s="16">
        <f>HYPERLINK("http://www.myjar.app", "www.myjar.app")</f>
      </c>
      <c r="M346" s="16">
        <f>HYPERLINK("https://my.pitchbook.com?c=472172-32", "View Company Online")</f>
      </c>
    </row>
    <row r="347">
      <c r="A347" t="s" s="11">
        <v>1883</v>
      </c>
      <c r="B347" t="s" s="11">
        <v>1884</v>
      </c>
      <c r="C347" t="s" s="11">
        <v>60</v>
      </c>
      <c r="D347" t="s" s="11">
        <v>420</v>
      </c>
      <c r="E347" t="s" s="11">
        <v>137</v>
      </c>
      <c r="F347" s="28">
        <v>45267</v>
      </c>
      <c r="G347" t="s" s="11">
        <v>40</v>
      </c>
      <c r="H347" s="43">
        <v>60</v>
      </c>
      <c r="I347" s="43">
        <v>550</v>
      </c>
      <c r="J347" t="s" s="11">
        <v>1885</v>
      </c>
      <c r="K347" t="s" s="11">
        <v>1886</v>
      </c>
      <c r="L347" s="17">
        <f>HYPERLINK("http://www.pontera.com", "www.pontera.com")</f>
      </c>
      <c r="M347" s="17">
        <f>HYPERLINK("https://my.pitchbook.com?c=58420-90", "View Company Online")</f>
      </c>
    </row>
    <row r="348">
      <c r="A348" t="s" s="10">
        <v>1888</v>
      </c>
      <c r="B348" t="s" s="10">
        <v>1889</v>
      </c>
      <c r="C348" t="s" s="10">
        <v>114</v>
      </c>
      <c r="D348" t="s" s="10">
        <v>852</v>
      </c>
      <c r="E348" t="s" s="10">
        <v>137</v>
      </c>
      <c r="F348" t="s" s="27">
        <v>30</v>
      </c>
      <c r="G348" t="s" s="10">
        <v>31</v>
      </c>
      <c r="H348" t="s" s="42">
        <v>30</v>
      </c>
      <c r="I348" s="42">
        <v>547</v>
      </c>
      <c r="J348" t="s" s="10">
        <v>1890</v>
      </c>
      <c r="K348" t="s" s="10">
        <v>1891</v>
      </c>
      <c r="L348" s="16">
        <f>HYPERLINK("http://www.covalto.com", "www.covalto.com")</f>
      </c>
      <c r="M348" s="16">
        <f>HYPERLINK("https://my.pitchbook.com?c=163816-12", "View Company Online")</f>
      </c>
    </row>
    <row r="349">
      <c r="A349" t="s" s="11">
        <v>1893</v>
      </c>
      <c r="B349" t="s" s="11">
        <v>1894</v>
      </c>
      <c r="C349" t="s" s="11">
        <v>37</v>
      </c>
      <c r="D349" t="s" s="11">
        <v>38</v>
      </c>
      <c r="E349" t="s" s="11">
        <v>373</v>
      </c>
      <c r="F349" s="28">
        <v>45315</v>
      </c>
      <c r="G349" t="s" s="11">
        <v>146</v>
      </c>
      <c r="H349" s="43">
        <v>32.1</v>
      </c>
      <c r="I349" s="43">
        <v>534.01</v>
      </c>
      <c r="J349" t="s" s="11">
        <v>1895</v>
      </c>
      <c r="K349" t="s" s="11">
        <v>1896</v>
      </c>
      <c r="L349" s="17">
        <f>HYPERLINK("http://www.uno.bank", "www.uno.bank")</f>
      </c>
      <c r="M349" s="17">
        <f>HYPERLINK("https://my.pitchbook.com?c=472367-98", "View Company Online")</f>
      </c>
    </row>
    <row r="350">
      <c r="A350" t="s" s="10">
        <v>1898</v>
      </c>
      <c r="B350" t="s" s="10">
        <v>1899</v>
      </c>
      <c r="C350" t="s" s="10">
        <v>46</v>
      </c>
      <c r="D350" t="s" s="10">
        <v>397</v>
      </c>
      <c r="E350" t="s" s="10">
        <v>373</v>
      </c>
      <c r="F350" s="27">
        <v>45951</v>
      </c>
      <c r="G350" t="s" s="10">
        <v>40</v>
      </c>
      <c r="H350" s="42">
        <v>55</v>
      </c>
      <c r="I350" s="42">
        <v>533.5</v>
      </c>
      <c r="J350" t="s" s="10">
        <v>1900</v>
      </c>
      <c r="K350" t="s" s="10">
        <v>1901</v>
      </c>
      <c r="L350" s="16">
        <f>HYPERLINK("http://www.anrok.com", "www.anrok.com")</f>
      </c>
      <c r="M350" s="16">
        <f>HYPERLINK("https://my.pitchbook.com?c=467633-44", "View Company Online")</f>
      </c>
    </row>
    <row r="351">
      <c r="A351" t="s" s="11">
        <v>1903</v>
      </c>
      <c r="B351" t="s" s="11">
        <v>1904</v>
      </c>
      <c r="C351" t="s" s="11">
        <v>46</v>
      </c>
      <c r="D351" t="s" s="11">
        <v>78</v>
      </c>
      <c r="E351" t="s" s="11">
        <v>200</v>
      </c>
      <c r="F351" t="s" s="28">
        <v>30</v>
      </c>
      <c r="G351" t="s" s="11">
        <v>48</v>
      </c>
      <c r="H351" t="s" s="43">
        <v>30</v>
      </c>
      <c r="I351" s="43">
        <v>527</v>
      </c>
      <c r="J351" t="s" s="11">
        <v>1905</v>
      </c>
      <c r="K351" t="s" s="11">
        <v>1906</v>
      </c>
      <c r="L351" s="17">
        <f>HYPERLINK("http://www.earnin.com", "www.earnin.com")</f>
      </c>
      <c r="M351" s="17">
        <f>HYPERLINK("https://my.pitchbook.com?c=63351-28", "View Company Online")</f>
      </c>
    </row>
    <row r="352">
      <c r="A352" t="s" s="10">
        <v>1908</v>
      </c>
      <c r="B352" t="s" s="10">
        <v>1909</v>
      </c>
      <c r="C352" t="s" s="10">
        <v>60</v>
      </c>
      <c r="D352" t="s" s="10">
        <v>432</v>
      </c>
      <c r="E352" t="s" s="10">
        <v>373</v>
      </c>
      <c r="F352" s="27">
        <v>46076</v>
      </c>
      <c r="G352" t="s" s="10">
        <v>146</v>
      </c>
      <c r="H352" s="42">
        <v>80</v>
      </c>
      <c r="I352" s="42">
        <v>525</v>
      </c>
      <c r="J352" t="s" s="10">
        <v>1910</v>
      </c>
      <c r="K352" t="s" s="10">
        <v>1911</v>
      </c>
      <c r="L352" s="16">
        <f>HYPERLINK("http://www.jump.ai", "www.jump.ai")</f>
      </c>
      <c r="M352" s="16">
        <f>HYPERLINK("https://my.pitchbook.com?c=601625-80", "View Company Online")</f>
      </c>
    </row>
    <row r="353">
      <c r="A353" t="s" s="11">
        <v>1913</v>
      </c>
      <c r="B353" t="s" s="11">
        <v>1914</v>
      </c>
      <c r="C353" t="s" s="11">
        <v>46</v>
      </c>
      <c r="D353" t="s" s="11">
        <v>47</v>
      </c>
      <c r="E353" t="s" s="11">
        <v>373</v>
      </c>
      <c r="F353" s="28">
        <v>46094</v>
      </c>
      <c r="G353" t="s" s="11">
        <v>40</v>
      </c>
      <c r="H353" s="43">
        <v>145</v>
      </c>
      <c r="I353" s="43">
        <v>523</v>
      </c>
      <c r="J353" t="s" s="11">
        <v>1915</v>
      </c>
      <c r="K353" t="s" s="11">
        <v>1916</v>
      </c>
      <c r="L353" s="17">
        <f>HYPERLINK("http://www.nitra.com", "www.nitra.com")</f>
      </c>
      <c r="M353" s="17">
        <f>HYPERLINK("https://my.pitchbook.com?c=489315-52", "View Company Online")</f>
      </c>
    </row>
    <row r="354">
      <c r="A354" t="s" s="10">
        <v>1918</v>
      </c>
      <c r="B354" t="s" s="10">
        <v>1919</v>
      </c>
      <c r="C354" t="s" s="10">
        <v>60</v>
      </c>
      <c r="D354" t="s" s="10">
        <v>246</v>
      </c>
      <c r="E354" t="s" s="10">
        <v>200</v>
      </c>
      <c r="F354" s="27">
        <v>44594</v>
      </c>
      <c r="G354" t="s" s="10">
        <v>40</v>
      </c>
      <c r="H354" s="42">
        <v>55.52</v>
      </c>
      <c r="I354" s="42">
        <v>520.52</v>
      </c>
      <c r="J354" t="s" s="10">
        <v>1920</v>
      </c>
      <c r="K354" t="s" s="10">
        <v>1921</v>
      </c>
      <c r="L354" s="16">
        <f>HYPERLINK("http://www.propel.app", "www.propel.app")</f>
      </c>
      <c r="M354" s="16">
        <f>HYPERLINK("https://my.pitchbook.com?c=155056-06", "View Company Online")</f>
      </c>
    </row>
    <row r="355">
      <c r="A355" t="s" s="11">
        <v>1923</v>
      </c>
      <c r="B355" t="s" s="11">
        <v>1924</v>
      </c>
      <c r="C355" t="s" s="11">
        <v>60</v>
      </c>
      <c r="D355" t="s" s="11">
        <v>61</v>
      </c>
      <c r="E355" t="s" s="11">
        <v>270</v>
      </c>
      <c r="F355" s="28">
        <v>46150</v>
      </c>
      <c r="G355" t="s" s="11">
        <v>391</v>
      </c>
      <c r="H355" t="s" s="43">
        <v>30</v>
      </c>
      <c r="I355" s="43">
        <v>518.85</v>
      </c>
      <c r="J355" t="s" s="11">
        <v>1925</v>
      </c>
      <c r="K355" t="s" s="11">
        <v>30</v>
      </c>
      <c r="L355" s="17">
        <f>HYPERLINK("http://www.primarybid.com", "www.primarybid.com")</f>
      </c>
      <c r="M355" s="17">
        <f>HYPERLINK("https://my.pitchbook.com?c=160946-02", "View Company Online")</f>
      </c>
    </row>
    <row r="356">
      <c r="A356" t="s" s="10">
        <v>1927</v>
      </c>
      <c r="B356" t="s" s="10">
        <v>1928</v>
      </c>
      <c r="C356" t="s" s="10">
        <v>46</v>
      </c>
      <c r="D356" t="s" s="10">
        <v>47</v>
      </c>
      <c r="E356" t="s" s="10">
        <v>185</v>
      </c>
      <c r="F356" s="27">
        <v>45079</v>
      </c>
      <c r="G356" t="s" s="10">
        <v>40</v>
      </c>
      <c r="H356" s="42">
        <v>33</v>
      </c>
      <c r="I356" s="42">
        <v>517.72</v>
      </c>
      <c r="J356" t="s" s="10">
        <v>1929</v>
      </c>
      <c r="K356" t="s" s="10">
        <v>1930</v>
      </c>
      <c r="L356" s="16">
        <f>HYPERLINK("http://www.huilianyi.com", "www.huilianyi.com")</f>
      </c>
      <c r="M356" s="16">
        <f>HYPERLINK("https://my.pitchbook.com?c=184236-31", "View Company Online")</f>
      </c>
    </row>
    <row r="357">
      <c r="A357" t="s" s="11">
        <v>1932</v>
      </c>
      <c r="B357" t="s" s="11">
        <v>1933</v>
      </c>
      <c r="C357" t="s" s="11">
        <v>164</v>
      </c>
      <c r="D357" t="s" s="11">
        <v>206</v>
      </c>
      <c r="E357" t="s" s="11">
        <v>373</v>
      </c>
      <c r="F357" s="28">
        <v>44936</v>
      </c>
      <c r="G357" t="s" s="11">
        <v>48</v>
      </c>
      <c r="H357" t="s" s="43">
        <v>30</v>
      </c>
      <c r="I357" s="43">
        <v>511.45</v>
      </c>
      <c r="J357" t="s" s="11">
        <v>1934</v>
      </c>
      <c r="K357" t="s" s="11">
        <v>1935</v>
      </c>
      <c r="L357" s="17">
        <f>HYPERLINK("http://www.adenasoft.com", "www.adenasoft.com")</f>
      </c>
      <c r="M357" s="17">
        <f>HYPERLINK("https://my.pitchbook.com?c=439456-60", "View Company Online")</f>
      </c>
    </row>
    <row r="358">
      <c r="A358" t="s" s="10">
        <v>1937</v>
      </c>
      <c r="B358" t="s" s="10">
        <v>1938</v>
      </c>
      <c r="C358" t="s" s="10">
        <v>164</v>
      </c>
      <c r="D358" t="s" s="10">
        <v>165</v>
      </c>
      <c r="E358" t="s" s="10">
        <v>1277</v>
      </c>
      <c r="F358" s="27">
        <v>45769</v>
      </c>
      <c r="G358" t="s" s="10">
        <v>31</v>
      </c>
      <c r="H358" s="42">
        <v>2.86</v>
      </c>
      <c r="I358" s="42">
        <v>510.46</v>
      </c>
      <c r="J358" t="s" s="10">
        <v>1939</v>
      </c>
      <c r="K358" t="s" s="10">
        <v>1940</v>
      </c>
      <c r="L358" s="16">
        <f>HYPERLINK("http://www.ocrolus.com", "www.ocrolus.com")</f>
      </c>
      <c r="M358" s="16">
        <f>HYPERLINK("https://my.pitchbook.com?c=178460-74", "View Company Online")</f>
      </c>
    </row>
    <row r="359">
      <c r="A359" t="s" s="11">
        <v>1942</v>
      </c>
      <c r="B359" t="s" s="11">
        <v>1943</v>
      </c>
      <c r="C359" t="s" s="11">
        <v>46</v>
      </c>
      <c r="D359" t="s" s="11">
        <v>397</v>
      </c>
      <c r="E359" t="s" s="11">
        <v>108</v>
      </c>
      <c r="F359" s="28">
        <v>45867</v>
      </c>
      <c r="G359" t="s" s="11">
        <v>40</v>
      </c>
      <c r="H359" s="43">
        <v>180</v>
      </c>
      <c r="I359" s="43">
        <v>510</v>
      </c>
      <c r="J359" t="s" s="11">
        <v>1944</v>
      </c>
      <c r="K359" t="s" s="11">
        <v>1945</v>
      </c>
      <c r="L359" s="17">
        <f>HYPERLINK("http://www.appzen.com", "www.appzen.com")</f>
      </c>
      <c r="M359" s="17">
        <f>HYPERLINK("https://my.pitchbook.com?c=99281-71", "View Company Online")</f>
      </c>
    </row>
    <row r="360">
      <c r="A360" t="s" s="10">
        <v>1947</v>
      </c>
      <c r="B360" t="s" s="10">
        <v>1948</v>
      </c>
      <c r="C360" t="s" s="10">
        <v>60</v>
      </c>
      <c r="D360" t="s" s="10">
        <v>420</v>
      </c>
      <c r="E360" t="s" s="10">
        <v>1207</v>
      </c>
      <c r="F360" s="27">
        <v>45883</v>
      </c>
      <c r="G360" t="s" s="10">
        <v>31</v>
      </c>
      <c r="H360" s="42">
        <v>80.77</v>
      </c>
      <c r="I360" s="42">
        <v>508.73</v>
      </c>
      <c r="J360" t="s" s="10">
        <v>1949</v>
      </c>
      <c r="K360" t="s" s="10">
        <v>1950</v>
      </c>
      <c r="L360" s="16">
        <f>HYPERLINK("http://www.smart.co", "www.smart.co")</f>
      </c>
      <c r="M360" s="16">
        <f>HYPERLINK("https://my.pitchbook.com?c=124481-44", "View Company Online")</f>
      </c>
    </row>
    <row r="361">
      <c r="A361" t="s" s="11">
        <v>1952</v>
      </c>
      <c r="B361" t="s" s="11">
        <v>1953</v>
      </c>
      <c r="C361" t="s" s="11">
        <v>46</v>
      </c>
      <c r="D361" t="s" s="11">
        <v>915</v>
      </c>
      <c r="E361" t="s" s="11">
        <v>193</v>
      </c>
      <c r="F361" s="28">
        <v>45607</v>
      </c>
      <c r="G361" t="s" s="11">
        <v>40</v>
      </c>
      <c r="H361" s="43">
        <v>48.76</v>
      </c>
      <c r="I361" s="43">
        <v>503.36</v>
      </c>
      <c r="J361" t="s" s="11">
        <v>1954</v>
      </c>
      <c r="K361" t="s" s="11">
        <v>1955</v>
      </c>
      <c r="L361" s="17">
        <f>HYPERLINK("http://www.agicap.com", "www.agicap.com")</f>
      </c>
      <c r="M361" s="17">
        <f>HYPERLINK("https://my.pitchbook.com?c=279989-83", "View Company Online")</f>
      </c>
    </row>
    <row r="362">
      <c r="A362" t="s" s="10">
        <v>1957</v>
      </c>
      <c r="B362" t="s" s="10">
        <v>1958</v>
      </c>
      <c r="C362" t="s" s="10">
        <v>60</v>
      </c>
      <c r="D362" t="s" s="10">
        <v>246</v>
      </c>
      <c r="E362" t="s" s="10">
        <v>623</v>
      </c>
      <c r="F362" s="27">
        <v>45139</v>
      </c>
      <c r="G362" t="s" s="10">
        <v>48</v>
      </c>
      <c r="H362" t="s" s="42">
        <v>30</v>
      </c>
      <c r="I362" s="42">
        <v>503.04</v>
      </c>
      <c r="J362" t="s" s="10">
        <v>1959</v>
      </c>
      <c r="K362" t="s" s="10">
        <v>1960</v>
      </c>
      <c r="L362" s="16">
        <f>HYPERLINK("http://www.moneyfarm.com", "www.moneyfarm.com")</f>
      </c>
      <c r="M362" s="16">
        <f>HYPERLINK("https://my.pitchbook.com?c=55693-72", "View Company Online")</f>
      </c>
    </row>
    <row r="363">
      <c r="A363" t="s" s="11">
        <v>1962</v>
      </c>
      <c r="B363" t="s" s="11">
        <v>1963</v>
      </c>
      <c r="C363" t="s" s="11">
        <v>222</v>
      </c>
      <c r="D363" t="s" s="11">
        <v>223</v>
      </c>
      <c r="E363" t="s" s="11">
        <v>1964</v>
      </c>
      <c r="F363" s="28">
        <v>46139</v>
      </c>
      <c r="G363" t="s" s="11">
        <v>146</v>
      </c>
      <c r="H363" s="43">
        <v>17</v>
      </c>
      <c r="I363" s="43">
        <v>500</v>
      </c>
      <c r="J363" t="s" s="11">
        <v>1965</v>
      </c>
      <c r="K363" t="s" s="11">
        <v>1966</v>
      </c>
      <c r="L363" s="17">
        <f>HYPERLINK("http://www.arcana.io", "www.arcana.io")</f>
      </c>
      <c r="M363" s="17">
        <f>HYPERLINK("https://my.pitchbook.com?c=518348-89", "View Company Online")</f>
      </c>
    </row>
    <row r="364">
      <c r="A364" t="s" s="10">
        <v>1968</v>
      </c>
      <c r="B364" t="s" s="10">
        <v>1969</v>
      </c>
      <c r="C364" t="s" s="10">
        <v>27</v>
      </c>
      <c r="D364" t="s" s="10">
        <v>70</v>
      </c>
      <c r="E364" t="s" s="10">
        <v>332</v>
      </c>
      <c r="F364" t="s" s="27">
        <v>30</v>
      </c>
      <c r="G364" t="s" s="10">
        <v>31</v>
      </c>
      <c r="H364" t="s" s="42">
        <v>30</v>
      </c>
      <c r="I364" s="42">
        <v>500</v>
      </c>
      <c r="J364" t="s" s="10">
        <v>1970</v>
      </c>
      <c r="K364" t="s" s="10">
        <v>1971</v>
      </c>
      <c r="L364" s="16">
        <f>HYPERLINK("http://www.billgo.com", "www.billgo.com")</f>
      </c>
      <c r="M364" s="16">
        <f>HYPERLINK("https://my.pitchbook.com?c=169680-43", "View Company Online")</f>
      </c>
    </row>
    <row r="365">
      <c r="A365" t="s" s="11">
        <v>1973</v>
      </c>
      <c r="B365" t="s" s="11">
        <v>1974</v>
      </c>
      <c r="C365" t="s" s="11">
        <v>37</v>
      </c>
      <c r="D365" t="s" s="11">
        <v>38</v>
      </c>
      <c r="E365" t="s" s="11">
        <v>270</v>
      </c>
      <c r="F365" s="28">
        <v>45484</v>
      </c>
      <c r="G365" t="s" s="11">
        <v>40</v>
      </c>
      <c r="H365" s="43">
        <v>20</v>
      </c>
      <c r="I365" s="43">
        <v>500</v>
      </c>
      <c r="J365" t="s" s="11">
        <v>1975</v>
      </c>
      <c r="K365" t="s" s="11">
        <v>1976</v>
      </c>
      <c r="L365" s="17">
        <f>HYPERLINK("http://www.kuda.com", "www.kuda.com")</f>
      </c>
      <c r="M365" s="17">
        <f>HYPERLINK("https://my.pitchbook.com?c=233798-50", "View Company Online")</f>
      </c>
    </row>
    <row r="366">
      <c r="A366" t="s" s="10">
        <v>1978</v>
      </c>
      <c r="B366" t="s" s="10">
        <v>1979</v>
      </c>
      <c r="C366" t="s" s="10">
        <v>164</v>
      </c>
      <c r="D366" t="s" s="10">
        <v>206</v>
      </c>
      <c r="E366" t="s" s="10">
        <v>634</v>
      </c>
      <c r="F366" s="27">
        <v>45627</v>
      </c>
      <c r="G366" t="s" s="10">
        <v>40</v>
      </c>
      <c r="H366" t="s" s="42">
        <v>30</v>
      </c>
      <c r="I366" s="42">
        <v>500</v>
      </c>
      <c r="J366" t="s" s="10">
        <v>1980</v>
      </c>
      <c r="K366" t="s" s="10">
        <v>1981</v>
      </c>
      <c r="L366" s="16">
        <f>HYPERLINK("http://www.pinwheelapi.com", "www.pinwheelapi.com")</f>
      </c>
      <c r="M366" s="16">
        <f>HYPERLINK("https://my.pitchbook.com?c=339765-85", "View Company Online")</f>
      </c>
    </row>
    <row r="367">
      <c r="A367" t="s" s="11">
        <v>1983</v>
      </c>
      <c r="B367" t="s" s="11">
        <v>1984</v>
      </c>
      <c r="C367" t="s" s="11">
        <v>46</v>
      </c>
      <c r="D367" t="s" s="11">
        <v>397</v>
      </c>
      <c r="E367" t="s" s="11">
        <v>373</v>
      </c>
      <c r="F367" s="28">
        <v>45868</v>
      </c>
      <c r="G367" t="s" s="11">
        <v>146</v>
      </c>
      <c r="H367" s="43">
        <v>70</v>
      </c>
      <c r="I367" s="43">
        <v>500</v>
      </c>
      <c r="J367" t="s" s="11">
        <v>1985</v>
      </c>
      <c r="K367" t="s" s="11">
        <v>1986</v>
      </c>
      <c r="L367" s="17">
        <f>HYPERLINK("http://www.rillet.com", "www.rillet.com")</f>
      </c>
      <c r="M367" s="17">
        <f>HYPERLINK("https://my.pitchbook.com?c=503679-61", "View Company Online")</f>
      </c>
    </row>
    <row r="368">
      <c r="A368" t="s" s="10">
        <v>1988</v>
      </c>
      <c r="B368" t="s" s="10">
        <v>1989</v>
      </c>
      <c r="C368" t="s" s="10">
        <v>37</v>
      </c>
      <c r="D368" t="s" s="10">
        <v>304</v>
      </c>
      <c r="E368" t="s" s="10">
        <v>193</v>
      </c>
      <c r="F368" s="27">
        <v>46163</v>
      </c>
      <c r="G368" t="s" s="10">
        <v>40</v>
      </c>
      <c r="H368" s="42">
        <v>63</v>
      </c>
      <c r="I368" s="42">
        <v>500</v>
      </c>
      <c r="J368" t="s" s="10">
        <v>1990</v>
      </c>
      <c r="K368" t="s" s="10">
        <v>1991</v>
      </c>
      <c r="L368" s="16">
        <f>HYPERLINK("http://www.scapia.cards", "www.scapia.cards")</f>
      </c>
      <c r="M368" s="16">
        <f>HYPERLINK("https://my.pitchbook.com?c=529570-27", "View Company Online")</f>
      </c>
    </row>
    <row r="369">
      <c r="A369" t="s" s="11">
        <v>1993</v>
      </c>
      <c r="B369" t="s" s="11">
        <v>1994</v>
      </c>
      <c r="C369" t="s" s="11">
        <v>222</v>
      </c>
      <c r="D369" t="s" s="11">
        <v>537</v>
      </c>
      <c r="E369" t="s" s="11">
        <v>311</v>
      </c>
      <c r="F369" s="28">
        <v>46162</v>
      </c>
      <c r="G369" t="s" s="11">
        <v>40</v>
      </c>
      <c r="H369" s="43">
        <v>50</v>
      </c>
      <c r="I369" s="43">
        <v>500</v>
      </c>
      <c r="J369" t="s" s="11">
        <v>1995</v>
      </c>
      <c r="K369" t="s" s="11">
        <v>1996</v>
      </c>
      <c r="L369" s="17">
        <f>HYPERLINK("http://www.signalplus.com", "www.signalplus.com")</f>
      </c>
      <c r="M369" s="17">
        <f>HYPERLINK("https://my.pitchbook.com?c=503503-66", "View Company Online")</f>
      </c>
    </row>
    <row r="370">
      <c r="A370" t="s" s="10">
        <v>1998</v>
      </c>
      <c r="B370" t="s" s="10">
        <v>1999</v>
      </c>
      <c r="C370" t="s" s="10">
        <v>164</v>
      </c>
      <c r="D370" t="s" s="10">
        <v>206</v>
      </c>
      <c r="E370" t="s" s="10">
        <v>373</v>
      </c>
      <c r="F370" s="27">
        <v>45680</v>
      </c>
      <c r="G370" t="s" s="10">
        <v>146</v>
      </c>
      <c r="H370" s="42">
        <v>65</v>
      </c>
      <c r="I370" s="42">
        <v>500</v>
      </c>
      <c r="J370" t="s" s="10">
        <v>2000</v>
      </c>
      <c r="K370" t="s" s="10">
        <v>2001</v>
      </c>
      <c r="L370" s="16">
        <f>HYPERLINK("http://www.withclutch.com", "www.withclutch.com")</f>
      </c>
      <c r="M370" s="16">
        <f>HYPERLINK("https://my.pitchbook.com?c=437938-84", "View Company Online")</f>
      </c>
    </row>
    <row r="371">
      <c r="A371" t="s" s="11">
        <v>2003</v>
      </c>
      <c r="B371" t="s" s="11">
        <v>2004</v>
      </c>
      <c r="C371" t="s" s="11">
        <v>114</v>
      </c>
      <c r="D371" t="s" s="11">
        <v>870</v>
      </c>
      <c r="E371" t="s" s="11">
        <v>137</v>
      </c>
      <c r="F371" s="28">
        <v>45536</v>
      </c>
      <c r="G371" t="s" s="11">
        <v>40</v>
      </c>
      <c r="H371" s="43">
        <v>229.92</v>
      </c>
      <c r="I371" s="43">
        <v>490.37</v>
      </c>
      <c r="J371" t="s" s="11">
        <v>2005</v>
      </c>
      <c r="K371" t="s" s="11">
        <v>2006</v>
      </c>
      <c r="L371" s="17">
        <f>HYPERLINK("http://www.gojo.co", "www.gojo.co")</f>
      </c>
      <c r="M371" s="17">
        <f>HYPERLINK("https://my.pitchbook.com?c=227756-44", "View Company Online")</f>
      </c>
    </row>
    <row r="372">
      <c r="A372" t="s" s="10">
        <v>2008</v>
      </c>
      <c r="B372" t="s" s="10">
        <v>2009</v>
      </c>
      <c r="C372" t="s" s="10">
        <v>114</v>
      </c>
      <c r="D372" t="s" s="10">
        <v>136</v>
      </c>
      <c r="E372" t="s" s="10">
        <v>759</v>
      </c>
      <c r="F372" s="27">
        <v>42118</v>
      </c>
      <c r="G372" t="s" s="10">
        <v>40</v>
      </c>
      <c r="H372" s="42">
        <v>84</v>
      </c>
      <c r="I372" s="42">
        <v>490</v>
      </c>
      <c r="J372" t="s" s="10">
        <v>2010</v>
      </c>
      <c r="K372" t="s" s="10">
        <v>2011</v>
      </c>
      <c r="L372" s="16">
        <f>HYPERLINK("http://www.jimu.com", "www.jimu.com")</f>
      </c>
      <c r="M372" s="16">
        <f>HYPERLINK("https://my.pitchbook.com?c=61695-73", "View Company Online")</f>
      </c>
    </row>
    <row r="373">
      <c r="A373" t="s" s="11">
        <v>2013</v>
      </c>
      <c r="B373" t="s" s="11">
        <v>2014</v>
      </c>
      <c r="C373" t="s" s="11">
        <v>60</v>
      </c>
      <c r="D373" t="s" s="11">
        <v>432</v>
      </c>
      <c r="E373" t="s" s="11">
        <v>116</v>
      </c>
      <c r="F373" s="28">
        <v>44823</v>
      </c>
      <c r="G373" t="s" s="11">
        <v>146</v>
      </c>
      <c r="H373" s="43">
        <v>145</v>
      </c>
      <c r="I373" s="43">
        <v>485</v>
      </c>
      <c r="J373" t="s" s="11">
        <v>2015</v>
      </c>
      <c r="K373" t="s" s="11">
        <v>2016</v>
      </c>
      <c r="L373" s="17">
        <f>HYPERLINK("http://www.optoinvest.com", "www.optoinvest.com")</f>
      </c>
      <c r="M373" s="17">
        <f>HYPERLINK("https://my.pitchbook.com?c=509126-14", "View Company Online")</f>
      </c>
    </row>
    <row r="374">
      <c r="A374" t="s" s="10">
        <v>2018</v>
      </c>
      <c r="B374" t="s" s="10">
        <v>2019</v>
      </c>
      <c r="C374" t="s" s="10">
        <v>222</v>
      </c>
      <c r="D374" t="s" s="10">
        <v>223</v>
      </c>
      <c r="E374" t="s" s="10">
        <v>2020</v>
      </c>
      <c r="F374" s="27">
        <v>46113</v>
      </c>
      <c r="G374" t="s" s="10">
        <v>48</v>
      </c>
      <c r="H374" t="s" s="42">
        <v>30</v>
      </c>
      <c r="I374" s="42">
        <v>476.42</v>
      </c>
      <c r="J374" t="s" s="10">
        <v>2021</v>
      </c>
      <c r="K374" t="s" s="10">
        <v>2022</v>
      </c>
      <c r="L374" s="16">
        <f>HYPERLINK("http://www.cogo.co", "www.cogo.co")</f>
      </c>
      <c r="M374" s="16">
        <f>HYPERLINK("https://my.pitchbook.com?c=265311-01", "View Company Online")</f>
      </c>
    </row>
    <row r="375">
      <c r="A375" t="s" s="11">
        <v>2024</v>
      </c>
      <c r="B375" t="s" s="11">
        <v>2025</v>
      </c>
      <c r="C375" t="s" s="11">
        <v>144</v>
      </c>
      <c r="D375" t="s" s="11">
        <v>38</v>
      </c>
      <c r="E375" t="s" s="11">
        <v>253</v>
      </c>
      <c r="F375" s="28">
        <v>46217</v>
      </c>
      <c r="G375" t="s" s="11">
        <v>72</v>
      </c>
      <c r="H375" s="43">
        <v>40</v>
      </c>
      <c r="I375" s="43">
        <v>475</v>
      </c>
      <c r="J375" t="s" s="11">
        <v>2026</v>
      </c>
      <c r="K375" t="s" s="11">
        <v>2027</v>
      </c>
      <c r="L375" s="17">
        <f>HYPERLINK("http://www.rho.co", "www.rho.co")</f>
      </c>
      <c r="M375" s="17">
        <f>HYPERLINK("https://my.pitchbook.com?c=264938-14", "View Company Online")</f>
      </c>
    </row>
    <row r="376">
      <c r="A376" t="s" s="10">
        <v>2029</v>
      </c>
      <c r="B376" t="s" s="10">
        <v>2030</v>
      </c>
      <c r="C376" t="s" s="10">
        <v>27</v>
      </c>
      <c r="D376" t="s" s="10">
        <v>28</v>
      </c>
      <c r="E376" t="s" s="10">
        <v>253</v>
      </c>
      <c r="F376" s="27">
        <v>45924</v>
      </c>
      <c r="G376" t="s" s="10">
        <v>40</v>
      </c>
      <c r="H376" s="42">
        <v>92</v>
      </c>
      <c r="I376" s="42">
        <v>474</v>
      </c>
      <c r="J376" t="s" s="10">
        <v>2031</v>
      </c>
      <c r="K376" t="s" s="10">
        <v>2032</v>
      </c>
      <c r="L376" s="16">
        <f>HYPERLINK("http://www.wetravel.com", "www.wetravel.com")</f>
      </c>
      <c r="M376" s="16">
        <f>HYPERLINK("https://my.pitchbook.com?c=110510-29", "View Company Online")</f>
      </c>
    </row>
    <row r="377">
      <c r="A377" t="s" s="11">
        <v>2034</v>
      </c>
      <c r="B377" t="s" s="11">
        <v>2035</v>
      </c>
      <c r="C377" t="s" s="11">
        <v>37</v>
      </c>
      <c r="D377" t="s" s="11">
        <v>38</v>
      </c>
      <c r="E377" t="s" s="11">
        <v>193</v>
      </c>
      <c r="F377" s="28">
        <v>44788</v>
      </c>
      <c r="G377" t="s" s="11">
        <v>146</v>
      </c>
      <c r="H377" s="43">
        <v>61.47</v>
      </c>
      <c r="I377" s="43">
        <v>471.97</v>
      </c>
      <c r="J377" t="s" s="11">
        <v>2036</v>
      </c>
      <c r="K377" t="s" s="11">
        <v>2037</v>
      </c>
      <c r="L377" s="17">
        <f>HYPERLINK("http://www.fi.money", "www.fi.money")</f>
      </c>
      <c r="M377" s="17">
        <f>HYPERLINK("https://my.pitchbook.com?c=399416-23", "View Company Online")</f>
      </c>
    </row>
    <row r="378">
      <c r="A378" t="s" s="10">
        <v>2039</v>
      </c>
      <c r="B378" t="s" s="10">
        <v>2040</v>
      </c>
      <c r="C378" t="s" s="10">
        <v>60</v>
      </c>
      <c r="D378" t="s" s="10">
        <v>432</v>
      </c>
      <c r="E378" t="s" s="10">
        <v>1207</v>
      </c>
      <c r="F378" s="27">
        <v>45383</v>
      </c>
      <c r="G378" t="s" s="10">
        <v>40</v>
      </c>
      <c r="H378" t="s" s="42">
        <v>30</v>
      </c>
      <c r="I378" s="42">
        <v>470.75</v>
      </c>
      <c r="J378" t="s" s="10">
        <v>2041</v>
      </c>
      <c r="K378" t="s" s="10">
        <v>2042</v>
      </c>
      <c r="L378" s="16">
        <f>HYPERLINK("http://www.sigfig.com", "www.sigfig.com")</f>
      </c>
      <c r="M378" s="16">
        <f>HYPERLINK("https://my.pitchbook.com?c=54107-11", "View Company Online")</f>
      </c>
    </row>
    <row r="379">
      <c r="A379" t="s" s="11">
        <v>2044</v>
      </c>
      <c r="B379" t="s" s="11">
        <v>2045</v>
      </c>
      <c r="C379" t="s" s="11">
        <v>172</v>
      </c>
      <c r="D379" t="s" s="11">
        <v>338</v>
      </c>
      <c r="E379" t="s" s="11">
        <v>1679</v>
      </c>
      <c r="F379" s="28">
        <v>45123</v>
      </c>
      <c r="G379" t="s" s="11">
        <v>40</v>
      </c>
      <c r="H379" s="43">
        <v>33</v>
      </c>
      <c r="I379" s="43">
        <v>469.61</v>
      </c>
      <c r="J379" t="s" s="11">
        <v>2046</v>
      </c>
      <c r="K379" t="s" s="11">
        <v>2047</v>
      </c>
      <c r="L379" s="17">
        <f>HYPERLINK("http://www.exactera.com", "www.exactera.com")</f>
      </c>
      <c r="M379" s="17">
        <f>HYPERLINK("https://my.pitchbook.com?c=222292-00", "View Company Online")</f>
      </c>
    </row>
    <row r="380">
      <c r="A380" t="s" s="10">
        <v>2049</v>
      </c>
      <c r="B380" t="s" s="10">
        <v>2050</v>
      </c>
      <c r="C380" t="s" s="10">
        <v>60</v>
      </c>
      <c r="D380" t="s" s="10">
        <v>61</v>
      </c>
      <c r="E380" t="s" s="10">
        <v>62</v>
      </c>
      <c r="F380" s="27">
        <v>46204</v>
      </c>
      <c r="G380" t="s" s="10">
        <v>2051</v>
      </c>
      <c r="H380" t="s" s="42">
        <v>30</v>
      </c>
      <c r="I380" s="42">
        <v>455.85</v>
      </c>
      <c r="J380" t="s" s="10">
        <v>2052</v>
      </c>
      <c r="K380" t="s" s="10">
        <v>30</v>
      </c>
      <c r="L380" s="16">
        <f>HYPERLINK("http://www.ascendex.com", "www.ascendex.com")</f>
      </c>
      <c r="M380" s="16">
        <f>HYPERLINK("https://my.pitchbook.com?c=279507-70", "View Company Online")</f>
      </c>
    </row>
    <row r="381">
      <c r="A381" t="s" s="11">
        <v>2054</v>
      </c>
      <c r="B381" t="s" s="11">
        <v>2055</v>
      </c>
      <c r="C381" t="s" s="11">
        <v>222</v>
      </c>
      <c r="D381" t="s" s="11">
        <v>223</v>
      </c>
      <c r="E381" t="s" s="11">
        <v>2056</v>
      </c>
      <c r="F381" s="28">
        <v>45947</v>
      </c>
      <c r="G381" t="s" s="11">
        <v>40</v>
      </c>
      <c r="H381" t="s" s="43">
        <v>30</v>
      </c>
      <c r="I381" s="43">
        <v>450</v>
      </c>
      <c r="J381" t="s" s="11">
        <v>2057</v>
      </c>
      <c r="K381" t="s" s="11">
        <v>2058</v>
      </c>
      <c r="L381" s="17">
        <f>HYPERLINK("http://www.persefoni.com", "www.persefoni.com")</f>
      </c>
      <c r="M381" s="17">
        <f>HYPERLINK("https://my.pitchbook.com?c=434133-73", "View Company Online")</f>
      </c>
    </row>
    <row r="382">
      <c r="A382" t="s" s="10">
        <v>2060</v>
      </c>
      <c r="B382" t="s" s="10">
        <v>2061</v>
      </c>
      <c r="C382" t="s" s="10">
        <v>37</v>
      </c>
      <c r="D382" t="s" s="10">
        <v>38</v>
      </c>
      <c r="E382" t="s" s="10">
        <v>193</v>
      </c>
      <c r="F382" t="s" s="27">
        <v>30</v>
      </c>
      <c r="G382" t="s" s="10">
        <v>48</v>
      </c>
      <c r="H382" t="s" s="42">
        <v>30</v>
      </c>
      <c r="I382" s="42">
        <v>445.42</v>
      </c>
      <c r="J382" t="s" s="10">
        <v>2062</v>
      </c>
      <c r="K382" t="s" s="10">
        <v>2063</v>
      </c>
      <c r="L382" s="16">
        <f>HYPERLINK("http://www.goniyo.com", "www.goniyo.com")</f>
      </c>
      <c r="M382" s="16">
        <f>HYPERLINK("https://my.pitchbook.com?c=162910-72", "View Company Online")</f>
      </c>
    </row>
    <row r="383">
      <c r="A383" t="s" s="11">
        <v>2065</v>
      </c>
      <c r="B383" t="s" s="11">
        <v>2066</v>
      </c>
      <c r="C383" t="s" s="11">
        <v>164</v>
      </c>
      <c r="D383" t="s" s="11">
        <v>165</v>
      </c>
      <c r="E383" t="s" s="11">
        <v>916</v>
      </c>
      <c r="F383" s="28">
        <v>46154</v>
      </c>
      <c r="G383" t="s" s="11">
        <v>138</v>
      </c>
      <c r="H383" t="s" s="43">
        <v>30</v>
      </c>
      <c r="I383" s="43">
        <v>445.23</v>
      </c>
      <c r="J383" t="s" s="11">
        <v>2067</v>
      </c>
      <c r="K383" t="s" s="11">
        <v>30</v>
      </c>
      <c r="L383" s="17">
        <f>HYPERLINK("http://www.rossum.ai", "www.rossum.ai")</f>
      </c>
      <c r="M383" s="17">
        <f>HYPERLINK("https://my.pitchbook.com?c=179815-51", "View Company Online")</f>
      </c>
    </row>
    <row r="384">
      <c r="A384" t="s" s="10">
        <v>2069</v>
      </c>
      <c r="B384" t="s" s="10">
        <v>2070</v>
      </c>
      <c r="C384" t="s" s="10">
        <v>172</v>
      </c>
      <c r="D384" t="s" s="10">
        <v>173</v>
      </c>
      <c r="E384" t="s" s="10">
        <v>2071</v>
      </c>
      <c r="F384" s="27">
        <v>45796</v>
      </c>
      <c r="G384" t="s" s="10">
        <v>31</v>
      </c>
      <c r="H384" s="42">
        <v>16.78</v>
      </c>
      <c r="I384" s="42">
        <v>445</v>
      </c>
      <c r="J384" t="s" s="10">
        <v>2072</v>
      </c>
      <c r="K384" t="s" s="10">
        <v>2073</v>
      </c>
      <c r="L384" s="16">
        <f>HYPERLINK("http://www.complyadvantage.com", "www.complyadvantage.com")</f>
      </c>
      <c r="M384" s="16">
        <f>HYPERLINK("https://my.pitchbook.com?c=108421-12", "View Company Online")</f>
      </c>
    </row>
    <row r="385">
      <c r="A385" t="s" s="11">
        <v>2075</v>
      </c>
      <c r="B385" t="s" s="11">
        <v>2076</v>
      </c>
      <c r="C385" t="s" s="11">
        <v>46</v>
      </c>
      <c r="D385" t="s" s="11">
        <v>47</v>
      </c>
      <c r="E385" t="s" s="11">
        <v>1038</v>
      </c>
      <c r="F385" t="s" s="28">
        <v>30</v>
      </c>
      <c r="G385" t="s" s="11">
        <v>40</v>
      </c>
      <c r="H385" t="s" s="43">
        <v>30</v>
      </c>
      <c r="I385" s="43">
        <v>434</v>
      </c>
      <c r="J385" t="s" s="11">
        <v>2077</v>
      </c>
      <c r="K385" t="s" s="11">
        <v>2078</v>
      </c>
      <c r="L385" s="17">
        <f>HYPERLINK("http://www.aiwyn.ai", "www.aiwyn.ai")</f>
      </c>
      <c r="M385" s="17">
        <f>HYPERLINK("https://my.pitchbook.com?c=458126-47", "View Company Online")</f>
      </c>
    </row>
    <row r="386">
      <c r="A386" t="s" s="10">
        <v>2080</v>
      </c>
      <c r="B386" t="s" s="10">
        <v>2081</v>
      </c>
      <c r="C386" t="s" s="10">
        <v>144</v>
      </c>
      <c r="D386" t="s" s="10">
        <v>38</v>
      </c>
      <c r="E386" t="s" s="10">
        <v>253</v>
      </c>
      <c r="F386" s="27">
        <v>45931</v>
      </c>
      <c r="G386" t="s" s="10">
        <v>40</v>
      </c>
      <c r="H386" t="s" s="42">
        <v>30</v>
      </c>
      <c r="I386" s="42">
        <v>430</v>
      </c>
      <c r="J386" t="s" s="10">
        <v>2082</v>
      </c>
      <c r="K386" t="s" s="10">
        <v>2083</v>
      </c>
      <c r="L386" s="16">
        <f>HYPERLINK("http://www.aspireapp.com", "www.aspireapp.com")</f>
      </c>
      <c r="M386" s="16">
        <f>HYPERLINK("https://my.pitchbook.com?c=226103-68", "View Company Online")</f>
      </c>
    </row>
    <row r="387">
      <c r="A387" t="s" s="11">
        <v>2085</v>
      </c>
      <c r="B387" t="s" s="11">
        <v>2086</v>
      </c>
      <c r="C387" t="s" s="11">
        <v>222</v>
      </c>
      <c r="D387" t="s" s="11">
        <v>223</v>
      </c>
      <c r="E387" t="s" s="11">
        <v>137</v>
      </c>
      <c r="F387" s="28">
        <v>45630</v>
      </c>
      <c r="G387" t="s" s="11">
        <v>64</v>
      </c>
      <c r="H387" t="s" s="43">
        <v>30</v>
      </c>
      <c r="I387" s="43">
        <v>428.51</v>
      </c>
      <c r="J387" t="s" s="11">
        <v>2087</v>
      </c>
      <c r="K387" t="s" s="11">
        <v>2088</v>
      </c>
      <c r="L387" s="17">
        <f>HYPERLINK("http://www.xquant.com", "www.xquant.com")</f>
      </c>
      <c r="M387" s="17">
        <f>HYPERLINK("https://my.pitchbook.com?c=454976-47", "View Company Online")</f>
      </c>
    </row>
    <row r="388">
      <c r="A388" t="s" s="10">
        <v>2090</v>
      </c>
      <c r="B388" t="s" s="10">
        <v>2091</v>
      </c>
      <c r="C388" t="s" s="10">
        <v>27</v>
      </c>
      <c r="D388" t="s" s="10">
        <v>28</v>
      </c>
      <c r="E388" t="s" s="10">
        <v>137</v>
      </c>
      <c r="F388" s="27">
        <v>46162</v>
      </c>
      <c r="G388" t="s" s="10">
        <v>40</v>
      </c>
      <c r="H388" s="42">
        <v>100</v>
      </c>
      <c r="I388" s="42">
        <v>427.06</v>
      </c>
      <c r="J388" t="s" s="10">
        <v>2092</v>
      </c>
      <c r="K388" t="s" s="10">
        <v>2093</v>
      </c>
      <c r="L388" s="16">
        <f>HYPERLINK("http://www.primer.io", "www.primer.io")</f>
      </c>
      <c r="M388" s="16">
        <f>HYPERLINK("https://my.pitchbook.com?c=433186-57", "View Company Online")</f>
      </c>
    </row>
    <row r="389">
      <c r="A389" t="s" s="11">
        <v>2095</v>
      </c>
      <c r="B389" t="s" s="11">
        <v>2096</v>
      </c>
      <c r="C389" t="s" s="11">
        <v>27</v>
      </c>
      <c r="D389" t="s" s="11">
        <v>28</v>
      </c>
      <c r="E389" t="s" s="11">
        <v>270</v>
      </c>
      <c r="F389" s="28">
        <v>45349</v>
      </c>
      <c r="G389" t="s" s="11">
        <v>40</v>
      </c>
      <c r="H389" s="43">
        <v>20</v>
      </c>
      <c r="I389" s="43">
        <v>426.21</v>
      </c>
      <c r="J389" t="s" s="11">
        <v>2097</v>
      </c>
      <c r="K389" t="s" s="11">
        <v>2098</v>
      </c>
      <c r="L389" s="17">
        <f>HYPERLINK("http://www.mswipe.com", "www.mswipe.com")</f>
      </c>
      <c r="M389" s="17">
        <f>HYPERLINK("https://my.pitchbook.com?c=54853-39", "View Company Online")</f>
      </c>
    </row>
    <row r="390">
      <c r="A390" t="s" s="10">
        <v>2100</v>
      </c>
      <c r="B390" t="s" s="10">
        <v>2101</v>
      </c>
      <c r="C390" t="s" s="10">
        <v>60</v>
      </c>
      <c r="D390" t="s" s="10">
        <v>61</v>
      </c>
      <c r="E390" t="s" s="10">
        <v>193</v>
      </c>
      <c r="F390" s="27">
        <v>46205</v>
      </c>
      <c r="G390" t="s" s="10">
        <v>391</v>
      </c>
      <c r="H390" s="42">
        <v>425</v>
      </c>
      <c r="I390" s="42">
        <v>425</v>
      </c>
      <c r="J390" t="s" s="10">
        <v>2102</v>
      </c>
      <c r="K390" t="s" s="10">
        <v>30</v>
      </c>
      <c r="L390" s="16">
        <f>HYPERLINK("http://www.stash.com", "www.stash.com")</f>
      </c>
      <c r="M390" s="16">
        <f>HYPERLINK("https://my.pitchbook.com?c=119115-19", "View Company Online")</f>
      </c>
    </row>
    <row r="391">
      <c r="A391" t="s" s="11">
        <v>2104</v>
      </c>
      <c r="B391" t="s" s="11">
        <v>2105</v>
      </c>
      <c r="C391" t="s" s="11">
        <v>37</v>
      </c>
      <c r="D391" t="s" s="11">
        <v>304</v>
      </c>
      <c r="E391" t="s" s="11">
        <v>270</v>
      </c>
      <c r="F391" s="28">
        <v>46108</v>
      </c>
      <c r="G391" t="s" s="11">
        <v>40</v>
      </c>
      <c r="H391" s="43">
        <v>42</v>
      </c>
      <c r="I391" s="43">
        <v>423</v>
      </c>
      <c r="J391" t="s" s="11">
        <v>2106</v>
      </c>
      <c r="K391" t="s" s="11">
        <v>2107</v>
      </c>
      <c r="L391" s="17">
        <f>HYPERLINK("http://www.atlascard.com", "www.atlascard.com")</f>
      </c>
      <c r="M391" s="17">
        <f>HYPERLINK("https://my.pitchbook.com?c=265459-06", "View Company Online")</f>
      </c>
    </row>
    <row r="392">
      <c r="A392" t="s" s="10">
        <v>2109</v>
      </c>
      <c r="B392" t="s" s="10">
        <v>2110</v>
      </c>
      <c r="C392" t="s" s="10">
        <v>60</v>
      </c>
      <c r="D392" t="s" s="10">
        <v>727</v>
      </c>
      <c r="E392" t="s" s="10">
        <v>193</v>
      </c>
      <c r="F392" t="s" s="27">
        <v>30</v>
      </c>
      <c r="G392" t="s" s="10">
        <v>48</v>
      </c>
      <c r="H392" t="s" s="42">
        <v>30</v>
      </c>
      <c r="I392" s="42">
        <v>421.82</v>
      </c>
      <c r="J392" t="s" s="10">
        <v>2111</v>
      </c>
      <c r="K392" t="s" s="10">
        <v>2112</v>
      </c>
      <c r="L392" s="16">
        <f>HYPERLINK("http://www.addx.co", "www.addx.co")</f>
      </c>
      <c r="M392" s="16">
        <f>HYPERLINK("https://my.pitchbook.com?c=267612-04", "View Company Online")</f>
      </c>
    </row>
    <row r="393">
      <c r="A393" t="s" s="11">
        <v>2114</v>
      </c>
      <c r="B393" t="s" s="11">
        <v>2115</v>
      </c>
      <c r="C393" t="s" s="11">
        <v>46</v>
      </c>
      <c r="D393" t="s" s="11">
        <v>47</v>
      </c>
      <c r="E393" t="s" s="11">
        <v>373</v>
      </c>
      <c r="F393" s="28">
        <v>45916</v>
      </c>
      <c r="G393" t="s" s="11">
        <v>146</v>
      </c>
      <c r="H393" s="43">
        <v>55</v>
      </c>
      <c r="I393" s="43">
        <v>420</v>
      </c>
      <c r="J393" t="s" s="11">
        <v>2116</v>
      </c>
      <c r="K393" t="s" s="11">
        <v>2117</v>
      </c>
      <c r="L393" s="17">
        <f>HYPERLINK("http://www.tabs.com", "www.tabs.com")</f>
      </c>
      <c r="M393" s="17">
        <f>HYPERLINK("https://my.pitchbook.com?c=530477-47", "View Company Online")</f>
      </c>
    </row>
    <row r="394">
      <c r="A394" t="s" s="10">
        <v>2119</v>
      </c>
      <c r="B394" t="s" s="10">
        <v>2120</v>
      </c>
      <c r="C394" t="s" s="10">
        <v>114</v>
      </c>
      <c r="D394" t="s" s="10">
        <v>1386</v>
      </c>
      <c r="E394" t="s" s="10">
        <v>367</v>
      </c>
      <c r="F394" s="27">
        <v>45292</v>
      </c>
      <c r="G394" t="s" s="10">
        <v>607</v>
      </c>
      <c r="H394" t="s" s="42">
        <v>30</v>
      </c>
      <c r="I394" s="42">
        <v>420</v>
      </c>
      <c r="J394" t="s" s="10">
        <v>2121</v>
      </c>
      <c r="K394" t="s" s="10">
        <v>2122</v>
      </c>
      <c r="L394" s="16">
        <f>HYPERLINK("http://www.trustingsocial.com", "www.trustingsocial.com")</f>
      </c>
      <c r="M394" s="16">
        <f>HYPERLINK("https://my.pitchbook.com?c=102481-66", "View Company Online")</f>
      </c>
    </row>
    <row r="395">
      <c r="A395" t="s" s="11">
        <v>2124</v>
      </c>
      <c r="B395" t="s" s="11">
        <v>2125</v>
      </c>
      <c r="C395" t="s" s="11">
        <v>46</v>
      </c>
      <c r="D395" t="s" s="11">
        <v>397</v>
      </c>
      <c r="E395" t="s" s="11">
        <v>373</v>
      </c>
      <c r="F395" s="28">
        <v>45932</v>
      </c>
      <c r="G395" t="s" s="11">
        <v>146</v>
      </c>
      <c r="H395" s="43">
        <v>90</v>
      </c>
      <c r="I395" s="43">
        <v>415</v>
      </c>
      <c r="J395" t="s" s="11">
        <v>2126</v>
      </c>
      <c r="K395" t="s" s="11">
        <v>2127</v>
      </c>
      <c r="L395" s="17">
        <f>HYPERLINK("http://www.dualentry.com", "www.dualentry.com")</f>
      </c>
      <c r="M395" s="17">
        <f>HYPERLINK("https://my.pitchbook.com?c=594390-07", "View Company Online")</f>
      </c>
    </row>
    <row r="396">
      <c r="A396" t="s" s="10">
        <v>2129</v>
      </c>
      <c r="B396" t="s" s="10">
        <v>2130</v>
      </c>
      <c r="C396" t="s" s="10">
        <v>222</v>
      </c>
      <c r="D396" t="s" s="10">
        <v>223</v>
      </c>
      <c r="E396" t="s" s="10">
        <v>253</v>
      </c>
      <c r="F396" s="27">
        <v>45545</v>
      </c>
      <c r="G396" t="s" s="10">
        <v>40</v>
      </c>
      <c r="H396" s="42">
        <v>71.86</v>
      </c>
      <c r="I396" s="42">
        <v>414</v>
      </c>
      <c r="J396" t="s" s="10">
        <v>2131</v>
      </c>
      <c r="K396" t="s" s="10">
        <v>2132</v>
      </c>
      <c r="L396" s="16">
        <f>HYPERLINK("http://www.finbourne.com", "www.finbourne.com")</f>
      </c>
      <c r="M396" s="16">
        <f>HYPERLINK("https://my.pitchbook.com?c=221696-47", "View Company Online")</f>
      </c>
    </row>
    <row r="397">
      <c r="A397" t="s" s="11">
        <v>2134</v>
      </c>
      <c r="B397" t="s" s="11">
        <v>2135</v>
      </c>
      <c r="C397" t="s" s="11">
        <v>27</v>
      </c>
      <c r="D397" t="s" s="11">
        <v>28</v>
      </c>
      <c r="E397" t="s" s="11">
        <v>137</v>
      </c>
      <c r="F397" s="28">
        <v>45750</v>
      </c>
      <c r="G397" t="s" s="11">
        <v>607</v>
      </c>
      <c r="H397" t="s" s="43">
        <v>30</v>
      </c>
      <c r="I397" s="43">
        <v>414</v>
      </c>
      <c r="J397" t="s" s="11">
        <v>2136</v>
      </c>
      <c r="K397" t="s" s="11">
        <v>2137</v>
      </c>
      <c r="L397" s="17">
        <f>HYPERLINK("http://www.skipify.com", "www.skipify.com")</f>
      </c>
      <c r="M397" s="17">
        <f>HYPERLINK("https://my.pitchbook.com?c=460226-35", "View Company Online")</f>
      </c>
    </row>
    <row r="398">
      <c r="A398" t="s" s="10">
        <v>2139</v>
      </c>
      <c r="B398" t="s" s="10">
        <v>2140</v>
      </c>
      <c r="C398" t="s" s="10">
        <v>114</v>
      </c>
      <c r="D398" t="s" s="10">
        <v>136</v>
      </c>
      <c r="E398" t="s" s="10">
        <v>1652</v>
      </c>
      <c r="F398" s="27">
        <v>45902</v>
      </c>
      <c r="G398" t="s" s="10">
        <v>40</v>
      </c>
      <c r="H398" s="42">
        <v>82</v>
      </c>
      <c r="I398" s="42">
        <v>413</v>
      </c>
      <c r="J398" t="s" s="10">
        <v>2141</v>
      </c>
      <c r="K398" t="s" s="10">
        <v>2142</v>
      </c>
      <c r="L398" s="16">
        <f>HYPERLINK("http://www.splashfinancial.com", "www.splashfinancial.com")</f>
      </c>
      <c r="M398" s="16">
        <f>HYPERLINK("https://my.pitchbook.com?c=97396-39", "View Company Online")</f>
      </c>
    </row>
    <row r="399">
      <c r="A399" t="s" s="11">
        <v>2144</v>
      </c>
      <c r="B399" t="s" s="11">
        <v>2145</v>
      </c>
      <c r="C399" t="s" s="11">
        <v>46</v>
      </c>
      <c r="D399" t="s" s="11">
        <v>47</v>
      </c>
      <c r="E399" t="s" s="11">
        <v>2146</v>
      </c>
      <c r="F399" s="28">
        <v>45737</v>
      </c>
      <c r="G399" t="s" s="11">
        <v>146</v>
      </c>
      <c r="H399" s="43">
        <v>40</v>
      </c>
      <c r="I399" s="43">
        <v>410</v>
      </c>
      <c r="J399" t="s" s="11">
        <v>2147</v>
      </c>
      <c r="K399" t="s" s="11">
        <v>2148</v>
      </c>
      <c r="L399" s="17">
        <f>HYPERLINK("http://www.thatch.com", "www.thatch.com")</f>
      </c>
      <c r="M399" s="17">
        <f>HYPERLINK("https://my.pitchbook.com?c=483686-38", "View Company Online")</f>
      </c>
    </row>
    <row r="400">
      <c r="A400" t="s" s="10">
        <v>2150</v>
      </c>
      <c r="B400" t="s" s="10">
        <v>2151</v>
      </c>
      <c r="C400" t="s" s="10">
        <v>46</v>
      </c>
      <c r="D400" t="s" s="10">
        <v>47</v>
      </c>
      <c r="E400" t="s" s="10">
        <v>2152</v>
      </c>
      <c r="F400" s="27">
        <v>44015</v>
      </c>
      <c r="G400" t="s" s="10">
        <v>146</v>
      </c>
      <c r="H400" s="42">
        <v>71.99</v>
      </c>
      <c r="I400" s="42">
        <v>409.33</v>
      </c>
      <c r="J400" t="s" s="10">
        <v>2153</v>
      </c>
      <c r="K400" t="s" s="10">
        <v>2154</v>
      </c>
      <c r="L400" s="16">
        <f>HYPERLINK("http://www.jss.com.cn", "www.jss.com.cn")</f>
      </c>
      <c r="M400" s="16">
        <f>HYPERLINK("https://my.pitchbook.com?c=436742-20", "View Company Online")</f>
      </c>
    </row>
    <row r="401">
      <c r="A401" t="s" s="11">
        <v>2156</v>
      </c>
      <c r="B401" t="s" s="11">
        <v>2157</v>
      </c>
      <c r="C401" t="s" s="11">
        <v>172</v>
      </c>
      <c r="D401" t="s" s="11">
        <v>1454</v>
      </c>
      <c r="E401" t="s" s="11">
        <v>2158</v>
      </c>
      <c r="F401" s="28">
        <v>44501</v>
      </c>
      <c r="G401" t="s" s="11">
        <v>48</v>
      </c>
      <c r="H401" t="s" s="43">
        <v>30</v>
      </c>
      <c r="I401" s="43">
        <v>405</v>
      </c>
      <c r="J401" t="s" s="11">
        <v>2159</v>
      </c>
      <c r="K401" t="s" s="11">
        <v>2160</v>
      </c>
      <c r="L401" s="17">
        <f>HYPERLINK("http://www.logicgate.com", "www.logicgate.com")</f>
      </c>
      <c r="M401" s="17">
        <f>HYPERLINK("https://my.pitchbook.com?c=168104-89", "View Company Online")</f>
      </c>
    </row>
    <row r="402">
      <c r="A402" t="s" s="10">
        <v>2162</v>
      </c>
      <c r="B402" t="s" s="10">
        <v>2163</v>
      </c>
      <c r="C402" t="s" s="10">
        <v>114</v>
      </c>
      <c r="D402" t="s" s="10">
        <v>1386</v>
      </c>
      <c r="E402" t="s" s="10">
        <v>1349</v>
      </c>
      <c r="F402" s="27">
        <v>44043</v>
      </c>
      <c r="G402" t="s" s="10">
        <v>40</v>
      </c>
      <c r="H402" t="s" s="42">
        <v>30</v>
      </c>
      <c r="I402" s="42">
        <v>404.48</v>
      </c>
      <c r="J402" t="s" s="10">
        <v>2164</v>
      </c>
      <c r="K402" t="s" s="10">
        <v>2165</v>
      </c>
      <c r="L402" s="16">
        <f>HYPERLINK("http://www.wisecotech.com", "www.wisecotech.com")</f>
      </c>
      <c r="M402" s="16">
        <f>HYPERLINK("https://my.pitchbook.com?c=266649-94", "View Company Online")</f>
      </c>
    </row>
    <row r="403">
      <c r="A403" t="s" s="11">
        <v>2167</v>
      </c>
      <c r="B403" t="s" s="11">
        <v>2168</v>
      </c>
      <c r="C403" t="s" s="11">
        <v>114</v>
      </c>
      <c r="D403" t="s" s="11">
        <v>136</v>
      </c>
      <c r="E403" t="s" s="11">
        <v>137</v>
      </c>
      <c r="F403" s="28">
        <v>43302</v>
      </c>
      <c r="G403" t="s" s="11">
        <v>146</v>
      </c>
      <c r="H403" s="43">
        <v>12.04</v>
      </c>
      <c r="I403" s="43">
        <v>401.43</v>
      </c>
      <c r="J403" t="s" s="11">
        <v>2169</v>
      </c>
      <c r="K403" t="s" s="11">
        <v>2170</v>
      </c>
      <c r="L403" s="17">
        <f>HYPERLINK("http://www.hydbest.com", "www.hydbest.com")</f>
      </c>
      <c r="M403" s="17">
        <f>HYPERLINK("https://my.pitchbook.com?c=399455-83", "View Company Online")</f>
      </c>
    </row>
    <row r="404">
      <c r="A404" t="s" s="10">
        <v>2172</v>
      </c>
      <c r="B404" t="s" s="10">
        <v>2173</v>
      </c>
      <c r="C404" t="s" s="10">
        <v>60</v>
      </c>
      <c r="D404" t="s" s="10">
        <v>432</v>
      </c>
      <c r="E404" t="s" s="10">
        <v>1093</v>
      </c>
      <c r="F404" s="27">
        <v>46014</v>
      </c>
      <c r="G404" t="s" s="10">
        <v>2174</v>
      </c>
      <c r="H404" s="42">
        <v>1</v>
      </c>
      <c r="I404" s="42">
        <v>401</v>
      </c>
      <c r="J404" t="s" s="10">
        <v>2175</v>
      </c>
      <c r="K404" t="s" s="10">
        <v>2176</v>
      </c>
      <c r="L404" s="16">
        <f>HYPERLINK("http://www.signaladvisors.com", "www.signaladvisors.com")</f>
      </c>
      <c r="M404" s="16">
        <f>HYPERLINK("https://my.pitchbook.com?c=433554-13", "View Company Online")</f>
      </c>
    </row>
    <row r="405">
      <c r="A405" t="s" s="11">
        <v>2178</v>
      </c>
      <c r="B405" t="s" s="11">
        <v>2179</v>
      </c>
      <c r="C405" t="s" s="11">
        <v>114</v>
      </c>
      <c r="D405" t="s" s="11">
        <v>1386</v>
      </c>
      <c r="E405" t="s" s="11">
        <v>634</v>
      </c>
      <c r="F405" t="s" s="28">
        <v>30</v>
      </c>
      <c r="G405" t="s" s="11">
        <v>48</v>
      </c>
      <c r="H405" t="s" s="43">
        <v>30</v>
      </c>
      <c r="I405" s="43">
        <v>400.57</v>
      </c>
      <c r="J405" t="s" s="11">
        <v>30</v>
      </c>
      <c r="K405" t="s" s="11">
        <v>2180</v>
      </c>
      <c r="L405" s="17">
        <f>HYPERLINK("http://www.perfios.ai", "www.perfios.ai")</f>
      </c>
      <c r="M405" s="17">
        <f>HYPERLINK("https://my.pitchbook.com?c=88468-21", "View Company Online")</f>
      </c>
    </row>
    <row r="406">
      <c r="A406" t="s" s="10">
        <v>2182</v>
      </c>
      <c r="B406" t="s" s="10">
        <v>2183</v>
      </c>
      <c r="C406" t="s" s="10">
        <v>144</v>
      </c>
      <c r="D406" t="s" s="10">
        <v>297</v>
      </c>
      <c r="E406" t="s" s="10">
        <v>2184</v>
      </c>
      <c r="F406" s="27">
        <v>45568</v>
      </c>
      <c r="G406" t="s" s="10">
        <v>146</v>
      </c>
      <c r="H406" s="42">
        <v>8</v>
      </c>
      <c r="I406" s="42">
        <v>400</v>
      </c>
      <c r="J406" t="s" s="10">
        <v>2185</v>
      </c>
      <c r="K406" t="s" s="10">
        <v>2186</v>
      </c>
      <c r="L406" s="16">
        <f>HYPERLINK("http://www.barte.com", "www.barte.com")</f>
      </c>
      <c r="M406" s="16">
        <f>HYPERLINK("https://my.pitchbook.com?c=496547-29", "View Company Online")</f>
      </c>
    </row>
    <row r="407">
      <c r="A407" t="s" s="11">
        <v>2188</v>
      </c>
      <c r="B407" t="s" s="11">
        <v>2189</v>
      </c>
      <c r="C407" t="s" s="11">
        <v>60</v>
      </c>
      <c r="D407" t="s" s="11">
        <v>727</v>
      </c>
      <c r="E407" t="s" s="11">
        <v>96</v>
      </c>
      <c r="F407" t="s" s="28">
        <v>30</v>
      </c>
      <c r="G407" t="s" s="11">
        <v>48</v>
      </c>
      <c r="H407" t="s" s="43">
        <v>30</v>
      </c>
      <c r="I407" s="43">
        <v>400</v>
      </c>
      <c r="J407" t="s" s="11">
        <v>2190</v>
      </c>
      <c r="K407" t="s" s="11">
        <v>2191</v>
      </c>
      <c r="L407" s="17">
        <f>HYPERLINK("http://www.enjin.io", "www.enjin.io")</f>
      </c>
      <c r="M407" s="17">
        <f>HYPERLINK("https://my.pitchbook.com?c=327112-84", "View Company Online")</f>
      </c>
    </row>
    <row r="408">
      <c r="A408" t="s" s="10">
        <v>2193</v>
      </c>
      <c r="B408" t="s" s="10">
        <v>2194</v>
      </c>
      <c r="C408" t="s" s="10">
        <v>144</v>
      </c>
      <c r="D408" t="s" s="10">
        <v>38</v>
      </c>
      <c r="E408" t="s" s="10">
        <v>1054</v>
      </c>
      <c r="F408" s="27">
        <v>45454</v>
      </c>
      <c r="G408" t="s" s="10">
        <v>40</v>
      </c>
      <c r="H408" s="42">
        <v>50</v>
      </c>
      <c r="I408" s="42">
        <v>400</v>
      </c>
      <c r="J408" t="s" s="10">
        <v>2195</v>
      </c>
      <c r="K408" t="s" s="10">
        <v>2196</v>
      </c>
      <c r="L408" s="16">
        <f>HYPERLINK("http://www.found.com", "www.found.com")</f>
      </c>
      <c r="M408" s="16">
        <f>HYPERLINK("https://my.pitchbook.com?c=443315-35", "View Company Online")</f>
      </c>
    </row>
    <row r="409">
      <c r="A409" t="s" s="11">
        <v>2198</v>
      </c>
      <c r="B409" t="s" s="11">
        <v>2199</v>
      </c>
      <c r="C409" t="s" s="11">
        <v>164</v>
      </c>
      <c r="D409" t="s" s="11">
        <v>165</v>
      </c>
      <c r="E409" t="s" s="11">
        <v>414</v>
      </c>
      <c r="F409" s="28">
        <v>44508</v>
      </c>
      <c r="G409" t="s" s="11">
        <v>40</v>
      </c>
      <c r="H409" s="43">
        <v>120</v>
      </c>
      <c r="I409" s="43">
        <v>400</v>
      </c>
      <c r="J409" t="s" s="11">
        <v>2200</v>
      </c>
      <c r="K409" t="s" s="11">
        <v>2201</v>
      </c>
      <c r="L409" s="17">
        <f>HYPERLINK("http://www.jumo.world", "www.jumo.world")</f>
      </c>
      <c r="M409" s="17">
        <f>HYPERLINK("https://my.pitchbook.com?c=155123-65", "View Company Online")</f>
      </c>
    </row>
    <row r="410">
      <c r="A410" t="s" s="10">
        <v>2203</v>
      </c>
      <c r="B410" t="s" s="10">
        <v>2204</v>
      </c>
      <c r="C410" t="s" s="10">
        <v>222</v>
      </c>
      <c r="D410" t="s" s="10">
        <v>235</v>
      </c>
      <c r="E410" t="s" s="10">
        <v>137</v>
      </c>
      <c r="F410" s="27">
        <v>45362</v>
      </c>
      <c r="G410" t="s" s="10">
        <v>40</v>
      </c>
      <c r="H410" s="42">
        <v>100</v>
      </c>
      <c r="I410" s="42">
        <v>400</v>
      </c>
      <c r="J410" t="s" s="10">
        <v>2205</v>
      </c>
      <c r="K410" t="s" s="10">
        <v>2206</v>
      </c>
      <c r="L410" s="16">
        <f>HYPERLINK("http://www.kickstarter.com", "www.kickstarter.com")</f>
      </c>
      <c r="M410" s="16">
        <f>HYPERLINK("https://my.pitchbook.com?c=52923-34", "View Company Online")</f>
      </c>
    </row>
    <row r="411">
      <c r="A411" t="s" s="11">
        <v>2208</v>
      </c>
      <c r="B411" t="s" s="11">
        <v>2209</v>
      </c>
      <c r="C411" t="s" s="11">
        <v>114</v>
      </c>
      <c r="D411" t="s" s="11">
        <v>136</v>
      </c>
      <c r="E411" t="s" s="11">
        <v>2210</v>
      </c>
      <c r="F411" s="28">
        <v>45658</v>
      </c>
      <c r="G411" t="s" s="11">
        <v>48</v>
      </c>
      <c r="H411" t="s" s="43">
        <v>30</v>
      </c>
      <c r="I411" s="43">
        <v>400</v>
      </c>
      <c r="J411" t="s" s="11">
        <v>2211</v>
      </c>
      <c r="K411" t="s" s="11">
        <v>2212</v>
      </c>
      <c r="L411" s="17">
        <f>HYPERLINK("http://www.mos.com", "www.mos.com")</f>
      </c>
      <c r="M411" s="17">
        <f>HYPERLINK("https://my.pitchbook.com?c=266660-74", "View Company Online")</f>
      </c>
    </row>
    <row r="412">
      <c r="A412" t="s" s="10">
        <v>2214</v>
      </c>
      <c r="B412" t="s" s="10">
        <v>2215</v>
      </c>
      <c r="C412" t="s" s="10">
        <v>60</v>
      </c>
      <c r="D412" t="s" s="10">
        <v>192</v>
      </c>
      <c r="E412" t="s" s="10">
        <v>1054</v>
      </c>
      <c r="F412" s="27">
        <v>44438</v>
      </c>
      <c r="G412" t="s" s="10">
        <v>146</v>
      </c>
      <c r="H412" s="42">
        <v>56</v>
      </c>
      <c r="I412" s="42">
        <v>400</v>
      </c>
      <c r="J412" t="s" s="10">
        <v>2216</v>
      </c>
      <c r="K412" t="s" s="10">
        <v>2217</v>
      </c>
      <c r="L412" s="16">
        <f>HYPERLINK("http://www.useorigin.com", "www.useorigin.com")</f>
      </c>
      <c r="M412" s="16">
        <f>HYPERLINK("https://my.pitchbook.com?c=265171-69", "View Company Online")</f>
      </c>
    </row>
    <row r="413">
      <c r="A413" t="s" s="11">
        <v>2219</v>
      </c>
      <c r="B413" t="s" s="11">
        <v>2220</v>
      </c>
      <c r="C413" t="s" s="11">
        <v>114</v>
      </c>
      <c r="D413" t="s" s="11">
        <v>136</v>
      </c>
      <c r="E413" t="s" s="11">
        <v>759</v>
      </c>
      <c r="F413" s="28">
        <v>45200</v>
      </c>
      <c r="G413" t="s" s="11">
        <v>40</v>
      </c>
      <c r="H413" t="s" s="43">
        <v>30</v>
      </c>
      <c r="I413" s="43">
        <v>400</v>
      </c>
      <c r="J413" t="s" s="11">
        <v>2221</v>
      </c>
      <c r="K413" t="s" s="11">
        <v>2222</v>
      </c>
      <c r="L413" s="17">
        <f>HYPERLINK("http://www.qingsongchou.com", "www.qingsongchou.com")</f>
      </c>
      <c r="M413" s="17">
        <f>HYPERLINK("https://my.pitchbook.com?c=182801-08", "View Company Online")</f>
      </c>
    </row>
    <row r="414">
      <c r="A414" t="s" s="10">
        <v>2224</v>
      </c>
      <c r="B414" t="s" s="10">
        <v>2225</v>
      </c>
      <c r="C414" t="s" s="10">
        <v>114</v>
      </c>
      <c r="D414" t="s" s="10">
        <v>852</v>
      </c>
      <c r="E414" t="s" s="10">
        <v>2226</v>
      </c>
      <c r="F414" s="27">
        <v>44635</v>
      </c>
      <c r="G414" t="s" s="10">
        <v>48</v>
      </c>
      <c r="H414" t="s" s="42">
        <v>30</v>
      </c>
      <c r="I414" s="42">
        <v>400</v>
      </c>
      <c r="J414" t="s" s="10">
        <v>2227</v>
      </c>
      <c r="K414" t="s" s="10">
        <v>2228</v>
      </c>
      <c r="L414" s="16">
        <f>HYPERLINK("http://www.taulia.com", "www.taulia.com")</f>
      </c>
      <c r="M414" s="16">
        <f>HYPERLINK("https://my.pitchbook.com?c=51361-30", "View Company Online")</f>
      </c>
    </row>
    <row r="415">
      <c r="A415" t="s" s="11">
        <v>2230</v>
      </c>
      <c r="B415" t="s" s="11">
        <v>2231</v>
      </c>
      <c r="C415" t="s" s="11">
        <v>60</v>
      </c>
      <c r="D415" t="s" s="11">
        <v>246</v>
      </c>
      <c r="E415" t="s" s="11">
        <v>373</v>
      </c>
      <c r="F415" s="28">
        <v>46184</v>
      </c>
      <c r="G415" t="s" s="11">
        <v>146</v>
      </c>
      <c r="H415" s="43">
        <v>35</v>
      </c>
      <c r="I415" s="43">
        <v>400</v>
      </c>
      <c r="J415" t="s" s="11">
        <v>2232</v>
      </c>
      <c r="K415" t="s" s="11">
        <v>2233</v>
      </c>
      <c r="L415" s="17">
        <f>HYPERLINK("http://www.turnout.co", "www.turnout.co")</f>
      </c>
      <c r="M415" s="17">
        <f>HYPERLINK("https://my.pitchbook.com?c=720937-81", "View Company Online")</f>
      </c>
    </row>
    <row r="416">
      <c r="A416" t="s" s="10">
        <v>2235</v>
      </c>
      <c r="B416" t="s" s="10">
        <v>2236</v>
      </c>
      <c r="C416" t="s" s="10">
        <v>114</v>
      </c>
      <c r="D416" t="s" s="10">
        <v>852</v>
      </c>
      <c r="E416" t="s" s="10">
        <v>137</v>
      </c>
      <c r="F416" s="27">
        <v>46025</v>
      </c>
      <c r="G416" t="s" s="10">
        <v>40</v>
      </c>
      <c r="H416" s="42">
        <v>20</v>
      </c>
      <c r="I416" s="42">
        <v>400</v>
      </c>
      <c r="J416" t="s" s="10">
        <v>2237</v>
      </c>
      <c r="K416" t="s" s="10">
        <v>2238</v>
      </c>
      <c r="L416" s="16">
        <f>HYPERLINK("http://xepelin.cl", "xepelin.cl")</f>
      </c>
      <c r="M416" s="16">
        <f>HYPERLINK("https://my.pitchbook.com?c=442412-83", "View Company Online")</f>
      </c>
    </row>
    <row r="417">
      <c r="A417" t="s" s="11">
        <v>2240</v>
      </c>
      <c r="B417" t="s" s="11">
        <v>2241</v>
      </c>
      <c r="C417" t="s" s="11">
        <v>114</v>
      </c>
      <c r="D417" t="s" s="11">
        <v>136</v>
      </c>
      <c r="E417" t="s" s="11">
        <v>2242</v>
      </c>
      <c r="F417" s="28">
        <v>44805</v>
      </c>
      <c r="G417" t="s" s="11">
        <v>40</v>
      </c>
      <c r="H417" s="43">
        <v>38.65</v>
      </c>
      <c r="I417" s="43">
        <v>398.42</v>
      </c>
      <c r="J417" t="s" s="11">
        <v>2243</v>
      </c>
      <c r="K417" t="s" s="11">
        <v>2244</v>
      </c>
      <c r="L417" s="17">
        <f>HYPERLINK("http://www.canadadrives.ca", "www.canadadrives.ca")</f>
      </c>
      <c r="M417" s="17">
        <f>HYPERLINK("https://my.pitchbook.com?c=104541-67", "View Company Online")</f>
      </c>
    </row>
    <row r="418">
      <c r="A418" t="s" s="10">
        <v>2246</v>
      </c>
      <c r="B418" t="s" s="10">
        <v>2247</v>
      </c>
      <c r="C418" t="s" s="10">
        <v>114</v>
      </c>
      <c r="D418" t="s" s="10">
        <v>852</v>
      </c>
      <c r="E418" t="s" s="10">
        <v>253</v>
      </c>
      <c r="F418" s="27">
        <v>44481</v>
      </c>
      <c r="G418" t="s" s="10">
        <v>40</v>
      </c>
      <c r="H418" s="42">
        <v>500</v>
      </c>
      <c r="I418" s="42">
        <v>396.7</v>
      </c>
      <c r="J418" t="s" s="10">
        <v>2248</v>
      </c>
      <c r="K418" t="s" s="10">
        <v>2249</v>
      </c>
      <c r="L418" s="16">
        <f>HYPERLINK("http://www.biz2credit.com", "www.biz2credit.com")</f>
      </c>
      <c r="M418" s="16">
        <f>HYPERLINK("https://my.pitchbook.com?c=55839-52", "View Company Online")</f>
      </c>
    </row>
    <row r="419">
      <c r="A419" t="s" s="11">
        <v>2251</v>
      </c>
      <c r="B419" t="s" s="11">
        <v>2252</v>
      </c>
      <c r="C419" t="s" s="11">
        <v>27</v>
      </c>
      <c r="D419" t="s" s="11">
        <v>70</v>
      </c>
      <c r="E419" t="s" s="11">
        <v>71</v>
      </c>
      <c r="F419" s="28">
        <v>45846</v>
      </c>
      <c r="G419" t="s" s="11">
        <v>40</v>
      </c>
      <c r="H419" s="43">
        <v>5</v>
      </c>
      <c r="I419" s="43">
        <v>395.47</v>
      </c>
      <c r="J419" t="s" s="11">
        <v>2253</v>
      </c>
      <c r="K419" t="s" s="11">
        <v>2254</v>
      </c>
      <c r="L419" s="17">
        <f>HYPERLINK("http://www.lightnet.io", "www.lightnet.io")</f>
      </c>
      <c r="M419" s="17">
        <f>HYPERLINK("https://my.pitchbook.com?c=399263-77", "View Company Online")</f>
      </c>
    </row>
    <row r="420">
      <c r="A420" t="s" s="10">
        <v>2256</v>
      </c>
      <c r="B420" t="s" s="10">
        <v>2257</v>
      </c>
      <c r="C420" t="s" s="10">
        <v>144</v>
      </c>
      <c r="D420" t="s" s="10">
        <v>38</v>
      </c>
      <c r="E420" t="s" s="10">
        <v>193</v>
      </c>
      <c r="F420" s="27">
        <v>45942</v>
      </c>
      <c r="G420" t="s" s="10">
        <v>40</v>
      </c>
      <c r="H420" s="42">
        <v>29</v>
      </c>
      <c r="I420" s="42">
        <v>394</v>
      </c>
      <c r="J420" t="s" s="10">
        <v>2258</v>
      </c>
      <c r="K420" t="s" s="10">
        <v>2259</v>
      </c>
      <c r="L420" s="16">
        <f>HYPERLINK("http://www.jiko.com", "www.jiko.com")</f>
      </c>
      <c r="M420" s="16">
        <f>HYPERLINK("https://my.pitchbook.com?c=166491-01", "View Company Online")</f>
      </c>
    </row>
    <row r="421">
      <c r="A421" t="s" s="11">
        <v>2261</v>
      </c>
      <c r="B421" t="s" s="11">
        <v>2262</v>
      </c>
      <c r="C421" t="s" s="11">
        <v>46</v>
      </c>
      <c r="D421" t="s" s="11">
        <v>397</v>
      </c>
      <c r="E421" t="s" s="11">
        <v>373</v>
      </c>
      <c r="F421" s="28">
        <v>45978</v>
      </c>
      <c r="G421" t="s" s="11">
        <v>146</v>
      </c>
      <c r="H421" s="43">
        <v>64.79</v>
      </c>
      <c r="I421" s="43">
        <v>392.79</v>
      </c>
      <c r="J421" t="s" s="11">
        <v>2263</v>
      </c>
      <c r="K421" t="s" s="11">
        <v>2264</v>
      </c>
      <c r="L421" s="17">
        <f>HYPERLINK("http://www.campfire.ai", "www.campfire.ai")</f>
      </c>
      <c r="M421" s="17">
        <f>HYPERLINK("https://my.pitchbook.com?c=534577-24", "View Company Online")</f>
      </c>
    </row>
    <row r="422">
      <c r="A422" t="s" s="10">
        <v>2266</v>
      </c>
      <c r="B422" t="s" s="10">
        <v>2267</v>
      </c>
      <c r="C422" t="s" s="10">
        <v>60</v>
      </c>
      <c r="D422" t="s" s="10">
        <v>61</v>
      </c>
      <c r="E422" t="s" s="10">
        <v>859</v>
      </c>
      <c r="F422" s="27">
        <v>46220</v>
      </c>
      <c r="G422" t="s" s="10">
        <v>391</v>
      </c>
      <c r="H422" t="s" s="42">
        <v>30</v>
      </c>
      <c r="I422" s="42">
        <v>390.6</v>
      </c>
      <c r="J422" t="s" s="10">
        <v>2268</v>
      </c>
      <c r="K422" t="s" s="10">
        <v>30</v>
      </c>
      <c r="L422" s="16">
        <f>HYPERLINK("http://www.coinhako.com", "www.coinhako.com")</f>
      </c>
      <c r="M422" s="16">
        <f>HYPERLINK("https://my.pitchbook.com?c=103893-94", "View Company Online")</f>
      </c>
    </row>
    <row r="423">
      <c r="A423" t="s" s="11">
        <v>2270</v>
      </c>
      <c r="B423" t="s" s="11">
        <v>2271</v>
      </c>
      <c r="C423" t="s" s="11">
        <v>60</v>
      </c>
      <c r="D423" t="s" s="11">
        <v>432</v>
      </c>
      <c r="E423" t="s" s="11">
        <v>658</v>
      </c>
      <c r="F423" s="28">
        <v>45376</v>
      </c>
      <c r="G423" t="s" s="11">
        <v>40</v>
      </c>
      <c r="H423" s="43">
        <v>100</v>
      </c>
      <c r="I423" s="43">
        <v>390</v>
      </c>
      <c r="J423" t="s" s="11">
        <v>2272</v>
      </c>
      <c r="K423" t="s" s="11">
        <v>2273</v>
      </c>
      <c r="L423" s="17">
        <f>HYPERLINK("http://www.fundguard.com", "www.fundguard.com")</f>
      </c>
      <c r="M423" s="17">
        <f>HYPERLINK("https://my.pitchbook.com?c=233903-53", "View Company Online")</f>
      </c>
    </row>
    <row r="424">
      <c r="A424" t="s" s="10">
        <v>2275</v>
      </c>
      <c r="B424" t="s" s="10">
        <v>2276</v>
      </c>
      <c r="C424" t="s" s="10">
        <v>46</v>
      </c>
      <c r="D424" t="s" s="10">
        <v>397</v>
      </c>
      <c r="E424" t="s" s="10">
        <v>373</v>
      </c>
      <c r="F424" s="27">
        <v>45980</v>
      </c>
      <c r="G424" t="s" s="10">
        <v>40</v>
      </c>
      <c r="H424" s="42">
        <v>50.82</v>
      </c>
      <c r="I424" s="42">
        <v>385</v>
      </c>
      <c r="J424" t="s" s="10">
        <v>2277</v>
      </c>
      <c r="K424" t="s" s="10">
        <v>2278</v>
      </c>
      <c r="L424" s="16">
        <f>HYPERLINK("http://www.numeric.io", "www.numeric.io")</f>
      </c>
      <c r="M424" s="16">
        <f>HYPERLINK("https://my.pitchbook.com?c=470657-80", "View Company Online")</f>
      </c>
    </row>
    <row r="425">
      <c r="A425" t="s" s="11">
        <v>2280</v>
      </c>
      <c r="B425" t="s" s="11">
        <v>2281</v>
      </c>
      <c r="C425" t="s" s="11">
        <v>60</v>
      </c>
      <c r="D425" t="s" s="11">
        <v>192</v>
      </c>
      <c r="E425" t="s" s="11">
        <v>116</v>
      </c>
      <c r="F425" s="28">
        <v>45952</v>
      </c>
      <c r="G425" t="s" s="11">
        <v>40</v>
      </c>
      <c r="H425" s="43">
        <v>74</v>
      </c>
      <c r="I425" s="43">
        <v>383.02</v>
      </c>
      <c r="J425" t="s" s="11">
        <v>2282</v>
      </c>
      <c r="K425" t="s" s="11">
        <v>2283</v>
      </c>
      <c r="L425" s="17">
        <f>HYPERLINK("http://www.endowus.com", "www.endowus.com")</f>
      </c>
      <c r="M425" s="17">
        <f>HYPERLINK("https://my.pitchbook.com?c=435249-46", "View Company Online")</f>
      </c>
    </row>
    <row r="426">
      <c r="A426" t="s" s="10">
        <v>2285</v>
      </c>
      <c r="B426" t="s" s="10">
        <v>2286</v>
      </c>
      <c r="C426" t="s" s="10">
        <v>114</v>
      </c>
      <c r="D426" t="s" s="10">
        <v>136</v>
      </c>
      <c r="E426" t="s" s="10">
        <v>2287</v>
      </c>
      <c r="F426" s="27">
        <v>45287</v>
      </c>
      <c r="G426" t="s" s="10">
        <v>31</v>
      </c>
      <c r="H426" t="s" s="42">
        <v>30</v>
      </c>
      <c r="I426" s="42">
        <v>381.33</v>
      </c>
      <c r="J426" t="s" s="10">
        <v>2288</v>
      </c>
      <c r="K426" t="s" s="10">
        <v>2289</v>
      </c>
      <c r="L426" s="16">
        <f>HYPERLINK("http://www.global-mobility-service.com", "www.global-mobility-service.com")</f>
      </c>
      <c r="M426" s="16">
        <f>HYPERLINK("https://my.pitchbook.com?c=228218-32", "View Company Online")</f>
      </c>
    </row>
    <row r="427">
      <c r="A427" t="s" s="11">
        <v>2291</v>
      </c>
      <c r="B427" t="s" s="11">
        <v>2292</v>
      </c>
      <c r="C427" t="s" s="11">
        <v>60</v>
      </c>
      <c r="D427" t="s" s="11">
        <v>246</v>
      </c>
      <c r="E427" t="s" s="11">
        <v>2293</v>
      </c>
      <c r="F427" s="28">
        <v>46058</v>
      </c>
      <c r="G427" t="s" s="11">
        <v>40</v>
      </c>
      <c r="H427" s="43">
        <v>62.29</v>
      </c>
      <c r="I427" s="43">
        <v>380</v>
      </c>
      <c r="J427" t="s" s="11">
        <v>2294</v>
      </c>
      <c r="K427" t="s" s="11">
        <v>2295</v>
      </c>
      <c r="L427" s="17">
        <f>HYPERLINK("http://www.range.com", "www.range.com")</f>
      </c>
      <c r="M427" s="17">
        <f>HYPERLINK("https://my.pitchbook.com?c=494915-77", "View Company Online")</f>
      </c>
    </row>
    <row r="428">
      <c r="A428" t="s" s="10">
        <v>2297</v>
      </c>
      <c r="B428" t="s" s="10">
        <v>2298</v>
      </c>
      <c r="C428" t="s" s="10">
        <v>46</v>
      </c>
      <c r="D428" t="s" s="10">
        <v>397</v>
      </c>
      <c r="E428" t="s" s="10">
        <v>253</v>
      </c>
      <c r="F428" s="27">
        <v>45828</v>
      </c>
      <c r="G428" t="s" s="10">
        <v>40</v>
      </c>
      <c r="H428" s="42">
        <v>70.99</v>
      </c>
      <c r="I428" s="42">
        <v>379</v>
      </c>
      <c r="J428" t="s" s="10">
        <v>2299</v>
      </c>
      <c r="K428" t="s" s="10">
        <v>2300</v>
      </c>
      <c r="L428" s="16">
        <f>HYPERLINK("http://www.collective.com", "www.collective.com")</f>
      </c>
      <c r="M428" s="16">
        <f>HYPERLINK("https://my.pitchbook.com?c=231882-13", "View Company Online")</f>
      </c>
    </row>
    <row r="429">
      <c r="A429" t="s" s="11">
        <v>2302</v>
      </c>
      <c r="B429" t="s" s="11">
        <v>2303</v>
      </c>
      <c r="C429" t="s" s="11">
        <v>46</v>
      </c>
      <c r="D429" t="s" s="11">
        <v>78</v>
      </c>
      <c r="E429" t="s" s="11">
        <v>29</v>
      </c>
      <c r="F429" t="s" s="28">
        <v>30</v>
      </c>
      <c r="G429" t="s" s="11">
        <v>48</v>
      </c>
      <c r="H429" t="s" s="43">
        <v>30</v>
      </c>
      <c r="I429" s="43">
        <v>375.04</v>
      </c>
      <c r="J429" t="s" s="11">
        <v>2304</v>
      </c>
      <c r="K429" t="s" s="11">
        <v>2305</v>
      </c>
      <c r="L429" s="17">
        <f>HYPERLINK("http://www.branchapp.com", "www.branchapp.com")</f>
      </c>
      <c r="M429" s="17">
        <f>HYPERLINK("https://my.pitchbook.com?c=165969-19", "View Company Online")</f>
      </c>
    </row>
    <row r="430">
      <c r="A430" t="s" s="10">
        <v>2307</v>
      </c>
      <c r="B430" t="s" s="10">
        <v>2308</v>
      </c>
      <c r="C430" t="s" s="10">
        <v>164</v>
      </c>
      <c r="D430" t="s" s="10">
        <v>206</v>
      </c>
      <c r="E430" t="s" s="10">
        <v>253</v>
      </c>
      <c r="F430" s="27">
        <v>46084</v>
      </c>
      <c r="G430" t="s" s="10">
        <v>40</v>
      </c>
      <c r="H430" s="42">
        <v>31.13</v>
      </c>
      <c r="I430" s="42">
        <v>375</v>
      </c>
      <c r="J430" t="s" s="10">
        <v>2309</v>
      </c>
      <c r="K430" t="s" s="10">
        <v>2310</v>
      </c>
      <c r="L430" s="16">
        <f>HYPERLINK("http://www.moov.io", "www.moov.io")</f>
      </c>
      <c r="M430" s="16">
        <f>HYPERLINK("https://my.pitchbook.com?c=436867-39", "View Company Online")</f>
      </c>
    </row>
    <row r="431">
      <c r="A431" t="s" s="11">
        <v>2312</v>
      </c>
      <c r="B431" t="s" s="11">
        <v>2313</v>
      </c>
      <c r="C431" t="s" s="11">
        <v>60</v>
      </c>
      <c r="D431" t="s" s="11">
        <v>246</v>
      </c>
      <c r="E431" t="s" s="11">
        <v>193</v>
      </c>
      <c r="F431" s="28">
        <v>45992</v>
      </c>
      <c r="G431" t="s" s="11">
        <v>2174</v>
      </c>
      <c r="H431" s="43">
        <v>20.19</v>
      </c>
      <c r="I431" s="43">
        <v>371</v>
      </c>
      <c r="J431" t="s" s="11">
        <v>2314</v>
      </c>
      <c r="K431" t="s" s="11">
        <v>2315</v>
      </c>
      <c r="L431" s="17">
        <f>HYPERLINK("http://www.livelyme.com", "www.livelyme.com")</f>
      </c>
      <c r="M431" s="17">
        <f>HYPERLINK("https://my.pitchbook.com?c=178894-27", "View Company Online")</f>
      </c>
    </row>
    <row r="432">
      <c r="A432" t="s" s="10">
        <v>2317</v>
      </c>
      <c r="B432" t="s" s="10">
        <v>2318</v>
      </c>
      <c r="C432" t="s" s="10">
        <v>114</v>
      </c>
      <c r="D432" t="s" s="10">
        <v>870</v>
      </c>
      <c r="E432" t="s" s="10">
        <v>2319</v>
      </c>
      <c r="F432" s="27">
        <v>44866</v>
      </c>
      <c r="G432" t="s" s="10">
        <v>146</v>
      </c>
      <c r="H432" s="42">
        <v>25</v>
      </c>
      <c r="I432" s="42">
        <v>370</v>
      </c>
      <c r="J432" t="s" s="10">
        <v>2320</v>
      </c>
      <c r="K432" t="s" s="10">
        <v>2321</v>
      </c>
      <c r="L432" s="16">
        <f>HYPERLINK("http://www.attainoutcomes.com", "www.attainoutcomes.com")</f>
      </c>
      <c r="M432" s="16">
        <f>HYPERLINK("https://my.pitchbook.com?c=343155-61", "View Company Online")</f>
      </c>
    </row>
    <row r="433">
      <c r="A433" t="s" s="11">
        <v>2323</v>
      </c>
      <c r="B433" t="s" s="11">
        <v>2324</v>
      </c>
      <c r="C433" t="s" s="11">
        <v>37</v>
      </c>
      <c r="D433" t="s" s="11">
        <v>304</v>
      </c>
      <c r="E433" t="s" s="11">
        <v>137</v>
      </c>
      <c r="F433" t="s" s="28">
        <v>30</v>
      </c>
      <c r="G433" t="s" s="11">
        <v>48</v>
      </c>
      <c r="H433" t="s" s="43">
        <v>30</v>
      </c>
      <c r="I433" s="43">
        <v>370</v>
      </c>
      <c r="J433" t="s" s="11">
        <v>2325</v>
      </c>
      <c r="K433" t="s" s="11">
        <v>2326</v>
      </c>
      <c r="L433" s="17">
        <f>HYPERLINK("http://www.uangme.id", "www.uangme.id")</f>
      </c>
      <c r="M433" s="17">
        <f>HYPERLINK("https://my.pitchbook.com?c=294485-86", "View Company Online")</f>
      </c>
    </row>
    <row r="434">
      <c r="A434" t="s" s="10">
        <v>2328</v>
      </c>
      <c r="B434" t="s" s="10">
        <v>2329</v>
      </c>
      <c r="C434" t="s" s="10">
        <v>60</v>
      </c>
      <c r="D434" t="s" s="10">
        <v>192</v>
      </c>
      <c r="E434" t="s" s="10">
        <v>373</v>
      </c>
      <c r="F434" s="27">
        <v>46232</v>
      </c>
      <c r="G434" t="s" s="10">
        <v>40</v>
      </c>
      <c r="H434" s="42">
        <v>52</v>
      </c>
      <c r="I434" s="42">
        <v>369</v>
      </c>
      <c r="J434" t="s" s="10">
        <v>2330</v>
      </c>
      <c r="K434" t="s" s="10">
        <v>2331</v>
      </c>
      <c r="L434" s="16">
        <f>HYPERLINK("http://www.arch.co", "www.arch.co")</f>
      </c>
      <c r="M434" s="16">
        <f>HYPERLINK("https://my.pitchbook.com?c=264678-31", "View Company Online")</f>
      </c>
    </row>
    <row r="435">
      <c r="A435" t="s" s="11">
        <v>2333</v>
      </c>
      <c r="B435" t="s" s="11">
        <v>2334</v>
      </c>
      <c r="C435" t="s" s="11">
        <v>27</v>
      </c>
      <c r="D435" t="s" s="11">
        <v>122</v>
      </c>
      <c r="E435" t="s" s="11">
        <v>137</v>
      </c>
      <c r="F435" s="28">
        <v>44775</v>
      </c>
      <c r="G435" t="s" s="11">
        <v>48</v>
      </c>
      <c r="H435" t="s" s="43">
        <v>30</v>
      </c>
      <c r="I435" s="43">
        <v>368</v>
      </c>
      <c r="J435" t="s" s="11">
        <v>2335</v>
      </c>
      <c r="K435" t="s" s="11">
        <v>2336</v>
      </c>
      <c r="L435" s="17">
        <f>HYPERLINK("http://www.m-daq.com", "www.m-daq.com")</f>
      </c>
      <c r="M435" s="17">
        <f>HYPERLINK("https://my.pitchbook.com?c=60021-64", "View Company Online")</f>
      </c>
    </row>
    <row r="436">
      <c r="A436" t="s" s="10">
        <v>2338</v>
      </c>
      <c r="B436" t="s" s="10">
        <v>2339</v>
      </c>
      <c r="C436" t="s" s="10">
        <v>114</v>
      </c>
      <c r="D436" t="s" s="10">
        <v>136</v>
      </c>
      <c r="E436" t="s" s="10">
        <v>116</v>
      </c>
      <c r="F436" s="27">
        <v>44944</v>
      </c>
      <c r="G436" t="s" s="10">
        <v>40</v>
      </c>
      <c r="H436" s="42">
        <v>32.06</v>
      </c>
      <c r="I436" s="42">
        <v>367.53</v>
      </c>
      <c r="J436" t="s" s="10">
        <v>2340</v>
      </c>
      <c r="K436" t="s" s="10">
        <v>2341</v>
      </c>
      <c r="L436" s="16">
        <f>HYPERLINK("http://www.anyfin.com", "www.anyfin.com")</f>
      </c>
      <c r="M436" s="16">
        <f>HYPERLINK("https://my.pitchbook.com?c=226046-17", "View Company Online")</f>
      </c>
    </row>
    <row r="437">
      <c r="A437" t="s" s="11">
        <v>2343</v>
      </c>
      <c r="B437" t="s" s="11">
        <v>2344</v>
      </c>
      <c r="C437" t="s" s="11">
        <v>114</v>
      </c>
      <c r="D437" t="s" s="11">
        <v>870</v>
      </c>
      <c r="E437" t="s" s="11">
        <v>30</v>
      </c>
      <c r="F437" s="28">
        <v>45594</v>
      </c>
      <c r="G437" t="s" s="11">
        <v>40</v>
      </c>
      <c r="H437" s="43">
        <v>135</v>
      </c>
      <c r="I437" s="43">
        <v>366.53</v>
      </c>
      <c r="J437" t="s" s="11">
        <v>2345</v>
      </c>
      <c r="K437" t="s" s="11">
        <v>2346</v>
      </c>
      <c r="L437" s="17">
        <f>HYPERLINK("http://www.finova.in", "www.finova.in")</f>
      </c>
      <c r="M437" s="17">
        <f>HYPERLINK("https://my.pitchbook.com?c=186261-49", "View Company Online")</f>
      </c>
    </row>
    <row r="438">
      <c r="A438" t="s" s="10">
        <v>2348</v>
      </c>
      <c r="B438" t="s" s="10">
        <v>2349</v>
      </c>
      <c r="C438" t="s" s="10">
        <v>60</v>
      </c>
      <c r="D438" t="s" s="10">
        <v>246</v>
      </c>
      <c r="E438" t="s" s="10">
        <v>137</v>
      </c>
      <c r="F438" s="27">
        <v>46023</v>
      </c>
      <c r="G438" t="s" s="10">
        <v>48</v>
      </c>
      <c r="H438" t="s" s="42">
        <v>30</v>
      </c>
      <c r="I438" s="42">
        <v>363</v>
      </c>
      <c r="J438" t="s" s="10">
        <v>2350</v>
      </c>
      <c r="K438" t="s" s="10">
        <v>2351</v>
      </c>
      <c r="L438" s="16">
        <f>HYPERLINK("http://www.ellevest.com", "www.ellevest.com")</f>
      </c>
      <c r="M438" s="16">
        <f>HYPERLINK("https://my.pitchbook.com?c=124926-04", "View Company Online")</f>
      </c>
    </row>
    <row r="439">
      <c r="A439" t="s" s="11">
        <v>2353</v>
      </c>
      <c r="B439" t="s" s="11">
        <v>2354</v>
      </c>
      <c r="C439" t="s" s="11">
        <v>37</v>
      </c>
      <c r="D439" t="s" s="11">
        <v>38</v>
      </c>
      <c r="E439" t="s" s="11">
        <v>270</v>
      </c>
      <c r="F439" s="28">
        <v>45709</v>
      </c>
      <c r="G439" t="s" s="11">
        <v>40</v>
      </c>
      <c r="H439" s="43">
        <v>249.37</v>
      </c>
      <c r="I439" s="43">
        <v>361.66</v>
      </c>
      <c r="J439" t="s" s="11">
        <v>2355</v>
      </c>
      <c r="K439" t="s" s="11">
        <v>2356</v>
      </c>
      <c r="L439" s="17">
        <f>HYPERLINK("http://www.monument.co", "www.monument.co")</f>
      </c>
      <c r="M439" s="17">
        <f>HYPERLINK("https://my.pitchbook.com?c=442353-34", "View Company Online")</f>
      </c>
    </row>
    <row r="440">
      <c r="A440" t="s" s="10">
        <v>2358</v>
      </c>
      <c r="B440" t="s" s="10">
        <v>2359</v>
      </c>
      <c r="C440" t="s" s="10">
        <v>27</v>
      </c>
      <c r="D440" t="s" s="10">
        <v>70</v>
      </c>
      <c r="E440" t="s" s="10">
        <v>108</v>
      </c>
      <c r="F440" s="27">
        <v>44910</v>
      </c>
      <c r="G440" t="s" s="10">
        <v>146</v>
      </c>
      <c r="H440" s="42">
        <v>56</v>
      </c>
      <c r="I440" s="42">
        <v>356</v>
      </c>
      <c r="J440" t="s" s="10">
        <v>2360</v>
      </c>
      <c r="K440" t="s" s="10">
        <v>2361</v>
      </c>
      <c r="L440" s="16">
        <f>HYPERLINK("http://www.getbalance.com", "www.getbalance.com")</f>
      </c>
      <c r="M440" s="16">
        <f>HYPERLINK("https://my.pitchbook.com?c=459130-42", "View Company Online")</f>
      </c>
    </row>
    <row r="441">
      <c r="A441" t="s" s="11">
        <v>2363</v>
      </c>
      <c r="B441" t="s" s="11">
        <v>2364</v>
      </c>
      <c r="C441" t="s" s="11">
        <v>46</v>
      </c>
      <c r="D441" t="s" s="11">
        <v>47</v>
      </c>
      <c r="E441" t="s" s="11">
        <v>1093</v>
      </c>
      <c r="F441" s="28">
        <v>45124</v>
      </c>
      <c r="G441" t="s" s="11">
        <v>40</v>
      </c>
      <c r="H441" s="43">
        <v>5</v>
      </c>
      <c r="I441" s="43">
        <v>355</v>
      </c>
      <c r="J441" t="s" s="11">
        <v>2365</v>
      </c>
      <c r="K441" t="s" s="11">
        <v>2366</v>
      </c>
      <c r="L441" s="17">
        <f>HYPERLINK("http://www.snapsheetclaims.com", "www.snapsheetclaims.com")</f>
      </c>
      <c r="M441" s="17">
        <f>HYPERLINK("https://my.pitchbook.com?c=52872-85", "View Company Online")</f>
      </c>
    </row>
    <row r="442">
      <c r="A442" t="s" s="10">
        <v>2368</v>
      </c>
      <c r="B442" t="s" s="10">
        <v>2369</v>
      </c>
      <c r="C442" t="s" s="10">
        <v>222</v>
      </c>
      <c r="D442" t="s" s="10">
        <v>223</v>
      </c>
      <c r="E442" t="s" s="10">
        <v>2370</v>
      </c>
      <c r="F442" s="27">
        <v>44742</v>
      </c>
      <c r="G442" t="s" s="10">
        <v>40</v>
      </c>
      <c r="H442" s="42">
        <v>50</v>
      </c>
      <c r="I442" s="42">
        <v>350</v>
      </c>
      <c r="J442" t="s" s="10">
        <v>2371</v>
      </c>
      <c r="K442" t="s" s="10">
        <v>2372</v>
      </c>
      <c r="L442" s="16">
        <f>HYPERLINK("http://www.crunchbase.com", "www.crunchbase.com")</f>
      </c>
      <c r="M442" s="16">
        <f>HYPERLINK("https://my.pitchbook.com?c=85884-22", "View Company Online")</f>
      </c>
    </row>
    <row r="443">
      <c r="A443" t="s" s="11">
        <v>2374</v>
      </c>
      <c r="B443" t="s" s="11">
        <v>2375</v>
      </c>
      <c r="C443" t="s" s="11">
        <v>114</v>
      </c>
      <c r="D443" t="s" s="11">
        <v>1386</v>
      </c>
      <c r="E443" t="s" s="11">
        <v>137</v>
      </c>
      <c r="F443" s="28">
        <v>45743</v>
      </c>
      <c r="G443" t="s" s="11">
        <v>40</v>
      </c>
      <c r="H443" s="43">
        <v>35</v>
      </c>
      <c r="I443" s="43">
        <v>350</v>
      </c>
      <c r="J443" t="s" s="11">
        <v>2376</v>
      </c>
      <c r="K443" t="s" s="11">
        <v>2377</v>
      </c>
      <c r="L443" s="17">
        <f>HYPERLINK("http://www.novacredit.com", "www.novacredit.com")</f>
      </c>
      <c r="M443" s="17">
        <f>HYPERLINK("https://my.pitchbook.com?c=164353-60", "View Company Online")</f>
      </c>
    </row>
    <row r="444">
      <c r="A444" t="s" s="10">
        <v>2379</v>
      </c>
      <c r="B444" t="s" s="10">
        <v>2380</v>
      </c>
      <c r="C444" t="s" s="10">
        <v>46</v>
      </c>
      <c r="D444" t="s" s="10">
        <v>47</v>
      </c>
      <c r="E444" t="s" s="10">
        <v>332</v>
      </c>
      <c r="F444" s="27">
        <v>44680</v>
      </c>
      <c r="G444" t="s" s="10">
        <v>40</v>
      </c>
      <c r="H444" s="42">
        <v>50</v>
      </c>
      <c r="I444" s="42">
        <v>350</v>
      </c>
      <c r="J444" t="s" s="10">
        <v>2381</v>
      </c>
      <c r="K444" t="s" s="10">
        <v>2382</v>
      </c>
      <c r="L444" s="16">
        <f>HYPERLINK("http://www.routable.com", "www.routable.com")</f>
      </c>
      <c r="M444" s="16">
        <f>HYPERLINK("https://my.pitchbook.com?c=181482-40", "View Company Online")</f>
      </c>
    </row>
    <row r="445">
      <c r="A445" t="s" s="11">
        <v>2384</v>
      </c>
      <c r="B445" t="s" s="11">
        <v>2385</v>
      </c>
      <c r="C445" t="s" s="11">
        <v>46</v>
      </c>
      <c r="D445" t="s" s="11">
        <v>78</v>
      </c>
      <c r="E445" t="s" s="11">
        <v>253</v>
      </c>
      <c r="F445" s="28">
        <v>45716</v>
      </c>
      <c r="G445" t="s" s="11">
        <v>40</v>
      </c>
      <c r="H445" s="43">
        <v>225</v>
      </c>
      <c r="I445" s="43">
        <v>350</v>
      </c>
      <c r="J445" t="s" s="11">
        <v>2386</v>
      </c>
      <c r="K445" t="s" s="11">
        <v>2387</v>
      </c>
      <c r="L445" s="17">
        <f>HYPERLINK("http://www.tapcheck.com", "www.tapcheck.com")</f>
      </c>
      <c r="M445" s="17">
        <f>HYPERLINK("https://my.pitchbook.com?c=466684-84", "View Company Online")</f>
      </c>
    </row>
    <row r="446">
      <c r="A446" t="s" s="10">
        <v>2389</v>
      </c>
      <c r="B446" t="s" s="10">
        <v>2390</v>
      </c>
      <c r="C446" t="s" s="10">
        <v>46</v>
      </c>
      <c r="D446" t="s" s="10">
        <v>397</v>
      </c>
      <c r="E446" t="s" s="10">
        <v>373</v>
      </c>
      <c r="F446" s="27">
        <v>44546</v>
      </c>
      <c r="G446" t="s" s="10">
        <v>40</v>
      </c>
      <c r="H446" s="42">
        <v>64</v>
      </c>
      <c r="I446" s="42">
        <v>350</v>
      </c>
      <c r="J446" t="s" s="10">
        <v>2391</v>
      </c>
      <c r="K446" t="s" s="10">
        <v>2392</v>
      </c>
      <c r="L446" s="16">
        <f>HYPERLINK("http://www.taxdoo.com", "www.taxdoo.com")</f>
      </c>
      <c r="M446" s="16">
        <f>HYPERLINK("https://my.pitchbook.com?c=223435-54", "View Company Online")</f>
      </c>
    </row>
    <row r="447">
      <c r="A447" t="s" s="11">
        <v>2394</v>
      </c>
      <c r="B447" t="s" s="11">
        <v>2395</v>
      </c>
      <c r="C447" t="s" s="11">
        <v>114</v>
      </c>
      <c r="D447" t="s" s="11">
        <v>1386</v>
      </c>
      <c r="E447" t="s" s="11">
        <v>634</v>
      </c>
      <c r="F447" s="28">
        <v>45966</v>
      </c>
      <c r="G447" t="s" s="11">
        <v>40</v>
      </c>
      <c r="H447" t="s" s="43">
        <v>30</v>
      </c>
      <c r="I447" s="43">
        <v>350</v>
      </c>
      <c r="J447" t="s" s="11">
        <v>2396</v>
      </c>
      <c r="K447" t="s" s="11">
        <v>2397</v>
      </c>
      <c r="L447" s="17">
        <f>HYPERLINK("http://www.zest.ai", "www.zest.ai")</f>
      </c>
      <c r="M447" s="17">
        <f>HYPERLINK("https://my.pitchbook.com?c=52516-63", "View Company Online")</f>
      </c>
    </row>
    <row r="448">
      <c r="A448" t="s" s="10">
        <v>2399</v>
      </c>
      <c r="B448" t="s" s="10">
        <v>2400</v>
      </c>
      <c r="C448" t="s" s="10">
        <v>27</v>
      </c>
      <c r="D448" t="s" s="10">
        <v>28</v>
      </c>
      <c r="E448" t="s" s="10">
        <v>259</v>
      </c>
      <c r="F448" s="27">
        <v>44694</v>
      </c>
      <c r="G448" t="s" s="10">
        <v>40</v>
      </c>
      <c r="H448" s="42">
        <v>136.74</v>
      </c>
      <c r="I448" s="42">
        <v>348.97</v>
      </c>
      <c r="J448" t="s" s="10">
        <v>2401</v>
      </c>
      <c r="K448" t="s" s="10">
        <v>2402</v>
      </c>
      <c r="L448" s="16">
        <f>HYPERLINK("http://www.modulrfinance.com", "www.modulrfinance.com")</f>
      </c>
      <c r="M448" s="16">
        <f>HYPERLINK("https://my.pitchbook.com?c=133119-37", "View Company Online")</f>
      </c>
    </row>
    <row r="449">
      <c r="A449" t="s" s="11">
        <v>2404</v>
      </c>
      <c r="B449" t="s" s="11">
        <v>2405</v>
      </c>
      <c r="C449" t="s" s="11">
        <v>46</v>
      </c>
      <c r="D449" t="s" s="11">
        <v>78</v>
      </c>
      <c r="E449" t="s" s="11">
        <v>634</v>
      </c>
      <c r="F449" s="28">
        <v>45737</v>
      </c>
      <c r="G449" t="s" s="11">
        <v>40</v>
      </c>
      <c r="H449" s="43">
        <v>53</v>
      </c>
      <c r="I449" s="43">
        <v>344.88</v>
      </c>
      <c r="J449" t="s" s="11">
        <v>2406</v>
      </c>
      <c r="K449" t="s" s="11">
        <v>2407</v>
      </c>
      <c r="L449" s="17">
        <f>HYPERLINK("http://www.payactiv.com", "www.payactiv.com")</f>
      </c>
      <c r="M449" s="17">
        <f>HYPERLINK("https://my.pitchbook.com?c=58388-77", "View Company Online")</f>
      </c>
    </row>
    <row r="450">
      <c r="A450" t="s" s="10">
        <v>2409</v>
      </c>
      <c r="B450" t="s" s="10">
        <v>2410</v>
      </c>
      <c r="C450" t="s" s="10">
        <v>128</v>
      </c>
      <c r="D450" t="s" s="10">
        <v>199</v>
      </c>
      <c r="E450" t="s" s="10">
        <v>2411</v>
      </c>
      <c r="F450" s="27">
        <v>44727</v>
      </c>
      <c r="G450" t="s" s="10">
        <v>40</v>
      </c>
      <c r="H450" s="42">
        <v>17.33</v>
      </c>
      <c r="I450" s="42">
        <v>344.33</v>
      </c>
      <c r="J450" t="s" s="10">
        <v>2412</v>
      </c>
      <c r="K450" t="s" s="10">
        <v>2413</v>
      </c>
      <c r="L450" s="16">
        <f>HYPERLINK("http://www.cermati.com", "www.cermati.com")</f>
      </c>
      <c r="M450" s="16">
        <f>HYPERLINK("https://my.pitchbook.com?c=120649-96", "View Company Online")</f>
      </c>
    </row>
    <row r="451">
      <c r="A451" t="s" s="11">
        <v>2415</v>
      </c>
      <c r="B451" t="s" s="11">
        <v>2416</v>
      </c>
      <c r="C451" t="s" s="11">
        <v>114</v>
      </c>
      <c r="D451" t="s" s="11">
        <v>1386</v>
      </c>
      <c r="E451" t="s" s="11">
        <v>373</v>
      </c>
      <c r="F451" s="28">
        <v>46011</v>
      </c>
      <c r="G451" t="s" s="11">
        <v>146</v>
      </c>
      <c r="H451" s="43">
        <v>60</v>
      </c>
      <c r="I451" s="43">
        <v>340</v>
      </c>
      <c r="J451" t="s" s="11">
        <v>2417</v>
      </c>
      <c r="K451" t="s" s="11">
        <v>2418</v>
      </c>
      <c r="L451" s="17">
        <f>HYPERLINK("http://www.trysalient.com", "www.trysalient.com")</f>
      </c>
      <c r="M451" s="17">
        <f>HYPERLINK("https://my.pitchbook.com?c=521218-27", "View Company Online")</f>
      </c>
    </row>
    <row r="452">
      <c r="A452" t="s" s="10">
        <v>2420</v>
      </c>
      <c r="B452" t="s" s="10">
        <v>2421</v>
      </c>
      <c r="C452" t="s" s="10">
        <v>164</v>
      </c>
      <c r="D452" t="s" s="10">
        <v>206</v>
      </c>
      <c r="E452" t="s" s="10">
        <v>253</v>
      </c>
      <c r="F452" s="27">
        <v>44958</v>
      </c>
      <c r="G452" t="s" s="10">
        <v>40</v>
      </c>
      <c r="H452" s="42">
        <v>40</v>
      </c>
      <c r="I452" s="42">
        <v>340</v>
      </c>
      <c r="J452" t="s" s="10">
        <v>2422</v>
      </c>
      <c r="K452" t="s" s="10">
        <v>2423</v>
      </c>
      <c r="L452" s="16">
        <f>HYPERLINK("http://www.treasuryprime.com", "www.treasuryprime.com")</f>
      </c>
      <c r="M452" s="16">
        <f>HYPERLINK("https://my.pitchbook.com?c=226921-96", "View Company Online")</f>
      </c>
    </row>
    <row r="453">
      <c r="A453" t="s" s="11">
        <v>2425</v>
      </c>
      <c r="B453" t="s" s="11">
        <v>2426</v>
      </c>
      <c r="C453" t="s" s="11">
        <v>27</v>
      </c>
      <c r="D453" t="s" s="11">
        <v>70</v>
      </c>
      <c r="E453" t="s" s="11">
        <v>259</v>
      </c>
      <c r="F453" s="28">
        <v>45600</v>
      </c>
      <c r="G453" t="s" s="11">
        <v>48</v>
      </c>
      <c r="H453" t="s" s="43">
        <v>30</v>
      </c>
      <c r="I453" s="43">
        <v>338.5</v>
      </c>
      <c r="J453" t="s" s="11">
        <v>2427</v>
      </c>
      <c r="K453" t="s" s="11">
        <v>2428</v>
      </c>
      <c r="L453" s="17">
        <f>HYPERLINK("http://www.sunrate.com", "www.sunrate.com")</f>
      </c>
      <c r="M453" s="17">
        <f>HYPERLINK("https://my.pitchbook.com?c=183140-92", "View Company Online")</f>
      </c>
    </row>
    <row r="454">
      <c r="A454" t="s" s="10">
        <v>2430</v>
      </c>
      <c r="B454" t="s" s="10">
        <v>2431</v>
      </c>
      <c r="C454" t="s" s="10">
        <v>60</v>
      </c>
      <c r="D454" t="s" s="10">
        <v>246</v>
      </c>
      <c r="E454" t="s" s="10">
        <v>116</v>
      </c>
      <c r="F454" s="27">
        <v>46142</v>
      </c>
      <c r="G454" t="s" s="10">
        <v>271</v>
      </c>
      <c r="H454" s="42">
        <v>2.1</v>
      </c>
      <c r="I454" s="42">
        <v>337.88</v>
      </c>
      <c r="J454" t="s" s="10">
        <v>2432</v>
      </c>
      <c r="K454" t="s" s="10">
        <v>2433</v>
      </c>
      <c r="L454" s="16">
        <f>HYPERLINK("http://www.withplum.com", "www.withplum.com")</f>
      </c>
      <c r="M454" s="16">
        <f>HYPERLINK("https://my.pitchbook.com?c=167020-57", "View Company Online")</f>
      </c>
    </row>
    <row r="455">
      <c r="A455" t="s" s="11">
        <v>2435</v>
      </c>
      <c r="B455" t="s" s="11">
        <v>2436</v>
      </c>
      <c r="C455" t="s" s="11">
        <v>46</v>
      </c>
      <c r="D455" t="s" s="11">
        <v>47</v>
      </c>
      <c r="E455" t="s" s="11">
        <v>373</v>
      </c>
      <c r="F455" s="28">
        <v>46204</v>
      </c>
      <c r="G455" t="s" s="11">
        <v>391</v>
      </c>
      <c r="H455" s="43">
        <v>335</v>
      </c>
      <c r="I455" s="43">
        <v>335</v>
      </c>
      <c r="J455" t="s" s="11">
        <v>2437</v>
      </c>
      <c r="K455" t="s" s="11">
        <v>30</v>
      </c>
      <c r="L455" s="17">
        <f>HYPERLINK("http://www.withorb.com", "www.withorb.com")</f>
      </c>
      <c r="M455" s="17">
        <f>HYPERLINK("https://my.pitchbook.com?c=482602-87", "View Company Online")</f>
      </c>
    </row>
    <row r="456">
      <c r="A456" t="s" s="10">
        <v>2439</v>
      </c>
      <c r="B456" t="s" s="10">
        <v>2440</v>
      </c>
      <c r="C456" t="s" s="10">
        <v>46</v>
      </c>
      <c r="D456" t="s" s="10">
        <v>78</v>
      </c>
      <c r="E456" t="s" s="10">
        <v>29</v>
      </c>
      <c r="F456" s="27">
        <v>45698</v>
      </c>
      <c r="G456" t="s" s="10">
        <v>40</v>
      </c>
      <c r="H456" s="42">
        <v>72.35</v>
      </c>
      <c r="I456" s="42">
        <v>332.35</v>
      </c>
      <c r="J456" t="s" s="10">
        <v>2441</v>
      </c>
      <c r="K456" t="s" s="10">
        <v>2442</v>
      </c>
      <c r="L456" s="16">
        <f>HYPERLINK("http://www.rainapp.com", "www.rainapp.com")</f>
      </c>
      <c r="M456" s="16">
        <f>HYPERLINK("https://my.pitchbook.com?c=431215-75", "View Company Online")</f>
      </c>
    </row>
    <row r="457">
      <c r="A457" t="s" s="11">
        <v>2444</v>
      </c>
      <c r="B457" t="s" s="11">
        <v>2445</v>
      </c>
      <c r="C457" t="s" s="11">
        <v>60</v>
      </c>
      <c r="D457" t="s" s="11">
        <v>727</v>
      </c>
      <c r="E457" t="s" s="11">
        <v>30</v>
      </c>
      <c r="F457" s="28">
        <v>45639</v>
      </c>
      <c r="G457" t="s" s="11">
        <v>2446</v>
      </c>
      <c r="H457" t="s" s="43">
        <v>30</v>
      </c>
      <c r="I457" s="43">
        <v>330</v>
      </c>
      <c r="J457" t="s" s="11">
        <v>2447</v>
      </c>
      <c r="K457" t="s" s="11">
        <v>30</v>
      </c>
      <c r="L457" s="17">
        <f>HYPERLINK("http://www.hedonova.io", "www.hedonova.io")</f>
      </c>
      <c r="M457" s="17">
        <f>HYPERLINK("https://my.pitchbook.com?c=482024-44", "View Company Online")</f>
      </c>
    </row>
    <row r="458">
      <c r="A458" t="s" s="10">
        <v>2449</v>
      </c>
      <c r="B458" t="s" s="10">
        <v>2450</v>
      </c>
      <c r="C458" t="s" s="10">
        <v>60</v>
      </c>
      <c r="D458" t="s" s="10">
        <v>192</v>
      </c>
      <c r="E458" t="s" s="10">
        <v>185</v>
      </c>
      <c r="F458" s="27">
        <v>45839</v>
      </c>
      <c r="G458" t="s" s="10">
        <v>48</v>
      </c>
      <c r="H458" t="s" s="42">
        <v>30</v>
      </c>
      <c r="I458" s="42">
        <v>330</v>
      </c>
      <c r="J458" t="s" s="10">
        <v>2451</v>
      </c>
      <c r="K458" t="s" s="10">
        <v>2452</v>
      </c>
      <c r="L458" s="16">
        <f>HYPERLINK("http://www.vestmark.com", "www.vestmark.com")</f>
      </c>
      <c r="M458" s="16">
        <f>HYPERLINK("https://my.pitchbook.com?c=54280-09", "View Company Online")</f>
      </c>
    </row>
    <row r="459">
      <c r="A459" t="s" s="11">
        <v>2454</v>
      </c>
      <c r="B459" t="s" s="11">
        <v>2455</v>
      </c>
      <c r="C459" t="s" s="11">
        <v>46</v>
      </c>
      <c r="D459" t="s" s="11">
        <v>915</v>
      </c>
      <c r="E459" t="s" s="11">
        <v>2456</v>
      </c>
      <c r="F459" s="28">
        <v>46106</v>
      </c>
      <c r="G459" t="s" s="11">
        <v>40</v>
      </c>
      <c r="H459" s="43">
        <v>40</v>
      </c>
      <c r="I459" s="43">
        <v>328</v>
      </c>
      <c r="J459" t="s" s="11">
        <v>2457</v>
      </c>
      <c r="K459" t="s" s="11">
        <v>2458</v>
      </c>
      <c r="L459" s="17">
        <f>HYPERLINK("http://www.adonis.io", "www.adonis.io")</f>
      </c>
      <c r="M459" s="17">
        <f>HYPERLINK("https://my.pitchbook.com?c=504022-96", "View Company Online")</f>
      </c>
    </row>
    <row r="460">
      <c r="A460" t="s" s="10">
        <v>2460</v>
      </c>
      <c r="B460" t="s" s="10">
        <v>2461</v>
      </c>
      <c r="C460" t="s" s="10">
        <v>60</v>
      </c>
      <c r="D460" t="s" s="10">
        <v>420</v>
      </c>
      <c r="E460" t="s" s="10">
        <v>2462</v>
      </c>
      <c r="F460" s="27">
        <v>45731</v>
      </c>
      <c r="G460" t="s" s="10">
        <v>40</v>
      </c>
      <c r="H460" s="42">
        <v>32</v>
      </c>
      <c r="I460" s="42">
        <v>328</v>
      </c>
      <c r="J460" t="s" s="10">
        <v>2463</v>
      </c>
      <c r="K460" t="s" s="10">
        <v>2464</v>
      </c>
      <c r="L460" s="16">
        <f>HYPERLINK("http://www.trustandwill.com", "www.trustandwill.com")</f>
      </c>
      <c r="M460" s="16">
        <f>HYPERLINK("https://my.pitchbook.com?c=227687-95", "View Company Online")</f>
      </c>
    </row>
    <row r="461">
      <c r="A461" t="s" s="11">
        <v>2466</v>
      </c>
      <c r="B461" t="s" s="11">
        <v>2467</v>
      </c>
      <c r="C461" t="s" s="11">
        <v>37</v>
      </c>
      <c r="D461" t="s" s="11">
        <v>38</v>
      </c>
      <c r="E461" t="s" s="11">
        <v>629</v>
      </c>
      <c r="F461" s="28">
        <v>44963</v>
      </c>
      <c r="G461" t="s" s="11">
        <v>40</v>
      </c>
      <c r="H461" s="43">
        <v>16.25</v>
      </c>
      <c r="I461" s="43">
        <v>327.19</v>
      </c>
      <c r="J461" t="s" s="11">
        <v>2468</v>
      </c>
      <c r="K461" t="s" s="11">
        <v>2469</v>
      </c>
      <c r="L461" s="17">
        <f>HYPERLINK("http://www.capitual.com", "www.capitual.com")</f>
      </c>
      <c r="M461" s="17">
        <f>HYPERLINK("https://my.pitchbook.com?c=519467-77", "View Company Online")</f>
      </c>
    </row>
    <row r="462">
      <c r="A462" t="s" s="10">
        <v>2471</v>
      </c>
      <c r="B462" t="s" s="10">
        <v>2472</v>
      </c>
      <c r="C462" t="s" s="10">
        <v>114</v>
      </c>
      <c r="D462" t="s" s="10">
        <v>1386</v>
      </c>
      <c r="E462" t="s" s="10">
        <v>137</v>
      </c>
      <c r="F462" s="27">
        <v>44433</v>
      </c>
      <c r="G462" t="s" s="10">
        <v>391</v>
      </c>
      <c r="H462" t="s" s="42">
        <v>30</v>
      </c>
      <c r="I462" s="42">
        <v>327.18</v>
      </c>
      <c r="J462" t="s" s="10">
        <v>2473</v>
      </c>
      <c r="K462" t="s" s="10">
        <v>2474</v>
      </c>
      <c r="L462" s="16">
        <f>HYPERLINK("http://www.vzoom.com", "www.vzoom.com")</f>
      </c>
      <c r="M462" s="16">
        <f>HYPERLINK("https://my.pitchbook.com?c=236028-88", "View Company Online")</f>
      </c>
    </row>
    <row r="463">
      <c r="A463" t="s" s="11">
        <v>2476</v>
      </c>
      <c r="B463" t="s" s="11">
        <v>2477</v>
      </c>
      <c r="C463" t="s" s="11">
        <v>60</v>
      </c>
      <c r="D463" t="s" s="11">
        <v>727</v>
      </c>
      <c r="E463" t="s" s="11">
        <v>137</v>
      </c>
      <c r="F463" s="28">
        <v>45667</v>
      </c>
      <c r="G463" t="s" s="11">
        <v>40</v>
      </c>
      <c r="H463" t="s" s="43">
        <v>30</v>
      </c>
      <c r="I463" s="43">
        <v>325.2</v>
      </c>
      <c r="J463" t="s" s="11">
        <v>2478</v>
      </c>
      <c r="K463" t="s" s="11">
        <v>2479</v>
      </c>
      <c r="L463" s="17">
        <f>HYPERLINK("http://www.equitybee.com", "www.equitybee.com")</f>
      </c>
      <c r="M463" s="17">
        <f>HYPERLINK("https://my.pitchbook.com?c=223018-03", "View Company Online")</f>
      </c>
    </row>
    <row r="464">
      <c r="A464" t="s" s="10">
        <v>2481</v>
      </c>
      <c r="B464" t="s" s="10">
        <v>2482</v>
      </c>
      <c r="C464" t="s" s="10">
        <v>37</v>
      </c>
      <c r="D464" t="s" s="10">
        <v>38</v>
      </c>
      <c r="E464" t="s" s="10">
        <v>200</v>
      </c>
      <c r="F464" s="27">
        <v>44894</v>
      </c>
      <c r="G464" t="s" s="10">
        <v>146</v>
      </c>
      <c r="H464" s="42">
        <v>45</v>
      </c>
      <c r="I464" s="42">
        <v>325</v>
      </c>
      <c r="J464" t="s" s="10">
        <v>2483</v>
      </c>
      <c r="K464" t="s" s="10">
        <v>2484</v>
      </c>
      <c r="L464" s="16">
        <f>HYPERLINK("http://www.gogreenwood.com", "www.gogreenwood.com")</f>
      </c>
      <c r="M464" s="16">
        <f>HYPERLINK("https://my.pitchbook.com?c=442347-85", "View Company Online")</f>
      </c>
    </row>
    <row r="465">
      <c r="A465" t="s" s="11">
        <v>2486</v>
      </c>
      <c r="B465" t="s" s="11">
        <v>2487</v>
      </c>
      <c r="C465" t="s" s="11">
        <v>164</v>
      </c>
      <c r="D465" t="s" s="11">
        <v>206</v>
      </c>
      <c r="E465" t="s" s="11">
        <v>1652</v>
      </c>
      <c r="F465" s="28">
        <v>46245</v>
      </c>
      <c r="G465" t="s" s="11">
        <v>146</v>
      </c>
      <c r="H465" s="43">
        <v>12.87</v>
      </c>
      <c r="I465" s="43">
        <v>325</v>
      </c>
      <c r="J465" t="s" s="11">
        <v>2488</v>
      </c>
      <c r="K465" t="s" s="11">
        <v>2489</v>
      </c>
      <c r="L465" s="17">
        <f>HYPERLINK("http://www.modelml.com", "www.modelml.com")</f>
      </c>
      <c r="M465" s="17">
        <f>HYPERLINK("https://my.pitchbook.com?c=593029-00", "View Company Online")</f>
      </c>
    </row>
    <row r="466">
      <c r="A466" t="s" s="10">
        <v>2491</v>
      </c>
      <c r="B466" t="s" s="10">
        <v>2492</v>
      </c>
      <c r="C466" t="s" s="10">
        <v>46</v>
      </c>
      <c r="D466" t="s" s="10">
        <v>78</v>
      </c>
      <c r="E466" t="s" s="10">
        <v>373</v>
      </c>
      <c r="F466" s="27">
        <v>46185</v>
      </c>
      <c r="G466" t="s" s="10">
        <v>146</v>
      </c>
      <c r="H466" s="42">
        <v>51.15</v>
      </c>
      <c r="I466" s="42">
        <v>325</v>
      </c>
      <c r="J466" t="s" s="10">
        <v>2493</v>
      </c>
      <c r="K466" t="s" s="10">
        <v>2494</v>
      </c>
      <c r="L466" s="16">
        <f>HYPERLINK("http://www.niural.com", "www.niural.com")</f>
      </c>
      <c r="M466" s="16">
        <f>HYPERLINK("https://my.pitchbook.com?c=513048-43", "View Company Online")</f>
      </c>
    </row>
    <row r="467">
      <c r="A467" t="s" s="11">
        <v>2496</v>
      </c>
      <c r="B467" t="s" s="11">
        <v>2497</v>
      </c>
      <c r="C467" t="s" s="11">
        <v>114</v>
      </c>
      <c r="D467" t="s" s="11">
        <v>870</v>
      </c>
      <c r="E467" t="s" s="11">
        <v>270</v>
      </c>
      <c r="F467" t="s" s="28">
        <v>63</v>
      </c>
      <c r="G467" t="s" s="11">
        <v>40</v>
      </c>
      <c r="H467" s="43">
        <v>45</v>
      </c>
      <c r="I467" s="43">
        <v>322.15</v>
      </c>
      <c r="J467" t="s" s="11">
        <v>2498</v>
      </c>
      <c r="K467" t="s" s="11">
        <v>2499</v>
      </c>
      <c r="L467" s="17">
        <f>HYPERLINK("http://www.progcap.com", "www.progcap.com")</f>
      </c>
      <c r="M467" s="17">
        <f>HYPERLINK("https://my.pitchbook.com?c=267211-90", "View Company Online")</f>
      </c>
    </row>
    <row r="468">
      <c r="A468" t="s" s="10">
        <v>2501</v>
      </c>
      <c r="B468" t="s" s="10">
        <v>2502</v>
      </c>
      <c r="C468" t="s" s="10">
        <v>46</v>
      </c>
      <c r="D468" t="s" s="10">
        <v>397</v>
      </c>
      <c r="E468" t="s" s="10">
        <v>373</v>
      </c>
      <c r="F468" s="27">
        <v>46058</v>
      </c>
      <c r="G468" t="s" s="10">
        <v>146</v>
      </c>
      <c r="H468" s="42">
        <v>75</v>
      </c>
      <c r="I468" s="42">
        <v>320.5</v>
      </c>
      <c r="J468" t="s" s="10">
        <v>2503</v>
      </c>
      <c r="K468" t="s" s="10">
        <v>2504</v>
      </c>
      <c r="L468" s="16">
        <f>HYPERLINK("http://www.accrual.com", "www.accrual.com")</f>
      </c>
      <c r="M468" s="16">
        <f>HYPERLINK("https://my.pitchbook.com?c=770246-29", "View Company Online")</f>
      </c>
    </row>
    <row r="469">
      <c r="A469" t="s" s="11">
        <v>2506</v>
      </c>
      <c r="B469" t="s" s="11">
        <v>2507</v>
      </c>
      <c r="C469" t="s" s="11">
        <v>37</v>
      </c>
      <c r="D469" t="s" s="11">
        <v>38</v>
      </c>
      <c r="E469" t="s" s="11">
        <v>30</v>
      </c>
      <c r="F469" s="28">
        <v>45991</v>
      </c>
      <c r="G469" t="s" s="11">
        <v>40</v>
      </c>
      <c r="H469" t="s" s="43">
        <v>30</v>
      </c>
      <c r="I469" s="43">
        <v>320</v>
      </c>
      <c r="J469" t="s" s="11">
        <v>2508</v>
      </c>
      <c r="K469" t="s" s="11">
        <v>2509</v>
      </c>
      <c r="L469" s="17">
        <f>HYPERLINK("http://www.onezerobank.com", "www.onezerobank.com")</f>
      </c>
      <c r="M469" s="17">
        <f>HYPERLINK("https://my.pitchbook.com?c=464088-52", "View Company Online")</f>
      </c>
    </row>
    <row r="470">
      <c r="A470" t="s" s="10">
        <v>2511</v>
      </c>
      <c r="B470" t="s" s="10">
        <v>2512</v>
      </c>
      <c r="C470" t="s" s="10">
        <v>27</v>
      </c>
      <c r="D470" t="s" s="10">
        <v>28</v>
      </c>
      <c r="E470" t="s" s="10">
        <v>253</v>
      </c>
      <c r="F470" s="27">
        <v>45916</v>
      </c>
      <c r="G470" t="s" s="10">
        <v>40</v>
      </c>
      <c r="H470" s="42">
        <v>50</v>
      </c>
      <c r="I470" s="42">
        <v>317.81</v>
      </c>
      <c r="J470" t="s" s="10">
        <v>2513</v>
      </c>
      <c r="K470" t="s" s="10">
        <v>2514</v>
      </c>
      <c r="L470" s="16">
        <f>HYPERLINK("http://home.paynearme.com", "home.paynearme.com")</f>
      </c>
      <c r="M470" s="16">
        <f>HYPERLINK("https://my.pitchbook.com?c=51274-27", "View Company Online")</f>
      </c>
    </row>
    <row r="471">
      <c r="A471" t="s" s="11">
        <v>2516</v>
      </c>
      <c r="B471" t="s" s="11">
        <v>2517</v>
      </c>
      <c r="C471" t="s" s="11">
        <v>46</v>
      </c>
      <c r="D471" t="s" s="11">
        <v>397</v>
      </c>
      <c r="E471" t="s" s="11">
        <v>2518</v>
      </c>
      <c r="F471" s="28">
        <v>45441</v>
      </c>
      <c r="G471" t="s" s="11">
        <v>146</v>
      </c>
      <c r="H471" t="s" s="43">
        <v>30</v>
      </c>
      <c r="I471" s="43">
        <v>315</v>
      </c>
      <c r="J471" t="s" s="11">
        <v>2519</v>
      </c>
      <c r="K471" t="s" s="11">
        <v>2520</v>
      </c>
      <c r="L471" s="17">
        <f>HYPERLINK("http://www.merge.dev", "www.merge.dev")</f>
      </c>
      <c r="M471" s="17">
        <f>HYPERLINK("https://my.pitchbook.com?c=459033-58", "View Company Online")</f>
      </c>
    </row>
    <row r="472">
      <c r="A472" t="s" s="10">
        <v>2522</v>
      </c>
      <c r="B472" t="s" s="10">
        <v>2523</v>
      </c>
      <c r="C472" t="s" s="10">
        <v>27</v>
      </c>
      <c r="D472" t="s" s="10">
        <v>28</v>
      </c>
      <c r="E472" t="s" s="10">
        <v>259</v>
      </c>
      <c r="F472" s="27">
        <v>45903</v>
      </c>
      <c r="G472" t="s" s="10">
        <v>146</v>
      </c>
      <c r="H472" s="42">
        <v>29</v>
      </c>
      <c r="I472" s="42">
        <v>315</v>
      </c>
      <c r="J472" t="s" s="10">
        <v>2524</v>
      </c>
      <c r="K472" t="s" s="10">
        <v>2525</v>
      </c>
      <c r="L472" s="16">
        <f>HYPERLINK("http://www.rainforestpay.com", "www.rainforestpay.com")</f>
      </c>
      <c r="M472" s="16">
        <f>HYPERLINK("https://my.pitchbook.com?c=501283-00", "View Company Online")</f>
      </c>
    </row>
    <row r="473">
      <c r="A473" t="s" s="11">
        <v>2527</v>
      </c>
      <c r="B473" t="s" s="11">
        <v>2528</v>
      </c>
      <c r="C473" t="s" s="11">
        <v>164</v>
      </c>
      <c r="D473" t="s" s="11">
        <v>206</v>
      </c>
      <c r="E473" t="s" s="11">
        <v>2529</v>
      </c>
      <c r="F473" s="28">
        <v>46217</v>
      </c>
      <c r="G473" t="s" s="11">
        <v>40</v>
      </c>
      <c r="H473" t="s" s="43">
        <v>30</v>
      </c>
      <c r="I473" s="43">
        <v>315</v>
      </c>
      <c r="J473" t="s" s="11">
        <v>2530</v>
      </c>
      <c r="K473" t="s" s="11">
        <v>2531</v>
      </c>
      <c r="L473" s="17">
        <f>HYPERLINK("http://www.socotra.com", "www.socotra.com")</f>
      </c>
      <c r="M473" s="17">
        <f>HYPERLINK("https://my.pitchbook.com?c=103146-85", "View Company Online")</f>
      </c>
    </row>
    <row r="474">
      <c r="A474" t="s" s="10">
        <v>2533</v>
      </c>
      <c r="B474" t="s" s="10">
        <v>2534</v>
      </c>
      <c r="C474" t="s" s="10">
        <v>46</v>
      </c>
      <c r="D474" t="s" s="10">
        <v>78</v>
      </c>
      <c r="E474" t="s" s="10">
        <v>1578</v>
      </c>
      <c r="F474" s="27">
        <v>46198</v>
      </c>
      <c r="G474" t="s" s="10">
        <v>146</v>
      </c>
      <c r="H474" s="42">
        <v>60</v>
      </c>
      <c r="I474" s="42">
        <v>315</v>
      </c>
      <c r="J474" t="s" s="10">
        <v>2535</v>
      </c>
      <c r="K474" t="s" s="10">
        <v>2536</v>
      </c>
      <c r="L474" s="16">
        <f>HYPERLINK("http://www.warp.co", "www.warp.co")</f>
      </c>
      <c r="M474" s="16">
        <f>HYPERLINK("https://my.pitchbook.com?c=521283-79", "View Company Online")</f>
      </c>
    </row>
    <row r="475">
      <c r="A475" t="s" s="11">
        <v>2538</v>
      </c>
      <c r="B475" t="s" s="11">
        <v>2539</v>
      </c>
      <c r="C475" t="s" s="11">
        <v>27</v>
      </c>
      <c r="D475" t="s" s="11">
        <v>70</v>
      </c>
      <c r="E475" t="s" s="11">
        <v>108</v>
      </c>
      <c r="F475" s="28">
        <v>45363</v>
      </c>
      <c r="G475" t="s" s="11">
        <v>40</v>
      </c>
      <c r="H475" s="43">
        <v>70.5</v>
      </c>
      <c r="I475" s="43">
        <v>314.5</v>
      </c>
      <c r="J475" t="s" s="11">
        <v>2540</v>
      </c>
      <c r="K475" t="s" s="11">
        <v>2541</v>
      </c>
      <c r="L475" s="17">
        <f>HYPERLINK("http://www.settle.com", "www.settle.com")</f>
      </c>
      <c r="M475" s="17">
        <f>HYPERLINK("https://my.pitchbook.com?c=436646-44", "View Company Online")</f>
      </c>
    </row>
    <row r="476">
      <c r="A476" t="s" s="10">
        <v>2543</v>
      </c>
      <c r="B476" t="s" s="10">
        <v>2544</v>
      </c>
      <c r="C476" t="s" s="10">
        <v>222</v>
      </c>
      <c r="D476" t="s" s="10">
        <v>537</v>
      </c>
      <c r="E476" t="s" s="10">
        <v>253</v>
      </c>
      <c r="F476" s="27">
        <v>46113</v>
      </c>
      <c r="G476" t="s" s="10">
        <v>186</v>
      </c>
      <c r="H476" t="s" s="42">
        <v>30</v>
      </c>
      <c r="I476" s="42">
        <v>313</v>
      </c>
      <c r="J476" t="s" s="10">
        <v>2545</v>
      </c>
      <c r="K476" t="s" s="10">
        <v>2546</v>
      </c>
      <c r="L476" s="16">
        <f>HYPERLINK("http://www.iex.io", "www.iex.io")</f>
      </c>
      <c r="M476" s="16">
        <f>HYPERLINK("https://my.pitchbook.com?c=63469-63", "View Company Online")</f>
      </c>
    </row>
    <row r="477">
      <c r="A477" t="s" s="11">
        <v>2548</v>
      </c>
      <c r="B477" t="s" s="11">
        <v>2549</v>
      </c>
      <c r="C477" t="s" s="11">
        <v>164</v>
      </c>
      <c r="D477" t="s" s="11">
        <v>165</v>
      </c>
      <c r="E477" t="s" s="11">
        <v>137</v>
      </c>
      <c r="F477" s="28">
        <v>45485</v>
      </c>
      <c r="G477" t="s" s="11">
        <v>64</v>
      </c>
      <c r="H477" s="43">
        <v>55.85</v>
      </c>
      <c r="I477" s="43">
        <v>312.38</v>
      </c>
      <c r="J477" t="s" s="11">
        <v>2550</v>
      </c>
      <c r="K477" t="s" s="11">
        <v>2551</v>
      </c>
      <c r="L477" s="17">
        <f>HYPERLINK("http://www.joyintech.com", "www.joyintech.com")</f>
      </c>
      <c r="M477" s="17">
        <f>HYPERLINK("https://my.pitchbook.com?c=488971-72", "View Company Online")</f>
      </c>
    </row>
    <row r="478">
      <c r="A478" t="s" s="10">
        <v>2553</v>
      </c>
      <c r="B478" t="s" s="10">
        <v>2554</v>
      </c>
      <c r="C478" t="s" s="10">
        <v>37</v>
      </c>
      <c r="D478" t="s" s="10">
        <v>38</v>
      </c>
      <c r="E478" t="s" s="10">
        <v>270</v>
      </c>
      <c r="F478" t="s" s="27">
        <v>30</v>
      </c>
      <c r="G478" t="s" s="10">
        <v>607</v>
      </c>
      <c r="H478" t="s" s="42">
        <v>30</v>
      </c>
      <c r="I478" s="42">
        <v>312.27</v>
      </c>
      <c r="J478" t="s" s="10">
        <v>2555</v>
      </c>
      <c r="K478" t="s" s="10">
        <v>2556</v>
      </c>
      <c r="L478" s="16">
        <f>HYPERLINK("http://www.algbra.com", "www.algbra.com")</f>
      </c>
      <c r="M478" s="16">
        <f>HYPERLINK("https://my.pitchbook.com?c=466498-09", "View Company Online")</f>
      </c>
    </row>
    <row r="479">
      <c r="A479" t="s" s="11">
        <v>2558</v>
      </c>
      <c r="B479" t="s" s="11">
        <v>2559</v>
      </c>
      <c r="C479" t="s" s="11">
        <v>27</v>
      </c>
      <c r="D479" t="s" s="11">
        <v>28</v>
      </c>
      <c r="E479" t="s" s="11">
        <v>259</v>
      </c>
      <c r="F479" s="28">
        <v>45754</v>
      </c>
      <c r="G479" t="s" s="11">
        <v>40</v>
      </c>
      <c r="H479" s="43">
        <v>36</v>
      </c>
      <c r="I479" s="43">
        <v>310.5</v>
      </c>
      <c r="J479" t="s" s="11">
        <v>2560</v>
      </c>
      <c r="K479" t="s" s="11">
        <v>2561</v>
      </c>
      <c r="L479" s="17">
        <f>HYPERLINK("http://www.payabli.com", "www.payabli.com")</f>
      </c>
      <c r="M479" s="17">
        <f>HYPERLINK("https://my.pitchbook.com?c=497366-92", "View Company Online")</f>
      </c>
    </row>
    <row r="480">
      <c r="A480" t="s" s="10">
        <v>2563</v>
      </c>
      <c r="B480" t="s" s="10">
        <v>2564</v>
      </c>
      <c r="C480" t="s" s="10">
        <v>164</v>
      </c>
      <c r="D480" t="s" s="10">
        <v>165</v>
      </c>
      <c r="E480" t="s" s="10">
        <v>253</v>
      </c>
      <c r="F480" s="27">
        <v>45518</v>
      </c>
      <c r="G480" t="s" s="10">
        <v>40</v>
      </c>
      <c r="H480" s="42">
        <v>125</v>
      </c>
      <c r="I480" s="42">
        <v>310.02</v>
      </c>
      <c r="J480" t="s" s="10">
        <v>2565</v>
      </c>
      <c r="K480" t="s" s="10">
        <v>2566</v>
      </c>
      <c r="L480" s="16">
        <f>HYPERLINK("http://www.nymbus.com", "www.nymbus.com")</f>
      </c>
      <c r="M480" s="16">
        <f>HYPERLINK("https://my.pitchbook.com?c=127581-94", "View Company Online")</f>
      </c>
    </row>
    <row r="481">
      <c r="A481" t="s" s="11">
        <v>2568</v>
      </c>
      <c r="B481" t="s" s="11">
        <v>2569</v>
      </c>
      <c r="C481" t="s" s="11">
        <v>27</v>
      </c>
      <c r="D481" t="s" s="11">
        <v>28</v>
      </c>
      <c r="E481" t="s" s="11">
        <v>137</v>
      </c>
      <c r="F481" s="28">
        <v>45126</v>
      </c>
      <c r="G481" t="s" s="11">
        <v>146</v>
      </c>
      <c r="H481" s="43">
        <v>70.28</v>
      </c>
      <c r="I481" s="43">
        <v>310</v>
      </c>
      <c r="J481" t="s" s="11">
        <v>2570</v>
      </c>
      <c r="K481" t="s" s="11">
        <v>2571</v>
      </c>
      <c r="L481" s="17">
        <f>HYPERLINK("http://www.trykarat.com", "www.trykarat.com")</f>
      </c>
      <c r="M481" s="17">
        <f>HYPERLINK("https://my.pitchbook.com?c=366563-62", "View Company Online")</f>
      </c>
    </row>
    <row r="482">
      <c r="A482" t="s" s="10">
        <v>2573</v>
      </c>
      <c r="B482" t="s" s="10">
        <v>2574</v>
      </c>
      <c r="C482" t="s" s="10">
        <v>27</v>
      </c>
      <c r="D482" t="s" s="10">
        <v>28</v>
      </c>
      <c r="E482" t="s" s="10">
        <v>2575</v>
      </c>
      <c r="F482" s="27">
        <v>44545</v>
      </c>
      <c r="G482" t="s" s="10">
        <v>40</v>
      </c>
      <c r="H482" s="42">
        <v>50</v>
      </c>
      <c r="I482" s="42">
        <v>310</v>
      </c>
      <c r="J482" t="s" s="10">
        <v>2576</v>
      </c>
      <c r="K482" t="s" s="10">
        <v>2577</v>
      </c>
      <c r="L482" s="16">
        <f>HYPERLINK("http://www.papayapay.com", "www.papayapay.com")</f>
      </c>
      <c r="M482" s="16">
        <f>HYPERLINK("https://my.pitchbook.com?c=167176-81", "View Company Online")</f>
      </c>
    </row>
    <row r="483">
      <c r="A483" t="s" s="11">
        <v>2579</v>
      </c>
      <c r="B483" t="s" s="11">
        <v>2580</v>
      </c>
      <c r="C483" t="s" s="11">
        <v>114</v>
      </c>
      <c r="D483" t="s" s="11">
        <v>136</v>
      </c>
      <c r="E483" t="s" s="11">
        <v>2581</v>
      </c>
      <c r="F483" s="28">
        <v>45545</v>
      </c>
      <c r="G483" t="s" s="11">
        <v>40</v>
      </c>
      <c r="H483" s="43">
        <v>25</v>
      </c>
      <c r="I483" s="43">
        <v>310</v>
      </c>
      <c r="J483" t="s" s="11">
        <v>2582</v>
      </c>
      <c r="K483" t="s" s="11">
        <v>2583</v>
      </c>
      <c r="L483" s="17">
        <f>HYPERLINK("http://www.polly.io", "www.polly.io")</f>
      </c>
      <c r="M483" s="17">
        <f>HYPERLINK("https://my.pitchbook.com?c=290407-87", "View Company Online")</f>
      </c>
    </row>
    <row r="484">
      <c r="A484" t="s" s="10">
        <v>2585</v>
      </c>
      <c r="B484" t="s" s="10">
        <v>2586</v>
      </c>
      <c r="C484" t="s" s="10">
        <v>60</v>
      </c>
      <c r="D484" t="s" s="10">
        <v>432</v>
      </c>
      <c r="E484" t="s" s="10">
        <v>137</v>
      </c>
      <c r="F484" s="27">
        <v>45784</v>
      </c>
      <c r="G484" t="s" s="10">
        <v>607</v>
      </c>
      <c r="H484" t="s" s="42">
        <v>30</v>
      </c>
      <c r="I484" s="42">
        <v>309.93</v>
      </c>
      <c r="J484" t="s" s="10">
        <v>2587</v>
      </c>
      <c r="K484" t="s" s="10">
        <v>2588</v>
      </c>
      <c r="L484" s="16">
        <f>HYPERLINK("http://www.fundment.com", "www.fundment.com")</f>
      </c>
      <c r="M484" s="16">
        <f>HYPERLINK("https://my.pitchbook.com?c=173231-92", "View Company Online")</f>
      </c>
    </row>
    <row r="485">
      <c r="A485" t="s" s="11">
        <v>2590</v>
      </c>
      <c r="B485" t="s" s="11">
        <v>2591</v>
      </c>
      <c r="C485" t="s" s="11">
        <v>114</v>
      </c>
      <c r="D485" t="s" s="11">
        <v>136</v>
      </c>
      <c r="E485" t="s" s="11">
        <v>270</v>
      </c>
      <c r="F485" s="28">
        <v>45197</v>
      </c>
      <c r="G485" t="s" s="11">
        <v>40</v>
      </c>
      <c r="H485" s="43">
        <v>18.94</v>
      </c>
      <c r="I485" s="43">
        <v>308.81</v>
      </c>
      <c r="J485" t="s" s="11">
        <v>2592</v>
      </c>
      <c r="K485" t="s" s="11">
        <v>2593</v>
      </c>
      <c r="L485" s="17">
        <f>HYPERLINK("http://www.koinworks.com", "www.koinworks.com")</f>
      </c>
      <c r="M485" s="17">
        <f>HYPERLINK("https://my.pitchbook.com?c=232178-14", "View Company Online")</f>
      </c>
    </row>
    <row r="486">
      <c r="A486" t="s" s="10">
        <v>2595</v>
      </c>
      <c r="B486" t="s" s="10">
        <v>2596</v>
      </c>
      <c r="C486" t="s" s="10">
        <v>60</v>
      </c>
      <c r="D486" t="s" s="10">
        <v>192</v>
      </c>
      <c r="E486" t="s" s="10">
        <v>634</v>
      </c>
      <c r="F486" s="27">
        <v>46170</v>
      </c>
      <c r="G486" t="s" s="10">
        <v>40</v>
      </c>
      <c r="H486" s="42">
        <v>47</v>
      </c>
      <c r="I486" s="42">
        <v>307</v>
      </c>
      <c r="J486" t="s" s="10">
        <v>2597</v>
      </c>
      <c r="K486" t="s" s="10">
        <v>2598</v>
      </c>
      <c r="L486" s="16">
        <f>HYPERLINK("http://www.daloopa.com", "www.daloopa.com")</f>
      </c>
      <c r="M486" s="16">
        <f>HYPERLINK("https://my.pitchbook.com?c=289686-34", "View Company Online")</f>
      </c>
    </row>
    <row r="487">
      <c r="A487" t="s" s="11">
        <v>2600</v>
      </c>
      <c r="B487" t="s" s="11">
        <v>2601</v>
      </c>
      <c r="C487" t="s" s="11">
        <v>37</v>
      </c>
      <c r="D487" t="s" s="11">
        <v>304</v>
      </c>
      <c r="E487" t="s" s="11">
        <v>193</v>
      </c>
      <c r="F487" s="28">
        <v>46150</v>
      </c>
      <c r="G487" t="s" s="11">
        <v>64</v>
      </c>
      <c r="H487" s="43">
        <v>98.58</v>
      </c>
      <c r="I487" s="43">
        <v>306.73</v>
      </c>
      <c r="J487" t="s" s="11">
        <v>2602</v>
      </c>
      <c r="K487" t="s" s="11">
        <v>30</v>
      </c>
      <c r="L487" s="17">
        <f>HYPERLINK("http://www.kissht.com", "www.kissht.com")</f>
      </c>
      <c r="M487" s="17">
        <f>HYPERLINK("https://my.pitchbook.com?c=179640-46", "View Company Online")</f>
      </c>
    </row>
    <row r="488">
      <c r="A488" t="s" s="10">
        <v>2604</v>
      </c>
      <c r="B488" t="s" s="10">
        <v>2605</v>
      </c>
      <c r="C488" t="s" s="10">
        <v>46</v>
      </c>
      <c r="D488" t="s" s="10">
        <v>397</v>
      </c>
      <c r="E488" t="s" s="10">
        <v>253</v>
      </c>
      <c r="F488" s="27">
        <v>45292</v>
      </c>
      <c r="G488" t="s" s="10">
        <v>40</v>
      </c>
      <c r="H488" t="s" s="42">
        <v>30</v>
      </c>
      <c r="I488" s="42">
        <v>305.81</v>
      </c>
      <c r="J488" t="s" s="10">
        <v>2606</v>
      </c>
      <c r="K488" t="s" s="10">
        <v>2607</v>
      </c>
      <c r="L488" s="16">
        <f>HYPERLINK("http://www.clear.in", "www.clear.in")</f>
      </c>
      <c r="M488" s="16">
        <f>HYPERLINK("https://my.pitchbook.com?c=64376-56", "View Company Online")</f>
      </c>
    </row>
    <row r="489">
      <c r="A489" t="s" s="11">
        <v>2609</v>
      </c>
      <c r="B489" t="s" s="11">
        <v>2610</v>
      </c>
      <c r="C489" t="s" s="11">
        <v>27</v>
      </c>
      <c r="D489" t="s" s="11">
        <v>28</v>
      </c>
      <c r="E489" t="s" s="11">
        <v>259</v>
      </c>
      <c r="F489" s="28">
        <v>45811</v>
      </c>
      <c r="G489" t="s" s="11">
        <v>146</v>
      </c>
      <c r="H489" s="43">
        <v>41.58</v>
      </c>
      <c r="I489" s="43">
        <v>304.59</v>
      </c>
      <c r="J489" t="s" s="11">
        <v>2611</v>
      </c>
      <c r="K489" t="s" s="11">
        <v>2612</v>
      </c>
      <c r="L489" s="17">
        <f>HYPERLINK("http://www.nomupay.com", "www.nomupay.com")</f>
      </c>
      <c r="M489" s="17">
        <f>HYPERLINK("https://my.pitchbook.com?c=464083-39", "View Company Online")</f>
      </c>
    </row>
    <row r="490">
      <c r="A490" t="s" s="10">
        <v>2614</v>
      </c>
      <c r="B490" t="s" s="10">
        <v>2615</v>
      </c>
      <c r="C490" t="s" s="10">
        <v>164</v>
      </c>
      <c r="D490" t="s" s="10">
        <v>165</v>
      </c>
      <c r="E490" t="s" s="10">
        <v>373</v>
      </c>
      <c r="F490" s="27">
        <v>45147</v>
      </c>
      <c r="G490" t="s" s="10">
        <v>40</v>
      </c>
      <c r="H490" s="42">
        <v>50.36</v>
      </c>
      <c r="I490" s="42">
        <v>303.35</v>
      </c>
      <c r="J490" t="s" s="10">
        <v>2616</v>
      </c>
      <c r="K490" t="s" s="10">
        <v>2617</v>
      </c>
      <c r="L490" s="16">
        <f>HYPERLINK("http://www.credgenics.com", "www.credgenics.com")</f>
      </c>
      <c r="M490" s="16">
        <f>HYPERLINK("https://my.pitchbook.com?c=435775-33", "View Company Online")</f>
      </c>
    </row>
    <row r="491">
      <c r="A491" t="s" s="11">
        <v>2619</v>
      </c>
      <c r="B491" t="s" s="11">
        <v>2620</v>
      </c>
      <c r="C491" t="s" s="11">
        <v>60</v>
      </c>
      <c r="D491" t="s" s="11">
        <v>192</v>
      </c>
      <c r="E491" t="s" s="11">
        <v>137</v>
      </c>
      <c r="F491" s="28">
        <v>43020</v>
      </c>
      <c r="G491" t="s" s="11">
        <v>146</v>
      </c>
      <c r="H491" s="43">
        <v>30.28</v>
      </c>
      <c r="I491" s="43">
        <v>302.77</v>
      </c>
      <c r="J491" t="s" s="11">
        <v>2621</v>
      </c>
      <c r="K491" t="s" s="11">
        <v>2622</v>
      </c>
      <c r="L491" s="17">
        <f>HYPERLINK("http://gelonghui.com", "gelonghui.com")</f>
      </c>
      <c r="M491" s="17">
        <f>HYPERLINK("https://my.pitchbook.com?c=265790-80", "View Company Online")</f>
      </c>
    </row>
    <row r="492">
      <c r="A492" t="s" s="10">
        <v>2624</v>
      </c>
      <c r="B492" t="s" s="10">
        <v>2625</v>
      </c>
      <c r="C492" t="s" s="10">
        <v>27</v>
      </c>
      <c r="D492" t="s" s="10">
        <v>28</v>
      </c>
      <c r="E492" t="s" s="10">
        <v>253</v>
      </c>
      <c r="F492" s="27">
        <v>46212</v>
      </c>
      <c r="G492" t="s" s="10">
        <v>40</v>
      </c>
      <c r="H492" s="42">
        <v>1</v>
      </c>
      <c r="I492" s="42">
        <v>302.5</v>
      </c>
      <c r="J492" t="s" s="10">
        <v>2626</v>
      </c>
      <c r="K492" t="s" s="10">
        <v>2627</v>
      </c>
      <c r="L492" s="16">
        <f>HYPERLINK("http://www.debtbook.com", "www.debtbook.com")</f>
      </c>
      <c r="M492" s="16">
        <f>HYPERLINK("https://my.pitchbook.com?c=342168-13", "View Company Online")</f>
      </c>
    </row>
    <row r="493">
      <c r="A493" t="s" s="11">
        <v>2629</v>
      </c>
      <c r="B493" t="s" s="11">
        <v>2630</v>
      </c>
      <c r="C493" t="s" s="11">
        <v>60</v>
      </c>
      <c r="D493" t="s" s="11">
        <v>727</v>
      </c>
      <c r="E493" t="s" s="11">
        <v>1853</v>
      </c>
      <c r="F493" t="s" s="28">
        <v>30</v>
      </c>
      <c r="G493" t="s" s="11">
        <v>48</v>
      </c>
      <c r="H493" t="s" s="43">
        <v>30</v>
      </c>
      <c r="I493" s="43">
        <v>300.53</v>
      </c>
      <c r="J493" t="s" s="11">
        <v>2631</v>
      </c>
      <c r="K493" t="s" s="11">
        <v>2632</v>
      </c>
      <c r="L493" s="17">
        <f>HYPERLINK("http://www.diversyfund.com", "www.diversyfund.com")</f>
      </c>
      <c r="M493" s="17">
        <f>HYPERLINK("https://my.pitchbook.com?c=171827-74", "View Company Online")</f>
      </c>
    </row>
    <row r="494">
      <c r="A494" t="s" s="10">
        <v>2634</v>
      </c>
      <c r="B494" t="s" s="10">
        <v>2635</v>
      </c>
      <c r="C494" t="s" s="10">
        <v>37</v>
      </c>
      <c r="D494" t="s" s="10">
        <v>304</v>
      </c>
      <c r="E494" t="s" s="10">
        <v>623</v>
      </c>
      <c r="F494" s="27">
        <v>44621</v>
      </c>
      <c r="G494" t="s" s="10">
        <v>40</v>
      </c>
      <c r="H494" t="s" s="42">
        <v>30</v>
      </c>
      <c r="I494" s="42">
        <v>300</v>
      </c>
      <c r="J494" t="s" s="10">
        <v>2636</v>
      </c>
      <c r="K494" t="s" s="10">
        <v>2637</v>
      </c>
      <c r="L494" s="16">
        <f>HYPERLINK("http://www.aellaapp.com", "www.aellaapp.com")</f>
      </c>
      <c r="M494" s="16">
        <f>HYPERLINK("https://my.pitchbook.com?c=163645-39", "View Company Online")</f>
      </c>
    </row>
    <row r="495">
      <c r="A495" t="s" s="11">
        <v>2639</v>
      </c>
      <c r="B495" t="s" s="11">
        <v>2640</v>
      </c>
      <c r="C495" t="s" s="11">
        <v>46</v>
      </c>
      <c r="D495" t="s" s="11">
        <v>78</v>
      </c>
      <c r="E495" t="s" s="11">
        <v>1578</v>
      </c>
      <c r="F495" s="28">
        <v>45786</v>
      </c>
      <c r="G495" t="s" s="11">
        <v>31</v>
      </c>
      <c r="H495" s="43">
        <v>25.97</v>
      </c>
      <c r="I495" s="43">
        <v>300</v>
      </c>
      <c r="J495" t="s" s="11">
        <v>2641</v>
      </c>
      <c r="K495" t="s" s="11">
        <v>2642</v>
      </c>
      <c r="L495" s="17">
        <f>HYPERLINK("http://www.beqom.com", "www.beqom.com")</f>
      </c>
      <c r="M495" s="17">
        <f>HYPERLINK("https://my.pitchbook.com?c=57459-34", "View Company Online")</f>
      </c>
    </row>
    <row r="496">
      <c r="A496" t="s" s="10">
        <v>2644</v>
      </c>
      <c r="B496" t="s" s="10">
        <v>2645</v>
      </c>
      <c r="C496" t="s" s="10">
        <v>114</v>
      </c>
      <c r="D496" t="s" s="10">
        <v>852</v>
      </c>
      <c r="E496" t="s" s="10">
        <v>253</v>
      </c>
      <c r="F496" t="s" s="27">
        <v>30</v>
      </c>
      <c r="G496" t="s" s="10">
        <v>48</v>
      </c>
      <c r="H496" t="s" s="42">
        <v>30</v>
      </c>
      <c r="I496" s="42">
        <v>300</v>
      </c>
      <c r="J496" t="s" s="10">
        <v>2646</v>
      </c>
      <c r="K496" t="s" s="10">
        <v>2647</v>
      </c>
      <c r="L496" s="16">
        <f>HYPERLINK("http://www.dripcapital.com", "www.dripcapital.com")</f>
      </c>
      <c r="M496" s="16">
        <f>HYPERLINK("https://my.pitchbook.com?c=122302-27", "View Company Online")</f>
      </c>
    </row>
    <row r="497">
      <c r="A497" t="s" s="11">
        <v>2649</v>
      </c>
      <c r="B497" t="s" s="11">
        <v>2650</v>
      </c>
      <c r="C497" t="s" s="11">
        <v>46</v>
      </c>
      <c r="D497" t="s" s="11">
        <v>397</v>
      </c>
      <c r="E497" t="s" s="11">
        <v>137</v>
      </c>
      <c r="F497" s="28">
        <v>44803</v>
      </c>
      <c r="G497" t="s" s="11">
        <v>2651</v>
      </c>
      <c r="H497" s="43">
        <v>4.05</v>
      </c>
      <c r="I497" s="43">
        <v>300</v>
      </c>
      <c r="J497" t="s" s="11">
        <v>2652</v>
      </c>
      <c r="K497" t="s" s="11">
        <v>2653</v>
      </c>
      <c r="L497" s="17">
        <f>HYPERLINK("http://www.eclear.com", "www.eclear.com")</f>
      </c>
      <c r="M497" s="17">
        <f>HYPERLINK("https://my.pitchbook.com?c=433103-23", "View Company Online")</f>
      </c>
    </row>
    <row r="498">
      <c r="A498" t="s" s="10">
        <v>2655</v>
      </c>
      <c r="B498" t="s" s="10">
        <v>2656</v>
      </c>
      <c r="C498" t="s" s="10">
        <v>27</v>
      </c>
      <c r="D498" t="s" s="10">
        <v>28</v>
      </c>
      <c r="E498" t="s" s="10">
        <v>270</v>
      </c>
      <c r="F498" s="27">
        <v>45862</v>
      </c>
      <c r="G498" t="s" s="10">
        <v>146</v>
      </c>
      <c r="H498" s="42">
        <v>5</v>
      </c>
      <c r="I498" s="42">
        <v>300</v>
      </c>
      <c r="J498" t="s" s="10">
        <v>2657</v>
      </c>
      <c r="K498" t="s" s="10">
        <v>2658</v>
      </c>
      <c r="L498" s="16">
        <f>HYPERLINK("http://www.mercadoderecebiveis.com.br", "www.mercadoderecebiveis.com.br")</f>
      </c>
      <c r="M498" s="16">
        <f>HYPERLINK("https://my.pitchbook.com?c=544609-45", "View Company Online")</f>
      </c>
    </row>
    <row r="499">
      <c r="A499" t="s" s="11">
        <v>2660</v>
      </c>
      <c r="B499" t="s" s="11">
        <v>2661</v>
      </c>
      <c r="C499" t="s" s="11">
        <v>27</v>
      </c>
      <c r="D499" t="s" s="11">
        <v>28</v>
      </c>
      <c r="E499" t="s" s="11">
        <v>193</v>
      </c>
      <c r="F499" s="28">
        <v>46184</v>
      </c>
      <c r="G499" t="s" s="11">
        <v>2662</v>
      </c>
      <c r="H499" s="43">
        <v>8.4</v>
      </c>
      <c r="I499" s="43">
        <v>300</v>
      </c>
      <c r="J499" t="s" s="11">
        <v>2663</v>
      </c>
      <c r="K499" t="s" s="11">
        <v>2664</v>
      </c>
      <c r="L499" s="17">
        <f>HYPERLINK("http://www.mintoak.com", "www.mintoak.com")</f>
      </c>
      <c r="M499" s="17">
        <f>HYPERLINK("https://my.pitchbook.com?c=223747-39", "View Company Online")</f>
      </c>
    </row>
    <row r="500">
      <c r="A500" t="s" s="10">
        <v>2666</v>
      </c>
      <c r="B500" t="s" s="10">
        <v>2667</v>
      </c>
      <c r="C500" t="s" s="10">
        <v>164</v>
      </c>
      <c r="D500" t="s" s="10">
        <v>206</v>
      </c>
      <c r="E500" t="s" s="10">
        <v>253</v>
      </c>
      <c r="F500" t="s" s="27">
        <v>30</v>
      </c>
      <c r="G500" t="s" s="10">
        <v>48</v>
      </c>
      <c r="H500" t="s" s="42">
        <v>30</v>
      </c>
      <c r="I500" s="42">
        <v>300</v>
      </c>
      <c r="J500" t="s" s="10">
        <v>2668</v>
      </c>
      <c r="K500" t="s" s="10">
        <v>2669</v>
      </c>
      <c r="L500" s="16">
        <f>HYPERLINK("http://www.narmi.com", "www.narmi.com")</f>
      </c>
      <c r="M500" s="16">
        <f>HYPERLINK("https://my.pitchbook.com?c=171613-36", "View Company Online")</f>
      </c>
    </row>
    <row r="501">
      <c r="A501" t="s" s="11">
        <v>2671</v>
      </c>
      <c r="B501" t="s" s="11">
        <v>2672</v>
      </c>
      <c r="C501" t="s" s="11">
        <v>114</v>
      </c>
      <c r="D501" t="s" s="11">
        <v>1386</v>
      </c>
      <c r="E501" t="s" s="11">
        <v>137</v>
      </c>
      <c r="F501" s="28">
        <v>45785</v>
      </c>
      <c r="G501" t="s" s="11">
        <v>146</v>
      </c>
      <c r="H501" s="43">
        <v>34</v>
      </c>
      <c r="I501" s="43">
        <v>300</v>
      </c>
      <c r="J501" t="s" s="11">
        <v>2673</v>
      </c>
      <c r="K501" t="s" s="11">
        <v>2674</v>
      </c>
      <c r="L501" s="17">
        <f>HYPERLINK("http://www.nuvo.com", "www.nuvo.com")</f>
      </c>
      <c r="M501" s="17">
        <f>HYPERLINK("https://my.pitchbook.com?c=501551-11", "View Company Online")</f>
      </c>
    </row>
    <row r="502">
      <c r="A502" t="s" s="10">
        <v>2676</v>
      </c>
      <c r="B502" t="s" s="10">
        <v>2677</v>
      </c>
      <c r="C502" t="s" s="10">
        <v>46</v>
      </c>
      <c r="D502" t="s" s="10">
        <v>47</v>
      </c>
      <c r="E502" t="s" s="10">
        <v>2678</v>
      </c>
      <c r="F502" s="27">
        <v>46052</v>
      </c>
      <c r="G502" t="s" s="10">
        <v>40</v>
      </c>
      <c r="H502" s="42">
        <v>51</v>
      </c>
      <c r="I502" s="42">
        <v>300</v>
      </c>
      <c r="J502" t="s" s="10">
        <v>2679</v>
      </c>
      <c r="K502" t="s" s="10">
        <v>2680</v>
      </c>
      <c r="L502" s="16">
        <f>HYPERLINK("http://www.order.co", "www.order.co")</f>
      </c>
      <c r="M502" s="16">
        <f>HYPERLINK("https://my.pitchbook.com?c=151139-44", "View Company Online")</f>
      </c>
    </row>
    <row r="503">
      <c r="A503" t="s" s="11">
        <v>2682</v>
      </c>
      <c r="B503" t="s" s="11">
        <v>2683</v>
      </c>
      <c r="C503" t="s" s="11">
        <v>27</v>
      </c>
      <c r="D503" t="s" s="11">
        <v>28</v>
      </c>
      <c r="E503" t="s" s="11">
        <v>2684</v>
      </c>
      <c r="F503" t="s" s="28">
        <v>30</v>
      </c>
      <c r="G503" t="s" s="11">
        <v>146</v>
      </c>
      <c r="H503" t="s" s="43">
        <v>30</v>
      </c>
      <c r="I503" s="43">
        <v>300</v>
      </c>
      <c r="J503" t="s" s="11">
        <v>2685</v>
      </c>
      <c r="K503" t="s" s="11">
        <v>2686</v>
      </c>
      <c r="L503" s="17">
        <f>HYPERLINK("http://www.selfbook.com", "www.selfbook.com")</f>
      </c>
      <c r="M503" s="17">
        <f>HYPERLINK("https://my.pitchbook.com?c=227127-16", "View Company Online")</f>
      </c>
    </row>
    <row r="504">
      <c r="A504" t="s" s="10">
        <v>2688</v>
      </c>
      <c r="B504" t="s" s="10">
        <v>2689</v>
      </c>
      <c r="C504" t="s" s="10">
        <v>164</v>
      </c>
      <c r="D504" t="s" s="10">
        <v>206</v>
      </c>
      <c r="E504" t="s" s="10">
        <v>253</v>
      </c>
      <c r="F504" s="27">
        <v>45049</v>
      </c>
      <c r="G504" t="s" s="10">
        <v>40</v>
      </c>
      <c r="H504" s="42">
        <v>32</v>
      </c>
      <c r="I504" s="42">
        <v>300</v>
      </c>
      <c r="J504" t="s" s="10">
        <v>2690</v>
      </c>
      <c r="K504" t="s" s="10">
        <v>2691</v>
      </c>
      <c r="L504" s="16">
        <f>HYPERLINK("http://www.tarabut.com", "www.tarabut.com")</f>
      </c>
      <c r="M504" s="16">
        <f>HYPERLINK("https://my.pitchbook.com?c=458485-57", "View Company Online")</f>
      </c>
    </row>
    <row r="505">
      <c r="A505" t="s" s="11">
        <v>2693</v>
      </c>
      <c r="B505" t="s" s="11">
        <v>2694</v>
      </c>
      <c r="C505" t="s" s="11">
        <v>164</v>
      </c>
      <c r="D505" t="s" s="11">
        <v>165</v>
      </c>
      <c r="E505" t="s" s="11">
        <v>2695</v>
      </c>
      <c r="F505" t="s" s="28">
        <v>30</v>
      </c>
      <c r="G505" t="s" s="11">
        <v>40</v>
      </c>
      <c r="H505" t="s" s="43">
        <v>30</v>
      </c>
      <c r="I505" s="43">
        <v>300</v>
      </c>
      <c r="J505" t="s" s="11">
        <v>2696</v>
      </c>
      <c r="K505" t="s" s="11">
        <v>2697</v>
      </c>
      <c r="L505" s="17">
        <f>HYPERLINK("http://www.threeflow.com", "www.threeflow.com")</f>
      </c>
      <c r="M505" s="17">
        <f>HYPERLINK("https://my.pitchbook.com?c=458732-35", "View Company Online")</f>
      </c>
    </row>
    <row r="506">
      <c r="A506" t="s" s="10">
        <v>2699</v>
      </c>
      <c r="B506" t="s" s="10">
        <v>2700</v>
      </c>
      <c r="C506" t="s" s="10">
        <v>60</v>
      </c>
      <c r="D506" t="s" s="10">
        <v>246</v>
      </c>
      <c r="E506" t="s" s="10">
        <v>1054</v>
      </c>
      <c r="F506" t="s" s="27">
        <v>30</v>
      </c>
      <c r="G506" t="s" s="10">
        <v>40</v>
      </c>
      <c r="H506" t="s" s="42">
        <v>30</v>
      </c>
      <c r="I506" s="42">
        <v>300</v>
      </c>
      <c r="J506" t="s" s="10">
        <v>2701</v>
      </c>
      <c r="K506" t="s" s="10">
        <v>2702</v>
      </c>
      <c r="L506" s="16">
        <f>HYPERLINK("http://www.wahed.com", "www.wahed.com")</f>
      </c>
      <c r="M506" s="16">
        <f>HYPERLINK("https://my.pitchbook.com?c=171556-12", "View Company Online")</f>
      </c>
    </row>
    <row r="507">
      <c r="A507" t="s" s="11">
        <v>2704</v>
      </c>
      <c r="B507" t="s" s="11">
        <v>2705</v>
      </c>
      <c r="C507" t="s" s="11">
        <v>46</v>
      </c>
      <c r="D507" t="s" s="11">
        <v>47</v>
      </c>
      <c r="E507" t="s" s="11">
        <v>623</v>
      </c>
      <c r="F507" s="28">
        <v>45523</v>
      </c>
      <c r="G507" t="s" s="11">
        <v>48</v>
      </c>
      <c r="H507" t="s" s="43">
        <v>30</v>
      </c>
      <c r="I507" s="43">
        <v>296.93</v>
      </c>
      <c r="J507" t="s" s="11">
        <v>2706</v>
      </c>
      <c r="K507" t="s" s="11">
        <v>2707</v>
      </c>
      <c r="L507" s="17">
        <f>HYPERLINK("http://www.okcredit.in", "www.okcredit.in")</f>
      </c>
      <c r="M507" s="17">
        <f>HYPERLINK("https://my.pitchbook.com?c=232148-26", "View Company Online")</f>
      </c>
    </row>
    <row r="508">
      <c r="A508" t="s" s="10">
        <v>2709</v>
      </c>
      <c r="B508" t="s" s="10">
        <v>2710</v>
      </c>
      <c r="C508" t="s" s="10">
        <v>27</v>
      </c>
      <c r="D508" t="s" s="10">
        <v>70</v>
      </c>
      <c r="E508" t="s" s="10">
        <v>414</v>
      </c>
      <c r="F508" s="27">
        <v>46239</v>
      </c>
      <c r="G508" t="s" s="10">
        <v>146</v>
      </c>
      <c r="H508" s="42">
        <v>35</v>
      </c>
      <c r="I508" s="42">
        <v>296</v>
      </c>
      <c r="J508" t="s" s="10">
        <v>2711</v>
      </c>
      <c r="K508" t="s" s="10">
        <v>2712</v>
      </c>
      <c r="L508" s="16">
        <f>HYPERLINK("http://www.sapiom.ai", "www.sapiom.ai")</f>
      </c>
      <c r="M508" s="16">
        <f>HYPERLINK("https://my.pitchbook.com?c=1153373-68", "View Company Online")</f>
      </c>
    </row>
    <row r="509">
      <c r="A509" t="s" s="11">
        <v>2714</v>
      </c>
      <c r="B509" t="s" s="11">
        <v>2715</v>
      </c>
      <c r="C509" t="s" s="11">
        <v>172</v>
      </c>
      <c r="D509" t="s" s="11">
        <v>173</v>
      </c>
      <c r="E509" t="s" s="11">
        <v>1964</v>
      </c>
      <c r="F509" s="28">
        <v>45930</v>
      </c>
      <c r="G509" t="s" s="11">
        <v>40</v>
      </c>
      <c r="H509" s="43">
        <v>24.01</v>
      </c>
      <c r="I509" s="43">
        <v>295.69</v>
      </c>
      <c r="J509" t="s" s="11">
        <v>2716</v>
      </c>
      <c r="K509" t="s" s="11">
        <v>2717</v>
      </c>
      <c r="L509" s="17">
        <f>HYPERLINK("http://www.encompasscorporation.com", "www.encompasscorporation.com")</f>
      </c>
      <c r="M509" s="17">
        <f>HYPERLINK("https://my.pitchbook.com?c=159217-30", "View Company Online")</f>
      </c>
    </row>
    <row r="510">
      <c r="A510" t="s" s="10">
        <v>2719</v>
      </c>
      <c r="B510" t="s" s="10">
        <v>2720</v>
      </c>
      <c r="C510" t="s" s="10">
        <v>60</v>
      </c>
      <c r="D510" t="s" s="10">
        <v>727</v>
      </c>
      <c r="E510" t="s" s="10">
        <v>137</v>
      </c>
      <c r="F510" t="s" s="27">
        <v>30</v>
      </c>
      <c r="G510" t="s" s="10">
        <v>40</v>
      </c>
      <c r="H510" t="s" s="42">
        <v>30</v>
      </c>
      <c r="I510" s="42">
        <v>289.94</v>
      </c>
      <c r="J510" t="s" s="10">
        <v>2721</v>
      </c>
      <c r="K510" t="s" s="10">
        <v>2722</v>
      </c>
      <c r="L510" s="16">
        <f>HYPERLINK("http://www.altoira.com", "www.altoira.com")</f>
      </c>
      <c r="M510" s="16">
        <f>HYPERLINK("https://my.pitchbook.com?c=125615-80", "View Company Online")</f>
      </c>
    </row>
    <row r="511">
      <c r="A511" t="s" s="11">
        <v>2724</v>
      </c>
      <c r="B511" t="s" s="11">
        <v>2725</v>
      </c>
      <c r="C511" t="s" s="11">
        <v>144</v>
      </c>
      <c r="D511" t="s" s="11">
        <v>297</v>
      </c>
      <c r="E511" t="s" s="11">
        <v>253</v>
      </c>
      <c r="F511" s="28">
        <v>45210</v>
      </c>
      <c r="G511" t="s" s="11">
        <v>31</v>
      </c>
      <c r="H511" s="43">
        <v>294.52</v>
      </c>
      <c r="I511" s="43">
        <v>287.06</v>
      </c>
      <c r="J511" t="s" s="11">
        <v>2726</v>
      </c>
      <c r="K511" t="s" s="11">
        <v>2727</v>
      </c>
      <c r="L511" s="17">
        <f>HYPERLINK("http://www.sonovate.com", "www.sonovate.com")</f>
      </c>
      <c r="M511" s="17">
        <f>HYPERLINK("https://my.pitchbook.com?c=152713-99", "View Company Online")</f>
      </c>
    </row>
    <row r="512">
      <c r="A512" t="s" s="10">
        <v>2729</v>
      </c>
      <c r="B512" t="s" s="10">
        <v>2730</v>
      </c>
      <c r="C512" t="s" s="10">
        <v>222</v>
      </c>
      <c r="D512" t="s" s="10">
        <v>252</v>
      </c>
      <c r="E512" t="s" s="10">
        <v>253</v>
      </c>
      <c r="F512" s="27">
        <v>44832</v>
      </c>
      <c r="G512" t="s" s="10">
        <v>64</v>
      </c>
      <c r="H512" t="s" s="42">
        <v>30</v>
      </c>
      <c r="I512" s="42">
        <v>284.67</v>
      </c>
      <c r="J512" t="s" s="10">
        <v>2731</v>
      </c>
      <c r="K512" t="s" s="10">
        <v>2732</v>
      </c>
      <c r="L512" s="16">
        <f>HYPERLINK("http://www.thinktrader.net", "www.thinktrader.net")</f>
      </c>
      <c r="M512" s="16">
        <f>HYPERLINK("https://my.pitchbook.com?c=343252-81", "View Company Online")</f>
      </c>
    </row>
    <row r="513">
      <c r="A513" t="s" s="11">
        <v>2734</v>
      </c>
      <c r="B513" t="s" s="11">
        <v>2735</v>
      </c>
      <c r="C513" t="s" s="11">
        <v>164</v>
      </c>
      <c r="D513" t="s" s="11">
        <v>165</v>
      </c>
      <c r="E513" t="s" s="11">
        <v>137</v>
      </c>
      <c r="F513" s="28">
        <v>46013</v>
      </c>
      <c r="G513" t="s" s="11">
        <v>64</v>
      </c>
      <c r="H513" t="s" s="43">
        <v>30</v>
      </c>
      <c r="I513" s="43">
        <v>284.59</v>
      </c>
      <c r="J513" t="s" s="11">
        <v>2736</v>
      </c>
      <c r="K513" t="s" s="11">
        <v>2737</v>
      </c>
      <c r="L513" s="17">
        <f>HYPERLINK("http://www.agree.com.cn", "www.agree.com.cn")</f>
      </c>
      <c r="M513" s="17">
        <f>HYPERLINK("https://my.pitchbook.com?c=490062-43", "View Company Online")</f>
      </c>
    </row>
    <row r="514">
      <c r="A514" t="s" s="10">
        <v>2739</v>
      </c>
      <c r="B514" t="s" s="10">
        <v>2740</v>
      </c>
      <c r="C514" t="s" s="10">
        <v>27</v>
      </c>
      <c r="D514" t="s" s="10">
        <v>122</v>
      </c>
      <c r="E514" t="s" s="10">
        <v>2741</v>
      </c>
      <c r="F514" s="27">
        <v>44726</v>
      </c>
      <c r="G514" t="s" s="10">
        <v>40</v>
      </c>
      <c r="H514" s="42">
        <v>102.26</v>
      </c>
      <c r="I514" s="42">
        <v>283.62</v>
      </c>
      <c r="J514" t="s" s="10">
        <v>2742</v>
      </c>
      <c r="K514" t="s" s="10">
        <v>2743</v>
      </c>
      <c r="L514" s="16">
        <f>HYPERLINK("http://www.onafriq.com", "www.onafriq.com")</f>
      </c>
      <c r="M514" s="16">
        <f>HYPERLINK("https://my.pitchbook.com?c=121491-55", "View Company Online")</f>
      </c>
    </row>
    <row r="515">
      <c r="A515" t="s" s="11">
        <v>2745</v>
      </c>
      <c r="B515" t="s" s="11">
        <v>2746</v>
      </c>
      <c r="C515" t="s" s="11">
        <v>60</v>
      </c>
      <c r="D515" t="s" s="11">
        <v>246</v>
      </c>
      <c r="E515" t="s" s="11">
        <v>1652</v>
      </c>
      <c r="F515" s="28">
        <v>45658</v>
      </c>
      <c r="G515" t="s" s="11">
        <v>607</v>
      </c>
      <c r="H515" t="s" s="43">
        <v>30</v>
      </c>
      <c r="I515" s="43">
        <v>282.64</v>
      </c>
      <c r="J515" t="s" s="11">
        <v>2747</v>
      </c>
      <c r="K515" t="s" s="11">
        <v>2748</v>
      </c>
      <c r="L515" s="17">
        <f>HYPERLINK("http://www.stashaway.sg", "www.stashaway.sg")</f>
      </c>
      <c r="M515" s="17">
        <f>HYPERLINK("https://my.pitchbook.com?c=181176-67", "View Company Online")</f>
      </c>
    </row>
    <row r="516">
      <c r="A516" t="s" s="10">
        <v>2750</v>
      </c>
      <c r="B516" t="s" s="10">
        <v>2751</v>
      </c>
      <c r="C516" t="s" s="10">
        <v>60</v>
      </c>
      <c r="D516" t="s" s="10">
        <v>192</v>
      </c>
      <c r="E516" t="s" s="10">
        <v>29</v>
      </c>
      <c r="F516" s="27">
        <v>46049</v>
      </c>
      <c r="G516" t="s" s="10">
        <v>40</v>
      </c>
      <c r="H516" s="42">
        <v>22.91</v>
      </c>
      <c r="I516" s="42">
        <v>280.33</v>
      </c>
      <c r="J516" t="s" s="10">
        <v>2752</v>
      </c>
      <c r="K516" t="s" s="10">
        <v>2753</v>
      </c>
      <c r="L516" s="16">
        <f>HYPERLINK("http://www.getchip.uk", "www.getchip.uk")</f>
      </c>
      <c r="M516" s="16">
        <f>HYPERLINK("https://my.pitchbook.com?c=223472-53", "View Company Online")</f>
      </c>
    </row>
    <row r="517">
      <c r="A517" t="s" s="11">
        <v>2755</v>
      </c>
      <c r="B517" t="s" s="11">
        <v>2756</v>
      </c>
      <c r="C517" t="s" s="11">
        <v>164</v>
      </c>
      <c r="D517" t="s" s="11">
        <v>165</v>
      </c>
      <c r="E517" t="s" s="11">
        <v>373</v>
      </c>
      <c r="F517" s="28">
        <v>45721</v>
      </c>
      <c r="G517" t="s" s="11">
        <v>40</v>
      </c>
      <c r="H517" t="s" s="43">
        <v>30</v>
      </c>
      <c r="I517" s="43">
        <v>280</v>
      </c>
      <c r="J517" t="s" s="11">
        <v>2757</v>
      </c>
      <c r="K517" t="s" s="11">
        <v>2758</v>
      </c>
      <c r="L517" s="17">
        <f>HYPERLINK("http://www.episodesix.com", "www.episodesix.com")</f>
      </c>
      <c r="M517" s="17">
        <f>HYPERLINK("https://my.pitchbook.com?c=178185-07", "View Company Online")</f>
      </c>
    </row>
    <row r="518">
      <c r="A518" t="s" s="10">
        <v>2760</v>
      </c>
      <c r="B518" t="s" s="10">
        <v>2761</v>
      </c>
      <c r="C518" t="s" s="10">
        <v>128</v>
      </c>
      <c r="D518" t="s" s="10">
        <v>199</v>
      </c>
      <c r="E518" t="s" s="10">
        <v>158</v>
      </c>
      <c r="F518" t="s" s="27">
        <v>30</v>
      </c>
      <c r="G518" t="s" s="10">
        <v>40</v>
      </c>
      <c r="H518" t="s" s="42">
        <v>30</v>
      </c>
      <c r="I518" s="42">
        <v>280</v>
      </c>
      <c r="J518" t="s" s="10">
        <v>2762</v>
      </c>
      <c r="K518" t="s" s="10">
        <v>2763</v>
      </c>
      <c r="L518" s="16">
        <f>HYPERLINK("http://www.recargapay.com.br", "www.recargapay.com.br")</f>
      </c>
      <c r="M518" s="16">
        <f>HYPERLINK("https://my.pitchbook.com?c=91718-56", "View Company Online")</f>
      </c>
    </row>
    <row r="519">
      <c r="A519" t="s" s="11">
        <v>2765</v>
      </c>
      <c r="B519" t="s" s="11">
        <v>2766</v>
      </c>
      <c r="C519" t="s" s="11">
        <v>37</v>
      </c>
      <c r="D519" t="s" s="11">
        <v>38</v>
      </c>
      <c r="E519" t="s" s="11">
        <v>1109</v>
      </c>
      <c r="F519" s="28">
        <v>46144</v>
      </c>
      <c r="G519" t="s" s="11">
        <v>40</v>
      </c>
      <c r="H519" t="s" s="43">
        <v>30</v>
      </c>
      <c r="I519" s="43">
        <v>279.85</v>
      </c>
      <c r="J519" t="s" s="11">
        <v>2767</v>
      </c>
      <c r="K519" t="s" s="11">
        <v>2768</v>
      </c>
      <c r="L519" s="17">
        <f>HYPERLINK("http://www.kyash.co", "www.kyash.co")</f>
      </c>
      <c r="M519" s="17">
        <f>HYPERLINK("https://my.pitchbook.com?c=169126-48", "View Company Online")</f>
      </c>
    </row>
    <row r="520">
      <c r="A520" t="s" s="10">
        <v>2770</v>
      </c>
      <c r="B520" t="s" s="10">
        <v>2771</v>
      </c>
      <c r="C520" t="s" s="10">
        <v>164</v>
      </c>
      <c r="D520" t="s" s="10">
        <v>206</v>
      </c>
      <c r="E520" t="s" s="10">
        <v>253</v>
      </c>
      <c r="F520" s="27">
        <v>44398</v>
      </c>
      <c r="G520" t="s" s="10">
        <v>146</v>
      </c>
      <c r="H520" s="42">
        <v>50.97</v>
      </c>
      <c r="I520" s="42">
        <v>278.11</v>
      </c>
      <c r="J520" t="s" s="10">
        <v>2772</v>
      </c>
      <c r="K520" t="s" s="10">
        <v>2773</v>
      </c>
      <c r="L520" s="16">
        <f>HYPERLINK("http://www.yapily.com", "www.yapily.com")</f>
      </c>
      <c r="M520" s="16">
        <f>HYPERLINK("https://my.pitchbook.com?c=235254-52", "View Company Online")</f>
      </c>
    </row>
    <row r="521">
      <c r="A521" t="s" s="11">
        <v>2775</v>
      </c>
      <c r="B521" t="s" s="11">
        <v>2776</v>
      </c>
      <c r="C521" t="s" s="11">
        <v>164</v>
      </c>
      <c r="D521" t="s" s="11">
        <v>165</v>
      </c>
      <c r="E521" t="s" s="11">
        <v>859</v>
      </c>
      <c r="F521" s="28">
        <v>45833</v>
      </c>
      <c r="G521" t="s" s="11">
        <v>40</v>
      </c>
      <c r="H521" s="43">
        <v>13.9</v>
      </c>
      <c r="I521" s="43">
        <v>278.06</v>
      </c>
      <c r="J521" t="s" s="11">
        <v>2777</v>
      </c>
      <c r="K521" t="s" s="11">
        <v>2778</v>
      </c>
      <c r="L521" s="17">
        <f>HYPERLINK("http://www.stacs.cn", "www.stacs.cn")</f>
      </c>
      <c r="M521" s="17">
        <f>HYPERLINK("https://my.pitchbook.com?c=527493-88", "View Company Online")</f>
      </c>
    </row>
    <row r="522">
      <c r="A522" t="s" s="10">
        <v>2780</v>
      </c>
      <c r="B522" t="s" s="10">
        <v>2781</v>
      </c>
      <c r="C522" t="s" s="10">
        <v>60</v>
      </c>
      <c r="D522" t="s" s="10">
        <v>727</v>
      </c>
      <c r="E522" t="s" s="10">
        <v>2782</v>
      </c>
      <c r="F522" s="27">
        <v>45968</v>
      </c>
      <c r="G522" t="s" s="10">
        <v>40</v>
      </c>
      <c r="H522" s="42">
        <v>25</v>
      </c>
      <c r="I522" s="42">
        <v>277</v>
      </c>
      <c r="J522" t="s" s="10">
        <v>2783</v>
      </c>
      <c r="K522" t="s" s="10">
        <v>2784</v>
      </c>
      <c r="L522" s="16">
        <f>HYPERLINK("http://www.arrived.com", "www.arrived.com")</f>
      </c>
      <c r="M522" s="16">
        <f>HYPERLINK("https://my.pitchbook.com?c=439426-90", "View Company Online")</f>
      </c>
    </row>
    <row r="523">
      <c r="A523" t="s" s="11">
        <v>2786</v>
      </c>
      <c r="B523" t="s" s="11">
        <v>2787</v>
      </c>
      <c r="C523" t="s" s="11">
        <v>27</v>
      </c>
      <c r="D523" t="s" s="11">
        <v>70</v>
      </c>
      <c r="E523" t="s" s="11">
        <v>2788</v>
      </c>
      <c r="F523" s="28">
        <v>45996</v>
      </c>
      <c r="G523" t="s" s="11">
        <v>40</v>
      </c>
      <c r="H523" s="43">
        <v>26</v>
      </c>
      <c r="I523" s="43">
        <v>274</v>
      </c>
      <c r="J523" t="s" s="11">
        <v>2789</v>
      </c>
      <c r="K523" t="s" s="11">
        <v>2790</v>
      </c>
      <c r="L523" s="17">
        <f>HYPERLINK("http://www.n3xt.io", "www.n3xt.io")</f>
      </c>
      <c r="M523" s="17">
        <f>HYPERLINK("https://my.pitchbook.com?c=753044-14", "View Company Online")</f>
      </c>
    </row>
    <row r="524">
      <c r="A524" t="s" s="10">
        <v>2792</v>
      </c>
      <c r="B524" t="s" s="10">
        <v>2793</v>
      </c>
      <c r="C524" t="s" s="10">
        <v>114</v>
      </c>
      <c r="D524" t="s" s="10">
        <v>115</v>
      </c>
      <c r="E524" t="s" s="10">
        <v>270</v>
      </c>
      <c r="F524" s="27">
        <v>45874</v>
      </c>
      <c r="G524" t="s" s="10">
        <v>40</v>
      </c>
      <c r="H524" s="42">
        <v>28</v>
      </c>
      <c r="I524" s="42">
        <v>271.4</v>
      </c>
      <c r="J524" t="s" s="10">
        <v>2794</v>
      </c>
      <c r="K524" t="s" s="10">
        <v>2795</v>
      </c>
      <c r="L524" s="16">
        <f>HYPERLINK("http://www.ummeedhfc.com", "www.ummeedhfc.com")</f>
      </c>
      <c r="M524" s="16">
        <f>HYPERLINK("https://my.pitchbook.com?c=167179-15", "View Company Online")</f>
      </c>
    </row>
    <row r="525">
      <c r="A525" t="s" s="11">
        <v>2797</v>
      </c>
      <c r="B525" t="s" s="11">
        <v>2798</v>
      </c>
      <c r="C525" t="s" s="11">
        <v>60</v>
      </c>
      <c r="D525" t="s" s="11">
        <v>246</v>
      </c>
      <c r="E525" t="s" s="11">
        <v>270</v>
      </c>
      <c r="F525" s="28">
        <v>45685</v>
      </c>
      <c r="G525" t="s" s="11">
        <v>40</v>
      </c>
      <c r="H525" s="43">
        <v>33.79</v>
      </c>
      <c r="I525" s="43">
        <v>270</v>
      </c>
      <c r="J525" t="s" s="11">
        <v>2799</v>
      </c>
      <c r="K525" t="s" s="11">
        <v>2800</v>
      </c>
      <c r="L525" s="17">
        <f>HYPERLINK("http://www.creditgenie.com", "www.creditgenie.com")</f>
      </c>
      <c r="M525" s="17">
        <f>HYPERLINK("https://my.pitchbook.com?c=489043-63", "View Company Online")</f>
      </c>
    </row>
    <row r="526">
      <c r="A526" t="s" s="10">
        <v>2802</v>
      </c>
      <c r="B526" t="s" s="10">
        <v>2803</v>
      </c>
      <c r="C526" t="s" s="10">
        <v>60</v>
      </c>
      <c r="D526" t="s" s="10">
        <v>420</v>
      </c>
      <c r="E526" t="s" s="10">
        <v>253</v>
      </c>
      <c r="F526" t="s" s="27">
        <v>30</v>
      </c>
      <c r="G526" t="s" s="10">
        <v>48</v>
      </c>
      <c r="H526" t="s" s="42">
        <v>30</v>
      </c>
      <c r="I526" s="42">
        <v>270</v>
      </c>
      <c r="J526" t="s" s="10">
        <v>2804</v>
      </c>
      <c r="K526" t="s" s="10">
        <v>2805</v>
      </c>
      <c r="L526" s="16">
        <f>HYPERLINK("http://www.facet.com", "www.facet.com")</f>
      </c>
      <c r="M526" s="16">
        <f>HYPERLINK("https://my.pitchbook.com?c=224032-42", "View Company Online")</f>
      </c>
    </row>
    <row r="527">
      <c r="A527" t="s" s="11">
        <v>2807</v>
      </c>
      <c r="B527" t="s" s="11">
        <v>2808</v>
      </c>
      <c r="C527" t="s" s="11">
        <v>222</v>
      </c>
      <c r="D527" t="s" s="11">
        <v>235</v>
      </c>
      <c r="E527" t="s" s="11">
        <v>373</v>
      </c>
      <c r="F527" s="28">
        <v>45974</v>
      </c>
      <c r="G527" t="s" s="11">
        <v>40</v>
      </c>
      <c r="H527" s="43">
        <v>50</v>
      </c>
      <c r="I527" s="43">
        <v>270</v>
      </c>
      <c r="J527" t="s" s="11">
        <v>2809</v>
      </c>
      <c r="K527" t="s" s="11">
        <v>2810</v>
      </c>
      <c r="L527" s="17">
        <f>HYPERLINK("http://www.maybern.com", "www.maybern.com")</f>
      </c>
      <c r="M527" s="17">
        <f>HYPERLINK("https://my.pitchbook.com?c=506801-98", "View Company Online")</f>
      </c>
    </row>
    <row r="528">
      <c r="A528" t="s" s="10">
        <v>2812</v>
      </c>
      <c r="B528" t="s" s="10">
        <v>2813</v>
      </c>
      <c r="C528" t="s" s="10">
        <v>27</v>
      </c>
      <c r="D528" t="s" s="10">
        <v>28</v>
      </c>
      <c r="E528" t="s" s="10">
        <v>859</v>
      </c>
      <c r="F528" s="27">
        <v>45951</v>
      </c>
      <c r="G528" t="s" s="10">
        <v>40</v>
      </c>
      <c r="H528" s="42">
        <v>8.01</v>
      </c>
      <c r="I528" s="42">
        <v>269.21</v>
      </c>
      <c r="J528" t="s" s="10">
        <v>2814</v>
      </c>
      <c r="K528" t="s" s="10">
        <v>2815</v>
      </c>
      <c r="L528" s="16">
        <f>HYPERLINK("http://www.fomopay.com", "www.fomopay.com")</f>
      </c>
      <c r="M528" s="16">
        <f>HYPERLINK("https://my.pitchbook.com?c=180106-84", "View Company Online")</f>
      </c>
    </row>
    <row r="529">
      <c r="A529" t="s" s="11">
        <v>2817</v>
      </c>
      <c r="B529" t="s" s="11">
        <v>2818</v>
      </c>
      <c r="C529" t="s" s="11">
        <v>114</v>
      </c>
      <c r="D529" t="s" s="11">
        <v>870</v>
      </c>
      <c r="E529" t="s" s="11">
        <v>270</v>
      </c>
      <c r="F529" s="28">
        <v>46174</v>
      </c>
      <c r="G529" t="s" s="11">
        <v>40</v>
      </c>
      <c r="H529" t="s" s="43">
        <v>30</v>
      </c>
      <c r="I529" s="43">
        <v>267.5</v>
      </c>
      <c r="J529" t="s" s="11">
        <v>2819</v>
      </c>
      <c r="K529" t="s" s="11">
        <v>2820</v>
      </c>
      <c r="L529" s="17">
        <f>HYPERLINK("http://branch.co", "branch.co")</f>
      </c>
      <c r="M529" s="17">
        <f>HYPERLINK("https://my.pitchbook.com?c=112793-41", "View Company Online")</f>
      </c>
    </row>
    <row r="530">
      <c r="A530" t="s" s="10">
        <v>2822</v>
      </c>
      <c r="B530" t="s" s="10">
        <v>2823</v>
      </c>
      <c r="C530" t="s" s="10">
        <v>60</v>
      </c>
      <c r="D530" t="s" s="10">
        <v>432</v>
      </c>
      <c r="E530" t="s" s="10">
        <v>2824</v>
      </c>
      <c r="F530" s="27">
        <v>45391</v>
      </c>
      <c r="G530" t="s" s="10">
        <v>40</v>
      </c>
      <c r="H530" s="42">
        <v>80</v>
      </c>
      <c r="I530" s="42">
        <v>267.47</v>
      </c>
      <c r="J530" t="s" s="10">
        <v>2825</v>
      </c>
      <c r="K530" t="s" s="10">
        <v>2826</v>
      </c>
      <c r="L530" s="16">
        <f>HYPERLINK("http://www.novidea.com", "www.novidea.com")</f>
      </c>
      <c r="M530" s="16">
        <f>HYPERLINK("https://my.pitchbook.com?c=58852-27", "View Company Online")</f>
      </c>
    </row>
    <row r="531">
      <c r="A531" t="s" s="11">
        <v>2828</v>
      </c>
      <c r="B531" t="s" s="11">
        <v>2829</v>
      </c>
      <c r="C531" t="s" s="11">
        <v>144</v>
      </c>
      <c r="D531" t="s" s="11">
        <v>38</v>
      </c>
      <c r="E531" t="s" s="11">
        <v>270</v>
      </c>
      <c r="F531" s="28">
        <v>44308</v>
      </c>
      <c r="G531" t="s" s="11">
        <v>146</v>
      </c>
      <c r="H531" s="43">
        <v>55</v>
      </c>
      <c r="I531" s="43">
        <v>265</v>
      </c>
      <c r="J531" t="s" s="11">
        <v>2830</v>
      </c>
      <c r="K531" t="s" s="11">
        <v>2831</v>
      </c>
      <c r="L531" s="17">
        <f>HYPERLINK("http://www.lili.co", "www.lili.co")</f>
      </c>
      <c r="M531" s="17">
        <f>HYPERLINK("https://my.pitchbook.com?c=268586-83", "View Company Online")</f>
      </c>
    </row>
    <row r="532">
      <c r="A532" t="s" s="10">
        <v>2833</v>
      </c>
      <c r="B532" t="s" s="10">
        <v>2834</v>
      </c>
      <c r="C532" t="s" s="10">
        <v>114</v>
      </c>
      <c r="D532" t="s" s="10">
        <v>115</v>
      </c>
      <c r="E532" t="s" s="10">
        <v>2835</v>
      </c>
      <c r="F532" s="27">
        <v>45119</v>
      </c>
      <c r="G532" t="s" s="10">
        <v>40</v>
      </c>
      <c r="H532" s="42">
        <v>13</v>
      </c>
      <c r="I532" s="42">
        <v>263</v>
      </c>
      <c r="J532" t="s" s="10">
        <v>2836</v>
      </c>
      <c r="K532" t="s" s="10">
        <v>2837</v>
      </c>
      <c r="L532" s="16">
        <f>HYPERLINK("http://www.gethearth.com", "www.gethearth.com")</f>
      </c>
      <c r="M532" s="16">
        <f>HYPERLINK("https://my.pitchbook.com?c=178320-52", "View Company Online")</f>
      </c>
    </row>
    <row r="533">
      <c r="A533" t="s" s="11">
        <v>2839</v>
      </c>
      <c r="B533" t="s" s="11">
        <v>2840</v>
      </c>
      <c r="C533" t="s" s="11">
        <v>172</v>
      </c>
      <c r="D533" t="s" s="11">
        <v>1454</v>
      </c>
      <c r="E533" t="s" s="11">
        <v>1277</v>
      </c>
      <c r="F533" s="28">
        <v>45133</v>
      </c>
      <c r="G533" t="s" s="11">
        <v>40</v>
      </c>
      <c r="H533" s="43">
        <v>50</v>
      </c>
      <c r="I533" s="43">
        <v>260</v>
      </c>
      <c r="J533" t="s" s="11">
        <v>2841</v>
      </c>
      <c r="K533" t="s" s="11">
        <v>2842</v>
      </c>
      <c r="L533" s="17">
        <f>HYPERLINK("http://www.enigma.com", "www.enigma.com")</f>
      </c>
      <c r="M533" s="17">
        <f>HYPERLINK("https://my.pitchbook.com?c=56212-03", "View Company Online")</f>
      </c>
    </row>
    <row r="534">
      <c r="A534" t="s" s="10">
        <v>2844</v>
      </c>
      <c r="B534" t="s" s="10">
        <v>2845</v>
      </c>
      <c r="C534" t="s" s="10">
        <v>37</v>
      </c>
      <c r="D534" t="s" s="10">
        <v>38</v>
      </c>
      <c r="E534" t="s" s="10">
        <v>270</v>
      </c>
      <c r="F534" s="27">
        <v>45931</v>
      </c>
      <c r="G534" t="s" s="10">
        <v>40</v>
      </c>
      <c r="H534" s="42">
        <v>140</v>
      </c>
      <c r="I534" s="42">
        <v>256.51</v>
      </c>
      <c r="J534" t="s" s="10">
        <v>2846</v>
      </c>
      <c r="K534" t="s" s="10">
        <v>2847</v>
      </c>
      <c r="L534" s="16">
        <f>HYPERLINK("http://www.honest.co.id", "www.honest.co.id")</f>
      </c>
      <c r="M534" s="16">
        <f>HYPERLINK("https://my.pitchbook.com?c=442384-03", "View Company Online")</f>
      </c>
    </row>
    <row r="535">
      <c r="A535" t="s" s="11">
        <v>2849</v>
      </c>
      <c r="B535" t="s" s="11">
        <v>2850</v>
      </c>
      <c r="C535" t="s" s="11">
        <v>222</v>
      </c>
      <c r="D535" t="s" s="11">
        <v>235</v>
      </c>
      <c r="E535" t="s" s="11">
        <v>646</v>
      </c>
      <c r="F535" s="28">
        <v>45352</v>
      </c>
      <c r="G535" t="s" s="11">
        <v>40</v>
      </c>
      <c r="H535" t="s" s="43">
        <v>30</v>
      </c>
      <c r="I535" s="43">
        <v>255</v>
      </c>
      <c r="J535" t="s" s="11">
        <v>2851</v>
      </c>
      <c r="K535" t="s" s="11">
        <v>2852</v>
      </c>
      <c r="L535" s="17">
        <f>HYPERLINK("http://www.pulley.com", "www.pulley.com")</f>
      </c>
      <c r="M535" s="17">
        <f>HYPERLINK("https://my.pitchbook.com?c=433412-83", "View Company Online")</f>
      </c>
    </row>
    <row r="536">
      <c r="A536" t="s" s="10">
        <v>2854</v>
      </c>
      <c r="B536" t="s" s="10">
        <v>2855</v>
      </c>
      <c r="C536" t="s" s="10">
        <v>37</v>
      </c>
      <c r="D536" t="s" s="10">
        <v>304</v>
      </c>
      <c r="E536" t="s" s="10">
        <v>158</v>
      </c>
      <c r="F536" s="27">
        <v>45805</v>
      </c>
      <c r="G536" t="s" s="10">
        <v>584</v>
      </c>
      <c r="H536" s="42">
        <v>89.61</v>
      </c>
      <c r="I536" s="42">
        <v>254.83</v>
      </c>
      <c r="J536" t="s" s="10">
        <v>2856</v>
      </c>
      <c r="K536" t="s" s="10">
        <v>2857</v>
      </c>
      <c r="L536" s="16">
        <f>HYPERLINK("http://www.firstdigitalfinance.com", "www.firstdigitalfinance.com")</f>
      </c>
      <c r="M536" s="16">
        <f>HYPERLINK("https://my.pitchbook.com?c=490244-68", "View Company Online")</f>
      </c>
    </row>
    <row r="537">
      <c r="A537" t="s" s="11">
        <v>2859</v>
      </c>
      <c r="B537" t="s" s="11">
        <v>2860</v>
      </c>
      <c r="C537" t="s" s="11">
        <v>46</v>
      </c>
      <c r="D537" t="s" s="11">
        <v>915</v>
      </c>
      <c r="E537" t="s" s="11">
        <v>373</v>
      </c>
      <c r="F537" s="28">
        <v>45203</v>
      </c>
      <c r="G537" t="s" s="11">
        <v>146</v>
      </c>
      <c r="H537" s="43">
        <v>43</v>
      </c>
      <c r="I537" s="43">
        <v>253</v>
      </c>
      <c r="J537" t="s" s="11">
        <v>2861</v>
      </c>
      <c r="K537" t="s" s="11">
        <v>2862</v>
      </c>
      <c r="L537" s="17">
        <f>HYPERLINK("http://www.vareto.com", "www.vareto.com")</f>
      </c>
      <c r="M537" s="17">
        <f>HYPERLINK("https://my.pitchbook.com?c=463617-19", "View Company Online")</f>
      </c>
    </row>
    <row r="538">
      <c r="A538" t="s" s="10">
        <v>2864</v>
      </c>
      <c r="B538" t="s" s="10">
        <v>2865</v>
      </c>
      <c r="C538" t="s" s="10">
        <v>114</v>
      </c>
      <c r="D538" t="s" s="10">
        <v>870</v>
      </c>
      <c r="E538" t="s" s="10">
        <v>158</v>
      </c>
      <c r="F538" s="27">
        <v>46026</v>
      </c>
      <c r="G538" t="s" s="10">
        <v>64</v>
      </c>
      <c r="H538" s="42">
        <v>341.11</v>
      </c>
      <c r="I538" s="42">
        <v>252.42</v>
      </c>
      <c r="J538" t="s" s="10">
        <v>2866</v>
      </c>
      <c r="K538" t="s" s="10">
        <v>2867</v>
      </c>
      <c r="L538" s="16">
        <f>HYPERLINK("http://www.truebalance.io", "www.truebalance.io")</f>
      </c>
      <c r="M538" s="16">
        <f>HYPERLINK("https://my.pitchbook.com?c=156130-93", "View Company Online")</f>
      </c>
    </row>
    <row r="539">
      <c r="A539" t="s" s="11">
        <v>2869</v>
      </c>
      <c r="B539" t="s" s="11">
        <v>2870</v>
      </c>
      <c r="C539" t="s" s="11">
        <v>114</v>
      </c>
      <c r="D539" t="s" s="11">
        <v>136</v>
      </c>
      <c r="E539" t="s" s="11">
        <v>623</v>
      </c>
      <c r="F539" s="28">
        <v>45328</v>
      </c>
      <c r="G539" t="s" s="11">
        <v>31</v>
      </c>
      <c r="H539" s="43">
        <v>150</v>
      </c>
      <c r="I539" s="43">
        <v>252.18</v>
      </c>
      <c r="J539" t="s" s="11">
        <v>2871</v>
      </c>
      <c r="K539" t="s" s="11">
        <v>2872</v>
      </c>
      <c r="L539" s="17">
        <f>HYPERLINK("http://www.idfinance.com", "www.idfinance.com")</f>
      </c>
      <c r="M539" s="17">
        <f>HYPERLINK("https://my.pitchbook.com?c=96418-54", "View Company Online")</f>
      </c>
    </row>
    <row r="540">
      <c r="A540" t="s" s="10">
        <v>2874</v>
      </c>
      <c r="B540" t="s" s="10">
        <v>2875</v>
      </c>
      <c r="C540" t="s" s="10">
        <v>60</v>
      </c>
      <c r="D540" t="s" s="10">
        <v>246</v>
      </c>
      <c r="E540" t="s" s="10">
        <v>29</v>
      </c>
      <c r="F540" s="27">
        <v>45929</v>
      </c>
      <c r="G540" t="s" s="10">
        <v>48</v>
      </c>
      <c r="H540" t="s" s="42">
        <v>30</v>
      </c>
      <c r="I540" s="42">
        <v>252</v>
      </c>
      <c r="J540" t="s" s="10">
        <v>2876</v>
      </c>
      <c r="K540" t="s" s="10">
        <v>2877</v>
      </c>
      <c r="L540" s="16">
        <f>HYPERLINK("http://www.albert.com", "www.albert.com")</f>
      </c>
      <c r="M540" s="16">
        <f>HYPERLINK("https://my.pitchbook.com?c=153351-46", "View Company Online")</f>
      </c>
    </row>
    <row r="541">
      <c r="A541" t="s" s="11">
        <v>2879</v>
      </c>
      <c r="B541" t="s" s="11">
        <v>2880</v>
      </c>
      <c r="C541" t="s" s="11">
        <v>46</v>
      </c>
      <c r="D541" t="s" s="11">
        <v>397</v>
      </c>
      <c r="E541" t="s" s="11">
        <v>634</v>
      </c>
      <c r="F541" s="28">
        <v>45355</v>
      </c>
      <c r="G541" t="s" s="11">
        <v>40</v>
      </c>
      <c r="H541" t="s" s="43">
        <v>30</v>
      </c>
      <c r="I541" s="43">
        <v>252</v>
      </c>
      <c r="J541" t="s" s="11">
        <v>2881</v>
      </c>
      <c r="K541" t="s" s="11">
        <v>2882</v>
      </c>
      <c r="L541" s="17">
        <f>HYPERLINK("http://www.botkeeper.com", "www.botkeeper.com")</f>
      </c>
      <c r="M541" s="17">
        <f>HYPERLINK("https://my.pitchbook.com?c=178484-59", "View Company Online")</f>
      </c>
    </row>
    <row r="542">
      <c r="A542" t="s" s="10">
        <v>2884</v>
      </c>
      <c r="B542" t="s" s="10">
        <v>2885</v>
      </c>
      <c r="C542" t="s" s="10">
        <v>222</v>
      </c>
      <c r="D542" t="s" s="10">
        <v>223</v>
      </c>
      <c r="E542" t="s" s="10">
        <v>2886</v>
      </c>
      <c r="F542" s="27">
        <v>45957</v>
      </c>
      <c r="G542" t="s" s="10">
        <v>138</v>
      </c>
      <c r="H542" s="42">
        <v>250</v>
      </c>
      <c r="I542" s="42">
        <v>250</v>
      </c>
      <c r="J542" t="s" s="10">
        <v>2887</v>
      </c>
      <c r="K542" t="s" s="10">
        <v>2888</v>
      </c>
      <c r="L542" s="16">
        <f>HYPERLINK("http://www.bmlltech.com", "www.bmlltech.com")</f>
      </c>
      <c r="M542" s="16">
        <f>HYPERLINK("https://my.pitchbook.com?c=151347-97", "View Company Online")</f>
      </c>
    </row>
    <row r="543">
      <c r="A543" t="s" s="11">
        <v>2890</v>
      </c>
      <c r="B543" t="s" s="11">
        <v>2891</v>
      </c>
      <c r="C543" t="s" s="11">
        <v>27</v>
      </c>
      <c r="D543" t="s" s="11">
        <v>28</v>
      </c>
      <c r="E543" t="s" s="11">
        <v>259</v>
      </c>
      <c r="F543" s="28">
        <v>45427</v>
      </c>
      <c r="G543" t="s" s="11">
        <v>40</v>
      </c>
      <c r="H543" s="43">
        <v>25</v>
      </c>
      <c r="I543" s="43">
        <v>250</v>
      </c>
      <c r="J543" t="s" s="11">
        <v>2892</v>
      </c>
      <c r="K543" t="s" s="11">
        <v>2893</v>
      </c>
      <c r="L543" s="17">
        <f>HYPERLINK("http://www.easypay.in", "www.easypay.in")</f>
      </c>
      <c r="M543" s="17">
        <f>HYPERLINK("https://my.pitchbook.com?c=129725-56", "View Company Online")</f>
      </c>
    </row>
    <row r="544">
      <c r="A544" t="s" s="10">
        <v>2895</v>
      </c>
      <c r="B544" t="s" s="10">
        <v>2896</v>
      </c>
      <c r="C544" t="s" s="10">
        <v>27</v>
      </c>
      <c r="D544" t="s" s="10">
        <v>28</v>
      </c>
      <c r="E544" t="s" s="10">
        <v>2897</v>
      </c>
      <c r="F544" s="27">
        <v>44166</v>
      </c>
      <c r="G544" t="s" s="10">
        <v>40</v>
      </c>
      <c r="H544" s="42">
        <v>40</v>
      </c>
      <c r="I544" s="42">
        <v>250</v>
      </c>
      <c r="J544" t="s" s="10">
        <v>2898</v>
      </c>
      <c r="K544" t="s" s="10">
        <v>2899</v>
      </c>
      <c r="L544" s="16">
        <f>HYPERLINK("http://www.gosite.com", "www.gosite.com")</f>
      </c>
      <c r="M544" s="16">
        <f>HYPERLINK("https://my.pitchbook.com?c=142852-96", "View Company Online")</f>
      </c>
    </row>
    <row r="545">
      <c r="A545" t="s" s="11">
        <v>2901</v>
      </c>
      <c r="B545" t="s" s="11">
        <v>2902</v>
      </c>
      <c r="C545" t="s" s="11">
        <v>164</v>
      </c>
      <c r="D545" t="s" s="11">
        <v>934</v>
      </c>
      <c r="E545" t="s" s="11">
        <v>916</v>
      </c>
      <c r="F545" s="28">
        <v>46176</v>
      </c>
      <c r="G545" t="s" s="11">
        <v>391</v>
      </c>
      <c r="H545" t="s" s="43">
        <v>30</v>
      </c>
      <c r="I545" s="43">
        <v>250</v>
      </c>
      <c r="J545" t="s" s="11">
        <v>2903</v>
      </c>
      <c r="K545" t="s" s="11">
        <v>30</v>
      </c>
      <c r="L545" s="17">
        <f>HYPERLINK("http://www.kumo.ai", "www.kumo.ai")</f>
      </c>
      <c r="M545" s="17">
        <f>HYPERLINK("https://my.pitchbook.com?c=484812-19", "View Company Online")</f>
      </c>
    </row>
    <row r="546">
      <c r="A546" t="s" s="10">
        <v>2905</v>
      </c>
      <c r="B546" t="s" s="10">
        <v>2906</v>
      </c>
      <c r="C546" t="s" s="10">
        <v>37</v>
      </c>
      <c r="D546" t="s" s="10">
        <v>38</v>
      </c>
      <c r="E546" t="s" s="10">
        <v>193</v>
      </c>
      <c r="F546" s="27">
        <v>45434</v>
      </c>
      <c r="G546" t="s" s="10">
        <v>40</v>
      </c>
      <c r="H546" s="42">
        <v>79.75</v>
      </c>
      <c r="I546" s="42">
        <v>250</v>
      </c>
      <c r="J546" t="s" s="10">
        <v>2907</v>
      </c>
      <c r="K546" t="s" s="10">
        <v>2908</v>
      </c>
      <c r="L546" s="16">
        <f>HYPERLINK("http://www.majority.com", "www.majority.com")</f>
      </c>
      <c r="M546" s="16">
        <f>HYPERLINK("https://my.pitchbook.com?c=434949-76", "View Company Online")</f>
      </c>
    </row>
    <row r="547">
      <c r="A547" t="s" s="11">
        <v>2910</v>
      </c>
      <c r="B547" t="s" s="11">
        <v>2911</v>
      </c>
      <c r="C547" t="s" s="11">
        <v>114</v>
      </c>
      <c r="D547" t="s" s="11">
        <v>136</v>
      </c>
      <c r="E547" t="s" s="11">
        <v>137</v>
      </c>
      <c r="F547" s="28">
        <v>45013</v>
      </c>
      <c r="G547" t="s" s="11">
        <v>40</v>
      </c>
      <c r="H547" t="s" s="43">
        <v>30</v>
      </c>
      <c r="I547" s="43">
        <v>250</v>
      </c>
      <c r="J547" t="s" s="11">
        <v>2912</v>
      </c>
      <c r="K547" t="s" s="11">
        <v>2913</v>
      </c>
      <c r="L547" s="17">
        <f>HYPERLINK("http://www.possiblefinance.com", "www.possiblefinance.com")</f>
      </c>
      <c r="M547" s="17">
        <f>HYPERLINK("https://my.pitchbook.com?c=222737-41", "View Company Online")</f>
      </c>
    </row>
    <row r="548">
      <c r="A548" t="s" s="10">
        <v>2915</v>
      </c>
      <c r="B548" t="s" s="10">
        <v>2916</v>
      </c>
      <c r="C548" t="s" s="10">
        <v>114</v>
      </c>
      <c r="D548" t="s" s="10">
        <v>136</v>
      </c>
      <c r="E548" t="s" s="10">
        <v>137</v>
      </c>
      <c r="F548" s="27">
        <v>45022</v>
      </c>
      <c r="G548" t="s" s="10">
        <v>146</v>
      </c>
      <c r="H548" s="42">
        <v>15.5</v>
      </c>
      <c r="I548" s="42">
        <v>250</v>
      </c>
      <c r="J548" t="s" s="10">
        <v>2917</v>
      </c>
      <c r="K548" t="s" s="10">
        <v>2918</v>
      </c>
      <c r="L548" s="16">
        <f>HYPERLINK("http://prism.co", "prism.co")</f>
      </c>
      <c r="M548" s="16">
        <f>HYPERLINK("https://my.pitchbook.com?c=496446-40", "View Company Online")</f>
      </c>
    </row>
    <row r="549">
      <c r="A549" t="s" s="11">
        <v>2920</v>
      </c>
      <c r="B549" t="s" s="11">
        <v>2921</v>
      </c>
      <c r="C549" t="s" s="11">
        <v>164</v>
      </c>
      <c r="D549" t="s" s="11">
        <v>206</v>
      </c>
      <c r="E549" t="s" s="11">
        <v>158</v>
      </c>
      <c r="F549" s="28">
        <v>45047</v>
      </c>
      <c r="G549" t="s" s="11">
        <v>40</v>
      </c>
      <c r="H549" t="s" s="43">
        <v>30</v>
      </c>
      <c r="I549" s="43">
        <v>250</v>
      </c>
      <c r="J549" t="s" s="11">
        <v>2922</v>
      </c>
      <c r="K549" t="s" s="11">
        <v>2923</v>
      </c>
      <c r="L549" s="17">
        <f>HYPERLINK("http://www.revworldwide.com", "www.revworldwide.com")</f>
      </c>
      <c r="M549" s="17">
        <f>HYPERLINK("https://my.pitchbook.com?c=56339-56", "View Company Online")</f>
      </c>
    </row>
    <row r="550">
      <c r="A550" t="s" s="10">
        <v>2925</v>
      </c>
      <c r="B550" t="s" s="10">
        <v>2926</v>
      </c>
      <c r="C550" t="s" s="10">
        <v>164</v>
      </c>
      <c r="D550" t="s" s="10">
        <v>165</v>
      </c>
      <c r="E550" t="s" s="10">
        <v>2927</v>
      </c>
      <c r="F550" s="27">
        <v>46147</v>
      </c>
      <c r="G550" t="s" s="10">
        <v>40</v>
      </c>
      <c r="H550" s="42">
        <v>7.54</v>
      </c>
      <c r="I550" s="42">
        <v>250</v>
      </c>
      <c r="J550" t="s" s="10">
        <v>2928</v>
      </c>
      <c r="K550" t="s" s="10">
        <v>2929</v>
      </c>
      <c r="L550" s="16">
        <f>HYPERLINK("http://www.springlabs.com", "www.springlabs.com")</f>
      </c>
      <c r="M550" s="16">
        <f>HYPERLINK("https://my.pitchbook.com?c=227113-03", "View Company Online")</f>
      </c>
    </row>
    <row r="551">
      <c r="A551" t="s" s="11">
        <v>2931</v>
      </c>
      <c r="B551" t="s" s="11">
        <v>2932</v>
      </c>
      <c r="C551" t="s" s="11">
        <v>37</v>
      </c>
      <c r="D551" t="s" s="11">
        <v>38</v>
      </c>
      <c r="E551" t="s" s="11">
        <v>137</v>
      </c>
      <c r="F551" s="28">
        <v>45047</v>
      </c>
      <c r="G551" t="s" s="11">
        <v>40</v>
      </c>
      <c r="H551" t="s" s="43">
        <v>30</v>
      </c>
      <c r="I551" s="43">
        <v>250</v>
      </c>
      <c r="J551" t="s" s="11">
        <v>2933</v>
      </c>
      <c r="K551" t="s" s="11">
        <v>2934</v>
      </c>
      <c r="L551" s="17">
        <f>HYPERLINK("http://www.starkbank.com", "www.starkbank.com")</f>
      </c>
      <c r="M551" s="17">
        <f>HYPERLINK("https://my.pitchbook.com?c=431234-20", "View Company Online")</f>
      </c>
    </row>
    <row r="552">
      <c r="A552" t="s" s="10">
        <v>2936</v>
      </c>
      <c r="B552" t="s" s="10">
        <v>2937</v>
      </c>
      <c r="C552" t="s" s="10">
        <v>114</v>
      </c>
      <c r="D552" t="s" s="10">
        <v>115</v>
      </c>
      <c r="E552" t="s" s="10">
        <v>414</v>
      </c>
      <c r="F552" s="27">
        <v>44924</v>
      </c>
      <c r="G552" t="s" s="10">
        <v>40</v>
      </c>
      <c r="H552" s="42">
        <v>54</v>
      </c>
      <c r="I552" s="42">
        <v>250</v>
      </c>
      <c r="J552" t="s" s="10">
        <v>2938</v>
      </c>
      <c r="K552" t="s" s="10">
        <v>2939</v>
      </c>
      <c r="L552" s="16">
        <f>HYPERLINK("http://www.tiimelyhome.com.au", "www.tiimelyhome.com.au")</f>
      </c>
      <c r="M552" s="16">
        <f>HYPERLINK("https://my.pitchbook.com?c=314369-11", "View Company Online")</f>
      </c>
    </row>
    <row r="553">
      <c r="A553" t="s" s="11">
        <v>2941</v>
      </c>
      <c r="B553" t="s" s="11">
        <v>2942</v>
      </c>
      <c r="C553" t="s" s="11">
        <v>60</v>
      </c>
      <c r="D553" t="s" s="11">
        <v>61</v>
      </c>
      <c r="E553" t="s" s="11">
        <v>253</v>
      </c>
      <c r="F553" s="28">
        <v>45811</v>
      </c>
      <c r="G553" t="s" s="11">
        <v>40</v>
      </c>
      <c r="H553" s="43">
        <v>53</v>
      </c>
      <c r="I553" s="43">
        <v>249.55</v>
      </c>
      <c r="J553" t="s" s="11">
        <v>2943</v>
      </c>
      <c r="K553" t="s" s="11">
        <v>2944</v>
      </c>
      <c r="L553" s="17">
        <f>HYPERLINK("http://www.syfe.com", "www.syfe.com")</f>
      </c>
      <c r="M553" s="17">
        <f>HYPERLINK("https://my.pitchbook.com?c=277242-22", "View Company Online")</f>
      </c>
    </row>
    <row r="554">
      <c r="A554" t="s" s="10">
        <v>2946</v>
      </c>
      <c r="B554" t="s" s="10">
        <v>2947</v>
      </c>
      <c r="C554" t="s" s="10">
        <v>128</v>
      </c>
      <c r="D554" t="s" s="10">
        <v>199</v>
      </c>
      <c r="E554" t="s" s="10">
        <v>158</v>
      </c>
      <c r="F554" s="27">
        <v>46198</v>
      </c>
      <c r="G554" t="s" s="10">
        <v>64</v>
      </c>
      <c r="H554" t="s" s="42">
        <v>30</v>
      </c>
      <c r="I554" s="42">
        <v>248.63</v>
      </c>
      <c r="J554" t="s" s="10">
        <v>2948</v>
      </c>
      <c r="K554" t="s" s="10">
        <v>2949</v>
      </c>
      <c r="L554" s="16">
        <f>HYPERLINK("http://www.travel-wallet.com", "www.travel-wallet.com")</f>
      </c>
      <c r="M554" s="16">
        <f>HYPERLINK("https://my.pitchbook.com?c=267954-85", "View Company Online")</f>
      </c>
    </row>
    <row r="555">
      <c r="A555" t="s" s="11">
        <v>2951</v>
      </c>
      <c r="B555" t="s" s="11">
        <v>2952</v>
      </c>
      <c r="C555" t="s" s="11">
        <v>60</v>
      </c>
      <c r="D555" t="s" s="11">
        <v>246</v>
      </c>
      <c r="E555" t="s" s="11">
        <v>270</v>
      </c>
      <c r="F555" t="s" s="28">
        <v>30</v>
      </c>
      <c r="G555" t="s" s="11">
        <v>607</v>
      </c>
      <c r="H555" t="s" s="43">
        <v>30</v>
      </c>
      <c r="I555" s="43">
        <v>248.29</v>
      </c>
      <c r="J555" t="s" s="11">
        <v>2953</v>
      </c>
      <c r="K555" t="s" s="11">
        <v>2954</v>
      </c>
      <c r="L555" s="17">
        <f>HYPERLINK("http://www.banksalad.com", "www.banksalad.com")</f>
      </c>
      <c r="M555" s="17">
        <f>HYPERLINK("https://my.pitchbook.com?c=267964-39", "View Company Online")</f>
      </c>
    </row>
    <row r="556">
      <c r="A556" t="s" s="10">
        <v>2956</v>
      </c>
      <c r="B556" t="s" s="10">
        <v>2957</v>
      </c>
      <c r="C556" t="s" s="10">
        <v>46</v>
      </c>
      <c r="D556" t="s" s="10">
        <v>397</v>
      </c>
      <c r="E556" t="s" s="10">
        <v>373</v>
      </c>
      <c r="F556" s="27">
        <v>45251</v>
      </c>
      <c r="G556" t="s" s="10">
        <v>40</v>
      </c>
      <c r="H556" s="42">
        <v>42.82</v>
      </c>
      <c r="I556" s="42">
        <v>245.43</v>
      </c>
      <c r="J556" t="s" s="10">
        <v>2958</v>
      </c>
      <c r="K556" t="s" s="10">
        <v>2959</v>
      </c>
      <c r="L556" s="16">
        <f>HYPERLINK("http://www.indy.fr", "www.indy.fr")</f>
      </c>
      <c r="M556" s="16">
        <f>HYPERLINK("https://my.pitchbook.com?c=231209-92", "View Company Online")</f>
      </c>
    </row>
    <row r="557">
      <c r="A557" t="s" s="11">
        <v>2961</v>
      </c>
      <c r="B557" t="s" s="11">
        <v>2962</v>
      </c>
      <c r="C557" t="s" s="11">
        <v>114</v>
      </c>
      <c r="D557" t="s" s="11">
        <v>1386</v>
      </c>
      <c r="E557" t="s" s="11">
        <v>253</v>
      </c>
      <c r="F557" s="28">
        <v>46054</v>
      </c>
      <c r="G557" t="s" s="11">
        <v>48</v>
      </c>
      <c r="H557" t="s" s="43">
        <v>30</v>
      </c>
      <c r="I557" s="43">
        <v>244.9</v>
      </c>
      <c r="J557" t="s" s="11">
        <v>2963</v>
      </c>
      <c r="K557" t="s" s="11">
        <v>2964</v>
      </c>
      <c r="L557" s="17">
        <f>HYPERLINK("http://www.nav.com", "www.nav.com")</f>
      </c>
      <c r="M557" s="17">
        <f>HYPERLINK("https://my.pitchbook.com?c=57631-78", "View Company Online")</f>
      </c>
    </row>
    <row r="558">
      <c r="A558" t="s" s="10">
        <v>2966</v>
      </c>
      <c r="B558" t="s" s="10">
        <v>2967</v>
      </c>
      <c r="C558" t="s" s="10">
        <v>172</v>
      </c>
      <c r="D558" t="s" s="10">
        <v>173</v>
      </c>
      <c r="E558" t="s" s="10">
        <v>2968</v>
      </c>
      <c r="F558" s="27">
        <v>45853</v>
      </c>
      <c r="G558" t="s" s="10">
        <v>40</v>
      </c>
      <c r="H558" s="42">
        <v>47.5</v>
      </c>
      <c r="I558" s="42">
        <v>240.5</v>
      </c>
      <c r="J558" t="s" s="10">
        <v>2969</v>
      </c>
      <c r="K558" t="s" s="10">
        <v>2970</v>
      </c>
      <c r="L558" s="16">
        <f>HYPERLINK("http://www.certifid.com", "www.certifid.com")</f>
      </c>
      <c r="M558" s="16">
        <f>HYPERLINK("https://my.pitchbook.com?c=225723-07", "View Company Online")</f>
      </c>
    </row>
    <row r="559">
      <c r="A559" t="s" s="11">
        <v>2972</v>
      </c>
      <c r="B559" t="s" s="11">
        <v>2973</v>
      </c>
      <c r="C559" t="s" s="11">
        <v>60</v>
      </c>
      <c r="D559" t="s" s="11">
        <v>61</v>
      </c>
      <c r="E559" t="s" s="11">
        <v>253</v>
      </c>
      <c r="F559" s="28">
        <v>45889</v>
      </c>
      <c r="G559" t="s" s="11">
        <v>48</v>
      </c>
      <c r="H559" t="s" s="43">
        <v>30</v>
      </c>
      <c r="I559" s="43">
        <v>240</v>
      </c>
      <c r="J559" t="s" s="11">
        <v>2974</v>
      </c>
      <c r="K559" t="s" s="11">
        <v>2975</v>
      </c>
      <c r="L559" s="17">
        <f>HYPERLINK("http://www.smallcase.com", "www.smallcase.com")</f>
      </c>
      <c r="M559" s="17">
        <f>HYPERLINK("https://my.pitchbook.com?c=167134-96", "View Company Online")</f>
      </c>
    </row>
    <row r="560">
      <c r="A560" t="s" s="10">
        <v>2977</v>
      </c>
      <c r="B560" t="s" s="10">
        <v>2978</v>
      </c>
      <c r="C560" t="s" s="10">
        <v>114</v>
      </c>
      <c r="D560" t="s" s="10">
        <v>136</v>
      </c>
      <c r="E560" t="s" s="10">
        <v>759</v>
      </c>
      <c r="F560" s="27">
        <v>45722</v>
      </c>
      <c r="G560" t="s" s="10">
        <v>391</v>
      </c>
      <c r="H560" t="s" s="42">
        <v>30</v>
      </c>
      <c r="I560" s="42">
        <v>236.98</v>
      </c>
      <c r="J560" t="s" s="10">
        <v>2979</v>
      </c>
      <c r="K560" t="s" s="10">
        <v>2980</v>
      </c>
      <c r="L560" s="16">
        <f>HYPERLINK("http://www.prodigyfinance.com", "www.prodigyfinance.com")</f>
      </c>
      <c r="M560" s="16">
        <f>HYPERLINK("https://my.pitchbook.com?c=96585-04", "View Company Online")</f>
      </c>
    </row>
    <row r="561">
      <c r="A561" t="s" s="11">
        <v>2982</v>
      </c>
      <c r="B561" t="s" s="11">
        <v>2983</v>
      </c>
      <c r="C561" t="s" s="11">
        <v>27</v>
      </c>
      <c r="D561" t="s" s="11">
        <v>28</v>
      </c>
      <c r="E561" t="s" s="11">
        <v>2984</v>
      </c>
      <c r="F561" t="s" s="28">
        <v>30</v>
      </c>
      <c r="G561" t="s" s="11">
        <v>48</v>
      </c>
      <c r="H561" t="s" s="43">
        <v>30</v>
      </c>
      <c r="I561" s="43">
        <v>235.3</v>
      </c>
      <c r="J561" t="s" s="11">
        <v>2985</v>
      </c>
      <c r="K561" t="s" s="11">
        <v>2986</v>
      </c>
      <c r="L561" s="17">
        <f>HYPERLINK("http://www.dotpe.in", "www.dotpe.in")</f>
      </c>
      <c r="M561" s="17">
        <f>HYPERLINK("https://my.pitchbook.com?c=300249-64", "View Company Online")</f>
      </c>
    </row>
    <row r="562">
      <c r="A562" t="s" s="10">
        <v>2988</v>
      </c>
      <c r="B562" t="s" s="10">
        <v>2989</v>
      </c>
      <c r="C562" t="s" s="10">
        <v>164</v>
      </c>
      <c r="D562" t="s" s="10">
        <v>206</v>
      </c>
      <c r="E562" t="s" s="10">
        <v>414</v>
      </c>
      <c r="F562" s="27">
        <v>46098</v>
      </c>
      <c r="G562" t="s" s="10">
        <v>40</v>
      </c>
      <c r="H562" s="42">
        <v>125</v>
      </c>
      <c r="I562" s="42">
        <v>235.06</v>
      </c>
      <c r="J562" t="s" s="10">
        <v>2990</v>
      </c>
      <c r="K562" t="s" s="10">
        <v>2991</v>
      </c>
      <c r="L562" s="16">
        <f>HYPERLINK("http://www.upvest.co", "www.upvest.co")</f>
      </c>
      <c r="M562" s="16">
        <f>HYPERLINK("https://my.pitchbook.com?c=231578-47", "View Company Online")</f>
      </c>
    </row>
    <row r="563">
      <c r="A563" t="s" s="11">
        <v>2993</v>
      </c>
      <c r="B563" t="s" s="11">
        <v>2994</v>
      </c>
      <c r="C563" t="s" s="11">
        <v>164</v>
      </c>
      <c r="D563" t="s" s="11">
        <v>165</v>
      </c>
      <c r="E563" t="s" s="11">
        <v>311</v>
      </c>
      <c r="F563" s="28">
        <v>46162</v>
      </c>
      <c r="G563" t="s" s="11">
        <v>146</v>
      </c>
      <c r="H563" s="43">
        <v>30</v>
      </c>
      <c r="I563" s="43">
        <v>235</v>
      </c>
      <c r="J563" t="s" s="11">
        <v>2995</v>
      </c>
      <c r="K563" t="s" s="11">
        <v>2996</v>
      </c>
      <c r="L563" s="17">
        <f>HYPERLINK("http://catena.com", "catena.com")</f>
      </c>
      <c r="M563" s="17">
        <f>HYPERLINK("https://my.pitchbook.com?c=531088-39", "View Company Online")</f>
      </c>
    </row>
    <row r="564">
      <c r="A564" t="s" s="10">
        <v>2998</v>
      </c>
      <c r="B564" t="s" s="10">
        <v>2999</v>
      </c>
      <c r="C564" t="s" s="10">
        <v>60</v>
      </c>
      <c r="D564" t="s" s="10">
        <v>432</v>
      </c>
      <c r="E564" t="s" s="10">
        <v>137</v>
      </c>
      <c r="F564" s="27">
        <v>44684</v>
      </c>
      <c r="G564" t="s" s="10">
        <v>40</v>
      </c>
      <c r="H564" s="42">
        <v>30</v>
      </c>
      <c r="I564" s="42">
        <v>235</v>
      </c>
      <c r="J564" t="s" s="10">
        <v>3000</v>
      </c>
      <c r="K564" t="s" s="10">
        <v>3001</v>
      </c>
      <c r="L564" s="16">
        <f>HYPERLINK("http://www.smartxadvisory.com", "www.smartxadvisory.com")</f>
      </c>
      <c r="M564" s="16">
        <f>HYPERLINK("https://my.pitchbook.com?c=87824-35", "View Company Online")</f>
      </c>
    </row>
    <row r="565">
      <c r="A565" t="s" s="11">
        <v>3003</v>
      </c>
      <c r="B565" t="s" s="11">
        <v>3004</v>
      </c>
      <c r="C565" t="s" s="11">
        <v>37</v>
      </c>
      <c r="D565" t="s" s="11">
        <v>304</v>
      </c>
      <c r="E565" t="s" s="11">
        <v>137</v>
      </c>
      <c r="F565" s="28">
        <v>45474</v>
      </c>
      <c r="G565" t="s" s="11">
        <v>40</v>
      </c>
      <c r="H565" t="s" s="43">
        <v>30</v>
      </c>
      <c r="I565" s="43">
        <v>234.26</v>
      </c>
      <c r="J565" t="s" s="11">
        <v>3005</v>
      </c>
      <c r="K565" t="s" s="11">
        <v>3006</v>
      </c>
      <c r="L565" s="17">
        <f>HYPERLINK("http://www.almapay.com", "www.almapay.com")</f>
      </c>
      <c r="M565" s="17">
        <f>HYPERLINK("https://my.pitchbook.com?c=277430-41", "View Company Online")</f>
      </c>
    </row>
    <row r="566">
      <c r="A566" t="s" s="10">
        <v>3008</v>
      </c>
      <c r="B566" t="s" s="10">
        <v>3009</v>
      </c>
      <c r="C566" t="s" s="10">
        <v>60</v>
      </c>
      <c r="D566" t="s" s="10">
        <v>61</v>
      </c>
      <c r="E566" t="s" s="10">
        <v>29</v>
      </c>
      <c r="F566" s="27">
        <v>45862</v>
      </c>
      <c r="G566" t="s" s="10">
        <v>40</v>
      </c>
      <c r="H566" s="42">
        <v>22.64</v>
      </c>
      <c r="I566" s="42">
        <v>233.3</v>
      </c>
      <c r="J566" t="s" s="10">
        <v>3010</v>
      </c>
      <c r="K566" t="s" s="10">
        <v>3011</v>
      </c>
      <c r="L566" s="16">
        <f>HYPERLINK("http://www.lightyear.com", "www.lightyear.com")</f>
      </c>
      <c r="M566" s="16">
        <f>HYPERLINK("https://my.pitchbook.com?c=467163-37", "View Company Online")</f>
      </c>
    </row>
    <row r="567">
      <c r="A567" t="s" s="11">
        <v>3013</v>
      </c>
      <c r="B567" t="s" s="11">
        <v>3014</v>
      </c>
      <c r="C567" t="s" s="11">
        <v>128</v>
      </c>
      <c r="D567" t="s" s="11">
        <v>199</v>
      </c>
      <c r="E567" t="s" s="11">
        <v>253</v>
      </c>
      <c r="F567" s="28">
        <v>43833</v>
      </c>
      <c r="G567" t="s" s="11">
        <v>40</v>
      </c>
      <c r="H567" s="43">
        <v>28.87</v>
      </c>
      <c r="I567" s="43">
        <v>232.21</v>
      </c>
      <c r="J567" t="s" s="11">
        <v>3015</v>
      </c>
      <c r="K567" t="s" s="11">
        <v>3016</v>
      </c>
      <c r="L567" s="17">
        <f>HYPERLINK("http://www.olamoney.com", "www.olamoney.com")</f>
      </c>
      <c r="M567" s="17">
        <f>HYPERLINK("https://my.pitchbook.com?c=435527-20", "View Company Online")</f>
      </c>
    </row>
    <row r="568">
      <c r="A568" t="s" s="10">
        <v>3018</v>
      </c>
      <c r="B568" t="s" s="10">
        <v>3019</v>
      </c>
      <c r="C568" t="s" s="10">
        <v>37</v>
      </c>
      <c r="D568" t="s" s="10">
        <v>38</v>
      </c>
      <c r="E568" t="s" s="10">
        <v>270</v>
      </c>
      <c r="F568" s="27">
        <v>46135</v>
      </c>
      <c r="G568" t="s" s="10">
        <v>31</v>
      </c>
      <c r="H568" s="42">
        <v>29.46</v>
      </c>
      <c r="I568" s="42">
        <v>230</v>
      </c>
      <c r="J568" t="s" s="10">
        <v>3020</v>
      </c>
      <c r="K568" t="s" s="10">
        <v>3021</v>
      </c>
      <c r="L568" s="16">
        <f>HYPERLINK("http://www.northmill.com", "www.northmill.com")</f>
      </c>
      <c r="M568" s="16">
        <f>HYPERLINK("https://my.pitchbook.com?c=343067-50", "View Company Online")</f>
      </c>
    </row>
    <row r="569">
      <c r="A569" t="s" s="11">
        <v>3023</v>
      </c>
      <c r="B569" t="s" s="11">
        <v>3024</v>
      </c>
      <c r="C569" t="s" s="11">
        <v>27</v>
      </c>
      <c r="D569" t="s" s="11">
        <v>70</v>
      </c>
      <c r="E569" t="s" s="11">
        <v>1360</v>
      </c>
      <c r="F569" s="28">
        <v>45982</v>
      </c>
      <c r="G569" t="s" s="11">
        <v>40</v>
      </c>
      <c r="H569" t="s" s="43">
        <v>30</v>
      </c>
      <c r="I569" s="43">
        <v>229.18</v>
      </c>
      <c r="J569" t="s" s="11">
        <v>3025</v>
      </c>
      <c r="K569" t="s" s="11">
        <v>3026</v>
      </c>
      <c r="L569" s="17">
        <f>HYPERLINK("http://www.beacon.com", "www.beacon.com")</f>
      </c>
      <c r="M569" s="17">
        <f>HYPERLINK("https://my.pitchbook.com?c=279552-43", "View Company Online")</f>
      </c>
    </row>
    <row r="570">
      <c r="A570" t="s" s="10">
        <v>3028</v>
      </c>
      <c r="B570" t="s" s="10">
        <v>3029</v>
      </c>
      <c r="C570" t="s" s="10">
        <v>60</v>
      </c>
      <c r="D570" t="s" s="10">
        <v>246</v>
      </c>
      <c r="E570" t="s" s="10">
        <v>137</v>
      </c>
      <c r="F570" s="27">
        <v>45414</v>
      </c>
      <c r="G570" t="s" s="10">
        <v>40</v>
      </c>
      <c r="H570" t="s" s="42">
        <v>30</v>
      </c>
      <c r="I570" s="42">
        <v>229.15</v>
      </c>
      <c r="J570" t="s" s="10">
        <v>3030</v>
      </c>
      <c r="K570" t="s" s="10">
        <v>3031</v>
      </c>
      <c r="L570" s="16">
        <f>HYPERLINK("http://www.money-design.com", "www.money-design.com")</f>
      </c>
      <c r="M570" s="16">
        <f>HYPERLINK("https://my.pitchbook.com?c=158367-16", "View Company Online")</f>
      </c>
    </row>
    <row r="571">
      <c r="A571" t="s" s="11">
        <v>3033</v>
      </c>
      <c r="B571" t="s" s="11">
        <v>3034</v>
      </c>
      <c r="C571" t="s" s="11">
        <v>114</v>
      </c>
      <c r="D571" t="s" s="11">
        <v>136</v>
      </c>
      <c r="E571" t="s" s="11">
        <v>137</v>
      </c>
      <c r="F571" s="28">
        <v>46247</v>
      </c>
      <c r="G571" t="s" s="11">
        <v>40</v>
      </c>
      <c r="H571" t="s" s="43">
        <v>30</v>
      </c>
      <c r="I571" s="43">
        <v>229</v>
      </c>
      <c r="J571" t="s" s="11">
        <v>3035</v>
      </c>
      <c r="K571" t="s" s="11">
        <v>3036</v>
      </c>
      <c r="L571" s="17">
        <f>HYPERLINK("http://www.galgo.com", "www.galgo.com")</f>
      </c>
      <c r="M571" s="17">
        <f>HYPERLINK("https://my.pitchbook.com?c=436910-41", "View Company Online")</f>
      </c>
    </row>
    <row r="572">
      <c r="A572" t="s" s="10">
        <v>3038</v>
      </c>
      <c r="B572" t="s" s="10">
        <v>3039</v>
      </c>
      <c r="C572" t="s" s="10">
        <v>172</v>
      </c>
      <c r="D572" t="s" s="10">
        <v>173</v>
      </c>
      <c r="E572" t="s" s="10">
        <v>373</v>
      </c>
      <c r="F572" t="s" s="27">
        <v>30</v>
      </c>
      <c r="G572" t="s" s="10">
        <v>48</v>
      </c>
      <c r="H572" t="s" s="42">
        <v>30</v>
      </c>
      <c r="I572" s="42">
        <v>228</v>
      </c>
      <c r="J572" t="s" s="10">
        <v>3040</v>
      </c>
      <c r="K572" t="s" s="10">
        <v>3041</v>
      </c>
      <c r="L572" s="16">
        <f>HYPERLINK("http://www.thetaray.com", "www.thetaray.com")</f>
      </c>
      <c r="M572" s="16">
        <f>HYPERLINK("https://my.pitchbook.com?c=58273-84", "View Company Online")</f>
      </c>
    </row>
    <row r="573">
      <c r="A573" t="s" s="11">
        <v>3043</v>
      </c>
      <c r="B573" t="s" s="11">
        <v>3044</v>
      </c>
      <c r="C573" t="s" s="11">
        <v>222</v>
      </c>
      <c r="D573" t="s" s="11">
        <v>252</v>
      </c>
      <c r="E573" t="s" s="11">
        <v>1964</v>
      </c>
      <c r="F573" s="28">
        <v>45701</v>
      </c>
      <c r="G573" t="s" s="11">
        <v>40</v>
      </c>
      <c r="H573" s="43">
        <v>55</v>
      </c>
      <c r="I573" s="43">
        <v>227.57</v>
      </c>
      <c r="J573" t="s" s="11">
        <v>3045</v>
      </c>
      <c r="K573" t="s" s="11">
        <v>3046</v>
      </c>
      <c r="L573" s="17">
        <f>HYPERLINK("http://www.73strings.com", "www.73strings.com")</f>
      </c>
      <c r="M573" s="17">
        <f>HYPERLINK("https://my.pitchbook.com?c=265552-84", "View Company Online")</f>
      </c>
    </row>
    <row r="574">
      <c r="A574" t="s" s="10">
        <v>3048</v>
      </c>
      <c r="B574" t="s" s="10">
        <v>3049</v>
      </c>
      <c r="C574" t="s" s="10">
        <v>222</v>
      </c>
      <c r="D574" t="s" s="10">
        <v>537</v>
      </c>
      <c r="E574" t="s" s="10">
        <v>414</v>
      </c>
      <c r="F574" s="27">
        <v>43895</v>
      </c>
      <c r="G574" t="s" s="10">
        <v>146</v>
      </c>
      <c r="H574" s="42">
        <v>36</v>
      </c>
      <c r="I574" s="42">
        <v>227.2</v>
      </c>
      <c r="J574" t="s" s="10">
        <v>3050</v>
      </c>
      <c r="K574" t="s" s="10">
        <v>3051</v>
      </c>
      <c r="L574" s="16">
        <f>HYPERLINK("http://www.imperativex.com", "www.imperativex.com")</f>
      </c>
      <c r="M574" s="16">
        <f>HYPERLINK("https://my.pitchbook.com?c=227926-18", "View Company Online")</f>
      </c>
    </row>
    <row r="575">
      <c r="A575" t="s" s="11">
        <v>3053</v>
      </c>
      <c r="B575" t="s" s="11">
        <v>3054</v>
      </c>
      <c r="C575" t="s" s="11">
        <v>114</v>
      </c>
      <c r="D575" t="s" s="11">
        <v>852</v>
      </c>
      <c r="E575" t="s" s="11">
        <v>3055</v>
      </c>
      <c r="F575" s="28">
        <v>46164</v>
      </c>
      <c r="G575" t="s" s="11">
        <v>40</v>
      </c>
      <c r="H575" s="43">
        <v>27</v>
      </c>
      <c r="I575" s="43">
        <v>227</v>
      </c>
      <c r="J575" t="s" s="11">
        <v>3056</v>
      </c>
      <c r="K575" t="s" s="11">
        <v>3057</v>
      </c>
      <c r="L575" s="17">
        <f>HYPERLINK("http://www.handle.com", "www.handle.com")</f>
      </c>
      <c r="M575" s="17">
        <f>HYPERLINK("https://my.pitchbook.com?c=59941-72", "View Company Online")</f>
      </c>
    </row>
    <row r="576">
      <c r="A576" t="s" s="10">
        <v>3059</v>
      </c>
      <c r="B576" t="s" s="10">
        <v>3060</v>
      </c>
      <c r="C576" t="s" s="10">
        <v>114</v>
      </c>
      <c r="D576" t="s" s="10">
        <v>136</v>
      </c>
      <c r="E576" t="s" s="10">
        <v>137</v>
      </c>
      <c r="F576" s="27">
        <v>45350</v>
      </c>
      <c r="G576" t="s" s="10">
        <v>146</v>
      </c>
      <c r="H576" s="42">
        <v>90.45</v>
      </c>
      <c r="I576" s="42">
        <v>226.12</v>
      </c>
      <c r="J576" t="s" s="10">
        <v>3061</v>
      </c>
      <c r="K576" t="s" s="10">
        <v>3062</v>
      </c>
      <c r="L576" s="16">
        <f>HYPERLINK("http://www.guoshengxd.com", "www.guoshengxd.com")</f>
      </c>
      <c r="M576" s="16">
        <f>HYPERLINK("https://my.pitchbook.com?c=590762-26", "View Company Online")</f>
      </c>
    </row>
    <row r="577">
      <c r="A577" t="s" s="11">
        <v>3064</v>
      </c>
      <c r="B577" t="s" s="11">
        <v>3065</v>
      </c>
      <c r="C577" t="s" s="11">
        <v>60</v>
      </c>
      <c r="D577" t="s" s="11">
        <v>727</v>
      </c>
      <c r="E577" t="s" s="11">
        <v>130</v>
      </c>
      <c r="F577" s="28">
        <v>45352</v>
      </c>
      <c r="G577" t="s" s="11">
        <v>40</v>
      </c>
      <c r="H577" s="43">
        <v>0.72</v>
      </c>
      <c r="I577" s="43">
        <v>226.04</v>
      </c>
      <c r="J577" t="s" s="11">
        <v>3066</v>
      </c>
      <c r="K577" t="s" s="11">
        <v>3067</v>
      </c>
      <c r="L577" s="17">
        <f>HYPERLINK("http://www.exporo.de", "www.exporo.de")</f>
      </c>
      <c r="M577" s="17">
        <f>HYPERLINK("https://my.pitchbook.com?c=101271-34", "View Company Online")</f>
      </c>
    </row>
    <row r="578">
      <c r="A578" t="s" s="10">
        <v>3069</v>
      </c>
      <c r="B578" t="s" s="10">
        <v>3070</v>
      </c>
      <c r="C578" t="s" s="10">
        <v>37</v>
      </c>
      <c r="D578" t="s" s="10">
        <v>304</v>
      </c>
      <c r="E578" t="s" s="10">
        <v>193</v>
      </c>
      <c r="F578" s="27">
        <v>45609</v>
      </c>
      <c r="G578" t="s" s="10">
        <v>40</v>
      </c>
      <c r="H578" s="42">
        <v>443.42</v>
      </c>
      <c r="I578" s="42">
        <v>225.68</v>
      </c>
      <c r="J578" t="s" s="10">
        <v>3071</v>
      </c>
      <c r="K578" t="s" s="10">
        <v>3072</v>
      </c>
      <c r="L578" s="16">
        <f>HYPERLINK("http://www.sequra.com", "www.sequra.com")</f>
      </c>
      <c r="M578" s="16">
        <f>HYPERLINK("https://my.pitchbook.com?c=100120-06", "View Company Online")</f>
      </c>
    </row>
    <row r="579">
      <c r="A579" t="s" s="11">
        <v>3074</v>
      </c>
      <c r="B579" t="s" s="11">
        <v>3075</v>
      </c>
      <c r="C579" t="s" s="11">
        <v>27</v>
      </c>
      <c r="D579" t="s" s="11">
        <v>70</v>
      </c>
      <c r="E579" t="s" s="11">
        <v>193</v>
      </c>
      <c r="F579" s="28">
        <v>45170</v>
      </c>
      <c r="G579" t="s" s="11">
        <v>607</v>
      </c>
      <c r="H579" t="s" s="43">
        <v>30</v>
      </c>
      <c r="I579" s="43">
        <v>225.41</v>
      </c>
      <c r="J579" t="s" s="11">
        <v>3076</v>
      </c>
      <c r="K579" t="s" s="11">
        <v>3077</v>
      </c>
      <c r="L579" s="17">
        <f>HYPERLINK("http://www.weavr.io", "www.weavr.io")</f>
      </c>
      <c r="M579" s="17">
        <f>HYPERLINK("https://my.pitchbook.com?c=438757-66", "View Company Online")</f>
      </c>
    </row>
    <row r="580">
      <c r="A580" t="s" s="10">
        <v>3079</v>
      </c>
      <c r="B580" t="s" s="10">
        <v>3080</v>
      </c>
      <c r="C580" t="s" s="10">
        <v>46</v>
      </c>
      <c r="D580" t="s" s="10">
        <v>397</v>
      </c>
      <c r="E580" t="s" s="10">
        <v>3081</v>
      </c>
      <c r="F580" s="27">
        <v>45777</v>
      </c>
      <c r="G580" t="s" s="10">
        <v>40</v>
      </c>
      <c r="H580" s="42">
        <v>70</v>
      </c>
      <c r="I580" s="42">
        <v>225</v>
      </c>
      <c r="J580" t="s" s="10">
        <v>3082</v>
      </c>
      <c r="K580" t="s" s="10">
        <v>3083</v>
      </c>
      <c r="L580" s="16">
        <f>HYPERLINK("http://www.getcanopy.com", "www.getcanopy.com")</f>
      </c>
      <c r="M580" s="16">
        <f>HYPERLINK("https://my.pitchbook.com?c=65255-95", "View Company Online")</f>
      </c>
    </row>
    <row r="581">
      <c r="A581" t="s" s="11">
        <v>3085</v>
      </c>
      <c r="B581" t="s" s="11">
        <v>3086</v>
      </c>
      <c r="C581" t="s" s="11">
        <v>114</v>
      </c>
      <c r="D581" t="s" s="11">
        <v>115</v>
      </c>
      <c r="E581" t="s" s="11">
        <v>3087</v>
      </c>
      <c r="F581" t="s" s="28">
        <v>30</v>
      </c>
      <c r="G581" t="s" s="11">
        <v>607</v>
      </c>
      <c r="H581" t="s" s="43">
        <v>30</v>
      </c>
      <c r="I581" s="43">
        <v>225</v>
      </c>
      <c r="J581" t="s" s="11">
        <v>3088</v>
      </c>
      <c r="K581" t="s" s="11">
        <v>3089</v>
      </c>
      <c r="L581" s="17">
        <f>HYPERLINK("http://www.unison.com", "www.unison.com")</f>
      </c>
      <c r="M581" s="17">
        <f>HYPERLINK("https://my.pitchbook.com?c=56364-85", "View Company Online")</f>
      </c>
    </row>
    <row r="582">
      <c r="A582" t="s" s="10">
        <v>3091</v>
      </c>
      <c r="B582" t="s" s="10">
        <v>3092</v>
      </c>
      <c r="C582" t="s" s="10">
        <v>172</v>
      </c>
      <c r="D582" t="s" s="10">
        <v>173</v>
      </c>
      <c r="E582" t="s" s="10">
        <v>658</v>
      </c>
      <c r="F582" s="27">
        <v>45758</v>
      </c>
      <c r="G582" t="s" s="10">
        <v>40</v>
      </c>
      <c r="H582" s="42">
        <v>56</v>
      </c>
      <c r="I582" s="42">
        <v>224.66</v>
      </c>
      <c r="J582" t="s" s="10">
        <v>3093</v>
      </c>
      <c r="K582" t="s" s="10">
        <v>3094</v>
      </c>
      <c r="L582" s="16">
        <f>HYPERLINK("http://www.hawk.ai", "www.hawk.ai")</f>
      </c>
      <c r="M582" s="16">
        <f>HYPERLINK("https://my.pitchbook.com?c=234445-06", "View Company Online")</f>
      </c>
    </row>
    <row r="583">
      <c r="A583" t="s" s="11">
        <v>3096</v>
      </c>
      <c r="B583" t="s" s="11">
        <v>3097</v>
      </c>
      <c r="C583" t="s" s="11">
        <v>46</v>
      </c>
      <c r="D583" t="s" s="11">
        <v>397</v>
      </c>
      <c r="E583" t="s" s="11">
        <v>270</v>
      </c>
      <c r="F583" t="s" s="28">
        <v>30</v>
      </c>
      <c r="G583" t="s" s="11">
        <v>48</v>
      </c>
      <c r="H583" t="s" s="43">
        <v>30</v>
      </c>
      <c r="I583" s="43">
        <v>224</v>
      </c>
      <c r="J583" t="s" s="11">
        <v>3098</v>
      </c>
      <c r="K583" t="s" s="11">
        <v>3099</v>
      </c>
      <c r="L583" s="17">
        <f>HYPERLINK("http://www.bukuwarung.com", "www.bukuwarung.com")</f>
      </c>
      <c r="M583" s="17">
        <f>HYPERLINK("https://my.pitchbook.com?c=433958-50", "View Company Online")</f>
      </c>
    </row>
    <row r="584">
      <c r="A584" t="s" s="10">
        <v>3101</v>
      </c>
      <c r="B584" t="s" s="10">
        <v>3102</v>
      </c>
      <c r="C584" t="s" s="10">
        <v>46</v>
      </c>
      <c r="D584" t="s" s="10">
        <v>47</v>
      </c>
      <c r="E584" t="s" s="10">
        <v>2824</v>
      </c>
      <c r="F584" s="27">
        <v>45699</v>
      </c>
      <c r="G584" t="s" s="10">
        <v>146</v>
      </c>
      <c r="H584" s="42">
        <v>20</v>
      </c>
      <c r="I584" s="42">
        <v>223</v>
      </c>
      <c r="J584" t="s" s="10">
        <v>3103</v>
      </c>
      <c r="K584" t="s" s="10">
        <v>3104</v>
      </c>
      <c r="L584" s="16">
        <f>HYPERLINK("http://www.comulate.com", "www.comulate.com")</f>
      </c>
      <c r="M584" s="16">
        <f>HYPERLINK("https://my.pitchbook.com?c=507061-99", "View Company Online")</f>
      </c>
    </row>
    <row r="585">
      <c r="A585" t="s" s="11">
        <v>3106</v>
      </c>
      <c r="B585" t="s" s="11">
        <v>3107</v>
      </c>
      <c r="C585" t="s" s="11">
        <v>46</v>
      </c>
      <c r="D585" t="s" s="11">
        <v>47</v>
      </c>
      <c r="E585" t="s" s="11">
        <v>373</v>
      </c>
      <c r="F585" s="28">
        <v>44908</v>
      </c>
      <c r="G585" t="s" s="11">
        <v>40</v>
      </c>
      <c r="H585" s="43">
        <v>52</v>
      </c>
      <c r="I585" s="43">
        <v>223</v>
      </c>
      <c r="J585" t="s" s="11">
        <v>3108</v>
      </c>
      <c r="K585" t="s" s="11">
        <v>3109</v>
      </c>
      <c r="L585" s="17">
        <f>HYPERLINK("http://www.vic.ai", "www.vic.ai")</f>
      </c>
      <c r="M585" s="17">
        <f>HYPERLINK("https://my.pitchbook.com?c=179547-13", "View Company Online")</f>
      </c>
    </row>
    <row r="586">
      <c r="A586" t="s" s="10">
        <v>3111</v>
      </c>
      <c r="B586" t="s" s="10">
        <v>3112</v>
      </c>
      <c r="C586" t="s" s="10">
        <v>222</v>
      </c>
      <c r="D586" t="s" s="10">
        <v>235</v>
      </c>
      <c r="E586" t="s" s="10">
        <v>137</v>
      </c>
      <c r="F586" s="27">
        <v>45778</v>
      </c>
      <c r="G586" t="s" s="10">
        <v>40</v>
      </c>
      <c r="H586" t="s" s="42">
        <v>30</v>
      </c>
      <c r="I586" s="42">
        <v>222.86</v>
      </c>
      <c r="J586" t="s" s="10">
        <v>3113</v>
      </c>
      <c r="K586" t="s" s="10">
        <v>3114</v>
      </c>
      <c r="L586" s="16">
        <f>HYPERLINK("http://www.vivriticapital.com", "www.vivriticapital.com")</f>
      </c>
      <c r="M586" s="16">
        <f>HYPERLINK("https://my.pitchbook.com?c=266205-79", "View Company Online")</f>
      </c>
    </row>
    <row r="587">
      <c r="A587" t="s" s="11">
        <v>3116</v>
      </c>
      <c r="B587" t="s" s="11">
        <v>3117</v>
      </c>
      <c r="C587" t="s" s="11">
        <v>60</v>
      </c>
      <c r="D587" t="s" s="11">
        <v>727</v>
      </c>
      <c r="E587" t="s" s="11">
        <v>2782</v>
      </c>
      <c r="F587" s="28">
        <v>44827</v>
      </c>
      <c r="G587" t="s" s="11">
        <v>40</v>
      </c>
      <c r="H587" s="43">
        <v>43</v>
      </c>
      <c r="I587" s="43">
        <v>222</v>
      </c>
      <c r="J587" t="s" s="11">
        <v>3118</v>
      </c>
      <c r="K587" t="s" s="11">
        <v>3119</v>
      </c>
      <c r="L587" s="17">
        <f>HYPERLINK("http://www.crowdstreet.com", "www.crowdstreet.com")</f>
      </c>
      <c r="M587" s="17">
        <f>HYPERLINK("https://my.pitchbook.com?c=85653-55", "View Company Online")</f>
      </c>
    </row>
    <row r="588">
      <c r="A588" t="s" s="10">
        <v>3121</v>
      </c>
      <c r="B588" t="s" s="10">
        <v>3122</v>
      </c>
      <c r="C588" t="s" s="10">
        <v>222</v>
      </c>
      <c r="D588" t="s" s="10">
        <v>252</v>
      </c>
      <c r="E588" t="s" s="10">
        <v>859</v>
      </c>
      <c r="F588" t="s" s="27">
        <v>30</v>
      </c>
      <c r="G588" t="s" s="10">
        <v>40</v>
      </c>
      <c r="H588" t="s" s="42">
        <v>30</v>
      </c>
      <c r="I588" s="42">
        <v>222</v>
      </c>
      <c r="J588" t="s" s="10">
        <v>3123</v>
      </c>
      <c r="K588" t="s" s="10">
        <v>3124</v>
      </c>
      <c r="L588" s="16">
        <f>HYPERLINK("http://www.r3.com", "www.r3.com")</f>
      </c>
      <c r="M588" s="16">
        <f>HYPERLINK("https://my.pitchbook.com?c=107357-50", "View Company Online")</f>
      </c>
    </row>
    <row r="589">
      <c r="A589" t="s" s="11">
        <v>3126</v>
      </c>
      <c r="B589" t="s" s="11">
        <v>3127</v>
      </c>
      <c r="C589" t="s" s="11">
        <v>37</v>
      </c>
      <c r="D589" t="s" s="11">
        <v>304</v>
      </c>
      <c r="E589" t="s" s="11">
        <v>373</v>
      </c>
      <c r="F589" s="28">
        <v>45261</v>
      </c>
      <c r="G589" t="s" s="11">
        <v>146</v>
      </c>
      <c r="H589" t="s" s="43">
        <v>30</v>
      </c>
      <c r="I589" s="43">
        <v>222</v>
      </c>
      <c r="J589" t="s" s="11">
        <v>3128</v>
      </c>
      <c r="K589" t="s" s="11">
        <v>3129</v>
      </c>
      <c r="L589" s="17">
        <f>HYPERLINK("http://www.tomocredit.com", "www.tomocredit.com")</f>
      </c>
      <c r="M589" s="17">
        <f>HYPERLINK("https://my.pitchbook.com?c=268498-90", "View Company Online")</f>
      </c>
    </row>
    <row r="590">
      <c r="A590" t="s" s="10">
        <v>3131</v>
      </c>
      <c r="B590" t="s" s="10">
        <v>3132</v>
      </c>
      <c r="C590" t="s" s="10">
        <v>164</v>
      </c>
      <c r="D590" t="s" s="10">
        <v>206</v>
      </c>
      <c r="E590" t="s" s="10">
        <v>137</v>
      </c>
      <c r="F590" s="27">
        <v>45727</v>
      </c>
      <c r="G590" t="s" s="10">
        <v>40</v>
      </c>
      <c r="H590" s="42">
        <v>15</v>
      </c>
      <c r="I590" s="42">
        <v>221.15</v>
      </c>
      <c r="J590" t="s" s="10">
        <v>3133</v>
      </c>
      <c r="K590" t="s" s="10">
        <v>3134</v>
      </c>
      <c r="L590" s="16">
        <f>HYPERLINK("http://www.synctera.com", "www.synctera.com")</f>
      </c>
      <c r="M590" s="16">
        <f>HYPERLINK("https://my.pitchbook.com?c=442698-76", "View Company Online")</f>
      </c>
    </row>
    <row r="591">
      <c r="A591" t="s" s="11">
        <v>3136</v>
      </c>
      <c r="B591" t="s" s="11">
        <v>3137</v>
      </c>
      <c r="C591" t="s" s="11">
        <v>144</v>
      </c>
      <c r="D591" t="s" s="11">
        <v>38</v>
      </c>
      <c r="E591" t="s" s="11">
        <v>3138</v>
      </c>
      <c r="F591" s="28">
        <v>45785</v>
      </c>
      <c r="G591" t="s" s="11">
        <v>3139</v>
      </c>
      <c r="H591" s="43">
        <v>40</v>
      </c>
      <c r="I591" s="43">
        <v>220</v>
      </c>
      <c r="J591" t="s" s="11">
        <v>3140</v>
      </c>
      <c r="K591" t="s" s="11">
        <v>3141</v>
      </c>
      <c r="L591" s="17">
        <f>HYPERLINK("http://www.autobooks.co", "www.autobooks.co")</f>
      </c>
      <c r="M591" s="17">
        <f>HYPERLINK("https://my.pitchbook.com?c=176822-38", "View Company Online")</f>
      </c>
    </row>
    <row r="592">
      <c r="A592" t="s" s="10">
        <v>3143</v>
      </c>
      <c r="B592" t="s" s="10">
        <v>3144</v>
      </c>
      <c r="C592" t="s" s="10">
        <v>46</v>
      </c>
      <c r="D592" t="s" s="10">
        <v>397</v>
      </c>
      <c r="E592" t="s" s="10">
        <v>253</v>
      </c>
      <c r="F592" s="27">
        <v>44491</v>
      </c>
      <c r="G592" t="s" s="10">
        <v>40</v>
      </c>
      <c r="H592" s="42">
        <v>20</v>
      </c>
      <c r="I592" s="42">
        <v>220</v>
      </c>
      <c r="J592" t="s" s="10">
        <v>3145</v>
      </c>
      <c r="K592" t="s" s="10">
        <v>3146</v>
      </c>
      <c r="L592" s="16">
        <f>HYPERLINK("http://www.patriotsoftware.com", "www.patriotsoftware.com")</f>
      </c>
      <c r="M592" s="16">
        <f>HYPERLINK("https://my.pitchbook.com?c=90946-63", "View Company Online")</f>
      </c>
    </row>
    <row r="593">
      <c r="A593" t="s" s="11">
        <v>3148</v>
      </c>
      <c r="B593" t="s" s="11">
        <v>3149</v>
      </c>
      <c r="C593" t="s" s="11">
        <v>27</v>
      </c>
      <c r="D593" t="s" s="11">
        <v>28</v>
      </c>
      <c r="E593" t="s" s="11">
        <v>193</v>
      </c>
      <c r="F593" t="s" s="28">
        <v>30</v>
      </c>
      <c r="G593" t="s" s="11">
        <v>40</v>
      </c>
      <c r="H593" s="43">
        <v>32.96</v>
      </c>
      <c r="I593" s="43">
        <v>219.72</v>
      </c>
      <c r="J593" t="s" s="11">
        <v>3150</v>
      </c>
      <c r="K593" t="s" s="11">
        <v>3151</v>
      </c>
      <c r="L593" s="17">
        <f>HYPERLINK("http://www.easebuzz.in", "www.easebuzz.in")</f>
      </c>
      <c r="M593" s="17">
        <f>HYPERLINK("https://my.pitchbook.com?c=303544-72", "View Company Online")</f>
      </c>
    </row>
    <row r="594">
      <c r="A594" t="s" s="10">
        <v>3153</v>
      </c>
      <c r="B594" t="s" s="10">
        <v>3154</v>
      </c>
      <c r="C594" t="s" s="10">
        <v>128</v>
      </c>
      <c r="D594" t="s" s="10">
        <v>276</v>
      </c>
      <c r="E594" t="s" s="10">
        <v>253</v>
      </c>
      <c r="F594" s="27">
        <v>46181</v>
      </c>
      <c r="G594" t="s" s="10">
        <v>40</v>
      </c>
      <c r="H594" s="42">
        <v>29.2</v>
      </c>
      <c r="I594" s="42">
        <v>219.2</v>
      </c>
      <c r="J594" t="s" s="10">
        <v>3155</v>
      </c>
      <c r="K594" t="s" s="10">
        <v>3156</v>
      </c>
      <c r="L594" s="16">
        <f>HYPERLINK("http://www.edgeboost.io", "www.edgeboost.io")</f>
      </c>
      <c r="M594" s="16">
        <f>HYPERLINK("https://my.pitchbook.com?c=496588-78", "View Company Online")</f>
      </c>
    </row>
    <row r="595">
      <c r="A595" t="s" s="11">
        <v>3158</v>
      </c>
      <c r="B595" t="s" s="11">
        <v>3159</v>
      </c>
      <c r="C595" t="s" s="11">
        <v>46</v>
      </c>
      <c r="D595" t="s" s="11">
        <v>47</v>
      </c>
      <c r="E595" t="s" s="11">
        <v>108</v>
      </c>
      <c r="F595" s="28">
        <v>45962</v>
      </c>
      <c r="G595" t="s" s="11">
        <v>48</v>
      </c>
      <c r="H595" t="s" s="43">
        <v>30</v>
      </c>
      <c r="I595" s="43">
        <v>218</v>
      </c>
      <c r="J595" t="s" s="11">
        <v>3160</v>
      </c>
      <c r="K595" t="s" s="11">
        <v>3161</v>
      </c>
      <c r="L595" s="17">
        <f>HYPERLINK("http://www.ariasystems.com", "www.ariasystems.com")</f>
      </c>
      <c r="M595" s="17">
        <f>HYPERLINK("https://my.pitchbook.com?c=51539-05", "View Company Online")</f>
      </c>
    </row>
    <row r="596">
      <c r="A596" t="s" s="10">
        <v>3163</v>
      </c>
      <c r="B596" t="s" s="10">
        <v>3164</v>
      </c>
      <c r="C596" t="s" s="10">
        <v>27</v>
      </c>
      <c r="D596" t="s" s="10">
        <v>28</v>
      </c>
      <c r="E596" t="s" s="10">
        <v>253</v>
      </c>
      <c r="F596" s="27">
        <v>45680</v>
      </c>
      <c r="G596" t="s" s="10">
        <v>40</v>
      </c>
      <c r="H596" s="42">
        <v>41.5</v>
      </c>
      <c r="I596" s="42">
        <v>218</v>
      </c>
      <c r="J596" t="s" s="10">
        <v>3165</v>
      </c>
      <c r="K596" t="s" s="10">
        <v>3166</v>
      </c>
      <c r="L596" s="16">
        <f>HYPERLINK("http://www.methodfi.com", "www.methodfi.com")</f>
      </c>
      <c r="M596" s="16">
        <f>HYPERLINK("https://my.pitchbook.com?c=268522-57", "View Company Online")</f>
      </c>
    </row>
    <row r="597">
      <c r="A597" t="s" s="11">
        <v>3168</v>
      </c>
      <c r="B597" t="s" s="11">
        <v>3169</v>
      </c>
      <c r="C597" t="s" s="11">
        <v>27</v>
      </c>
      <c r="D597" t="s" s="11">
        <v>28</v>
      </c>
      <c r="E597" t="s" s="11">
        <v>29</v>
      </c>
      <c r="F597" s="28">
        <v>45296</v>
      </c>
      <c r="G597" t="s" s="11">
        <v>2174</v>
      </c>
      <c r="H597" s="43">
        <v>15.06</v>
      </c>
      <c r="I597" s="43">
        <v>217.5</v>
      </c>
      <c r="J597" t="s" s="11">
        <v>3170</v>
      </c>
      <c r="K597" t="s" s="11">
        <v>3171</v>
      </c>
      <c r="L597" s="17">
        <f>HYPERLINK("http://www.kafene.com", "www.kafene.com")</f>
      </c>
      <c r="M597" s="17">
        <f>HYPERLINK("https://my.pitchbook.com?c=332294-50", "View Company Online")</f>
      </c>
    </row>
    <row r="598">
      <c r="A598" t="s" s="10">
        <v>3173</v>
      </c>
      <c r="B598" t="s" s="10">
        <v>3174</v>
      </c>
      <c r="C598" t="s" s="10">
        <v>172</v>
      </c>
      <c r="D598" t="s" s="10">
        <v>338</v>
      </c>
      <c r="E598" t="s" s="10">
        <v>3175</v>
      </c>
      <c r="F598" s="27">
        <v>44834</v>
      </c>
      <c r="G598" t="s" s="10">
        <v>40</v>
      </c>
      <c r="H598" t="s" s="42">
        <v>30</v>
      </c>
      <c r="I598" s="42">
        <v>216.88</v>
      </c>
      <c r="J598" t="s" s="10">
        <v>3176</v>
      </c>
      <c r="K598" t="s" s="10">
        <v>3177</v>
      </c>
      <c r="L598" s="16">
        <f>HYPERLINK("http://www.hummingbird.co", "www.hummingbird.co")</f>
      </c>
      <c r="M598" s="16">
        <f>HYPERLINK("https://my.pitchbook.com?c=230718-52", "View Company Online")</f>
      </c>
    </row>
    <row r="599">
      <c r="A599" t="s" s="11">
        <v>3179</v>
      </c>
      <c r="B599" t="s" s="11">
        <v>3180</v>
      </c>
      <c r="C599" t="s" s="11">
        <v>114</v>
      </c>
      <c r="D599" t="s" s="11">
        <v>115</v>
      </c>
      <c r="E599" t="s" s="11">
        <v>2782</v>
      </c>
      <c r="F599" s="28">
        <v>45196</v>
      </c>
      <c r="G599" t="s" s="11">
        <v>40</v>
      </c>
      <c r="H599" s="43">
        <v>53.74</v>
      </c>
      <c r="I599" s="43">
        <v>216.78</v>
      </c>
      <c r="J599" t="s" s="11">
        <v>3181</v>
      </c>
      <c r="K599" t="s" s="11">
        <v>3182</v>
      </c>
      <c r="L599" s="17">
        <f>HYPERLINK("http://www.perenna.com", "www.perenna.com")</f>
      </c>
      <c r="M599" s="17">
        <f>HYPERLINK("https://my.pitchbook.com?c=459072-73", "View Company Online")</f>
      </c>
    </row>
    <row r="600">
      <c r="A600" t="s" s="10">
        <v>3184</v>
      </c>
      <c r="B600" t="s" s="10">
        <v>3185</v>
      </c>
      <c r="C600" t="s" s="10">
        <v>164</v>
      </c>
      <c r="D600" t="s" s="10">
        <v>206</v>
      </c>
      <c r="E600" t="s" s="10">
        <v>116</v>
      </c>
      <c r="F600" s="27">
        <v>45922</v>
      </c>
      <c r="G600" t="s" s="10">
        <v>40</v>
      </c>
      <c r="H600" s="42">
        <v>60</v>
      </c>
      <c r="I600" s="42">
        <v>216</v>
      </c>
      <c r="J600" t="s" s="10">
        <v>3186</v>
      </c>
      <c r="K600" t="s" s="10">
        <v>3187</v>
      </c>
      <c r="L600" s="16">
        <f>HYPERLINK("http://www.cardless.com", "www.cardless.com")</f>
      </c>
      <c r="M600" s="16">
        <f>HYPERLINK("https://my.pitchbook.com?c=314961-85", "View Company Online")</f>
      </c>
    </row>
    <row r="601">
      <c r="A601" t="s" s="11">
        <v>3189</v>
      </c>
      <c r="B601" t="s" s="11">
        <v>3190</v>
      </c>
      <c r="C601" t="s" s="11">
        <v>144</v>
      </c>
      <c r="D601" t="s" s="11">
        <v>297</v>
      </c>
      <c r="E601" t="s" s="11">
        <v>3191</v>
      </c>
      <c r="F601" s="28">
        <v>45867</v>
      </c>
      <c r="G601" t="s" s="11">
        <v>40</v>
      </c>
      <c r="H601" s="43">
        <v>50</v>
      </c>
      <c r="I601" s="43">
        <v>216</v>
      </c>
      <c r="J601" t="s" s="11">
        <v>3192</v>
      </c>
      <c r="K601" t="s" s="11">
        <v>3193</v>
      </c>
      <c r="L601" s="17">
        <f>HYPERLINK("http://www.producepay.com", "www.producepay.com")</f>
      </c>
      <c r="M601" s="17">
        <f>HYPERLINK("https://my.pitchbook.com?c=113905-09", "View Company Online")</f>
      </c>
    </row>
    <row r="602">
      <c r="A602" t="s" s="10">
        <v>3195</v>
      </c>
      <c r="B602" t="s" s="10">
        <v>3196</v>
      </c>
      <c r="C602" t="s" s="10">
        <v>27</v>
      </c>
      <c r="D602" t="s" s="10">
        <v>122</v>
      </c>
      <c r="E602" t="s" s="10">
        <v>1162</v>
      </c>
      <c r="F602" s="27">
        <v>44960</v>
      </c>
      <c r="G602" t="s" s="10">
        <v>48</v>
      </c>
      <c r="H602" t="s" s="42">
        <v>30</v>
      </c>
      <c r="I602" s="42">
        <v>216</v>
      </c>
      <c r="J602" t="s" s="10">
        <v>3197</v>
      </c>
      <c r="K602" t="s" s="10">
        <v>3198</v>
      </c>
      <c r="L602" s="16">
        <f>HYPERLINK("http://www.veem.com", "www.veem.com")</f>
      </c>
      <c r="M602" s="16">
        <f>HYPERLINK("https://my.pitchbook.com?c=100779-40", "View Company Online")</f>
      </c>
    </row>
    <row r="603">
      <c r="A603" t="s" s="11">
        <v>3200</v>
      </c>
      <c r="B603" t="s" s="11">
        <v>3201</v>
      </c>
      <c r="C603" t="s" s="11">
        <v>60</v>
      </c>
      <c r="D603" t="s" s="11">
        <v>727</v>
      </c>
      <c r="E603" t="s" s="11">
        <v>193</v>
      </c>
      <c r="F603" t="s" s="28">
        <v>30</v>
      </c>
      <c r="G603" t="s" s="11">
        <v>31</v>
      </c>
      <c r="H603" t="s" s="43">
        <v>30</v>
      </c>
      <c r="I603" s="43">
        <v>214.93</v>
      </c>
      <c r="J603" t="s" s="11">
        <v>3202</v>
      </c>
      <c r="K603" t="s" s="11">
        <v>3203</v>
      </c>
      <c r="L603" s="17">
        <f>HYPERLINK("http://www.shares.io", "www.shares.io")</f>
      </c>
      <c r="M603" s="17">
        <f>HYPERLINK("https://my.pitchbook.com?c=471925-36", "View Company Online")</f>
      </c>
    </row>
    <row r="604">
      <c r="A604" t="s" s="10">
        <v>3205</v>
      </c>
      <c r="B604" t="s" s="10">
        <v>3206</v>
      </c>
      <c r="C604" t="s" s="10">
        <v>27</v>
      </c>
      <c r="D604" t="s" s="10">
        <v>70</v>
      </c>
      <c r="E604" t="s" s="10">
        <v>2152</v>
      </c>
      <c r="F604" s="27">
        <v>44774</v>
      </c>
      <c r="G604" t="s" s="10">
        <v>40</v>
      </c>
      <c r="H604" t="s" s="42">
        <v>30</v>
      </c>
      <c r="I604" s="42">
        <v>214.69</v>
      </c>
      <c r="J604" t="s" s="10">
        <v>3207</v>
      </c>
      <c r="K604" t="s" s="10">
        <v>3208</v>
      </c>
      <c r="L604" s="16">
        <f>HYPERLINK("http://www.roadsync.com", "www.roadsync.com")</f>
      </c>
      <c r="M604" s="16">
        <f>HYPERLINK("https://my.pitchbook.com?c=113406-58", "View Company Online")</f>
      </c>
    </row>
    <row r="605">
      <c r="A605" t="s" s="11">
        <v>3210</v>
      </c>
      <c r="B605" t="s" s="11">
        <v>3211</v>
      </c>
      <c r="C605" t="s" s="11">
        <v>46</v>
      </c>
      <c r="D605" t="s" s="11">
        <v>397</v>
      </c>
      <c r="E605" t="s" s="11">
        <v>373</v>
      </c>
      <c r="F605" s="28">
        <v>45809</v>
      </c>
      <c r="G605" t="s" s="11">
        <v>40</v>
      </c>
      <c r="H605" s="43">
        <v>58</v>
      </c>
      <c r="I605" s="43">
        <v>214</v>
      </c>
      <c r="J605" t="s" s="11">
        <v>3212</v>
      </c>
      <c r="K605" t="s" s="11">
        <v>3213</v>
      </c>
      <c r="L605" s="17">
        <f>HYPERLINK("http://www.ivix.ai", "www.ivix.ai")</f>
      </c>
      <c r="M605" s="17">
        <f>HYPERLINK("https://my.pitchbook.com?c=442698-04", "View Company Online")</f>
      </c>
    </row>
    <row r="606">
      <c r="A606" t="s" s="10">
        <v>3215</v>
      </c>
      <c r="B606" t="s" s="10">
        <v>3216</v>
      </c>
      <c r="C606" t="s" s="10">
        <v>164</v>
      </c>
      <c r="D606" t="s" s="10">
        <v>206</v>
      </c>
      <c r="E606" t="s" s="10">
        <v>1964</v>
      </c>
      <c r="F606" s="27">
        <v>45835</v>
      </c>
      <c r="G606" t="s" s="10">
        <v>146</v>
      </c>
      <c r="H606" s="42">
        <v>30</v>
      </c>
      <c r="I606" s="42">
        <v>213.87</v>
      </c>
      <c r="J606" t="s" s="10">
        <v>3217</v>
      </c>
      <c r="K606" t="s" s="10">
        <v>3218</v>
      </c>
      <c r="L606" s="16">
        <f>HYPERLINK("http://www.modernfi.com", "www.modernfi.com")</f>
      </c>
      <c r="M606" s="16">
        <f>HYPERLINK("https://my.pitchbook.com?c=494812-54", "View Company Online")</f>
      </c>
    </row>
    <row r="607">
      <c r="A607" t="s" s="11">
        <v>3220</v>
      </c>
      <c r="B607" t="s" s="11">
        <v>3221</v>
      </c>
      <c r="C607" t="s" s="11">
        <v>46</v>
      </c>
      <c r="D607" t="s" s="11">
        <v>915</v>
      </c>
      <c r="E607" t="s" s="11">
        <v>373</v>
      </c>
      <c r="F607" s="28">
        <v>45901</v>
      </c>
      <c r="G607" t="s" s="11">
        <v>607</v>
      </c>
      <c r="H607" t="s" s="43">
        <v>30</v>
      </c>
      <c r="I607" s="43">
        <v>213.74</v>
      </c>
      <c r="J607" t="s" s="11">
        <v>3222</v>
      </c>
      <c r="K607" t="s" s="11">
        <v>3223</v>
      </c>
      <c r="L607" s="17">
        <f>HYPERLINK("http://www.vertice.one", "www.vertice.one")</f>
      </c>
      <c r="M607" s="17">
        <f>HYPERLINK("https://my.pitchbook.com?c=496683-55", "View Company Online")</f>
      </c>
    </row>
    <row r="608">
      <c r="A608" t="s" s="10">
        <v>3225</v>
      </c>
      <c r="B608" t="s" s="10">
        <v>3226</v>
      </c>
      <c r="C608" t="s" s="10">
        <v>114</v>
      </c>
      <c r="D608" t="s" s="10">
        <v>136</v>
      </c>
      <c r="E608" t="s" s="10">
        <v>2678</v>
      </c>
      <c r="F608" s="27">
        <v>46054</v>
      </c>
      <c r="G608" t="s" s="10">
        <v>48</v>
      </c>
      <c r="H608" t="s" s="42">
        <v>30</v>
      </c>
      <c r="I608" s="42">
        <v>213.73</v>
      </c>
      <c r="J608" t="s" s="10">
        <v>3227</v>
      </c>
      <c r="K608" t="s" s="10">
        <v>3228</v>
      </c>
      <c r="L608" s="16">
        <f>HYPERLINK("http://www.finverity.com", "www.finverity.com")</f>
      </c>
      <c r="M608" s="16">
        <f>HYPERLINK("https://my.pitchbook.com?c=431726-23", "View Company Online")</f>
      </c>
    </row>
    <row r="609">
      <c r="A609" t="s" s="11">
        <v>3230</v>
      </c>
      <c r="B609" t="s" s="11">
        <v>3231</v>
      </c>
      <c r="C609" t="s" s="11">
        <v>46</v>
      </c>
      <c r="D609" t="s" s="11">
        <v>47</v>
      </c>
      <c r="E609" t="s" s="11">
        <v>1207</v>
      </c>
      <c r="F609" s="28">
        <v>45464</v>
      </c>
      <c r="G609" t="s" s="11">
        <v>40</v>
      </c>
      <c r="H609" s="43">
        <v>9.47</v>
      </c>
      <c r="I609" s="43">
        <v>212.97</v>
      </c>
      <c r="J609" t="s" s="11">
        <v>3232</v>
      </c>
      <c r="K609" t="s" s="11">
        <v>3233</v>
      </c>
      <c r="L609" s="17">
        <f>HYPERLINK("http://www.keihi.com", "www.keihi.com")</f>
      </c>
      <c r="M609" s="17">
        <f>HYPERLINK("https://my.pitchbook.com?c=60953-05", "View Company Online")</f>
      </c>
    </row>
    <row r="610">
      <c r="A610" t="s" s="10">
        <v>3235</v>
      </c>
      <c r="B610" t="s" s="10">
        <v>3236</v>
      </c>
      <c r="C610" t="s" s="10">
        <v>222</v>
      </c>
      <c r="D610" t="s" s="10">
        <v>537</v>
      </c>
      <c r="E610" t="s" s="10">
        <v>367</v>
      </c>
      <c r="F610" s="27">
        <v>45712</v>
      </c>
      <c r="G610" t="s" s="10">
        <v>40</v>
      </c>
      <c r="H610" s="42">
        <v>41.65</v>
      </c>
      <c r="I610" s="42">
        <v>212.72</v>
      </c>
      <c r="J610" t="s" s="10">
        <v>3237</v>
      </c>
      <c r="K610" t="s" s="10">
        <v>3238</v>
      </c>
      <c r="L610" s="16">
        <f>HYPERLINK("http://www.spartacommodities.com", "www.spartacommodities.com")</f>
      </c>
      <c r="M610" s="16">
        <f>HYPERLINK("https://my.pitchbook.com?c=493953-85", "View Company Online")</f>
      </c>
    </row>
    <row r="611">
      <c r="A611" t="s" s="11">
        <v>3240</v>
      </c>
      <c r="B611" t="s" s="11">
        <v>3241</v>
      </c>
      <c r="C611" t="s" s="11">
        <v>46</v>
      </c>
      <c r="D611" t="s" s="11">
        <v>47</v>
      </c>
      <c r="E611" t="s" s="11">
        <v>1054</v>
      </c>
      <c r="F611" s="28">
        <v>45292</v>
      </c>
      <c r="G611" t="s" s="11">
        <v>607</v>
      </c>
      <c r="H611" t="s" s="43">
        <v>30</v>
      </c>
      <c r="I611" s="43">
        <v>212.39</v>
      </c>
      <c r="J611" t="s" s="11">
        <v>3242</v>
      </c>
      <c r="K611" t="s" s="11">
        <v>3243</v>
      </c>
      <c r="L611" s="17">
        <f>HYPERLINK("http://www.billogram.com", "www.billogram.com")</f>
      </c>
      <c r="M611" s="17">
        <f>HYPERLINK("https://my.pitchbook.com?c=61293-25", "View Company Online")</f>
      </c>
    </row>
    <row r="612">
      <c r="A612" t="s" s="10">
        <v>3245</v>
      </c>
      <c r="B612" t="s" s="10">
        <v>3246</v>
      </c>
      <c r="C612" t="s" s="10">
        <v>114</v>
      </c>
      <c r="D612" t="s" s="10">
        <v>136</v>
      </c>
      <c r="E612" t="s" s="10">
        <v>270</v>
      </c>
      <c r="F612" s="27">
        <v>46063</v>
      </c>
      <c r="G612" t="s" s="10">
        <v>40</v>
      </c>
      <c r="H612" t="s" s="42">
        <v>30</v>
      </c>
      <c r="I612" s="42">
        <v>212.37</v>
      </c>
      <c r="J612" t="s" s="10">
        <v>3247</v>
      </c>
      <c r="K612" t="s" s="10">
        <v>3248</v>
      </c>
      <c r="L612" s="16">
        <f>HYPERLINK("http://rupeek.com", "rupeek.com")</f>
      </c>
      <c r="M612" s="16">
        <f>HYPERLINK("https://my.pitchbook.com?c=164070-28", "View Company Online")</f>
      </c>
    </row>
    <row r="613">
      <c r="A613" t="s" s="11">
        <v>3250</v>
      </c>
      <c r="B613" t="s" s="11">
        <v>3251</v>
      </c>
      <c r="C613" t="s" s="11">
        <v>27</v>
      </c>
      <c r="D613" t="s" s="11">
        <v>70</v>
      </c>
      <c r="E613" t="s" s="11">
        <v>259</v>
      </c>
      <c r="F613" s="28">
        <v>45650</v>
      </c>
      <c r="G613" t="s" s="11">
        <v>40</v>
      </c>
      <c r="H613" t="s" s="43">
        <v>30</v>
      </c>
      <c r="I613" s="43">
        <v>210.35</v>
      </c>
      <c r="J613" t="s" s="11">
        <v>3252</v>
      </c>
      <c r="K613" t="s" s="11">
        <v>3253</v>
      </c>
      <c r="L613" s="17">
        <f>HYPERLINK("http://www.velopayments.com", "www.velopayments.com")</f>
      </c>
      <c r="M613" s="17">
        <f>HYPERLINK("https://my.pitchbook.com?c=267757-75", "View Company Online")</f>
      </c>
    </row>
    <row r="614">
      <c r="A614" t="s" s="10">
        <v>3255</v>
      </c>
      <c r="B614" t="s" s="10">
        <v>3256</v>
      </c>
      <c r="C614" t="s" s="10">
        <v>114</v>
      </c>
      <c r="D614" t="s" s="10">
        <v>115</v>
      </c>
      <c r="E614" t="s" s="10">
        <v>1625</v>
      </c>
      <c r="F614" s="27">
        <v>45560</v>
      </c>
      <c r="G614" t="s" s="10">
        <v>40</v>
      </c>
      <c r="H614" s="42">
        <v>41.83</v>
      </c>
      <c r="I614" s="42">
        <v>210.21</v>
      </c>
      <c r="J614" t="s" s="10">
        <v>3257</v>
      </c>
      <c r="K614" t="s" s="10">
        <v>3258</v>
      </c>
      <c r="L614" s="16">
        <f>HYPERLINK("http://www.athena.com.au", "www.athena.com.au")</f>
      </c>
      <c r="M614" s="16">
        <f>HYPERLINK("https://my.pitchbook.com?c=228583-90", "View Company Online")</f>
      </c>
    </row>
    <row r="615">
      <c r="A615" t="s" s="11">
        <v>3260</v>
      </c>
      <c r="B615" t="s" s="11">
        <v>3261</v>
      </c>
      <c r="C615" t="s" s="11">
        <v>60</v>
      </c>
      <c r="D615" t="s" s="11">
        <v>432</v>
      </c>
      <c r="E615" t="s" s="11">
        <v>253</v>
      </c>
      <c r="F615" s="28">
        <v>45840</v>
      </c>
      <c r="G615" t="s" s="11">
        <v>146</v>
      </c>
      <c r="H615" s="43">
        <v>72</v>
      </c>
      <c r="I615" s="43">
        <v>210.03</v>
      </c>
      <c r="J615" t="s" s="11">
        <v>3262</v>
      </c>
      <c r="K615" t="s" s="11">
        <v>3263</v>
      </c>
      <c r="L615" s="17">
        <f>HYPERLINK("http://www.savvywealth.com", "www.savvywealth.com")</f>
      </c>
      <c r="M615" s="17">
        <f>HYPERLINK("https://my.pitchbook.com?c=484614-10", "View Company Online")</f>
      </c>
    </row>
    <row r="616">
      <c r="A616" t="s" s="10">
        <v>3265</v>
      </c>
      <c r="B616" t="s" s="10">
        <v>3266</v>
      </c>
      <c r="C616" t="s" s="10">
        <v>222</v>
      </c>
      <c r="D616" t="s" s="10">
        <v>235</v>
      </c>
      <c r="E616" t="s" s="10">
        <v>253</v>
      </c>
      <c r="F616" s="27">
        <v>46091</v>
      </c>
      <c r="G616" t="s" s="10">
        <v>40</v>
      </c>
      <c r="H616" s="42">
        <v>25</v>
      </c>
      <c r="I616" s="42">
        <v>210</v>
      </c>
      <c r="J616" t="s" s="10">
        <v>3267</v>
      </c>
      <c r="K616" t="s" s="10">
        <v>3268</v>
      </c>
      <c r="L616" s="16">
        <f>HYPERLINK("http://www.pactfi.com", "www.pactfi.com")</f>
      </c>
      <c r="M616" s="16">
        <f>HYPERLINK("https://my.pitchbook.com?c=454502-53", "View Company Online")</f>
      </c>
    </row>
    <row r="617">
      <c r="A617" t="s" s="11">
        <v>3270</v>
      </c>
      <c r="B617" t="s" s="11">
        <v>3271</v>
      </c>
      <c r="C617" t="s" s="11">
        <v>60</v>
      </c>
      <c r="D617" t="s" s="11">
        <v>192</v>
      </c>
      <c r="E617" t="s" s="11">
        <v>623</v>
      </c>
      <c r="F617" t="s" s="28">
        <v>30</v>
      </c>
      <c r="G617" t="s" s="11">
        <v>48</v>
      </c>
      <c r="H617" t="s" s="43">
        <v>30</v>
      </c>
      <c r="I617" s="43">
        <v>210</v>
      </c>
      <c r="J617" t="s" s="11">
        <v>3272</v>
      </c>
      <c r="K617" t="s" s="11">
        <v>3273</v>
      </c>
      <c r="L617" s="17">
        <f>HYPERLINK("http://www.stocktwits.com", "www.stocktwits.com")</f>
      </c>
      <c r="M617" s="17">
        <f>HYPERLINK("https://my.pitchbook.com?c=51165-19", "View Company Online")</f>
      </c>
    </row>
    <row r="618">
      <c r="A618" t="s" s="10">
        <v>3275</v>
      </c>
      <c r="B618" t="s" s="10">
        <v>3276</v>
      </c>
      <c r="C618" t="s" s="10">
        <v>46</v>
      </c>
      <c r="D618" t="s" s="10">
        <v>397</v>
      </c>
      <c r="E618" t="s" s="10">
        <v>3277</v>
      </c>
      <c r="F618" s="27">
        <v>46090</v>
      </c>
      <c r="G618" t="s" s="10">
        <v>72</v>
      </c>
      <c r="H618" t="s" s="42">
        <v>30</v>
      </c>
      <c r="I618" s="42">
        <v>209.2</v>
      </c>
      <c r="J618" t="s" s="10">
        <v>3278</v>
      </c>
      <c r="K618" t="s" s="10">
        <v>3279</v>
      </c>
      <c r="L618" s="16">
        <f>HYPERLINK("http://www.endrix.com", "www.endrix.com")</f>
      </c>
      <c r="M618" s="16">
        <f>HYPERLINK("https://my.pitchbook.com?c=439818-94", "View Company Online")</f>
      </c>
    </row>
    <row r="619">
      <c r="A619" t="s" s="11">
        <v>3281</v>
      </c>
      <c r="B619" t="s" s="11">
        <v>3282</v>
      </c>
      <c r="C619" t="s" s="11">
        <v>46</v>
      </c>
      <c r="D619" t="s" s="11">
        <v>47</v>
      </c>
      <c r="E619" t="s" s="11">
        <v>253</v>
      </c>
      <c r="F619" s="28">
        <v>44517</v>
      </c>
      <c r="G619" t="s" s="11">
        <v>40</v>
      </c>
      <c r="H619" s="43">
        <v>40</v>
      </c>
      <c r="I619" s="43">
        <v>209</v>
      </c>
      <c r="J619" t="s" s="11">
        <v>3283</v>
      </c>
      <c r="K619" t="s" s="11">
        <v>3284</v>
      </c>
      <c r="L619" s="17">
        <f>HYPERLINK("http://www.workiz.com", "www.workiz.com")</f>
      </c>
      <c r="M619" s="17">
        <f>HYPERLINK("https://my.pitchbook.com?c=113685-31", "View Company Online")</f>
      </c>
    </row>
    <row r="620">
      <c r="A620" t="s" s="10">
        <v>3286</v>
      </c>
      <c r="B620" t="s" s="10">
        <v>3287</v>
      </c>
      <c r="C620" t="s" s="10">
        <v>46</v>
      </c>
      <c r="D620" t="s" s="10">
        <v>47</v>
      </c>
      <c r="E620" t="s" s="10">
        <v>3288</v>
      </c>
      <c r="F620" s="27">
        <v>45647</v>
      </c>
      <c r="G620" t="s" s="10">
        <v>40</v>
      </c>
      <c r="H620" t="s" s="42">
        <v>30</v>
      </c>
      <c r="I620" s="42">
        <v>208.67</v>
      </c>
      <c r="J620" t="s" s="10">
        <v>3289</v>
      </c>
      <c r="K620" t="s" s="10">
        <v>3290</v>
      </c>
      <c r="L620" s="16">
        <f>HYPERLINK("http://www.dxyun.com", "www.dxyun.com")</f>
      </c>
      <c r="M620" s="16">
        <f>HYPERLINK("https://my.pitchbook.com?c=436386-43", "View Company Online")</f>
      </c>
    </row>
    <row r="621">
      <c r="A621" t="s" s="11">
        <v>3292</v>
      </c>
      <c r="B621" t="s" s="11">
        <v>3293</v>
      </c>
      <c r="C621" t="s" s="11">
        <v>114</v>
      </c>
      <c r="D621" t="s" s="11">
        <v>852</v>
      </c>
      <c r="E621" t="s" s="11">
        <v>108</v>
      </c>
      <c r="F621" s="28">
        <v>45875</v>
      </c>
      <c r="G621" t="s" s="11">
        <v>40</v>
      </c>
      <c r="H621" s="43">
        <v>8</v>
      </c>
      <c r="I621" s="43">
        <v>208.1</v>
      </c>
      <c r="J621" t="s" s="11">
        <v>3294</v>
      </c>
      <c r="K621" t="s" s="11">
        <v>3295</v>
      </c>
      <c r="L621" s="17">
        <f>HYPERLINK("http://www.dpdzero.com", "www.dpdzero.com")</f>
      </c>
      <c r="M621" s="17">
        <f>HYPERLINK("https://my.pitchbook.com?c=498091-33", "View Company Online")</f>
      </c>
    </row>
    <row r="622">
      <c r="A622" t="s" s="10">
        <v>3297</v>
      </c>
      <c r="B622" t="s" s="10">
        <v>3298</v>
      </c>
      <c r="C622" t="s" s="10">
        <v>164</v>
      </c>
      <c r="D622" t="s" s="10">
        <v>206</v>
      </c>
      <c r="E622" t="s" s="10">
        <v>1800</v>
      </c>
      <c r="F622" s="27">
        <v>45483</v>
      </c>
      <c r="G622" t="s" s="10">
        <v>31</v>
      </c>
      <c r="H622" s="42">
        <v>20</v>
      </c>
      <c r="I622" s="42">
        <v>207.8</v>
      </c>
      <c r="J622" t="s" s="10">
        <v>3299</v>
      </c>
      <c r="K622" t="s" s="10">
        <v>3300</v>
      </c>
      <c r="L622" s="16">
        <f>HYPERLINK("http://www.terrapay.com", "www.terrapay.com")</f>
      </c>
      <c r="M622" s="16">
        <f>HYPERLINK("https://my.pitchbook.com?c=165913-03", "View Company Online")</f>
      </c>
    </row>
    <row r="623">
      <c r="A623" t="s" s="11">
        <v>3302</v>
      </c>
      <c r="B623" t="s" s="11">
        <v>3303</v>
      </c>
      <c r="C623" t="s" s="11">
        <v>37</v>
      </c>
      <c r="D623" t="s" s="11">
        <v>304</v>
      </c>
      <c r="E623" t="s" s="11">
        <v>3304</v>
      </c>
      <c r="F623" t="s" s="28">
        <v>30</v>
      </c>
      <c r="G623" t="s" s="11">
        <v>391</v>
      </c>
      <c r="H623" s="43">
        <v>113.64</v>
      </c>
      <c r="I623" s="43">
        <v>206.74</v>
      </c>
      <c r="J623" t="s" s="11">
        <v>3305</v>
      </c>
      <c r="K623" t="s" s="11">
        <v>3306</v>
      </c>
      <c r="L623" s="17">
        <f>HYPERLINK("http://www.shuhegroup.com", "www.shuhegroup.com")</f>
      </c>
      <c r="M623" s="17">
        <f>HYPERLINK("https://my.pitchbook.com?c=327434-59", "View Company Online")</f>
      </c>
    </row>
    <row r="624">
      <c r="A624" t="s" s="10">
        <v>3308</v>
      </c>
      <c r="B624" t="s" s="10">
        <v>3309</v>
      </c>
      <c r="C624" t="s" s="10">
        <v>164</v>
      </c>
      <c r="D624" t="s" s="10">
        <v>206</v>
      </c>
      <c r="E624" t="s" s="10">
        <v>253</v>
      </c>
      <c r="F624" s="27">
        <v>45687</v>
      </c>
      <c r="G624" t="s" s="10">
        <v>40</v>
      </c>
      <c r="H624" s="42">
        <v>81.75</v>
      </c>
      <c r="I624" s="42">
        <v>205.5</v>
      </c>
      <c r="J624" t="s" s="10">
        <v>3310</v>
      </c>
      <c r="K624" t="s" s="10">
        <v>3311</v>
      </c>
      <c r="L624" s="16">
        <f>HYPERLINK("http://www.swan.io", "www.swan.io")</f>
      </c>
      <c r="M624" s="16">
        <f>HYPERLINK("https://my.pitchbook.com?c=436433-68", "View Company Online")</f>
      </c>
    </row>
    <row r="625">
      <c r="A625" t="s" s="11">
        <v>3313</v>
      </c>
      <c r="B625" t="s" s="11">
        <v>3314</v>
      </c>
      <c r="C625" t="s" s="11">
        <v>46</v>
      </c>
      <c r="D625" t="s" s="11">
        <v>78</v>
      </c>
      <c r="E625" t="s" s="11">
        <v>253</v>
      </c>
      <c r="F625" s="28">
        <v>45748</v>
      </c>
      <c r="G625" t="s" s="11">
        <v>40</v>
      </c>
      <c r="H625" s="43">
        <v>10</v>
      </c>
      <c r="I625" s="43">
        <v>205</v>
      </c>
      <c r="J625" t="s" s="11">
        <v>3315</v>
      </c>
      <c r="K625" t="s" s="11">
        <v>3316</v>
      </c>
      <c r="L625" s="17">
        <f>HYPERLINK("http://www.atomic.financial", "www.atomic.financial")</f>
      </c>
      <c r="M625" s="17">
        <f>HYPERLINK("https://my.pitchbook.com?c=338654-89", "View Company Online")</f>
      </c>
    </row>
    <row r="626">
      <c r="A626" t="s" s="10">
        <v>3318</v>
      </c>
      <c r="B626" t="s" s="10">
        <v>3319</v>
      </c>
      <c r="C626" t="s" s="10">
        <v>222</v>
      </c>
      <c r="D626" t="s" s="10">
        <v>252</v>
      </c>
      <c r="E626" t="s" s="10">
        <v>3320</v>
      </c>
      <c r="F626" t="s" s="27">
        <v>30</v>
      </c>
      <c r="G626" t="s" s="10">
        <v>48</v>
      </c>
      <c r="H626" t="s" s="42">
        <v>30</v>
      </c>
      <c r="I626" s="42">
        <v>205</v>
      </c>
      <c r="J626" t="s" s="10">
        <v>3321</v>
      </c>
      <c r="K626" t="s" s="10">
        <v>3322</v>
      </c>
      <c r="L626" s="16">
        <f>HYPERLINK("http://www.here.io", "www.here.io")</f>
      </c>
      <c r="M626" s="16">
        <f>HYPERLINK("https://my.pitchbook.com?c=54870-76", "View Company Online")</f>
      </c>
    </row>
    <row r="627">
      <c r="A627" t="s" s="11">
        <v>3324</v>
      </c>
      <c r="B627" t="s" s="11">
        <v>3325</v>
      </c>
      <c r="C627" t="s" s="11">
        <v>164</v>
      </c>
      <c r="D627" t="s" s="11">
        <v>206</v>
      </c>
      <c r="E627" t="s" s="11">
        <v>137</v>
      </c>
      <c r="F627" s="28">
        <v>46176</v>
      </c>
      <c r="G627" t="s" s="11">
        <v>40</v>
      </c>
      <c r="H627" s="43">
        <v>39.28</v>
      </c>
      <c r="I627" s="43">
        <v>204.28</v>
      </c>
      <c r="J627" t="s" s="11">
        <v>3326</v>
      </c>
      <c r="K627" t="s" s="11">
        <v>3327</v>
      </c>
      <c r="L627" s="17">
        <f>HYPERLINK("http://www.joinforage.com", "www.joinforage.com")</f>
      </c>
      <c r="M627" s="17">
        <f>HYPERLINK("https://my.pitchbook.com?c=439477-57", "View Company Online")</f>
      </c>
    </row>
    <row r="628">
      <c r="A628" t="s" s="10">
        <v>3329</v>
      </c>
      <c r="B628" t="s" s="10">
        <v>3330</v>
      </c>
      <c r="C628" t="s" s="10">
        <v>60</v>
      </c>
      <c r="D628" t="s" s="10">
        <v>61</v>
      </c>
      <c r="E628" t="s" s="10">
        <v>859</v>
      </c>
      <c r="F628" s="27">
        <v>46007</v>
      </c>
      <c r="G628" t="s" s="10">
        <v>40</v>
      </c>
      <c r="H628" s="42">
        <v>15.57</v>
      </c>
      <c r="I628" s="42">
        <v>202.09</v>
      </c>
      <c r="J628" t="s" s="10">
        <v>3331</v>
      </c>
      <c r="K628" t="s" s="10">
        <v>3332</v>
      </c>
      <c r="L628" s="16">
        <f>HYPERLINK("http://www.archax.com", "www.archax.com")</f>
      </c>
      <c r="M628" s="16">
        <f>HYPERLINK("https://my.pitchbook.com?c=231234-49", "View Company Online")</f>
      </c>
    </row>
    <row r="629">
      <c r="A629" t="s" s="11">
        <v>3334</v>
      </c>
      <c r="B629" t="s" s="11">
        <v>3335</v>
      </c>
      <c r="C629" t="s" s="11">
        <v>114</v>
      </c>
      <c r="D629" t="s" s="11">
        <v>136</v>
      </c>
      <c r="E629" t="s" s="11">
        <v>193</v>
      </c>
      <c r="F629" s="28">
        <v>46216</v>
      </c>
      <c r="G629" t="s" s="11">
        <v>40</v>
      </c>
      <c r="H629" s="43">
        <v>5</v>
      </c>
      <c r="I629" s="43">
        <v>202.04</v>
      </c>
      <c r="J629" t="s" s="11">
        <v>3336</v>
      </c>
      <c r="K629" t="s" s="11">
        <v>3337</v>
      </c>
      <c r="L629" s="17">
        <f>HYPERLINK("http://www.julo.co.id", "www.julo.co.id")</f>
      </c>
      <c r="M629" s="17">
        <f>HYPERLINK("https://my.pitchbook.com?c=184121-20", "View Company Online")</f>
      </c>
    </row>
    <row r="630">
      <c r="A630" t="s" s="10">
        <v>3339</v>
      </c>
      <c r="B630" t="s" s="10">
        <v>3340</v>
      </c>
      <c r="C630" t="s" s="10">
        <v>222</v>
      </c>
      <c r="D630" t="s" s="10">
        <v>252</v>
      </c>
      <c r="E630" t="s" s="10">
        <v>629</v>
      </c>
      <c r="F630" s="27">
        <v>45042</v>
      </c>
      <c r="G630" t="s" s="10">
        <v>40</v>
      </c>
      <c r="H630" s="42">
        <v>20</v>
      </c>
      <c r="I630" s="42">
        <v>202</v>
      </c>
      <c r="J630" t="s" s="10">
        <v>3341</v>
      </c>
      <c r="K630" t="s" s="10">
        <v>3342</v>
      </c>
      <c r="L630" s="16">
        <f>HYPERLINK("http://www.axoni.com", "www.axoni.com")</f>
      </c>
      <c r="M630" s="16">
        <f>HYPERLINK("https://my.pitchbook.com?c=185283-37", "View Company Online")</f>
      </c>
    </row>
    <row r="631">
      <c r="A631" t="s" s="11">
        <v>3344</v>
      </c>
      <c r="B631" t="s" s="11">
        <v>3345</v>
      </c>
      <c r="C631" t="s" s="11">
        <v>27</v>
      </c>
      <c r="D631" t="s" s="11">
        <v>28</v>
      </c>
      <c r="E631" t="s" s="11">
        <v>3346</v>
      </c>
      <c r="F631" s="28">
        <v>45517</v>
      </c>
      <c r="G631" t="s" s="11">
        <v>40</v>
      </c>
      <c r="H631" s="43">
        <v>232</v>
      </c>
      <c r="I631" s="43">
        <v>202</v>
      </c>
      <c r="J631" t="s" s="11">
        <v>3347</v>
      </c>
      <c r="K631" t="s" s="11">
        <v>3348</v>
      </c>
      <c r="L631" s="17">
        <f>HYPERLINK("http://www.payzen.com", "www.payzen.com")</f>
      </c>
      <c r="M631" s="17">
        <f>HYPERLINK("https://my.pitchbook.com?c=343433-62", "View Company Online")</f>
      </c>
    </row>
    <row r="632">
      <c r="A632" t="s" s="10">
        <v>3350</v>
      </c>
      <c r="B632" t="s" s="10">
        <v>3351</v>
      </c>
      <c r="C632" t="s" s="10">
        <v>27</v>
      </c>
      <c r="D632" t="s" s="10">
        <v>70</v>
      </c>
      <c r="E632" t="s" s="10">
        <v>3352</v>
      </c>
      <c r="F632" s="27">
        <v>45131</v>
      </c>
      <c r="G632" t="s" s="10">
        <v>146</v>
      </c>
      <c r="H632" s="42">
        <v>36.71</v>
      </c>
      <c r="I632" s="42">
        <v>201.71</v>
      </c>
      <c r="J632" t="s" s="10">
        <v>3353</v>
      </c>
      <c r="K632" t="s" s="10">
        <v>3354</v>
      </c>
      <c r="L632" s="16">
        <f>HYPERLINK("http://www.rialtic.io", "www.rialtic.io")</f>
      </c>
      <c r="M632" s="16">
        <f>HYPERLINK("https://my.pitchbook.com?c=442860-58", "View Company Online")</f>
      </c>
    </row>
    <row r="633">
      <c r="A633" t="s" s="11">
        <v>3356</v>
      </c>
      <c r="B633" t="s" s="11">
        <v>3357</v>
      </c>
      <c r="C633" t="s" s="11">
        <v>164</v>
      </c>
      <c r="D633" t="s" s="11">
        <v>206</v>
      </c>
      <c r="E633" t="s" s="11">
        <v>3358</v>
      </c>
      <c r="F633" s="28">
        <v>45490</v>
      </c>
      <c r="G633" t="s" s="11">
        <v>146</v>
      </c>
      <c r="H633" s="43">
        <v>65</v>
      </c>
      <c r="I633" s="43">
        <v>201</v>
      </c>
      <c r="J633" t="s" s="11">
        <v>3359</v>
      </c>
      <c r="K633" t="s" s="11">
        <v>3360</v>
      </c>
      <c r="L633" s="17">
        <f>HYPERLINK("http://www.slopepay.com", "www.slopepay.com")</f>
      </c>
      <c r="M633" s="17">
        <f>HYPERLINK("https://my.pitchbook.com?c=481336-39", "View Company Online")</f>
      </c>
    </row>
    <row r="634">
      <c r="A634" t="s" s="10">
        <v>3362</v>
      </c>
      <c r="B634" t="s" s="10">
        <v>3363</v>
      </c>
      <c r="C634" t="s" s="10">
        <v>46</v>
      </c>
      <c r="D634" t="s" s="10">
        <v>47</v>
      </c>
      <c r="E634" t="s" s="10">
        <v>373</v>
      </c>
      <c r="F634" s="27">
        <v>45931</v>
      </c>
      <c r="G634" t="s" s="10">
        <v>40</v>
      </c>
      <c r="H634" t="s" s="42">
        <v>30</v>
      </c>
      <c r="I634" s="42">
        <v>200.95</v>
      </c>
      <c r="J634" t="s" s="10">
        <v>3364</v>
      </c>
      <c r="K634" t="s" s="10">
        <v>3365</v>
      </c>
      <c r="L634" s="16">
        <f>HYPERLINK("http://www.indebted.co", "www.indebted.co")</f>
      </c>
      <c r="M634" s="16">
        <f>HYPERLINK("https://my.pitchbook.com?c=171813-52", "View Company Online")</f>
      </c>
    </row>
    <row r="635">
      <c r="A635" t="s" s="11">
        <v>3367</v>
      </c>
      <c r="B635" t="s" s="11">
        <v>3368</v>
      </c>
      <c r="C635" t="s" s="11">
        <v>46</v>
      </c>
      <c r="D635" t="s" s="11">
        <v>397</v>
      </c>
      <c r="E635" t="s" s="11">
        <v>414</v>
      </c>
      <c r="F635" s="28">
        <v>45292</v>
      </c>
      <c r="G635" t="s" s="11">
        <v>607</v>
      </c>
      <c r="H635" s="43">
        <v>0.03</v>
      </c>
      <c r="I635" s="43">
        <v>200</v>
      </c>
      <c r="J635" t="s" s="11">
        <v>3369</v>
      </c>
      <c r="K635" t="s" s="11">
        <v>3370</v>
      </c>
      <c r="L635" s="17">
        <f>HYPERLINK("http://www.blackore.ai", "www.blackore.ai")</f>
      </c>
      <c r="M635" s="17">
        <f>HYPERLINK("https://my.pitchbook.com?c=534759-13", "View Company Online")</f>
      </c>
    </row>
    <row r="636">
      <c r="A636" t="s" s="10">
        <v>3372</v>
      </c>
      <c r="B636" t="s" s="10">
        <v>3373</v>
      </c>
      <c r="C636" t="s" s="10">
        <v>222</v>
      </c>
      <c r="D636" t="s" s="10">
        <v>252</v>
      </c>
      <c r="E636" t="s" s="10">
        <v>859</v>
      </c>
      <c r="F636" t="s" s="27">
        <v>30</v>
      </c>
      <c r="G636" t="s" s="10">
        <v>391</v>
      </c>
      <c r="H636" t="s" s="42">
        <v>30</v>
      </c>
      <c r="I636" s="42">
        <v>200</v>
      </c>
      <c r="J636" t="s" s="10">
        <v>3374</v>
      </c>
      <c r="K636" t="s" s="10">
        <v>30</v>
      </c>
      <c r="L636" s="16">
        <f>HYPERLINK("http://www.bosonic.digital", "www.bosonic.digital")</f>
      </c>
      <c r="M636" s="16">
        <f>HYPERLINK("https://my.pitchbook.com?c=166767-94", "View Company Online")</f>
      </c>
    </row>
    <row r="637">
      <c r="A637" t="s" s="11">
        <v>3376</v>
      </c>
      <c r="B637" t="s" s="11">
        <v>3377</v>
      </c>
      <c r="C637" t="s" s="11">
        <v>46</v>
      </c>
      <c r="D637" t="s" s="11">
        <v>915</v>
      </c>
      <c r="E637" t="s" s="11">
        <v>373</v>
      </c>
      <c r="F637" s="28">
        <v>45369</v>
      </c>
      <c r="G637" t="s" s="11">
        <v>40</v>
      </c>
      <c r="H637" s="43">
        <v>20</v>
      </c>
      <c r="I637" s="43">
        <v>200</v>
      </c>
      <c r="J637" t="s" s="11">
        <v>3378</v>
      </c>
      <c r="K637" t="s" s="11">
        <v>3379</v>
      </c>
      <c r="L637" s="17">
        <f>HYPERLINK("http://www.cubesoftware.com", "www.cubesoftware.com")</f>
      </c>
      <c r="M637" s="17">
        <f>HYPERLINK("https://my.pitchbook.com?c=375610-78", "View Company Online")</f>
      </c>
    </row>
    <row r="638">
      <c r="A638" t="s" s="10">
        <v>3381</v>
      </c>
      <c r="B638" t="s" s="10">
        <v>3382</v>
      </c>
      <c r="C638" t="s" s="10">
        <v>114</v>
      </c>
      <c r="D638" t="s" s="10">
        <v>136</v>
      </c>
      <c r="E638" t="s" s="10">
        <v>3383</v>
      </c>
      <c r="F638" s="27">
        <v>42977</v>
      </c>
      <c r="G638" t="s" s="10">
        <v>40</v>
      </c>
      <c r="H638" s="42">
        <v>29</v>
      </c>
      <c r="I638" s="42">
        <v>200</v>
      </c>
      <c r="J638" t="s" s="10">
        <v>3384</v>
      </c>
      <c r="K638" t="s" s="10">
        <v>3385</v>
      </c>
      <c r="L638" s="16">
        <f>HYPERLINK("http://www.kaishiba.com", "www.kaishiba.com")</f>
      </c>
      <c r="M638" s="16">
        <f>HYPERLINK("https://my.pitchbook.com?c=153141-40", "View Company Online")</f>
      </c>
    </row>
    <row r="639">
      <c r="A639" t="s" s="11">
        <v>3387</v>
      </c>
      <c r="B639" t="s" s="11">
        <v>3388</v>
      </c>
      <c r="C639" t="s" s="11">
        <v>27</v>
      </c>
      <c r="D639" t="s" s="11">
        <v>70</v>
      </c>
      <c r="E639" t="s" s="11">
        <v>967</v>
      </c>
      <c r="F639" s="28">
        <v>45881</v>
      </c>
      <c r="G639" t="s" s="11">
        <v>40</v>
      </c>
      <c r="H639" s="43">
        <v>10</v>
      </c>
      <c r="I639" s="43">
        <v>200</v>
      </c>
      <c r="J639" t="s" s="11">
        <v>3389</v>
      </c>
      <c r="K639" t="s" s="11">
        <v>3390</v>
      </c>
      <c r="L639" s="17">
        <f>HYPERLINK("http://www.onerway.com", "www.onerway.com")</f>
      </c>
      <c r="M639" s="17">
        <f>HYPERLINK("https://my.pitchbook.com?c=537136-84", "View Company Online")</f>
      </c>
    </row>
    <row r="640">
      <c r="A640" t="s" s="10">
        <v>3392</v>
      </c>
      <c r="B640" t="s" s="10">
        <v>3393</v>
      </c>
      <c r="C640" t="s" s="10">
        <v>60</v>
      </c>
      <c r="D640" t="s" s="10">
        <v>192</v>
      </c>
      <c r="E640" t="s" s="10">
        <v>270</v>
      </c>
      <c r="F640" s="27">
        <v>46141</v>
      </c>
      <c r="G640" t="s" s="10">
        <v>146</v>
      </c>
      <c r="H640" s="42">
        <v>33</v>
      </c>
      <c r="I640" s="42">
        <v>200</v>
      </c>
      <c r="J640" t="s" s="10">
        <v>3394</v>
      </c>
      <c r="K640" t="s" s="10">
        <v>3395</v>
      </c>
      <c r="L640" s="16">
        <f>HYPERLINK("http://www.aaritya.com", "www.aaritya.com")</f>
      </c>
      <c r="M640" s="16">
        <f>HYPERLINK("https://my.pitchbook.com?c=535247-92", "View Company Online")</f>
      </c>
    </row>
    <row r="641">
      <c r="A641" t="s" s="11">
        <v>3397</v>
      </c>
      <c r="B641" t="s" s="11">
        <v>3398</v>
      </c>
      <c r="C641" t="s" s="11">
        <v>27</v>
      </c>
      <c r="D641" t="s" s="11">
        <v>28</v>
      </c>
      <c r="E641" t="s" s="11">
        <v>253</v>
      </c>
      <c r="F641" s="28">
        <v>46086</v>
      </c>
      <c r="G641" t="s" s="11">
        <v>40</v>
      </c>
      <c r="H641" s="43">
        <v>40</v>
      </c>
      <c r="I641" s="43">
        <v>200</v>
      </c>
      <c r="J641" t="s" s="11">
        <v>3399</v>
      </c>
      <c r="K641" t="s" s="11">
        <v>3400</v>
      </c>
      <c r="L641" s="17">
        <f>HYPERLINK("http://www.silverflow.com", "www.silverflow.com")</f>
      </c>
      <c r="M641" s="17">
        <f>HYPERLINK("https://my.pitchbook.com?c=442827-19", "View Company Online")</f>
      </c>
    </row>
    <row r="642">
      <c r="A642" t="s" s="10">
        <v>3402</v>
      </c>
      <c r="B642" t="s" s="10">
        <v>3403</v>
      </c>
      <c r="C642" t="s" s="10">
        <v>60</v>
      </c>
      <c r="D642" t="s" s="10">
        <v>192</v>
      </c>
      <c r="E642" t="s" s="10">
        <v>270</v>
      </c>
      <c r="F642" s="27">
        <v>45519</v>
      </c>
      <c r="G642" t="s" s="10">
        <v>138</v>
      </c>
      <c r="H642" s="42">
        <v>80</v>
      </c>
      <c r="I642" s="42">
        <v>200</v>
      </c>
      <c r="J642" t="s" s="10">
        <v>3404</v>
      </c>
      <c r="K642" t="s" s="10">
        <v>30</v>
      </c>
      <c r="L642" s="16">
        <f>HYPERLINK("http://www.tipranks.com", "www.tipranks.com")</f>
      </c>
      <c r="M642" s="16">
        <f>HYPERLINK("https://my.pitchbook.com?c=65236-42", "View Company Online")</f>
      </c>
    </row>
    <row r="643">
      <c r="A643" t="s" s="11">
        <v>3406</v>
      </c>
      <c r="B643" t="s" s="11">
        <v>3407</v>
      </c>
      <c r="C643" t="s" s="11">
        <v>164</v>
      </c>
      <c r="D643" t="s" s="11">
        <v>165</v>
      </c>
      <c r="E643" t="s" s="11">
        <v>253</v>
      </c>
      <c r="F643" s="28">
        <v>45008</v>
      </c>
      <c r="G643" t="s" s="11">
        <v>40</v>
      </c>
      <c r="H643" s="43">
        <v>17.52</v>
      </c>
      <c r="I643" s="43">
        <v>198.02</v>
      </c>
      <c r="J643" t="s" s="11">
        <v>3408</v>
      </c>
      <c r="K643" t="s" s="11">
        <v>3409</v>
      </c>
      <c r="L643" s="17">
        <f>HYPERLINK("http://www.pollinate.global", "www.pollinate.global")</f>
      </c>
      <c r="M643" s="17">
        <f>HYPERLINK("https://my.pitchbook.com?c=336604-06", "View Company Online")</f>
      </c>
    </row>
    <row r="644">
      <c r="A644" t="s" s="10">
        <v>3411</v>
      </c>
      <c r="B644" t="s" s="10">
        <v>3412</v>
      </c>
      <c r="C644" t="s" s="10">
        <v>164</v>
      </c>
      <c r="D644" t="s" s="10">
        <v>206</v>
      </c>
      <c r="E644" t="s" s="10">
        <v>332</v>
      </c>
      <c r="F644" s="27">
        <v>45621</v>
      </c>
      <c r="G644" t="s" s="10">
        <v>146</v>
      </c>
      <c r="H644" s="42">
        <v>3.21</v>
      </c>
      <c r="I644" s="42">
        <v>196.96</v>
      </c>
      <c r="J644" t="s" s="10">
        <v>3413</v>
      </c>
      <c r="K644" t="s" s="10">
        <v>3414</v>
      </c>
      <c r="L644" s="16">
        <f>HYPERLINK("http://www.norbr.com", "www.norbr.com")</f>
      </c>
      <c r="M644" s="16">
        <f>HYPERLINK("https://my.pitchbook.com?c=495598-42", "View Company Online")</f>
      </c>
    </row>
    <row r="645">
      <c r="A645" t="s" s="11">
        <v>3416</v>
      </c>
      <c r="B645" t="s" s="11">
        <v>3417</v>
      </c>
      <c r="C645" t="s" s="11">
        <v>27</v>
      </c>
      <c r="D645" t="s" s="11">
        <v>122</v>
      </c>
      <c r="E645" t="s" s="11">
        <v>253</v>
      </c>
      <c r="F645" s="28">
        <v>46190</v>
      </c>
      <c r="G645" t="s" s="11">
        <v>40</v>
      </c>
      <c r="H645" s="43">
        <v>31.9</v>
      </c>
      <c r="I645" s="43">
        <v>196.89</v>
      </c>
      <c r="J645" t="s" s="11">
        <v>3418</v>
      </c>
      <c r="K645" t="s" s="11">
        <v>3419</v>
      </c>
      <c r="L645" s="17">
        <f>HYPERLINK("http://www.tracefinance.com", "www.tracefinance.com")</f>
      </c>
      <c r="M645" s="17">
        <f>HYPERLINK("https://my.pitchbook.com?c=491298-67", "View Company Online")</f>
      </c>
    </row>
    <row r="646">
      <c r="A646" t="s" s="10">
        <v>3421</v>
      </c>
      <c r="B646" t="s" s="10">
        <v>3422</v>
      </c>
      <c r="C646" t="s" s="10">
        <v>46</v>
      </c>
      <c r="D646" t="s" s="10">
        <v>397</v>
      </c>
      <c r="E646" t="s" s="10">
        <v>253</v>
      </c>
      <c r="F646" s="27">
        <v>45861</v>
      </c>
      <c r="G646" t="s" s="10">
        <v>146</v>
      </c>
      <c r="H646" s="42">
        <v>38</v>
      </c>
      <c r="I646" s="42">
        <v>196</v>
      </c>
      <c r="J646" t="s" s="10">
        <v>3423</v>
      </c>
      <c r="K646" t="s" s="10">
        <v>3424</v>
      </c>
      <c r="L646" s="16">
        <f>HYPERLINK("http://www.getapril.com", "www.getapril.com")</f>
      </c>
      <c r="M646" s="16">
        <f>HYPERLINK("https://my.pitchbook.com?c=484738-75", "View Company Online")</f>
      </c>
    </row>
    <row r="647">
      <c r="A647" t="s" s="11">
        <v>3426</v>
      </c>
      <c r="B647" t="s" s="11">
        <v>3427</v>
      </c>
      <c r="C647" t="s" s="11">
        <v>222</v>
      </c>
      <c r="D647" t="s" s="11">
        <v>537</v>
      </c>
      <c r="E647" t="s" s="11">
        <v>373</v>
      </c>
      <c r="F647" s="28">
        <v>46034</v>
      </c>
      <c r="G647" t="s" s="11">
        <v>146</v>
      </c>
      <c r="H647" s="43">
        <v>35.55</v>
      </c>
      <c r="I647" s="43">
        <v>195</v>
      </c>
      <c r="J647" t="s" s="11">
        <v>3428</v>
      </c>
      <c r="K647" t="s" s="11">
        <v>3429</v>
      </c>
      <c r="L647" s="17">
        <f>HYPERLINK("http://www.architect.co", "www.architect.co")</f>
      </c>
      <c r="M647" s="17">
        <f>HYPERLINK("https://my.pitchbook.com?c=518515-30", "View Company Online")</f>
      </c>
    </row>
    <row r="648">
      <c r="A648" t="s" s="10">
        <v>3431</v>
      </c>
      <c r="B648" t="s" s="10">
        <v>3432</v>
      </c>
      <c r="C648" t="s" s="10">
        <v>46</v>
      </c>
      <c r="D648" t="s" s="10">
        <v>78</v>
      </c>
      <c r="E648" t="s" s="10">
        <v>3433</v>
      </c>
      <c r="F648" s="27">
        <v>45916</v>
      </c>
      <c r="G648" t="s" s="10">
        <v>40</v>
      </c>
      <c r="H648" s="42">
        <v>30</v>
      </c>
      <c r="I648" s="42">
        <v>195</v>
      </c>
      <c r="J648" t="s" s="10">
        <v>3434</v>
      </c>
      <c r="K648" t="s" s="10">
        <v>3435</v>
      </c>
      <c r="L648" s="16">
        <f>HYPERLINK("http://www.argyle.com", "www.argyle.com")</f>
      </c>
      <c r="M648" s="16">
        <f>HYPERLINK("https://my.pitchbook.com?c=265155-85", "View Company Online")</f>
      </c>
    </row>
    <row r="649">
      <c r="A649" t="s" s="11">
        <v>3437</v>
      </c>
      <c r="B649" t="s" s="11">
        <v>3438</v>
      </c>
      <c r="C649" t="s" s="11">
        <v>164</v>
      </c>
      <c r="D649" t="s" s="11">
        <v>165</v>
      </c>
      <c r="E649" t="s" s="11">
        <v>253</v>
      </c>
      <c r="F649" s="28">
        <v>45870</v>
      </c>
      <c r="G649" t="s" s="11">
        <v>40</v>
      </c>
      <c r="H649" s="43">
        <v>55</v>
      </c>
      <c r="I649" s="43">
        <v>195</v>
      </c>
      <c r="J649" t="s" s="11">
        <v>3439</v>
      </c>
      <c r="K649" t="s" s="11">
        <v>3440</v>
      </c>
      <c r="L649" s="17">
        <f>HYPERLINK("http://www.stavtar.com", "www.stavtar.com")</f>
      </c>
      <c r="M649" s="17">
        <f>HYPERLINK("https://my.pitchbook.com?c=465778-18", "View Company Online")</f>
      </c>
    </row>
    <row r="650">
      <c r="A650" t="s" s="10">
        <v>3442</v>
      </c>
      <c r="B650" t="s" s="10">
        <v>3443</v>
      </c>
      <c r="C650" t="s" s="10">
        <v>60</v>
      </c>
      <c r="D650" t="s" s="10">
        <v>246</v>
      </c>
      <c r="E650" t="s" s="10">
        <v>652</v>
      </c>
      <c r="F650" s="27">
        <v>45979</v>
      </c>
      <c r="G650" t="s" s="10">
        <v>40</v>
      </c>
      <c r="H650" s="42">
        <v>8.48</v>
      </c>
      <c r="I650" s="42">
        <v>194.52</v>
      </c>
      <c r="J650" t="s" s="10">
        <v>3444</v>
      </c>
      <c r="K650" t="s" s="10">
        <v>3445</v>
      </c>
      <c r="L650" s="16">
        <f>HYPERLINK("http://www.bankbazaar.com", "www.bankbazaar.com")</f>
      </c>
      <c r="M650" s="16">
        <f>HYPERLINK("https://my.pitchbook.com?c=54365-77", "View Company Online")</f>
      </c>
    </row>
    <row r="651">
      <c r="A651" t="s" s="11">
        <v>3447</v>
      </c>
      <c r="B651" t="s" s="11">
        <v>3448</v>
      </c>
      <c r="C651" t="s" s="11">
        <v>164</v>
      </c>
      <c r="D651" t="s" s="11">
        <v>206</v>
      </c>
      <c r="E651" t="s" s="11">
        <v>1006</v>
      </c>
      <c r="F651" s="28">
        <v>44914</v>
      </c>
      <c r="G651" t="s" s="11">
        <v>40</v>
      </c>
      <c r="H651" s="43">
        <v>66.69</v>
      </c>
      <c r="I651" s="43">
        <v>193.17</v>
      </c>
      <c r="J651" t="s" s="11">
        <v>3449</v>
      </c>
      <c r="K651" t="s" s="11">
        <v>3450</v>
      </c>
      <c r="L651" s="17">
        <f>HYPERLINK("http://www.moneyhub.com", "www.moneyhub.com")</f>
      </c>
      <c r="M651" s="17">
        <f>HYPERLINK("https://my.pitchbook.com?c=234684-28", "View Company Online")</f>
      </c>
    </row>
    <row r="652">
      <c r="A652" t="s" s="10">
        <v>3452</v>
      </c>
      <c r="B652" t="s" s="10">
        <v>3453</v>
      </c>
      <c r="C652" t="s" s="10">
        <v>164</v>
      </c>
      <c r="D652" t="s" s="10">
        <v>165</v>
      </c>
      <c r="E652" t="s" s="10">
        <v>373</v>
      </c>
      <c r="F652" s="27">
        <v>46161</v>
      </c>
      <c r="G652" t="s" s="10">
        <v>391</v>
      </c>
      <c r="H652" t="s" s="42">
        <v>30</v>
      </c>
      <c r="I652" s="42">
        <v>192.3</v>
      </c>
      <c r="J652" t="s" s="10">
        <v>3454</v>
      </c>
      <c r="K652" t="s" s="10">
        <v>30</v>
      </c>
      <c r="L652" s="16">
        <f>HYPERLINK("http://www.peachfinance.com", "www.peachfinance.com")</f>
      </c>
      <c r="M652" s="16">
        <f>HYPERLINK("https://my.pitchbook.com?c=340904-71", "View Company Online")</f>
      </c>
    </row>
    <row r="653">
      <c r="A653" t="s" s="11">
        <v>3456</v>
      </c>
      <c r="B653" t="s" s="11">
        <v>3457</v>
      </c>
      <c r="C653" t="s" s="11">
        <v>144</v>
      </c>
      <c r="D653" t="s" s="11">
        <v>297</v>
      </c>
      <c r="E653" t="s" s="11">
        <v>1349</v>
      </c>
      <c r="F653" s="28">
        <v>45730</v>
      </c>
      <c r="G653" t="s" s="11">
        <v>40</v>
      </c>
      <c r="H653" s="43">
        <v>20</v>
      </c>
      <c r="I653" s="43">
        <v>192.28</v>
      </c>
      <c r="J653" t="s" s="11">
        <v>3458</v>
      </c>
      <c r="K653" t="s" s="11">
        <v>3459</v>
      </c>
      <c r="L653" s="17">
        <f>HYPERLINK("http://www.vayana.com", "www.vayana.com")</f>
      </c>
      <c r="M653" s="17">
        <f>HYPERLINK("https://my.pitchbook.com?c=183397-87", "View Company Online")</f>
      </c>
    </row>
    <row r="654">
      <c r="A654" t="s" s="10">
        <v>3461</v>
      </c>
      <c r="B654" t="s" s="10">
        <v>3462</v>
      </c>
      <c r="C654" t="s" s="10">
        <v>46</v>
      </c>
      <c r="D654" t="s" s="10">
        <v>915</v>
      </c>
      <c r="E654" t="s" s="10">
        <v>185</v>
      </c>
      <c r="F654" s="27">
        <v>45862</v>
      </c>
      <c r="G654" t="s" s="10">
        <v>40</v>
      </c>
      <c r="H654" s="42">
        <v>9</v>
      </c>
      <c r="I654" s="42">
        <v>192</v>
      </c>
      <c r="J654" t="s" s="10">
        <v>3463</v>
      </c>
      <c r="K654" t="s" s="10">
        <v>3464</v>
      </c>
      <c r="L654" s="16">
        <f>HYPERLINK("http://www.trovata.io", "www.trovata.io")</f>
      </c>
      <c r="M654" s="16">
        <f>HYPERLINK("https://my.pitchbook.com?c=178656-49", "View Company Online")</f>
      </c>
    </row>
    <row r="655">
      <c r="A655" t="s" s="11">
        <v>3466</v>
      </c>
      <c r="B655" t="s" s="11">
        <v>3467</v>
      </c>
      <c r="C655" t="s" s="11">
        <v>164</v>
      </c>
      <c r="D655" t="s" s="11">
        <v>206</v>
      </c>
      <c r="E655" t="s" s="11">
        <v>253</v>
      </c>
      <c r="F655" s="28">
        <v>44607</v>
      </c>
      <c r="G655" t="s" s="11">
        <v>40</v>
      </c>
      <c r="H655" s="43">
        <v>67.19</v>
      </c>
      <c r="I655" s="43">
        <v>191.82</v>
      </c>
      <c r="J655" t="s" s="11">
        <v>3468</v>
      </c>
      <c r="K655" t="s" s="11">
        <v>3469</v>
      </c>
      <c r="L655" s="17">
        <f>HYPERLINK("http://www.sharegain.com", "www.sharegain.com")</f>
      </c>
      <c r="M655" s="17">
        <f>HYPERLINK("https://my.pitchbook.com?c=168327-10", "View Company Online")</f>
      </c>
    </row>
    <row r="656">
      <c r="A656" t="s" s="10">
        <v>3471</v>
      </c>
      <c r="B656" t="s" s="10">
        <v>3472</v>
      </c>
      <c r="C656" t="s" s="10">
        <v>46</v>
      </c>
      <c r="D656" t="s" s="10">
        <v>397</v>
      </c>
      <c r="E656" t="s" s="10">
        <v>3473</v>
      </c>
      <c r="F656" s="27">
        <v>45947</v>
      </c>
      <c r="G656" t="s" s="10">
        <v>64</v>
      </c>
      <c r="H656" t="s" s="42">
        <v>30</v>
      </c>
      <c r="I656" s="42">
        <v>190.79</v>
      </c>
      <c r="J656" t="s" s="10">
        <v>3474</v>
      </c>
      <c r="K656" t="s" s="10">
        <v>3475</v>
      </c>
      <c r="L656" s="16">
        <f>HYPERLINK("http://www.chinackts.com", "www.chinackts.com")</f>
      </c>
      <c r="M656" s="16">
        <f>HYPERLINK("https://my.pitchbook.com?c=483179-32", "View Company Online")</f>
      </c>
    </row>
    <row r="657">
      <c r="A657" t="s" s="11">
        <v>3477</v>
      </c>
      <c r="B657" t="s" s="11">
        <v>3478</v>
      </c>
      <c r="C657" t="s" s="11">
        <v>128</v>
      </c>
      <c r="D657" t="s" s="11">
        <v>276</v>
      </c>
      <c r="E657" t="s" s="11">
        <v>270</v>
      </c>
      <c r="F657" s="28">
        <v>45391</v>
      </c>
      <c r="G657" t="s" s="11">
        <v>40</v>
      </c>
      <c r="H657" s="43">
        <v>10</v>
      </c>
      <c r="I657" s="43">
        <v>190.47</v>
      </c>
      <c r="J657" t="s" s="11">
        <v>3479</v>
      </c>
      <c r="K657" t="s" s="11">
        <v>3480</v>
      </c>
      <c r="L657" s="17">
        <f>HYPERLINK("http://www.transfergo.com", "www.transfergo.com")</f>
      </c>
      <c r="M657" s="17">
        <f>HYPERLINK("https://my.pitchbook.com?c=56977-48", "View Company Online")</f>
      </c>
    </row>
    <row r="658">
      <c r="A658" t="s" s="10">
        <v>3482</v>
      </c>
      <c r="B658" t="s" s="10">
        <v>3483</v>
      </c>
      <c r="C658" t="s" s="10">
        <v>172</v>
      </c>
      <c r="D658" t="s" s="10">
        <v>173</v>
      </c>
      <c r="E658" t="s" s="10">
        <v>1277</v>
      </c>
      <c r="F658" s="27">
        <v>45645</v>
      </c>
      <c r="G658" t="s" s="10">
        <v>40</v>
      </c>
      <c r="H658" s="42">
        <v>30</v>
      </c>
      <c r="I658" s="42">
        <v>189.7</v>
      </c>
      <c r="J658" t="s" s="10">
        <v>3484</v>
      </c>
      <c r="K658" t="s" s="10">
        <v>3485</v>
      </c>
      <c r="L658" s="16">
        <f>HYPERLINK("http://www.justt.ai", "www.justt.ai")</f>
      </c>
      <c r="M658" s="16">
        <f>HYPERLINK("https://my.pitchbook.com?c=230751-28", "View Company Online")</f>
      </c>
    </row>
    <row r="659">
      <c r="A659" t="s" s="11">
        <v>3487</v>
      </c>
      <c r="B659" t="s" s="11">
        <v>3488</v>
      </c>
      <c r="C659" t="s" s="11">
        <v>164</v>
      </c>
      <c r="D659" t="s" s="11">
        <v>206</v>
      </c>
      <c r="E659" t="s" s="11">
        <v>145</v>
      </c>
      <c r="F659" s="28">
        <v>46146</v>
      </c>
      <c r="G659" t="s" s="11">
        <v>146</v>
      </c>
      <c r="H659" s="43">
        <v>0.08</v>
      </c>
      <c r="I659" s="43">
        <v>189.2</v>
      </c>
      <c r="J659" t="s" s="11">
        <v>3489</v>
      </c>
      <c r="K659" t="s" s="11">
        <v>3490</v>
      </c>
      <c r="L659" s="17">
        <f>HYPERLINK("http://www.crossmint.com", "www.crossmint.com")</f>
      </c>
      <c r="M659" s="17">
        <f>HYPERLINK("https://my.pitchbook.com?c=494016-58", "View Company Online")</f>
      </c>
    </row>
    <row r="660">
      <c r="A660" t="s" s="10">
        <v>3492</v>
      </c>
      <c r="B660" t="s" s="10">
        <v>3493</v>
      </c>
      <c r="C660" t="s" s="10">
        <v>46</v>
      </c>
      <c r="D660" t="s" s="10">
        <v>47</v>
      </c>
      <c r="E660" t="s" s="10">
        <v>3494</v>
      </c>
      <c r="F660" s="27">
        <v>45079</v>
      </c>
      <c r="G660" t="s" s="10">
        <v>40</v>
      </c>
      <c r="H660" s="42">
        <v>29</v>
      </c>
      <c r="I660" s="42">
        <v>189</v>
      </c>
      <c r="J660" t="s" s="10">
        <v>3495</v>
      </c>
      <c r="K660" t="s" s="10">
        <v>3496</v>
      </c>
      <c r="L660" s="16">
        <f>HYPERLINK("http://www.collectly.co", "www.collectly.co")</f>
      </c>
      <c r="M660" s="16">
        <f>HYPERLINK("https://my.pitchbook.com?c=166736-53", "View Company Online")</f>
      </c>
    </row>
    <row r="661">
      <c r="A661" t="s" s="11">
        <v>3498</v>
      </c>
      <c r="B661" t="s" s="11">
        <v>3499</v>
      </c>
      <c r="C661" t="s" s="11">
        <v>60</v>
      </c>
      <c r="D661" t="s" s="11">
        <v>246</v>
      </c>
      <c r="E661" t="s" s="11">
        <v>3500</v>
      </c>
      <c r="F661" s="28">
        <v>46072</v>
      </c>
      <c r="G661" t="s" s="11">
        <v>40</v>
      </c>
      <c r="H661" s="43">
        <v>13</v>
      </c>
      <c r="I661" s="43">
        <v>188.37</v>
      </c>
      <c r="J661" t="s" s="11">
        <v>3501</v>
      </c>
      <c r="K661" t="s" s="11">
        <v>3502</v>
      </c>
      <c r="L661" s="17">
        <f>HYPERLINK("http://www.stockgro.club", "www.stockgro.club")</f>
      </c>
      <c r="M661" s="17">
        <f>HYPERLINK("https://my.pitchbook.com?c=439128-73", "View Company Online")</f>
      </c>
    </row>
    <row r="662">
      <c r="A662" t="s" s="10">
        <v>3504</v>
      </c>
      <c r="B662" t="s" s="10">
        <v>3505</v>
      </c>
      <c r="C662" t="s" s="10">
        <v>37</v>
      </c>
      <c r="D662" t="s" s="10">
        <v>304</v>
      </c>
      <c r="E662" t="s" s="10">
        <v>3506</v>
      </c>
      <c r="F662" s="27">
        <v>45940</v>
      </c>
      <c r="G662" t="s" s="10">
        <v>40</v>
      </c>
      <c r="H662" s="42">
        <v>12.3</v>
      </c>
      <c r="I662" s="42">
        <v>187.7</v>
      </c>
      <c r="J662" t="s" s="10">
        <v>3507</v>
      </c>
      <c r="K662" t="s" s="10">
        <v>3508</v>
      </c>
      <c r="L662" s="16">
        <f>HYPERLINK("http://www.oneassist.in", "www.oneassist.in")</f>
      </c>
      <c r="M662" s="16">
        <f>HYPERLINK("https://my.pitchbook.com?c=52623-91", "View Company Online")</f>
      </c>
    </row>
    <row r="663">
      <c r="A663" t="s" s="11">
        <v>3510</v>
      </c>
      <c r="B663" t="s" s="11">
        <v>3511</v>
      </c>
      <c r="C663" t="s" s="11">
        <v>144</v>
      </c>
      <c r="D663" t="s" s="11">
        <v>297</v>
      </c>
      <c r="E663" t="s" s="11">
        <v>1859</v>
      </c>
      <c r="F663" s="28">
        <v>45677</v>
      </c>
      <c r="G663" t="s" s="11">
        <v>146</v>
      </c>
      <c r="H663" t="s" s="43">
        <v>30</v>
      </c>
      <c r="I663" s="43">
        <v>187.5</v>
      </c>
      <c r="J663" t="s" s="11">
        <v>3512</v>
      </c>
      <c r="K663" t="s" s="11">
        <v>3513</v>
      </c>
      <c r="L663" s="17">
        <f>HYPERLINK("http://www.mondu.ai", "www.mondu.ai")</f>
      </c>
      <c r="M663" s="17">
        <f>HYPERLINK("https://my.pitchbook.com?c=482416-48", "View Company Online")</f>
      </c>
    </row>
    <row r="664">
      <c r="A664" t="s" s="10">
        <v>3515</v>
      </c>
      <c r="B664" t="s" s="10">
        <v>3516</v>
      </c>
      <c r="C664" t="s" s="10">
        <v>114</v>
      </c>
      <c r="D664" t="s" s="10">
        <v>870</v>
      </c>
      <c r="E664" t="s" s="10">
        <v>759</v>
      </c>
      <c r="F664" s="27">
        <v>45992</v>
      </c>
      <c r="G664" t="s" s="10">
        <v>40</v>
      </c>
      <c r="H664" s="42">
        <v>30</v>
      </c>
      <c r="I664" s="42">
        <v>186.76</v>
      </c>
      <c r="J664" t="s" s="10">
        <v>3517</v>
      </c>
      <c r="K664" t="s" s="10">
        <v>3518</v>
      </c>
      <c r="L664" s="16">
        <f>HYPERLINK("http://www.validusgrp.com", "www.validusgrp.com")</f>
      </c>
      <c r="M664" s="16">
        <f>HYPERLINK("https://my.pitchbook.com?c=182899-45", "View Company Online")</f>
      </c>
    </row>
    <row r="665">
      <c r="A665" t="s" s="11">
        <v>3520</v>
      </c>
      <c r="B665" t="s" s="11">
        <v>3521</v>
      </c>
      <c r="C665" t="s" s="11">
        <v>37</v>
      </c>
      <c r="D665" t="s" s="11">
        <v>304</v>
      </c>
      <c r="E665" t="s" s="11">
        <v>253</v>
      </c>
      <c r="F665" s="28">
        <v>45947</v>
      </c>
      <c r="G665" t="s" s="11">
        <v>31</v>
      </c>
      <c r="H665" s="43">
        <v>14.3</v>
      </c>
      <c r="I665" s="43">
        <v>186.23</v>
      </c>
      <c r="J665" t="s" s="11">
        <v>3522</v>
      </c>
      <c r="K665" t="s" s="11">
        <v>3523</v>
      </c>
      <c r="L665" s="17">
        <f>HYPERLINK("http://www.wisetack.com", "www.wisetack.com")</f>
      </c>
      <c r="M665" s="17">
        <f>HYPERLINK("https://my.pitchbook.com?c=277732-09", "View Company Online")</f>
      </c>
    </row>
    <row r="666">
      <c r="A666" t="s" s="10">
        <v>3525</v>
      </c>
      <c r="B666" t="s" s="10">
        <v>3526</v>
      </c>
      <c r="C666" t="s" s="10">
        <v>114</v>
      </c>
      <c r="D666" t="s" s="10">
        <v>115</v>
      </c>
      <c r="E666" t="s" s="10">
        <v>3527</v>
      </c>
      <c r="F666" s="27">
        <v>46206</v>
      </c>
      <c r="G666" t="s" s="10">
        <v>40</v>
      </c>
      <c r="H666" s="42">
        <v>8.17</v>
      </c>
      <c r="I666" s="42">
        <v>185.83</v>
      </c>
      <c r="J666" t="s" s="10">
        <v>3528</v>
      </c>
      <c r="K666" t="s" s="10">
        <v>3529</v>
      </c>
      <c r="L666" s="16">
        <f>HYPERLINK("http://www.iyell.co.jp", "www.iyell.co.jp")</f>
      </c>
      <c r="M666" s="16">
        <f>HYPERLINK("https://my.pitchbook.com?c=343303-84", "View Company Online")</f>
      </c>
    </row>
    <row r="667">
      <c r="A667" t="s" s="11">
        <v>3531</v>
      </c>
      <c r="B667" t="s" s="11">
        <v>3532</v>
      </c>
      <c r="C667" t="s" s="11">
        <v>46</v>
      </c>
      <c r="D667" t="s" s="11">
        <v>47</v>
      </c>
      <c r="E667" t="s" s="11">
        <v>29</v>
      </c>
      <c r="F667" s="28">
        <v>46203</v>
      </c>
      <c r="G667" t="s" s="11">
        <v>146</v>
      </c>
      <c r="H667" s="43">
        <v>30</v>
      </c>
      <c r="I667" s="43">
        <v>185</v>
      </c>
      <c r="J667" t="s" s="11">
        <v>3533</v>
      </c>
      <c r="K667" t="s" s="11">
        <v>3534</v>
      </c>
      <c r="L667" s="17">
        <f>HYPERLINK("http://www.jota.ai", "www.jota.ai")</f>
      </c>
      <c r="M667" s="17">
        <f>HYPERLINK("https://my.pitchbook.com?c=720002-98", "View Company Online")</f>
      </c>
    </row>
    <row r="668">
      <c r="A668" t="s" s="10">
        <v>3536</v>
      </c>
      <c r="B668" t="s" s="10">
        <v>3537</v>
      </c>
      <c r="C668" t="s" s="10">
        <v>37</v>
      </c>
      <c r="D668" t="s" s="10">
        <v>304</v>
      </c>
      <c r="E668" t="s" s="10">
        <v>270</v>
      </c>
      <c r="F668" s="27">
        <v>45922</v>
      </c>
      <c r="G668" t="s" s="10">
        <v>146</v>
      </c>
      <c r="H668" s="42">
        <v>29.6</v>
      </c>
      <c r="I668" s="42">
        <v>185</v>
      </c>
      <c r="J668" t="s" s="10">
        <v>3538</v>
      </c>
      <c r="K668" t="s" s="10">
        <v>3539</v>
      </c>
      <c r="L668" s="16">
        <f>HYPERLINK("http://www.pagaleve.com.br", "www.pagaleve.com.br")</f>
      </c>
      <c r="M668" s="16">
        <f>HYPERLINK("https://my.pitchbook.com?c=493271-83", "View Company Online")</f>
      </c>
    </row>
    <row r="669">
      <c r="A669" t="s" s="11">
        <v>3541</v>
      </c>
      <c r="B669" t="s" s="11">
        <v>3542</v>
      </c>
      <c r="C669" t="s" s="11">
        <v>114</v>
      </c>
      <c r="D669" t="s" s="11">
        <v>852</v>
      </c>
      <c r="E669" t="s" s="11">
        <v>185</v>
      </c>
      <c r="F669" s="28">
        <v>45637</v>
      </c>
      <c r="G669" t="s" s="11">
        <v>40</v>
      </c>
      <c r="H669" s="43">
        <v>23.19</v>
      </c>
      <c r="I669" s="43">
        <v>184.43</v>
      </c>
      <c r="J669" t="s" s="11">
        <v>3543</v>
      </c>
      <c r="K669" t="s" s="11">
        <v>3544</v>
      </c>
      <c r="L669" s="17">
        <f>HYPERLINK("http://www.mynt.com", "www.mynt.com")</f>
      </c>
      <c r="M669" s="17">
        <f>HYPERLINK("https://my.pitchbook.com?c=225793-72", "View Company Online")</f>
      </c>
    </row>
    <row r="670">
      <c r="A670" t="s" s="10">
        <v>3546</v>
      </c>
      <c r="B670" t="s" s="10">
        <v>3547</v>
      </c>
      <c r="C670" t="s" s="10">
        <v>60</v>
      </c>
      <c r="D670" t="s" s="10">
        <v>246</v>
      </c>
      <c r="E670" t="s" s="10">
        <v>2575</v>
      </c>
      <c r="F670" s="27">
        <v>45869</v>
      </c>
      <c r="G670" t="s" s="10">
        <v>40</v>
      </c>
      <c r="H670" t="s" s="42">
        <v>30</v>
      </c>
      <c r="I670" s="42">
        <v>183.42</v>
      </c>
      <c r="J670" t="s" s="10">
        <v>3548</v>
      </c>
      <c r="K670" t="s" s="10">
        <v>3549</v>
      </c>
      <c r="L670" s="16">
        <f>HYPERLINK("http://www.folio-sec.com", "www.folio-sec.com")</f>
      </c>
      <c r="M670" s="16">
        <f>HYPERLINK("https://my.pitchbook.com?c=155977-03", "View Company Online")</f>
      </c>
    </row>
    <row r="671">
      <c r="A671" t="s" s="11">
        <v>3551</v>
      </c>
      <c r="B671" t="s" s="11">
        <v>3552</v>
      </c>
      <c r="C671" t="s" s="11">
        <v>37</v>
      </c>
      <c r="D671" t="s" s="11">
        <v>304</v>
      </c>
      <c r="E671" t="s" s="11">
        <v>3553</v>
      </c>
      <c r="F671" s="28">
        <v>45589</v>
      </c>
      <c r="G671" t="s" s="11">
        <v>40</v>
      </c>
      <c r="H671" s="43">
        <v>54.5</v>
      </c>
      <c r="I671" s="43">
        <v>183.35</v>
      </c>
      <c r="J671" t="s" s="11">
        <v>3554</v>
      </c>
      <c r="K671" t="s" s="11">
        <v>3555</v>
      </c>
      <c r="L671" s="17">
        <f>HYPERLINK("http://www.zood.biz", "www.zood.biz")</f>
      </c>
      <c r="M671" s="17">
        <f>HYPERLINK("https://my.pitchbook.com?c=237625-21", "View Company Online")</f>
      </c>
    </row>
    <row r="672">
      <c r="A672" t="s" s="10">
        <v>3557</v>
      </c>
      <c r="B672" t="s" s="10">
        <v>3558</v>
      </c>
      <c r="C672" t="s" s="10">
        <v>114</v>
      </c>
      <c r="D672" t="s" s="10">
        <v>136</v>
      </c>
      <c r="E672" t="s" s="10">
        <v>137</v>
      </c>
      <c r="F672" s="27">
        <v>45565</v>
      </c>
      <c r="G672" t="s" s="10">
        <v>2174</v>
      </c>
      <c r="H672" s="42">
        <v>23.35</v>
      </c>
      <c r="I672" s="42">
        <v>182.6</v>
      </c>
      <c r="J672" t="s" s="10">
        <v>3559</v>
      </c>
      <c r="K672" t="s" s="10">
        <v>3560</v>
      </c>
      <c r="L672" s="16">
        <f>HYPERLINK("http://www.snapraise.com", "www.snapraise.com")</f>
      </c>
      <c r="M672" s="16">
        <f>HYPERLINK("https://my.pitchbook.com?c=131610-61", "View Company Online")</f>
      </c>
    </row>
    <row r="673">
      <c r="A673" t="s" s="11">
        <v>3562</v>
      </c>
      <c r="B673" t="s" s="11">
        <v>3563</v>
      </c>
      <c r="C673" t="s" s="11">
        <v>27</v>
      </c>
      <c r="D673" t="s" s="11">
        <v>70</v>
      </c>
      <c r="E673" t="s" s="11">
        <v>1859</v>
      </c>
      <c r="F673" t="s" s="28">
        <v>30</v>
      </c>
      <c r="G673" t="s" s="11">
        <v>31</v>
      </c>
      <c r="H673" t="s" s="43">
        <v>30</v>
      </c>
      <c r="I673" s="43">
        <v>182</v>
      </c>
      <c r="J673" t="s" s="11">
        <v>3564</v>
      </c>
      <c r="K673" t="s" s="11">
        <v>3565</v>
      </c>
      <c r="L673" s="17">
        <f>HYPERLINK("http://www.boostb2b.com", "www.boostb2b.com")</f>
      </c>
      <c r="M673" s="17">
        <f>HYPERLINK("https://my.pitchbook.com?c=98734-60", "View Company Online")</f>
      </c>
    </row>
    <row r="674">
      <c r="A674" t="s" s="10">
        <v>3567</v>
      </c>
      <c r="B674" t="s" s="10">
        <v>3568</v>
      </c>
      <c r="C674" t="s" s="10">
        <v>60</v>
      </c>
      <c r="D674" t="s" s="10">
        <v>727</v>
      </c>
      <c r="E674" t="s" s="10">
        <v>137</v>
      </c>
      <c r="F674" s="27">
        <v>45292</v>
      </c>
      <c r="G674" t="s" s="10">
        <v>40</v>
      </c>
      <c r="H674" t="s" s="42">
        <v>30</v>
      </c>
      <c r="I674" s="42">
        <v>181.88</v>
      </c>
      <c r="J674" t="s" s="10">
        <v>3569</v>
      </c>
      <c r="K674" t="s" s="10">
        <v>3570</v>
      </c>
      <c r="L674" s="16">
        <f>HYPERLINK("http://www.crowdcube.com", "www.crowdcube.com")</f>
      </c>
      <c r="M674" s="16">
        <f>HYPERLINK("https://my.pitchbook.com?c=59246-11", "View Company Online")</f>
      </c>
    </row>
    <row r="675">
      <c r="A675" t="s" s="11">
        <v>3572</v>
      </c>
      <c r="B675" t="s" s="11">
        <v>3573</v>
      </c>
      <c r="C675" t="s" s="11">
        <v>164</v>
      </c>
      <c r="D675" t="s" s="11">
        <v>165</v>
      </c>
      <c r="E675" t="s" s="11">
        <v>414</v>
      </c>
      <c r="F675" s="28">
        <v>45883</v>
      </c>
      <c r="G675" t="s" s="11">
        <v>48</v>
      </c>
      <c r="H675" t="s" s="43">
        <v>30</v>
      </c>
      <c r="I675" s="43">
        <v>181</v>
      </c>
      <c r="J675" t="s" s="11">
        <v>3574</v>
      </c>
      <c r="K675" t="s" s="11">
        <v>3575</v>
      </c>
      <c r="L675" s="17">
        <f>HYPERLINK("http://www.saphyre.com", "www.saphyre.com")</f>
      </c>
      <c r="M675" s="17">
        <f>HYPERLINK("https://my.pitchbook.com?c=265635-01", "View Company Online")</f>
      </c>
    </row>
    <row r="676">
      <c r="A676" t="s" s="10">
        <v>3577</v>
      </c>
      <c r="B676" t="s" s="10">
        <v>3578</v>
      </c>
      <c r="C676" t="s" s="10">
        <v>114</v>
      </c>
      <c r="D676" t="s" s="10">
        <v>136</v>
      </c>
      <c r="E676" t="s" s="10">
        <v>253</v>
      </c>
      <c r="F676" s="27">
        <v>46090</v>
      </c>
      <c r="G676" t="s" s="10">
        <v>40</v>
      </c>
      <c r="H676" s="42">
        <v>1.12</v>
      </c>
      <c r="I676" s="42">
        <v>180.4</v>
      </c>
      <c r="J676" t="s" s="10">
        <v>3579</v>
      </c>
      <c r="K676" t="s" s="10">
        <v>3580</v>
      </c>
      <c r="L676" s="16">
        <f>HYPERLINK("http://www.honeycombcredit.com", "www.honeycombcredit.com")</f>
      </c>
      <c r="M676" s="16">
        <f>HYPERLINK("https://my.pitchbook.com?c=187666-66", "View Company Online")</f>
      </c>
    </row>
    <row r="677">
      <c r="A677" t="s" s="11">
        <v>3582</v>
      </c>
      <c r="B677" t="s" s="11">
        <v>3583</v>
      </c>
      <c r="C677" t="s" s="11">
        <v>60</v>
      </c>
      <c r="D677" t="s" s="11">
        <v>246</v>
      </c>
      <c r="E677" t="s" s="11">
        <v>634</v>
      </c>
      <c r="F677" s="28">
        <v>44875</v>
      </c>
      <c r="G677" t="s" s="11">
        <v>40</v>
      </c>
      <c r="H677" s="43">
        <v>34.14</v>
      </c>
      <c r="I677" s="43">
        <v>180.14</v>
      </c>
      <c r="J677" t="s" s="11">
        <v>3584</v>
      </c>
      <c r="K677" t="s" s="11">
        <v>3585</v>
      </c>
      <c r="L677" s="17">
        <f>HYPERLINK("http://www.gobrightside.com", "www.gobrightside.com")</f>
      </c>
      <c r="M677" s="17">
        <f>HYPERLINK("https://my.pitchbook.com?c=228392-65", "View Company Online")</f>
      </c>
    </row>
    <row r="678">
      <c r="A678" t="s" s="10">
        <v>3587</v>
      </c>
      <c r="B678" t="s" s="10">
        <v>3588</v>
      </c>
      <c r="C678" t="s" s="10">
        <v>114</v>
      </c>
      <c r="D678" t="s" s="10">
        <v>136</v>
      </c>
      <c r="E678" t="s" s="10">
        <v>137</v>
      </c>
      <c r="F678" s="27">
        <v>45714</v>
      </c>
      <c r="G678" t="s" s="10">
        <v>40</v>
      </c>
      <c r="H678" s="42">
        <v>30</v>
      </c>
      <c r="I678" s="42">
        <v>180</v>
      </c>
      <c r="J678" t="s" s="10">
        <v>3589</v>
      </c>
      <c r="K678" t="s" s="10">
        <v>3590</v>
      </c>
      <c r="L678" s="16">
        <f>HYPERLINK("http://www.momnt.com", "www.momnt.com")</f>
      </c>
      <c r="M678" s="16">
        <f>HYPERLINK("https://my.pitchbook.com?c=433298-80", "View Company Online")</f>
      </c>
    </row>
    <row r="679">
      <c r="A679" t="s" s="11">
        <v>3592</v>
      </c>
      <c r="B679" t="s" s="11">
        <v>3593</v>
      </c>
      <c r="C679" t="s" s="11">
        <v>60</v>
      </c>
      <c r="D679" t="s" s="11">
        <v>727</v>
      </c>
      <c r="E679" t="s" s="11">
        <v>311</v>
      </c>
      <c r="F679" s="28">
        <v>45917</v>
      </c>
      <c r="G679" t="s" s="11">
        <v>146</v>
      </c>
      <c r="H679" s="43">
        <v>20</v>
      </c>
      <c r="I679" s="43">
        <v>180</v>
      </c>
      <c r="J679" t="s" s="11">
        <v>3594</v>
      </c>
      <c r="K679" t="s" s="11">
        <v>3595</v>
      </c>
      <c r="L679" s="17">
        <f>HYPERLINK("http://www.palmglobal.ai", "www.palmglobal.ai")</f>
      </c>
      <c r="M679" s="17">
        <f>HYPERLINK("https://my.pitchbook.com?c=742410-82", "View Company Online")</f>
      </c>
    </row>
    <row r="680">
      <c r="A680" t="s" s="10">
        <v>3597</v>
      </c>
      <c r="B680" t="s" s="10">
        <v>3598</v>
      </c>
      <c r="C680" t="s" s="10">
        <v>164</v>
      </c>
      <c r="D680" t="s" s="10">
        <v>206</v>
      </c>
      <c r="E680" t="s" s="10">
        <v>253</v>
      </c>
      <c r="F680" s="27">
        <v>46105</v>
      </c>
      <c r="G680" t="s" s="10">
        <v>40</v>
      </c>
      <c r="H680" s="42">
        <v>2.75</v>
      </c>
      <c r="I680" s="42">
        <v>180</v>
      </c>
      <c r="J680" t="s" s="10">
        <v>3599</v>
      </c>
      <c r="K680" t="s" s="10">
        <v>3600</v>
      </c>
      <c r="L680" s="16">
        <f>HYPERLINK("http://www.tilled.com", "www.tilled.com")</f>
      </c>
      <c r="M680" s="16">
        <f>HYPERLINK("https://my.pitchbook.com?c=442386-91", "View Company Online")</f>
      </c>
    </row>
    <row r="681">
      <c r="A681" t="s" s="11">
        <v>3602</v>
      </c>
      <c r="B681" t="s" s="11">
        <v>3603</v>
      </c>
      <c r="C681" t="s" s="11">
        <v>60</v>
      </c>
      <c r="D681" t="s" s="11">
        <v>432</v>
      </c>
      <c r="E681" t="s" s="11">
        <v>3604</v>
      </c>
      <c r="F681" s="28">
        <v>45516</v>
      </c>
      <c r="G681" t="s" s="11">
        <v>40</v>
      </c>
      <c r="H681" s="43">
        <v>35</v>
      </c>
      <c r="I681" s="43">
        <v>180</v>
      </c>
      <c r="J681" t="s" s="11">
        <v>3605</v>
      </c>
      <c r="K681" t="s" s="11">
        <v>3606</v>
      </c>
      <c r="L681" s="17">
        <f>HYPERLINK("http://www.justvanilla.com", "www.justvanilla.com")</f>
      </c>
      <c r="M681" s="17">
        <f>HYPERLINK("https://my.pitchbook.com?c=439254-37", "View Company Online")</f>
      </c>
    </row>
    <row r="682">
      <c r="A682" t="s" s="10">
        <v>3608</v>
      </c>
      <c r="B682" t="s" s="10">
        <v>3609</v>
      </c>
      <c r="C682" t="s" s="10">
        <v>60</v>
      </c>
      <c r="D682" t="s" s="10">
        <v>246</v>
      </c>
      <c r="E682" t="s" s="10">
        <v>1065</v>
      </c>
      <c r="F682" s="27">
        <v>45091</v>
      </c>
      <c r="G682" t="s" s="10">
        <v>40</v>
      </c>
      <c r="H682" s="42">
        <v>18.5</v>
      </c>
      <c r="I682" s="42">
        <v>179.04</v>
      </c>
      <c r="J682" t="s" s="10">
        <v>3610</v>
      </c>
      <c r="K682" t="s" s="10">
        <v>3611</v>
      </c>
      <c r="L682" s="16">
        <f>HYPERLINK("http://www.fintonic.com", "www.fintonic.com")</f>
      </c>
      <c r="M682" s="16">
        <f>HYPERLINK("https://my.pitchbook.com?c=57286-63", "View Company Online")</f>
      </c>
    </row>
    <row r="683">
      <c r="A683" t="s" s="11">
        <v>3613</v>
      </c>
      <c r="B683" t="s" s="11">
        <v>3614</v>
      </c>
      <c r="C683" t="s" s="11">
        <v>27</v>
      </c>
      <c r="D683" t="s" s="11">
        <v>28</v>
      </c>
      <c r="E683" t="s" s="11">
        <v>270</v>
      </c>
      <c r="F683" s="28">
        <v>45545</v>
      </c>
      <c r="G683" t="s" s="11">
        <v>607</v>
      </c>
      <c r="H683" t="s" s="43">
        <v>30</v>
      </c>
      <c r="I683" s="43">
        <v>175.3</v>
      </c>
      <c r="J683" t="s" s="11">
        <v>3615</v>
      </c>
      <c r="K683" t="s" s="11">
        <v>3616</v>
      </c>
      <c r="L683" s="17">
        <f>HYPERLINK("http://www.volt.io", "www.volt.io")</f>
      </c>
      <c r="M683" s="17">
        <f>HYPERLINK("https://my.pitchbook.com?c=432913-78", "View Company Online")</f>
      </c>
    </row>
    <row r="684">
      <c r="A684" t="s" s="10">
        <v>3618</v>
      </c>
      <c r="B684" t="s" s="10">
        <v>3619</v>
      </c>
      <c r="C684" t="s" s="10">
        <v>46</v>
      </c>
      <c r="D684" t="s" s="10">
        <v>47</v>
      </c>
      <c r="E684" t="s" s="10">
        <v>29</v>
      </c>
      <c r="F684" s="27">
        <v>46237</v>
      </c>
      <c r="G684" t="s" s="10">
        <v>40</v>
      </c>
      <c r="H684" s="42">
        <v>30</v>
      </c>
      <c r="I684" s="42">
        <v>175</v>
      </c>
      <c r="J684" t="s" s="10">
        <v>3620</v>
      </c>
      <c r="K684" t="s" s="10">
        <v>3621</v>
      </c>
      <c r="L684" s="16">
        <f>HYPERLINK("http://www.ambrook.com", "www.ambrook.com")</f>
      </c>
      <c r="M684" s="16">
        <f>HYPERLINK("https://my.pitchbook.com?c=465227-29", "View Company Online")</f>
      </c>
    </row>
    <row r="685">
      <c r="A685" t="s" s="11">
        <v>3623</v>
      </c>
      <c r="B685" t="s" s="11">
        <v>3624</v>
      </c>
      <c r="C685" t="s" s="11">
        <v>37</v>
      </c>
      <c r="D685" t="s" s="11">
        <v>38</v>
      </c>
      <c r="E685" t="s" s="11">
        <v>193</v>
      </c>
      <c r="F685" s="28">
        <v>45658</v>
      </c>
      <c r="G685" t="s" s="11">
        <v>146</v>
      </c>
      <c r="H685" t="s" s="43">
        <v>30</v>
      </c>
      <c r="I685" s="43">
        <v>175</v>
      </c>
      <c r="J685" t="s" s="11">
        <v>3625</v>
      </c>
      <c r="K685" t="s" s="11">
        <v>3626</v>
      </c>
      <c r="L685" s="17">
        <f>HYPERLINK("http://www.fruitful.com", "www.fruitful.com")</f>
      </c>
      <c r="M685" s="17">
        <f>HYPERLINK("https://my.pitchbook.com?c=483346-99", "View Company Online")</f>
      </c>
    </row>
    <row r="686">
      <c r="A686" t="s" s="10">
        <v>3628</v>
      </c>
      <c r="B686" t="s" s="10">
        <v>3629</v>
      </c>
      <c r="C686" t="s" s="10">
        <v>46</v>
      </c>
      <c r="D686" t="s" s="10">
        <v>47</v>
      </c>
      <c r="E686" t="s" s="10">
        <v>3630</v>
      </c>
      <c r="F686" s="27">
        <v>45832</v>
      </c>
      <c r="G686" t="s" s="10">
        <v>40</v>
      </c>
      <c r="H686" s="42">
        <v>25</v>
      </c>
      <c r="I686" s="42">
        <v>173</v>
      </c>
      <c r="J686" t="s" s="10">
        <v>3631</v>
      </c>
      <c r="K686" t="s" s="10">
        <v>3632</v>
      </c>
      <c r="L686" s="16">
        <f>HYPERLINK("http://www.kognitos.com", "www.kognitos.com")</f>
      </c>
      <c r="M686" s="16">
        <f>HYPERLINK("https://my.pitchbook.com?c=503806-87", "View Company Online")</f>
      </c>
    </row>
    <row r="687">
      <c r="A687" t="s" s="11">
        <v>3634</v>
      </c>
      <c r="B687" t="s" s="11">
        <v>3635</v>
      </c>
      <c r="C687" t="s" s="11">
        <v>27</v>
      </c>
      <c r="D687" t="s" s="11">
        <v>28</v>
      </c>
      <c r="E687" t="s" s="11">
        <v>973</v>
      </c>
      <c r="F687" s="28">
        <v>46081</v>
      </c>
      <c r="G687" t="s" s="11">
        <v>40</v>
      </c>
      <c r="H687" s="43">
        <v>11.45</v>
      </c>
      <c r="I687" s="43">
        <v>172.92</v>
      </c>
      <c r="J687" t="s" s="11">
        <v>3636</v>
      </c>
      <c r="K687" t="s" s="11">
        <v>3637</v>
      </c>
      <c r="L687" s="17">
        <f>HYPERLINK("http://www.innoviti.com", "www.innoviti.com")</f>
      </c>
      <c r="M687" s="17">
        <f>HYPERLINK("https://my.pitchbook.com?c=62050-15", "View Company Online")</f>
      </c>
    </row>
    <row r="688">
      <c r="A688" t="s" s="10">
        <v>3639</v>
      </c>
      <c r="B688" t="s" s="10">
        <v>3640</v>
      </c>
      <c r="C688" t="s" s="10">
        <v>144</v>
      </c>
      <c r="D688" t="s" s="10">
        <v>38</v>
      </c>
      <c r="E688" t="s" s="10">
        <v>1065</v>
      </c>
      <c r="F688" s="27">
        <v>45523</v>
      </c>
      <c r="G688" t="s" s="10">
        <v>40</v>
      </c>
      <c r="H688" s="42">
        <v>20.97</v>
      </c>
      <c r="I688" s="42">
        <v>172.75</v>
      </c>
      <c r="J688" t="s" s="10">
        <v>3641</v>
      </c>
      <c r="K688" t="s" s="10">
        <v>3642</v>
      </c>
      <c r="L688" s="16">
        <f>HYPERLINK("http://www.kompasbank.dk", "www.kompasbank.dk")</f>
      </c>
      <c r="M688" s="16">
        <f>HYPERLINK("https://my.pitchbook.com?c=463374-55", "View Company Online")</f>
      </c>
    </row>
    <row r="689">
      <c r="A689" t="s" s="11">
        <v>3644</v>
      </c>
      <c r="B689" t="s" s="11">
        <v>3645</v>
      </c>
      <c r="C689" t="s" s="11">
        <v>164</v>
      </c>
      <c r="D689" t="s" s="11">
        <v>206</v>
      </c>
      <c r="E689" t="s" s="11">
        <v>253</v>
      </c>
      <c r="F689" s="28">
        <v>45838</v>
      </c>
      <c r="G689" t="s" s="11">
        <v>40</v>
      </c>
      <c r="H689" t="s" s="43">
        <v>30</v>
      </c>
      <c r="I689" s="43">
        <v>172.66</v>
      </c>
      <c r="J689" t="s" s="11">
        <v>3646</v>
      </c>
      <c r="K689" t="s" s="11">
        <v>3647</v>
      </c>
      <c r="L689" s="17">
        <f>HYPERLINK("http://www.natechbanking.com", "www.natechbanking.com")</f>
      </c>
      <c r="M689" s="17">
        <f>HYPERLINK("https://my.pitchbook.com?c=439869-61", "View Company Online")</f>
      </c>
    </row>
    <row r="690">
      <c r="A690" t="s" s="10">
        <v>3649</v>
      </c>
      <c r="B690" t="s" s="10">
        <v>3650</v>
      </c>
      <c r="C690" t="s" s="10">
        <v>37</v>
      </c>
      <c r="D690" t="s" s="10">
        <v>38</v>
      </c>
      <c r="E690" t="s" s="10">
        <v>158</v>
      </c>
      <c r="F690" s="27">
        <v>45259</v>
      </c>
      <c r="G690" t="s" s="10">
        <v>271</v>
      </c>
      <c r="H690" s="42">
        <v>5.37</v>
      </c>
      <c r="I690" s="42">
        <v>172.21</v>
      </c>
      <c r="J690" t="s" s="10">
        <v>3651</v>
      </c>
      <c r="K690" t="s" s="10">
        <v>3652</v>
      </c>
      <c r="L690" s="16">
        <f>HYPERLINK("http://www.kroo.com", "www.kroo.com")</f>
      </c>
      <c r="M690" s="16">
        <f>HYPERLINK("https://my.pitchbook.com?c=221945-05", "View Company Online")</f>
      </c>
    </row>
    <row r="691">
      <c r="A691" t="s" s="11">
        <v>3654</v>
      </c>
      <c r="B691" t="s" s="11">
        <v>3655</v>
      </c>
      <c r="C691" t="s" s="11">
        <v>172</v>
      </c>
      <c r="D691" t="s" s="11">
        <v>1454</v>
      </c>
      <c r="E691" t="s" s="11">
        <v>373</v>
      </c>
      <c r="F691" s="28">
        <v>46091</v>
      </c>
      <c r="G691" t="s" s="11">
        <v>40</v>
      </c>
      <c r="H691" s="43">
        <v>40</v>
      </c>
      <c r="I691" s="43">
        <v>172</v>
      </c>
      <c r="J691" t="s" s="11">
        <v>3656</v>
      </c>
      <c r="K691" t="s" s="11">
        <v>3657</v>
      </c>
      <c r="L691" s="17">
        <f>HYPERLINK("http://www.spade.com", "www.spade.com")</f>
      </c>
      <c r="M691" s="17">
        <f>HYPERLINK("https://my.pitchbook.com?c=484472-98", "View Company Online")</f>
      </c>
    </row>
    <row r="692">
      <c r="A692" t="s" s="10">
        <v>3659</v>
      </c>
      <c r="B692" t="s" s="10">
        <v>3660</v>
      </c>
      <c r="C692" t="s" s="10">
        <v>114</v>
      </c>
      <c r="D692" t="s" s="10">
        <v>1386</v>
      </c>
      <c r="E692" t="s" s="10">
        <v>3661</v>
      </c>
      <c r="F692" s="27">
        <v>46056</v>
      </c>
      <c r="G692" t="s" s="10">
        <v>40</v>
      </c>
      <c r="H692" s="42">
        <v>44.47</v>
      </c>
      <c r="I692" s="42">
        <v>171.49</v>
      </c>
      <c r="J692" t="s" s="10">
        <v>3662</v>
      </c>
      <c r="K692" t="s" s="10">
        <v>3663</v>
      </c>
      <c r="L692" s="16">
        <f>HYPERLINK("http://www.artificial.io", "www.artificial.io")</f>
      </c>
      <c r="M692" s="16">
        <f>HYPERLINK("https://my.pitchbook.com?c=171376-21", "View Company Online")</f>
      </c>
    </row>
    <row r="693">
      <c r="A693" t="s" s="11">
        <v>3665</v>
      </c>
      <c r="B693" t="s" s="11">
        <v>3666</v>
      </c>
      <c r="C693" t="s" s="11">
        <v>60</v>
      </c>
      <c r="D693" t="s" s="11">
        <v>192</v>
      </c>
      <c r="E693" t="s" s="11">
        <v>29</v>
      </c>
      <c r="F693" s="28">
        <v>45945</v>
      </c>
      <c r="G693" t="s" s="11">
        <v>40</v>
      </c>
      <c r="H693" s="43">
        <v>40.36</v>
      </c>
      <c r="I693" s="43">
        <v>170.99</v>
      </c>
      <c r="J693" t="s" s="11">
        <v>3667</v>
      </c>
      <c r="K693" t="s" s="11">
        <v>3668</v>
      </c>
      <c r="L693" s="17">
        <f>HYPERLINK("http://www.hyperlayer.com", "www.hyperlayer.com")</f>
      </c>
      <c r="M693" s="17">
        <f>HYPERLINK("https://my.pitchbook.com?c=327336-58", "View Company Online")</f>
      </c>
    </row>
    <row r="694">
      <c r="A694" t="s" s="10">
        <v>3670</v>
      </c>
      <c r="B694" t="s" s="10">
        <v>3671</v>
      </c>
      <c r="C694" t="s" s="10">
        <v>114</v>
      </c>
      <c r="D694" t="s" s="10">
        <v>115</v>
      </c>
      <c r="E694" t="s" s="10">
        <v>137</v>
      </c>
      <c r="F694" s="27">
        <v>46082</v>
      </c>
      <c r="G694" t="s" s="10">
        <v>40</v>
      </c>
      <c r="H694" t="s" s="42">
        <v>30</v>
      </c>
      <c r="I694" s="42">
        <v>170.9</v>
      </c>
      <c r="J694" t="s" s="10">
        <v>3672</v>
      </c>
      <c r="K694" t="s" s="10">
        <v>3673</v>
      </c>
      <c r="L694" s="16">
        <f>HYPERLINK("http://www.householdcapital.com.au", "www.householdcapital.com.au")</f>
      </c>
      <c r="M694" s="16">
        <f>HYPERLINK("https://my.pitchbook.com?c=433238-86", "View Company Online")</f>
      </c>
    </row>
    <row r="695">
      <c r="A695" t="s" s="11">
        <v>3675</v>
      </c>
      <c r="B695" t="s" s="11">
        <v>3676</v>
      </c>
      <c r="C695" t="s" s="11">
        <v>46</v>
      </c>
      <c r="D695" t="s" s="11">
        <v>47</v>
      </c>
      <c r="E695" t="s" s="11">
        <v>332</v>
      </c>
      <c r="F695" s="28">
        <v>45491</v>
      </c>
      <c r="G695" t="s" s="11">
        <v>146</v>
      </c>
      <c r="H695" s="43">
        <v>40</v>
      </c>
      <c r="I695" s="43">
        <v>170</v>
      </c>
      <c r="J695" t="s" s="11">
        <v>3677</v>
      </c>
      <c r="K695" t="s" s="11">
        <v>3678</v>
      </c>
      <c r="L695" s="17">
        <f>HYPERLINK("http://www.coastpay.com", "www.coastpay.com")</f>
      </c>
      <c r="M695" s="17">
        <f>HYPERLINK("https://my.pitchbook.com?c=469286-02", "View Company Online")</f>
      </c>
    </row>
    <row r="696">
      <c r="A696" t="s" s="10">
        <v>3680</v>
      </c>
      <c r="B696" t="s" s="10">
        <v>3681</v>
      </c>
      <c r="C696" t="s" s="10">
        <v>27</v>
      </c>
      <c r="D696" t="s" s="10">
        <v>122</v>
      </c>
      <c r="E696" t="s" s="10">
        <v>259</v>
      </c>
      <c r="F696" t="s" s="27">
        <v>30</v>
      </c>
      <c r="G696" t="s" s="10">
        <v>391</v>
      </c>
      <c r="H696" s="42">
        <v>169.22</v>
      </c>
      <c r="I696" s="42">
        <v>169.22</v>
      </c>
      <c r="J696" t="s" s="10">
        <v>3682</v>
      </c>
      <c r="K696" t="s" s="10">
        <v>3683</v>
      </c>
      <c r="L696" s="16">
        <f>HYPERLINK("http://www.azafinance.com", "www.azafinance.com")</f>
      </c>
      <c r="M696" s="16">
        <f>HYPERLINK("https://my.pitchbook.com?c=65967-31", "View Company Online")</f>
      </c>
    </row>
    <row r="697">
      <c r="A697" t="s" s="11">
        <v>3685</v>
      </c>
      <c r="B697" t="s" s="11">
        <v>3686</v>
      </c>
      <c r="C697" t="s" s="11">
        <v>27</v>
      </c>
      <c r="D697" t="s" s="11">
        <v>28</v>
      </c>
      <c r="E697" t="s" s="11">
        <v>193</v>
      </c>
      <c r="F697" t="s" s="28">
        <v>30</v>
      </c>
      <c r="G697" t="s" s="11">
        <v>391</v>
      </c>
      <c r="H697" s="43">
        <v>165.83</v>
      </c>
      <c r="I697" s="43">
        <v>168.25</v>
      </c>
      <c r="J697" t="s" s="11">
        <v>3687</v>
      </c>
      <c r="K697" t="s" s="11">
        <v>3688</v>
      </c>
      <c r="L697" s="17">
        <f>HYPERLINK("http://www.leyaoyao.com", "www.leyaoyao.com")</f>
      </c>
      <c r="M697" s="17">
        <f>HYPERLINK("https://my.pitchbook.com?c=432478-36", "View Company Online")</f>
      </c>
    </row>
    <row r="698">
      <c r="A698" t="s" s="10">
        <v>3690</v>
      </c>
      <c r="B698" t="s" s="10">
        <v>3691</v>
      </c>
      <c r="C698" t="s" s="10">
        <v>60</v>
      </c>
      <c r="D698" t="s" s="10">
        <v>432</v>
      </c>
      <c r="E698" t="s" s="10">
        <v>373</v>
      </c>
      <c r="F698" s="27">
        <v>45992</v>
      </c>
      <c r="G698" t="s" s="10">
        <v>146</v>
      </c>
      <c r="H698" s="42">
        <v>34.1</v>
      </c>
      <c r="I698" s="42">
        <v>168.23</v>
      </c>
      <c r="J698" t="s" s="10">
        <v>3692</v>
      </c>
      <c r="K698" t="s" s="10">
        <v>3693</v>
      </c>
      <c r="L698" s="16">
        <f>HYPERLINK("http://www.neviswealth.com", "www.neviswealth.com")</f>
      </c>
      <c r="M698" s="16">
        <f>HYPERLINK("https://my.pitchbook.com?c=846571-87", "View Company Online")</f>
      </c>
    </row>
    <row r="699">
      <c r="A699" t="s" s="11">
        <v>3695</v>
      </c>
      <c r="B699" t="s" s="11">
        <v>3696</v>
      </c>
      <c r="C699" t="s" s="11">
        <v>46</v>
      </c>
      <c r="D699" t="s" s="11">
        <v>397</v>
      </c>
      <c r="E699" t="s" s="11">
        <v>634</v>
      </c>
      <c r="F699" s="28">
        <v>46014</v>
      </c>
      <c r="G699" t="s" s="11">
        <v>146</v>
      </c>
      <c r="H699" s="43">
        <v>30</v>
      </c>
      <c r="I699" s="43">
        <v>168</v>
      </c>
      <c r="J699" t="s" s="11">
        <v>3697</v>
      </c>
      <c r="K699" t="s" s="11">
        <v>3698</v>
      </c>
      <c r="L699" s="17">
        <f>HYPERLINK("http://www.accordance.com", "www.accordance.com")</f>
      </c>
      <c r="M699" s="17">
        <f>HYPERLINK("https://my.pitchbook.com?c=762695-56", "View Company Online")</f>
      </c>
    </row>
    <row r="700">
      <c r="A700" t="s" s="10">
        <v>3700</v>
      </c>
      <c r="B700" t="s" s="10">
        <v>3701</v>
      </c>
      <c r="C700" t="s" s="10">
        <v>164</v>
      </c>
      <c r="D700" t="s" s="10">
        <v>206</v>
      </c>
      <c r="E700" t="s" s="10">
        <v>253</v>
      </c>
      <c r="F700" s="27">
        <v>46154</v>
      </c>
      <c r="G700" t="s" s="10">
        <v>2051</v>
      </c>
      <c r="H700" t="s" s="42">
        <v>30</v>
      </c>
      <c r="I700" s="42">
        <v>167.69</v>
      </c>
      <c r="J700" t="s" s="10">
        <v>3702</v>
      </c>
      <c r="K700" t="s" s="10">
        <v>30</v>
      </c>
      <c r="L700" s="16">
        <f>HYPERLINK("http://www.concertocard.com", "www.concertocard.com")</f>
      </c>
      <c r="M700" s="16">
        <f>HYPERLINK("https://my.pitchbook.com?c=496033-03", "View Company Online")</f>
      </c>
    </row>
    <row r="701">
      <c r="A701" t="s" s="11">
        <v>3704</v>
      </c>
      <c r="B701" t="s" s="11">
        <v>3705</v>
      </c>
      <c r="C701" t="s" s="11">
        <v>114</v>
      </c>
      <c r="D701" t="s" s="11">
        <v>852</v>
      </c>
      <c r="E701" t="s" s="11">
        <v>137</v>
      </c>
      <c r="F701" s="28">
        <v>46153</v>
      </c>
      <c r="G701" t="s" s="11">
        <v>40</v>
      </c>
      <c r="H701" s="43">
        <v>5</v>
      </c>
      <c r="I701" s="43">
        <v>167.24</v>
      </c>
      <c r="J701" t="s" s="11">
        <v>3706</v>
      </c>
      <c r="K701" t="s" s="11">
        <v>3707</v>
      </c>
      <c r="L701" s="17">
        <f>HYPERLINK("http://www.sindhujamicrocredit.com", "www.sindhujamicrocredit.com")</f>
      </c>
      <c r="M701" s="17">
        <f>HYPERLINK("https://my.pitchbook.com?c=267013-00", "View Company Online")</f>
      </c>
    </row>
    <row r="702">
      <c r="A702" t="s" s="10">
        <v>3709</v>
      </c>
      <c r="B702" t="s" s="10">
        <v>3710</v>
      </c>
      <c r="C702" t="s" s="10">
        <v>60</v>
      </c>
      <c r="D702" t="s" s="10">
        <v>727</v>
      </c>
      <c r="E702" t="s" s="10">
        <v>270</v>
      </c>
      <c r="F702" s="27">
        <v>45818</v>
      </c>
      <c r="G702" t="s" s="10">
        <v>40</v>
      </c>
      <c r="H702" s="42">
        <v>3.5</v>
      </c>
      <c r="I702" s="42">
        <v>167</v>
      </c>
      <c r="J702" t="s" s="10">
        <v>3711</v>
      </c>
      <c r="K702" t="s" s="10">
        <v>3712</v>
      </c>
      <c r="L702" s="16">
        <f>HYPERLINK("http://www.rallyrd.com", "www.rallyrd.com")</f>
      </c>
      <c r="M702" s="16">
        <f>HYPERLINK("https://my.pitchbook.com?c=222347-44", "View Company Online")</f>
      </c>
    </row>
    <row r="703">
      <c r="A703" t="s" s="11">
        <v>3714</v>
      </c>
      <c r="B703" t="s" s="11">
        <v>3715</v>
      </c>
      <c r="C703" t="s" s="11">
        <v>37</v>
      </c>
      <c r="D703" t="s" s="11">
        <v>38</v>
      </c>
      <c r="E703" t="s" s="11">
        <v>253</v>
      </c>
      <c r="F703" s="28">
        <v>44764</v>
      </c>
      <c r="G703" t="s" s="11">
        <v>40</v>
      </c>
      <c r="H703" s="43">
        <v>45.24</v>
      </c>
      <c r="I703" s="43">
        <v>165.24</v>
      </c>
      <c r="J703" t="s" s="11">
        <v>3716</v>
      </c>
      <c r="K703" t="s" s="11">
        <v>3717</v>
      </c>
      <c r="L703" s="17">
        <f>HYPERLINK("http://www.savanainc.com", "www.savanainc.com")</f>
      </c>
      <c r="M703" s="17">
        <f>HYPERLINK("https://my.pitchbook.com?c=167193-73", "View Company Online")</f>
      </c>
    </row>
    <row r="704">
      <c r="A704" t="s" s="10">
        <v>3719</v>
      </c>
      <c r="B704" t="s" s="10">
        <v>3720</v>
      </c>
      <c r="C704" t="s" s="10">
        <v>164</v>
      </c>
      <c r="D704" t="s" s="10">
        <v>206</v>
      </c>
      <c r="E704" t="s" s="10">
        <v>2886</v>
      </c>
      <c r="F704" s="27">
        <v>45763</v>
      </c>
      <c r="G704" t="s" s="10">
        <v>40</v>
      </c>
      <c r="H704" s="42">
        <v>15</v>
      </c>
      <c r="I704" s="42">
        <v>165</v>
      </c>
      <c r="J704" t="s" s="10">
        <v>3721</v>
      </c>
      <c r="K704" t="s" s="10">
        <v>3722</v>
      </c>
      <c r="L704" s="16">
        <f>HYPERLINK("http://www.belvo.com", "www.belvo.com")</f>
      </c>
      <c r="M704" s="16">
        <f>HYPERLINK("https://my.pitchbook.com?c=343219-24", "View Company Online")</f>
      </c>
    </row>
    <row r="705">
      <c r="A705" t="s" s="11">
        <v>3724</v>
      </c>
      <c r="B705" t="s" s="11">
        <v>3725</v>
      </c>
      <c r="C705" t="s" s="11">
        <v>46</v>
      </c>
      <c r="D705" t="s" s="11">
        <v>47</v>
      </c>
      <c r="E705" t="s" s="11">
        <v>253</v>
      </c>
      <c r="F705" s="28">
        <v>45839</v>
      </c>
      <c r="G705" t="s" s="11">
        <v>40</v>
      </c>
      <c r="H705" t="s" s="43">
        <v>30</v>
      </c>
      <c r="I705" s="43">
        <v>165</v>
      </c>
      <c r="J705" t="s" s="11">
        <v>3726</v>
      </c>
      <c r="K705" t="s" s="11">
        <v>3727</v>
      </c>
      <c r="L705" s="17">
        <f>HYPERLINK("http://www.finally.com", "www.finally.com")</f>
      </c>
      <c r="M705" s="17">
        <f>HYPERLINK("https://my.pitchbook.com?c=229479-76", "View Company Online")</f>
      </c>
    </row>
    <row r="706">
      <c r="A706" t="s" s="10">
        <v>3729</v>
      </c>
      <c r="B706" t="s" s="10">
        <v>3730</v>
      </c>
      <c r="C706" t="s" s="10">
        <v>37</v>
      </c>
      <c r="D706" t="s" s="10">
        <v>304</v>
      </c>
      <c r="E706" t="s" s="10">
        <v>3731</v>
      </c>
      <c r="F706" s="27">
        <v>45852</v>
      </c>
      <c r="G706" t="s" s="10">
        <v>40</v>
      </c>
      <c r="H706" s="42">
        <v>14.95</v>
      </c>
      <c r="I706" s="42">
        <v>164.41</v>
      </c>
      <c r="J706" t="s" s="10">
        <v>3732</v>
      </c>
      <c r="K706" t="s" s="10">
        <v>3733</v>
      </c>
      <c r="L706" s="16">
        <f>HYPERLINK("http://www.bumper.co", "www.bumper.co")</f>
      </c>
      <c r="M706" s="16">
        <f>HYPERLINK("https://my.pitchbook.com?c=82497-70", "View Company Online")</f>
      </c>
    </row>
    <row r="707">
      <c r="A707" t="s" s="11">
        <v>3735</v>
      </c>
      <c r="B707" t="s" s="11">
        <v>3736</v>
      </c>
      <c r="C707" t="s" s="11">
        <v>114</v>
      </c>
      <c r="D707" t="s" s="11">
        <v>136</v>
      </c>
      <c r="E707" t="s" s="11">
        <v>859</v>
      </c>
      <c r="F707" s="28">
        <v>46051</v>
      </c>
      <c r="G707" t="s" s="11">
        <v>40</v>
      </c>
      <c r="H707" s="43">
        <v>26.1</v>
      </c>
      <c r="I707" s="43">
        <v>164.4</v>
      </c>
      <c r="J707" t="s" s="11">
        <v>3737</v>
      </c>
      <c r="K707" t="s" s="11">
        <v>3738</v>
      </c>
      <c r="L707" s="17">
        <f>HYPERLINK("http://www.saltlending.com", "www.saltlending.com")</f>
      </c>
      <c r="M707" s="17">
        <f>HYPERLINK("https://my.pitchbook.com?c=180925-39", "View Company Online")</f>
      </c>
    </row>
    <row r="708">
      <c r="A708" t="s" s="10">
        <v>3740</v>
      </c>
      <c r="B708" t="s" s="10">
        <v>3741</v>
      </c>
      <c r="C708" t="s" s="10">
        <v>164</v>
      </c>
      <c r="D708" t="s" s="10">
        <v>165</v>
      </c>
      <c r="E708" t="s" s="10">
        <v>253</v>
      </c>
      <c r="F708" s="27">
        <v>45323</v>
      </c>
      <c r="G708" t="s" s="10">
        <v>48</v>
      </c>
      <c r="H708" t="s" s="42">
        <v>30</v>
      </c>
      <c r="I708" s="42">
        <v>163</v>
      </c>
      <c r="J708" t="s" s="10">
        <v>3742</v>
      </c>
      <c r="K708" t="s" s="10">
        <v>3743</v>
      </c>
      <c r="L708" s="16">
        <f>HYPERLINK("http://www.infinicept.com", "www.infinicept.com")</f>
      </c>
      <c r="M708" s="16">
        <f>HYPERLINK("https://my.pitchbook.com?c=234906-58", "View Company Online")</f>
      </c>
    </row>
    <row r="709">
      <c r="A709" t="s" s="11">
        <v>3745</v>
      </c>
      <c r="B709" t="s" s="11">
        <v>3746</v>
      </c>
      <c r="C709" t="s" s="11">
        <v>60</v>
      </c>
      <c r="D709" t="s" s="11">
        <v>420</v>
      </c>
      <c r="E709" t="s" s="11">
        <v>137</v>
      </c>
      <c r="F709" s="28">
        <v>44926</v>
      </c>
      <c r="G709" t="s" s="11">
        <v>31</v>
      </c>
      <c r="H709" s="43">
        <v>7</v>
      </c>
      <c r="I709" s="43">
        <v>163</v>
      </c>
      <c r="J709" t="s" s="11">
        <v>3747</v>
      </c>
      <c r="K709" t="s" s="11">
        <v>3748</v>
      </c>
      <c r="L709" s="17">
        <f>HYPERLINK("http://www.lendtable.com", "www.lendtable.com")</f>
      </c>
      <c r="M709" s="17">
        <f>HYPERLINK("https://my.pitchbook.com?c=433832-14", "View Company Online")</f>
      </c>
    </row>
    <row r="710">
      <c r="A710" t="s" s="10">
        <v>3750</v>
      </c>
      <c r="B710" t="s" s="10">
        <v>3751</v>
      </c>
      <c r="C710" t="s" s="10">
        <v>114</v>
      </c>
      <c r="D710" t="s" s="10">
        <v>115</v>
      </c>
      <c r="E710" t="s" s="10">
        <v>1625</v>
      </c>
      <c r="F710" s="27">
        <v>45108</v>
      </c>
      <c r="G710" t="s" s="10">
        <v>40</v>
      </c>
      <c r="H710" s="42">
        <v>2.5</v>
      </c>
      <c r="I710" s="42">
        <v>162.5</v>
      </c>
      <c r="J710" t="s" s="10">
        <v>3752</v>
      </c>
      <c r="K710" t="s" s="10">
        <v>3753</v>
      </c>
      <c r="L710" s="16">
        <f>HYPERLINK("http://www.goloansnap.com", "www.goloansnap.com")</f>
      </c>
      <c r="M710" s="16">
        <f>HYPERLINK("https://my.pitchbook.com?c=226031-41", "View Company Online")</f>
      </c>
    </row>
    <row r="711">
      <c r="A711" t="s" s="11">
        <v>3755</v>
      </c>
      <c r="B711" t="s" s="11">
        <v>3756</v>
      </c>
      <c r="C711" t="s" s="11">
        <v>114</v>
      </c>
      <c r="D711" t="s" s="11">
        <v>136</v>
      </c>
      <c r="E711" t="s" s="11">
        <v>137</v>
      </c>
      <c r="F711" s="28">
        <v>45770</v>
      </c>
      <c r="G711" t="s" s="11">
        <v>146</v>
      </c>
      <c r="H711" s="43">
        <v>12.99</v>
      </c>
      <c r="I711" s="43">
        <v>162.38</v>
      </c>
      <c r="J711" t="s" s="11">
        <v>3757</v>
      </c>
      <c r="K711" t="s" s="11">
        <v>3758</v>
      </c>
      <c r="L711" s="17">
        <f>HYPERLINK("http://www.iofp.co.uk", "www.iofp.co.uk")</f>
      </c>
      <c r="M711" s="17">
        <f>HYPERLINK("https://my.pitchbook.com?c=812145-16", "View Company Online")</f>
      </c>
    </row>
    <row r="712">
      <c r="A712" t="s" s="10">
        <v>3760</v>
      </c>
      <c r="B712" t="s" s="10">
        <v>3761</v>
      </c>
      <c r="C712" t="s" s="10">
        <v>222</v>
      </c>
      <c r="D712" t="s" s="10">
        <v>223</v>
      </c>
      <c r="E712" t="s" s="10">
        <v>373</v>
      </c>
      <c r="F712" s="27">
        <v>45806</v>
      </c>
      <c r="G712" t="s" s="10">
        <v>40</v>
      </c>
      <c r="H712" s="42">
        <v>25</v>
      </c>
      <c r="I712" s="42">
        <v>162</v>
      </c>
      <c r="J712" t="s" s="10">
        <v>3762</v>
      </c>
      <c r="K712" t="s" s="10">
        <v>3763</v>
      </c>
      <c r="L712" s="16">
        <f>HYPERLINK("http://www.aiera.com", "www.aiera.com")</f>
      </c>
      <c r="M712" s="16">
        <f>HYPERLINK("https://my.pitchbook.com?c=235284-76", "View Company Online")</f>
      </c>
    </row>
    <row r="713">
      <c r="A713" t="s" s="11">
        <v>3765</v>
      </c>
      <c r="B713" t="s" s="11">
        <v>3766</v>
      </c>
      <c r="C713" t="s" s="11">
        <v>164</v>
      </c>
      <c r="D713" t="s" s="11">
        <v>165</v>
      </c>
      <c r="E713" t="s" s="11">
        <v>634</v>
      </c>
      <c r="F713" s="28">
        <v>46198</v>
      </c>
      <c r="G713" t="s" s="11">
        <v>2051</v>
      </c>
      <c r="H713" t="s" s="43">
        <v>30</v>
      </c>
      <c r="I713" s="43">
        <v>162</v>
      </c>
      <c r="J713" t="s" s="11">
        <v>3767</v>
      </c>
      <c r="K713" t="s" s="11">
        <v>30</v>
      </c>
      <c r="L713" s="17">
        <f>HYPERLINK("http://www.synergies.ai", "www.synergies.ai")</f>
      </c>
      <c r="M713" s="17">
        <f>HYPERLINK("https://my.pitchbook.com?c=182215-99", "View Company Online")</f>
      </c>
    </row>
    <row r="714">
      <c r="A714" t="s" s="10">
        <v>3769</v>
      </c>
      <c r="B714" t="s" s="10">
        <v>3770</v>
      </c>
      <c r="C714" t="s" s="10">
        <v>144</v>
      </c>
      <c r="D714" t="s" s="10">
        <v>297</v>
      </c>
      <c r="E714" t="s" s="10">
        <v>259</v>
      </c>
      <c r="F714" s="27">
        <v>46036</v>
      </c>
      <c r="G714" t="s" s="10">
        <v>31</v>
      </c>
      <c r="H714" s="42">
        <v>90</v>
      </c>
      <c r="I714" s="42">
        <v>161.86</v>
      </c>
      <c r="J714" t="s" s="10">
        <v>3771</v>
      </c>
      <c r="K714" t="s" s="10">
        <v>3772</v>
      </c>
      <c r="L714" s="16">
        <f>HYPERLINK("http://www.creditkey.com", "www.creditkey.com")</f>
      </c>
      <c r="M714" s="16">
        <f>HYPERLINK("https://my.pitchbook.com?c=83826-82", "View Company Online")</f>
      </c>
    </row>
    <row r="715">
      <c r="A715" t="s" s="11">
        <v>3774</v>
      </c>
      <c r="B715" t="s" s="11">
        <v>3775</v>
      </c>
      <c r="C715" t="s" s="11">
        <v>27</v>
      </c>
      <c r="D715" t="s" s="11">
        <v>28</v>
      </c>
      <c r="E715" t="s" s="11">
        <v>3776</v>
      </c>
      <c r="F715" s="28">
        <v>45420</v>
      </c>
      <c r="G715" t="s" s="11">
        <v>40</v>
      </c>
      <c r="H715" s="43">
        <v>5</v>
      </c>
      <c r="I715" s="43">
        <v>161.8</v>
      </c>
      <c r="J715" t="s" s="11">
        <v>3777</v>
      </c>
      <c r="K715" t="s" s="11">
        <v>3778</v>
      </c>
      <c r="L715" s="17">
        <f>HYPERLINK("http://www.easol.com", "www.easol.com")</f>
      </c>
      <c r="M715" s="17">
        <f>HYPERLINK("https://my.pitchbook.com?c=232137-91", "View Company Online")</f>
      </c>
    </row>
    <row r="716">
      <c r="A716" t="s" s="10">
        <v>3780</v>
      </c>
      <c r="B716" t="s" s="10">
        <v>3781</v>
      </c>
      <c r="C716" t="s" s="10">
        <v>222</v>
      </c>
      <c r="D716" t="s" s="10">
        <v>235</v>
      </c>
      <c r="E716" t="s" s="10">
        <v>3782</v>
      </c>
      <c r="F716" s="27">
        <v>43764</v>
      </c>
      <c r="G716" t="s" s="10">
        <v>40</v>
      </c>
      <c r="H716" s="42">
        <v>14.06</v>
      </c>
      <c r="I716" s="42">
        <v>161.58</v>
      </c>
      <c r="J716" t="s" s="10">
        <v>3783</v>
      </c>
      <c r="K716" t="s" s="10">
        <v>3784</v>
      </c>
      <c r="L716" s="16">
        <f>HYPERLINK("http://www.91techgroup.com", "www.91techgroup.com")</f>
      </c>
      <c r="M716" s="16">
        <f>HYPERLINK("https://my.pitchbook.com?c=60153-85", "View Company Online")</f>
      </c>
    </row>
    <row r="717">
      <c r="A717" t="s" s="11">
        <v>3786</v>
      </c>
      <c r="B717" t="s" s="11">
        <v>3787</v>
      </c>
      <c r="C717" t="s" s="11">
        <v>114</v>
      </c>
      <c r="D717" t="s" s="11">
        <v>136</v>
      </c>
      <c r="E717" t="s" s="11">
        <v>1349</v>
      </c>
      <c r="F717" s="28">
        <v>42475</v>
      </c>
      <c r="G717" t="s" s="11">
        <v>40</v>
      </c>
      <c r="H717" s="43">
        <v>50.89</v>
      </c>
      <c r="I717" s="43">
        <v>161.12</v>
      </c>
      <c r="J717" t="s" s="11">
        <v>3788</v>
      </c>
      <c r="K717" t="s" s="11">
        <v>3789</v>
      </c>
      <c r="L717" s="17">
        <f>HYPERLINK("http://www.licaifan.com", "www.licaifan.com")</f>
      </c>
      <c r="M717" s="17">
        <f>HYPERLINK("https://my.pitchbook.com?c=157287-07", "View Company Online")</f>
      </c>
    </row>
    <row r="718">
      <c r="A718" t="s" s="10">
        <v>3791</v>
      </c>
      <c r="B718" t="s" s="10">
        <v>3792</v>
      </c>
      <c r="C718" t="s" s="10">
        <v>114</v>
      </c>
      <c r="D718" t="s" s="10">
        <v>852</v>
      </c>
      <c r="E718" t="s" s="10">
        <v>3793</v>
      </c>
      <c r="F718" s="27">
        <v>46126</v>
      </c>
      <c r="G718" t="s" s="10">
        <v>2051</v>
      </c>
      <c r="H718" t="s" s="42">
        <v>30</v>
      </c>
      <c r="I718" s="42">
        <v>160.72</v>
      </c>
      <c r="J718" t="s" s="10">
        <v>3794</v>
      </c>
      <c r="K718" t="s" s="10">
        <v>30</v>
      </c>
      <c r="L718" s="16">
        <f>HYPERLINK("http://www.hokodo.co", "www.hokodo.co")</f>
      </c>
      <c r="M718" s="16">
        <f>HYPERLINK("https://my.pitchbook.com?c=233614-45", "View Company Online")</f>
      </c>
    </row>
    <row r="719">
      <c r="A719" t="s" s="11">
        <v>3796</v>
      </c>
      <c r="B719" t="s" s="11">
        <v>3797</v>
      </c>
      <c r="C719" t="s" s="11">
        <v>164</v>
      </c>
      <c r="D719" t="s" s="11">
        <v>206</v>
      </c>
      <c r="E719" t="s" s="11">
        <v>859</v>
      </c>
      <c r="F719" s="28">
        <v>45924</v>
      </c>
      <c r="G719" t="s" s="11">
        <v>146</v>
      </c>
      <c r="H719" s="43">
        <v>29</v>
      </c>
      <c r="I719" s="43">
        <v>160</v>
      </c>
      <c r="J719" t="s" s="11">
        <v>3798</v>
      </c>
      <c r="K719" t="s" s="11">
        <v>3799</v>
      </c>
      <c r="L719" s="17">
        <f>HYPERLINK("http://www.bastion.com", "www.bastion.com")</f>
      </c>
      <c r="M719" s="17">
        <f>HYPERLINK("https://my.pitchbook.com?c=535737-79", "View Company Online")</f>
      </c>
    </row>
    <row r="720">
      <c r="A720" t="s" s="10">
        <v>3801</v>
      </c>
      <c r="B720" t="s" s="10">
        <v>3802</v>
      </c>
      <c r="C720" t="s" s="10">
        <v>37</v>
      </c>
      <c r="D720" t="s" s="10">
        <v>304</v>
      </c>
      <c r="E720" t="s" s="10">
        <v>3803</v>
      </c>
      <c r="F720" s="27">
        <v>45512</v>
      </c>
      <c r="G720" t="s" s="10">
        <v>40</v>
      </c>
      <c r="H720" t="s" s="42">
        <v>30</v>
      </c>
      <c r="I720" s="42">
        <v>160</v>
      </c>
      <c r="J720" t="s" s="10">
        <v>3804</v>
      </c>
      <c r="K720" t="s" s="10">
        <v>3805</v>
      </c>
      <c r="L720" s="16">
        <f>HYPERLINK("http://www.scratchpay.com", "www.scratchpay.com")</f>
      </c>
      <c r="M720" s="16">
        <f>HYPERLINK("https://my.pitchbook.com?c=166037-14", "View Company Online")</f>
      </c>
    </row>
    <row r="721">
      <c r="A721" t="s" s="11">
        <v>3807</v>
      </c>
      <c r="B721" t="s" s="11">
        <v>3808</v>
      </c>
      <c r="C721" t="s" s="11">
        <v>144</v>
      </c>
      <c r="D721" t="s" s="11">
        <v>38</v>
      </c>
      <c r="E721" t="s" s="11">
        <v>3809</v>
      </c>
      <c r="F721" s="28">
        <v>46140</v>
      </c>
      <c r="G721" t="s" s="11">
        <v>146</v>
      </c>
      <c r="H721" s="43">
        <v>17</v>
      </c>
      <c r="I721" s="43">
        <v>160</v>
      </c>
      <c r="J721" t="s" s="11">
        <v>3810</v>
      </c>
      <c r="K721" t="s" s="11">
        <v>3811</v>
      </c>
      <c r="L721" s="17">
        <f>HYPERLINK("http://www.zamp.ai", "www.zamp.ai")</f>
      </c>
      <c r="M721" s="17">
        <f>HYPERLINK("https://my.pitchbook.com?c=501564-25", "View Company Online")</f>
      </c>
    </row>
    <row r="722">
      <c r="A722" t="s" s="10">
        <v>3813</v>
      </c>
      <c r="B722" t="s" s="10">
        <v>3814</v>
      </c>
      <c r="C722" t="s" s="10">
        <v>164</v>
      </c>
      <c r="D722" t="s" s="10">
        <v>165</v>
      </c>
      <c r="E722" t="s" s="10">
        <v>1207</v>
      </c>
      <c r="F722" s="27">
        <v>45727</v>
      </c>
      <c r="G722" t="s" s="10">
        <v>40</v>
      </c>
      <c r="H722" s="42">
        <v>43</v>
      </c>
      <c r="I722" s="42">
        <v>159</v>
      </c>
      <c r="J722" t="s" s="10">
        <v>3815</v>
      </c>
      <c r="K722" t="s" s="10">
        <v>3816</v>
      </c>
      <c r="L722" s="16">
        <f>HYPERLINK("http://www.iralogix.com", "www.iralogix.com")</f>
      </c>
      <c r="M722" s="16">
        <f>HYPERLINK("https://my.pitchbook.com?c=157352-95", "View Company Online")</f>
      </c>
    </row>
    <row r="723">
      <c r="A723" t="s" s="11">
        <v>3818</v>
      </c>
      <c r="B723" t="s" s="11">
        <v>3819</v>
      </c>
      <c r="C723" t="s" s="11">
        <v>114</v>
      </c>
      <c r="D723" t="s" s="11">
        <v>1386</v>
      </c>
      <c r="E723" t="s" s="11">
        <v>373</v>
      </c>
      <c r="F723" s="28">
        <v>46143</v>
      </c>
      <c r="G723" t="s" s="11">
        <v>186</v>
      </c>
      <c r="H723" t="s" s="43">
        <v>30</v>
      </c>
      <c r="I723" s="43">
        <v>159</v>
      </c>
      <c r="J723" t="s" s="11">
        <v>3820</v>
      </c>
      <c r="K723" t="s" s="11">
        <v>3821</v>
      </c>
      <c r="L723" s="17">
        <f>HYPERLINK("http://www.worthai.com", "www.worthai.com")</f>
      </c>
      <c r="M723" s="17">
        <f>HYPERLINK("https://my.pitchbook.com?c=549538-66", "View Company Online")</f>
      </c>
    </row>
    <row r="724">
      <c r="A724" t="s" s="10">
        <v>3823</v>
      </c>
      <c r="B724" t="s" s="10">
        <v>3824</v>
      </c>
      <c r="C724" t="s" s="10">
        <v>46</v>
      </c>
      <c r="D724" t="s" s="10">
        <v>915</v>
      </c>
      <c r="E724" t="s" s="10">
        <v>3825</v>
      </c>
      <c r="F724" s="27">
        <v>45686</v>
      </c>
      <c r="G724" t="s" s="10">
        <v>40</v>
      </c>
      <c r="H724" s="42">
        <v>40</v>
      </c>
      <c r="I724" s="42">
        <v>158.99</v>
      </c>
      <c r="J724" t="s" s="10">
        <v>3826</v>
      </c>
      <c r="K724" t="s" s="10">
        <v>3827</v>
      </c>
      <c r="L724" s="16">
        <f>HYPERLINK("http://www.finout.io", "www.finout.io")</f>
      </c>
      <c r="M724" s="16">
        <f>HYPERLINK("https://my.pitchbook.com?c=466515-82", "View Company Online")</f>
      </c>
    </row>
    <row r="725">
      <c r="A725" t="s" s="11">
        <v>3829</v>
      </c>
      <c r="B725" t="s" s="11">
        <v>3830</v>
      </c>
      <c r="C725" t="s" s="11">
        <v>114</v>
      </c>
      <c r="D725" t="s" s="11">
        <v>115</v>
      </c>
      <c r="E725" t="s" s="11">
        <v>3831</v>
      </c>
      <c r="F725" s="28">
        <v>46007</v>
      </c>
      <c r="G725" t="s" s="11">
        <v>391</v>
      </c>
      <c r="H725" t="s" s="43">
        <v>30</v>
      </c>
      <c r="I725" s="43">
        <v>158.86</v>
      </c>
      <c r="J725" t="s" s="11">
        <v>3832</v>
      </c>
      <c r="K725" t="s" s="11">
        <v>3833</v>
      </c>
      <c r="L725" s="17">
        <f>HYPERLINK("http://www.habito.com", "www.habito.com")</f>
      </c>
      <c r="M725" s="17">
        <f>HYPERLINK("https://my.pitchbook.com?c=156930-40", "View Company Online")</f>
      </c>
    </row>
    <row r="726">
      <c r="A726" t="s" s="10">
        <v>3835</v>
      </c>
      <c r="B726" t="s" s="10">
        <v>3836</v>
      </c>
      <c r="C726" t="s" s="10">
        <v>114</v>
      </c>
      <c r="D726" t="s" s="10">
        <v>115</v>
      </c>
      <c r="E726" t="s" s="10">
        <v>137</v>
      </c>
      <c r="F726" s="27">
        <v>45015</v>
      </c>
      <c r="G726" t="s" s="10">
        <v>40</v>
      </c>
      <c r="H726" s="42">
        <v>15</v>
      </c>
      <c r="I726" s="42">
        <v>158.58</v>
      </c>
      <c r="J726" t="s" s="10">
        <v>3837</v>
      </c>
      <c r="K726" t="s" s="10">
        <v>3838</v>
      </c>
      <c r="L726" s="16">
        <f>HYPERLINK("http://www.selinafinance.co.uk", "www.selinafinance.co.uk")</f>
      </c>
      <c r="M726" s="16">
        <f>HYPERLINK("https://my.pitchbook.com?c=433261-72", "View Company Online")</f>
      </c>
    </row>
    <row r="727">
      <c r="A727" t="s" s="11">
        <v>3840</v>
      </c>
      <c r="B727" t="s" s="11">
        <v>3841</v>
      </c>
      <c r="C727" t="s" s="11">
        <v>60</v>
      </c>
      <c r="D727" t="s" s="11">
        <v>192</v>
      </c>
      <c r="E727" t="s" s="11">
        <v>1541</v>
      </c>
      <c r="F727" s="28">
        <v>45720</v>
      </c>
      <c r="G727" t="s" s="11">
        <v>146</v>
      </c>
      <c r="H727" s="43">
        <v>34</v>
      </c>
      <c r="I727" s="43">
        <v>158.5</v>
      </c>
      <c r="J727" t="s" s="11">
        <v>3842</v>
      </c>
      <c r="K727" t="s" s="11">
        <v>3843</v>
      </c>
      <c r="L727" s="17">
        <f>HYPERLINK("http://www.truemed.com", "www.truemed.com")</f>
      </c>
      <c r="M727" s="17">
        <f>HYPERLINK("https://my.pitchbook.com?c=503863-93", "View Company Online")</f>
      </c>
    </row>
    <row r="728">
      <c r="A728" t="s" s="10">
        <v>3845</v>
      </c>
      <c r="B728" t="s" s="10">
        <v>3846</v>
      </c>
      <c r="C728" t="s" s="10">
        <v>164</v>
      </c>
      <c r="D728" t="s" s="10">
        <v>206</v>
      </c>
      <c r="E728" t="s" s="10">
        <v>137</v>
      </c>
      <c r="F728" s="27">
        <v>45925</v>
      </c>
      <c r="G728" t="s" s="10">
        <v>31</v>
      </c>
      <c r="H728" s="42">
        <v>2</v>
      </c>
      <c r="I728" s="42">
        <v>157.95</v>
      </c>
      <c r="J728" t="s" s="10">
        <v>3847</v>
      </c>
      <c r="K728" t="s" s="10">
        <v>3848</v>
      </c>
      <c r="L728" s="16">
        <f>HYPERLINK("http://www.ayoconnect.com", "www.ayoconnect.com")</f>
      </c>
      <c r="M728" s="16">
        <f>HYPERLINK("https://my.pitchbook.com?c=495748-27", "View Company Online")</f>
      </c>
    </row>
    <row r="729">
      <c r="A729" t="s" s="11">
        <v>3850</v>
      </c>
      <c r="B729" t="s" s="11">
        <v>3851</v>
      </c>
      <c r="C729" t="s" s="11">
        <v>27</v>
      </c>
      <c r="D729" t="s" s="11">
        <v>70</v>
      </c>
      <c r="E729" t="s" s="11">
        <v>373</v>
      </c>
      <c r="F729" s="28">
        <v>46223</v>
      </c>
      <c r="G729" t="s" s="11">
        <v>146</v>
      </c>
      <c r="H729" s="43">
        <v>30</v>
      </c>
      <c r="I729" s="43">
        <v>157.5</v>
      </c>
      <c r="J729" t="s" s="11">
        <v>3852</v>
      </c>
      <c r="K729" t="s" s="11">
        <v>3853</v>
      </c>
      <c r="L729" s="17">
        <f>HYPERLINK("http://www.natural.com", "www.natural.com")</f>
      </c>
      <c r="M729" s="17">
        <f>HYPERLINK("https://my.pitchbook.com?c=1083392-92", "View Company Online")</f>
      </c>
    </row>
    <row r="730">
      <c r="A730" t="s" s="10">
        <v>3855</v>
      </c>
      <c r="B730" t="s" s="10">
        <v>3856</v>
      </c>
      <c r="C730" t="s" s="10">
        <v>27</v>
      </c>
      <c r="D730" t="s" s="10">
        <v>70</v>
      </c>
      <c r="E730" t="s" s="10">
        <v>311</v>
      </c>
      <c r="F730" s="27">
        <v>45957</v>
      </c>
      <c r="G730" t="s" s="10">
        <v>146</v>
      </c>
      <c r="H730" s="42">
        <v>33</v>
      </c>
      <c r="I730" s="42">
        <v>156.88</v>
      </c>
      <c r="J730" t="s" s="10">
        <v>3857</v>
      </c>
      <c r="K730" t="s" s="10">
        <v>3858</v>
      </c>
      <c r="L730" s="16">
        <f>HYPERLINK("http://www.gokite.ai", "www.gokite.ai")</f>
      </c>
      <c r="M730" s="16">
        <f>HYPERLINK("https://my.pitchbook.com?c=662797-63", "View Company Online")</f>
      </c>
    </row>
    <row r="731">
      <c r="A731" t="s" s="11">
        <v>3860</v>
      </c>
      <c r="B731" t="s" s="11">
        <v>3861</v>
      </c>
      <c r="C731" t="s" s="11">
        <v>164</v>
      </c>
      <c r="D731" t="s" s="11">
        <v>165</v>
      </c>
      <c r="E731" t="s" s="11">
        <v>634</v>
      </c>
      <c r="F731" s="28">
        <v>44365</v>
      </c>
      <c r="G731" t="s" s="11">
        <v>146</v>
      </c>
      <c r="H731" t="s" s="43">
        <v>30</v>
      </c>
      <c r="I731" s="43">
        <v>156.14</v>
      </c>
      <c r="J731" t="s" s="11">
        <v>3862</v>
      </c>
      <c r="K731" t="s" s="11">
        <v>3863</v>
      </c>
      <c r="L731" s="17">
        <f>HYPERLINK("http://www.hrfax.cn", "www.hrfax.cn")</f>
      </c>
      <c r="M731" s="17">
        <f>HYPERLINK("https://my.pitchbook.com?c=435596-05", "View Company Online")</f>
      </c>
    </row>
    <row r="732">
      <c r="A732" t="s" s="10">
        <v>3865</v>
      </c>
      <c r="B732" t="s" s="10">
        <v>3866</v>
      </c>
      <c r="C732" t="s" s="10">
        <v>172</v>
      </c>
      <c r="D732" t="s" s="10">
        <v>338</v>
      </c>
      <c r="E732" t="s" s="10">
        <v>373</v>
      </c>
      <c r="F732" s="27">
        <v>46217</v>
      </c>
      <c r="G732" t="s" s="10">
        <v>146</v>
      </c>
      <c r="H732" s="42">
        <v>28.83</v>
      </c>
      <c r="I732" s="42">
        <v>156</v>
      </c>
      <c r="J732" t="s" s="10">
        <v>3867</v>
      </c>
      <c r="K732" t="s" s="10">
        <v>3868</v>
      </c>
      <c r="L732" s="16">
        <f>HYPERLINK("http://www.hadrius.com", "www.hadrius.com")</f>
      </c>
      <c r="M732" s="16">
        <f>HYPERLINK("https://my.pitchbook.com?c=521742-97", "View Company Online")</f>
      </c>
    </row>
    <row r="733">
      <c r="A733" t="s" s="11">
        <v>3870</v>
      </c>
      <c r="B733" t="s" s="11">
        <v>3871</v>
      </c>
      <c r="C733" t="s" s="11">
        <v>222</v>
      </c>
      <c r="D733" t="s" s="11">
        <v>252</v>
      </c>
      <c r="E733" t="s" s="11">
        <v>137</v>
      </c>
      <c r="F733" s="28">
        <v>45170</v>
      </c>
      <c r="G733" t="s" s="11">
        <v>48</v>
      </c>
      <c r="H733" t="s" s="43">
        <v>30</v>
      </c>
      <c r="I733" s="43">
        <v>155.6</v>
      </c>
      <c r="J733" t="s" s="11">
        <v>3872</v>
      </c>
      <c r="K733" t="s" s="11">
        <v>3873</v>
      </c>
      <c r="L733" s="17">
        <f>HYPERLINK("http://www.crosslend.com", "www.crosslend.com")</f>
      </c>
      <c r="M733" s="17">
        <f>HYPERLINK("https://my.pitchbook.com?c=153333-55", "View Company Online")</f>
      </c>
    </row>
    <row r="734">
      <c r="A734" t="s" s="10">
        <v>3875</v>
      </c>
      <c r="B734" t="s" s="10">
        <v>3876</v>
      </c>
      <c r="C734" t="s" s="10">
        <v>114</v>
      </c>
      <c r="D734" t="s" s="10">
        <v>852</v>
      </c>
      <c r="E734" t="s" s="10">
        <v>1964</v>
      </c>
      <c r="F734" s="27">
        <v>46147</v>
      </c>
      <c r="G734" t="s" s="10">
        <v>391</v>
      </c>
      <c r="H734" t="s" s="42">
        <v>30</v>
      </c>
      <c r="I734" s="42">
        <v>155.22</v>
      </c>
      <c r="J734" t="s" s="10">
        <v>3877</v>
      </c>
      <c r="K734" t="s" s="10">
        <v>30</v>
      </c>
      <c r="L734" s="16">
        <f>HYPERLINK("http://www.october.eu", "www.october.eu")</f>
      </c>
      <c r="M734" s="16">
        <f>HYPERLINK("https://my.pitchbook.com?c=99197-11", "View Company Online")</f>
      </c>
    </row>
    <row r="735">
      <c r="A735" t="s" s="11">
        <v>3879</v>
      </c>
      <c r="B735" t="s" s="11">
        <v>3880</v>
      </c>
      <c r="C735" t="s" s="11">
        <v>114</v>
      </c>
      <c r="D735" t="s" s="11">
        <v>852</v>
      </c>
      <c r="E735" t="s" s="11">
        <v>3138</v>
      </c>
      <c r="F735" s="28">
        <v>45282</v>
      </c>
      <c r="G735" t="s" s="11">
        <v>40</v>
      </c>
      <c r="H735" s="43">
        <v>9</v>
      </c>
      <c r="I735" s="43">
        <v>155</v>
      </c>
      <c r="J735" t="s" s="11">
        <v>3881</v>
      </c>
      <c r="K735" t="s" s="11">
        <v>3882</v>
      </c>
      <c r="L735" s="17">
        <f>HYPERLINK("http://www.chargeafter.com", "www.chargeafter.com")</f>
      </c>
      <c r="M735" s="17">
        <f>HYPERLINK("https://my.pitchbook.com?c=226363-15", "View Company Online")</f>
      </c>
    </row>
    <row r="736">
      <c r="A736" t="s" s="10">
        <v>3884</v>
      </c>
      <c r="B736" t="s" s="10">
        <v>3885</v>
      </c>
      <c r="C736" t="s" s="10">
        <v>60</v>
      </c>
      <c r="D736" t="s" s="10">
        <v>432</v>
      </c>
      <c r="E736" t="s" s="10">
        <v>634</v>
      </c>
      <c r="F736" s="27">
        <v>46009</v>
      </c>
      <c r="G736" t="s" s="10">
        <v>146</v>
      </c>
      <c r="H736" s="42">
        <v>17</v>
      </c>
      <c r="I736" s="42">
        <v>155</v>
      </c>
      <c r="J736" t="s" s="10">
        <v>3886</v>
      </c>
      <c r="K736" t="s" s="10">
        <v>3887</v>
      </c>
      <c r="L736" s="16">
        <f>HYPERLINK("http://www.finny.com", "www.finny.com")</f>
      </c>
      <c r="M736" s="16">
        <f>HYPERLINK("https://my.pitchbook.com?c=601531-57", "View Company Online")</f>
      </c>
    </row>
    <row r="737">
      <c r="A737" t="s" s="11">
        <v>3889</v>
      </c>
      <c r="B737" t="s" s="11">
        <v>3890</v>
      </c>
      <c r="C737" t="s" s="11">
        <v>60</v>
      </c>
      <c r="D737" t="s" s="11">
        <v>192</v>
      </c>
      <c r="E737" t="s" s="11">
        <v>1964</v>
      </c>
      <c r="F737" s="28">
        <v>45838</v>
      </c>
      <c r="G737" t="s" s="11">
        <v>40</v>
      </c>
      <c r="H737" s="43">
        <v>30</v>
      </c>
      <c r="I737" s="43">
        <v>155</v>
      </c>
      <c r="J737" t="s" s="11">
        <v>3891</v>
      </c>
      <c r="K737" t="s" s="11">
        <v>3892</v>
      </c>
      <c r="L737" s="17">
        <f>HYPERLINK("http://www.oddup.com", "www.oddup.com")</f>
      </c>
      <c r="M737" s="17">
        <f>HYPERLINK("https://my.pitchbook.com?c=104356-27", "View Company Online")</f>
      </c>
    </row>
    <row r="738">
      <c r="A738" t="s" s="10">
        <v>3894</v>
      </c>
      <c r="B738" t="s" s="10">
        <v>3895</v>
      </c>
      <c r="C738" t="s" s="10">
        <v>46</v>
      </c>
      <c r="D738" t="s" s="10">
        <v>397</v>
      </c>
      <c r="E738" t="s" s="10">
        <v>108</v>
      </c>
      <c r="F738" s="27">
        <v>44412</v>
      </c>
      <c r="G738" t="s" s="10">
        <v>146</v>
      </c>
      <c r="H738" s="42">
        <v>34</v>
      </c>
      <c r="I738" s="42">
        <v>154</v>
      </c>
      <c r="J738" t="s" s="10">
        <v>3896</v>
      </c>
      <c r="K738" t="s" s="10">
        <v>3897</v>
      </c>
      <c r="L738" s="16">
        <f>HYPERLINK("http://www.zeni.ai", "www.zeni.ai")</f>
      </c>
      <c r="M738" s="16">
        <f>HYPERLINK("https://my.pitchbook.com?c=398893-69", "View Company Online")</f>
      </c>
    </row>
    <row r="739">
      <c r="A739" t="s" s="11">
        <v>3899</v>
      </c>
      <c r="B739" t="s" s="11">
        <v>3900</v>
      </c>
      <c r="C739" t="s" s="11">
        <v>114</v>
      </c>
      <c r="D739" t="s" s="11">
        <v>136</v>
      </c>
      <c r="E739" t="s" s="11">
        <v>2782</v>
      </c>
      <c r="F739" s="28">
        <v>45658</v>
      </c>
      <c r="G739" t="s" s="11">
        <v>31</v>
      </c>
      <c r="H739" t="s" s="43">
        <v>30</v>
      </c>
      <c r="I739" s="43">
        <v>153.77</v>
      </c>
      <c r="J739" t="s" s="11">
        <v>3901</v>
      </c>
      <c r="K739" t="s" s="11">
        <v>3902</v>
      </c>
      <c r="L739" s="17">
        <f>HYPERLINK("http://www.getground.co.uk", "www.getground.co.uk")</f>
      </c>
      <c r="M739" s="17">
        <f>HYPERLINK("https://my.pitchbook.com?c=268353-01", "View Company Online")</f>
      </c>
    </row>
    <row r="740">
      <c r="A740" t="s" s="10">
        <v>3904</v>
      </c>
      <c r="B740" t="s" s="10">
        <v>3905</v>
      </c>
      <c r="C740" t="s" s="10">
        <v>164</v>
      </c>
      <c r="D740" t="s" s="10">
        <v>165</v>
      </c>
      <c r="E740" t="s" s="10">
        <v>1964</v>
      </c>
      <c r="F740" s="27">
        <v>45944</v>
      </c>
      <c r="G740" t="s" s="10">
        <v>40</v>
      </c>
      <c r="H740" s="42">
        <v>33</v>
      </c>
      <c r="I740" s="42">
        <v>153</v>
      </c>
      <c r="J740" t="s" s="10">
        <v>3906</v>
      </c>
      <c r="K740" t="s" s="10">
        <v>3907</v>
      </c>
      <c r="L740" s="16">
        <f>HYPERLINK("http://www.basistheory.com", "www.basistheory.com")</f>
      </c>
      <c r="M740" s="16">
        <f>HYPERLINK("https://my.pitchbook.com?c=462156-67", "View Company Online")</f>
      </c>
    </row>
    <row r="741">
      <c r="A741" t="s" s="11">
        <v>3909</v>
      </c>
      <c r="B741" t="s" s="11">
        <v>3910</v>
      </c>
      <c r="C741" t="s" s="11">
        <v>222</v>
      </c>
      <c r="D741" t="s" s="11">
        <v>223</v>
      </c>
      <c r="E741" t="s" s="11">
        <v>3911</v>
      </c>
      <c r="F741" s="28">
        <v>45901</v>
      </c>
      <c r="G741" t="s" s="11">
        <v>40</v>
      </c>
      <c r="H741" s="43">
        <v>3</v>
      </c>
      <c r="I741" s="43">
        <v>153</v>
      </c>
      <c r="J741" t="s" s="11">
        <v>3912</v>
      </c>
      <c r="K741" t="s" s="11">
        <v>3913</v>
      </c>
      <c r="L741" s="17">
        <f>HYPERLINK("http://www.facteus.com", "www.facteus.com")</f>
      </c>
      <c r="M741" s="17">
        <f>HYPERLINK("https://my.pitchbook.com?c=112505-86", "View Company Online")</f>
      </c>
    </row>
    <row r="742">
      <c r="A742" t="s" s="10">
        <v>3915</v>
      </c>
      <c r="B742" t="s" s="10">
        <v>3916</v>
      </c>
      <c r="C742" t="s" s="10">
        <v>222</v>
      </c>
      <c r="D742" t="s" s="10">
        <v>223</v>
      </c>
      <c r="E742" t="s" s="10">
        <v>373</v>
      </c>
      <c r="F742" s="27">
        <v>46023</v>
      </c>
      <c r="G742" t="s" s="10">
        <v>607</v>
      </c>
      <c r="H742" t="s" s="42">
        <v>30</v>
      </c>
      <c r="I742" s="42">
        <v>152</v>
      </c>
      <c r="J742" t="s" s="10">
        <v>3917</v>
      </c>
      <c r="K742" t="s" s="10">
        <v>3918</v>
      </c>
      <c r="L742" s="16">
        <f>HYPERLINK("http://www.trykintsugi.com", "www.trykintsugi.com")</f>
      </c>
      <c r="M742" s="16">
        <f>HYPERLINK("https://my.pitchbook.com?c=519953-77", "View Company Online")</f>
      </c>
    </row>
    <row r="743">
      <c r="A743" t="s" s="11">
        <v>3920</v>
      </c>
      <c r="B743" t="s" s="11">
        <v>3921</v>
      </c>
      <c r="C743" t="s" s="11">
        <v>164</v>
      </c>
      <c r="D743" t="s" s="11">
        <v>206</v>
      </c>
      <c r="E743" t="s" s="11">
        <v>270</v>
      </c>
      <c r="F743" s="28">
        <v>45789</v>
      </c>
      <c r="G743" t="s" s="11">
        <v>40</v>
      </c>
      <c r="H743" t="s" s="43">
        <v>30</v>
      </c>
      <c r="I743" s="43">
        <v>152</v>
      </c>
      <c r="J743" t="s" s="11">
        <v>3922</v>
      </c>
      <c r="K743" t="s" s="11">
        <v>3923</v>
      </c>
      <c r="L743" s="17">
        <f>HYPERLINK("http://www.token.io", "www.token.io")</f>
      </c>
      <c r="M743" s="17">
        <f>HYPERLINK("https://my.pitchbook.com?c=153640-09", "View Company Online")</f>
      </c>
    </row>
    <row r="744">
      <c r="A744" t="s" s="10">
        <v>3925</v>
      </c>
      <c r="B744" t="s" s="10">
        <v>3926</v>
      </c>
      <c r="C744" t="s" s="10">
        <v>27</v>
      </c>
      <c r="D744" t="s" s="10">
        <v>28</v>
      </c>
      <c r="E744" t="s" s="10">
        <v>193</v>
      </c>
      <c r="F744" s="27">
        <v>45421</v>
      </c>
      <c r="G744" t="s" s="10">
        <v>40</v>
      </c>
      <c r="H744" s="42">
        <v>20</v>
      </c>
      <c r="I744" s="42">
        <v>151</v>
      </c>
      <c r="J744" t="s" s="10">
        <v>3927</v>
      </c>
      <c r="K744" t="s" s="10">
        <v>3928</v>
      </c>
      <c r="L744" s="16">
        <f>HYPERLINK("http://www.aeropay.com", "www.aeropay.com")</f>
      </c>
      <c r="M744" s="16">
        <f>HYPERLINK("https://my.pitchbook.com?c=268744-69", "View Company Online")</f>
      </c>
    </row>
    <row r="745">
      <c r="A745" t="s" s="11">
        <v>3930</v>
      </c>
      <c r="B745" t="s" s="11">
        <v>3931</v>
      </c>
      <c r="C745" t="s" s="11">
        <v>128</v>
      </c>
      <c r="D745" t="s" s="11">
        <v>276</v>
      </c>
      <c r="E745" t="s" s="11">
        <v>137</v>
      </c>
      <c r="F745" s="28">
        <v>45946</v>
      </c>
      <c r="G745" t="s" s="11">
        <v>64</v>
      </c>
      <c r="H745" s="43">
        <v>13.79</v>
      </c>
      <c r="I745" s="43">
        <v>150.93</v>
      </c>
      <c r="J745" t="s" s="11">
        <v>3932</v>
      </c>
      <c r="K745" t="s" s="11">
        <v>3933</v>
      </c>
      <c r="L745" s="17">
        <f>HYPERLINK("http://www.eui.money", "www.eui.money")</f>
      </c>
      <c r="M745" s="17">
        <f>HYPERLINK("https://my.pitchbook.com?c=434527-93", "View Company Online")</f>
      </c>
    </row>
    <row r="746">
      <c r="A746" t="s" s="10">
        <v>3935</v>
      </c>
      <c r="B746" t="s" s="10">
        <v>3936</v>
      </c>
      <c r="C746" t="s" s="10">
        <v>144</v>
      </c>
      <c r="D746" t="s" s="10">
        <v>38</v>
      </c>
      <c r="E746" t="s" s="10">
        <v>253</v>
      </c>
      <c r="F746" s="27">
        <v>45831</v>
      </c>
      <c r="G746" t="s" s="10">
        <v>40</v>
      </c>
      <c r="H746" s="42">
        <v>131.49</v>
      </c>
      <c r="I746" s="42">
        <v>150.71</v>
      </c>
      <c r="J746" t="s" s="10">
        <v>3937</v>
      </c>
      <c r="K746" t="s" s="10">
        <v>3938</v>
      </c>
      <c r="L746" s="16">
        <f>HYPERLINK("http://www.finom.co", "www.finom.co")</f>
      </c>
      <c r="M746" s="16">
        <f>HYPERLINK("https://my.pitchbook.com?c=434574-37", "View Company Online")</f>
      </c>
    </row>
    <row r="747">
      <c r="A747" t="s" s="11">
        <v>3940</v>
      </c>
      <c r="B747" t="s" s="11">
        <v>3941</v>
      </c>
      <c r="C747" t="s" s="11">
        <v>114</v>
      </c>
      <c r="D747" t="s" s="11">
        <v>136</v>
      </c>
      <c r="E747" t="s" s="11">
        <v>759</v>
      </c>
      <c r="F747" s="28">
        <v>43294</v>
      </c>
      <c r="G747" t="s" s="11">
        <v>40</v>
      </c>
      <c r="H747" s="43">
        <v>45.67</v>
      </c>
      <c r="I747" s="43">
        <v>150.18</v>
      </c>
      <c r="J747" t="s" s="11">
        <v>3942</v>
      </c>
      <c r="K747" t="s" s="11">
        <v>3943</v>
      </c>
      <c r="L747" s="17">
        <f>HYPERLINK("http://www.duanrong.com", "www.duanrong.com")</f>
      </c>
      <c r="M747" s="17">
        <f>HYPERLINK("https://my.pitchbook.com?c=149932-18", "View Company Online")</f>
      </c>
    </row>
    <row r="748">
      <c r="A748" t="s" s="10">
        <v>3945</v>
      </c>
      <c r="B748" t="s" s="10">
        <v>3946</v>
      </c>
      <c r="C748" t="s" s="10">
        <v>114</v>
      </c>
      <c r="D748" t="s" s="10">
        <v>852</v>
      </c>
      <c r="E748" t="s" s="10">
        <v>29</v>
      </c>
      <c r="F748" s="27">
        <v>45545</v>
      </c>
      <c r="G748" t="s" s="10">
        <v>2174</v>
      </c>
      <c r="H748" s="42">
        <v>100</v>
      </c>
      <c r="I748" s="42">
        <v>150</v>
      </c>
      <c r="J748" t="s" s="10">
        <v>3947</v>
      </c>
      <c r="K748" t="s" s="10">
        <v>3948</v>
      </c>
      <c r="L748" s="16">
        <f>HYPERLINK("http://agoradata.com", "agoradata.com")</f>
      </c>
      <c r="M748" s="16">
        <f>HYPERLINK("https://my.pitchbook.com?c=451024-57", "View Company Online")</f>
      </c>
    </row>
    <row r="749">
      <c r="A749" t="s" s="11">
        <v>3950</v>
      </c>
      <c r="B749" t="s" s="11">
        <v>3951</v>
      </c>
      <c r="C749" t="s" s="11">
        <v>222</v>
      </c>
      <c r="D749" t="s" s="11">
        <v>235</v>
      </c>
      <c r="E749" t="s" s="11">
        <v>253</v>
      </c>
      <c r="F749" s="28">
        <v>45890</v>
      </c>
      <c r="G749" t="s" s="11">
        <v>146</v>
      </c>
      <c r="H749" s="43">
        <v>30.5</v>
      </c>
      <c r="I749" s="43">
        <v>150</v>
      </c>
      <c r="J749" t="s" s="11">
        <v>3952</v>
      </c>
      <c r="K749" t="s" s="11">
        <v>3953</v>
      </c>
      <c r="L749" s="17">
        <f>HYPERLINK("http://www.allocate.co", "www.allocate.co")</f>
      </c>
      <c r="M749" s="17">
        <f>HYPERLINK("https://my.pitchbook.com?c=463109-59", "View Company Online")</f>
      </c>
    </row>
    <row r="750">
      <c r="A750" t="s" s="10">
        <v>3955</v>
      </c>
      <c r="B750" t="s" s="10">
        <v>3956</v>
      </c>
      <c r="C750" t="s" s="10">
        <v>27</v>
      </c>
      <c r="D750" t="s" s="10">
        <v>70</v>
      </c>
      <c r="E750" t="s" s="10">
        <v>414</v>
      </c>
      <c r="F750" s="27">
        <v>46052</v>
      </c>
      <c r="G750" t="s" s="10">
        <v>40</v>
      </c>
      <c r="H750" s="42">
        <v>10</v>
      </c>
      <c r="I750" s="42">
        <v>150</v>
      </c>
      <c r="J750" t="s" s="10">
        <v>3957</v>
      </c>
      <c r="K750" t="s" s="10">
        <v>3958</v>
      </c>
      <c r="L750" s="16">
        <f>HYPERLINK("http://www.astrafi.com", "www.astrafi.com")</f>
      </c>
      <c r="M750" s="16">
        <f>HYPERLINK("https://my.pitchbook.com?c=265341-16", "View Company Online")</f>
      </c>
    </row>
    <row r="751">
      <c r="A751" t="s" s="11">
        <v>3960</v>
      </c>
      <c r="B751" t="s" s="11">
        <v>3961</v>
      </c>
      <c r="C751" t="s" s="11">
        <v>164</v>
      </c>
      <c r="D751" t="s" s="11">
        <v>165</v>
      </c>
      <c r="E751" t="s" s="11">
        <v>253</v>
      </c>
      <c r="F751" s="28">
        <v>46043</v>
      </c>
      <c r="G751" t="s" s="11">
        <v>40</v>
      </c>
      <c r="H751" s="43">
        <v>41.44</v>
      </c>
      <c r="I751" s="43">
        <v>150</v>
      </c>
      <c r="J751" t="s" s="11">
        <v>3962</v>
      </c>
      <c r="K751" t="s" s="11">
        <v>3963</v>
      </c>
      <c r="L751" s="17">
        <f>HYPERLINK("http://www.grow.inc", "www.grow.inc")</f>
      </c>
      <c r="M751" s="17">
        <f>HYPERLINK("https://my.pitchbook.com?c=268621-66", "View Company Online")</f>
      </c>
    </row>
    <row r="752">
      <c r="A752" t="s" s="10">
        <v>3965</v>
      </c>
      <c r="B752" t="s" s="10">
        <v>3966</v>
      </c>
      <c r="C752" t="s" s="10">
        <v>37</v>
      </c>
      <c r="D752" t="s" s="10">
        <v>38</v>
      </c>
      <c r="E752" t="s" s="10">
        <v>137</v>
      </c>
      <c r="F752" t="s" s="27">
        <v>30</v>
      </c>
      <c r="G752" t="s" s="10">
        <v>40</v>
      </c>
      <c r="H752" s="42">
        <v>30</v>
      </c>
      <c r="I752" s="42">
        <v>150</v>
      </c>
      <c r="J752" t="s" s="10">
        <v>3967</v>
      </c>
      <c r="K752" t="s" s="10">
        <v>3968</v>
      </c>
      <c r="L752" s="16">
        <f>HYPERLINK("http://www.hakbah.sa", "www.hakbah.sa")</f>
      </c>
      <c r="M752" s="16">
        <f>HYPERLINK("https://my.pitchbook.com?c=459331-84", "View Company Online")</f>
      </c>
    </row>
    <row r="753">
      <c r="A753" t="s" s="11">
        <v>3970</v>
      </c>
      <c r="B753" t="s" s="11">
        <v>3971</v>
      </c>
      <c r="C753" t="s" s="11">
        <v>164</v>
      </c>
      <c r="D753" t="s" s="11">
        <v>165</v>
      </c>
      <c r="E753" t="s" s="11">
        <v>259</v>
      </c>
      <c r="F753" s="28">
        <v>46142</v>
      </c>
      <c r="G753" t="s" s="11">
        <v>2174</v>
      </c>
      <c r="H753" s="43">
        <v>3.49</v>
      </c>
      <c r="I753" s="43">
        <v>150</v>
      </c>
      <c r="J753" t="s" s="11">
        <v>3972</v>
      </c>
      <c r="K753" t="s" s="11">
        <v>3973</v>
      </c>
      <c r="L753" s="17">
        <f>HYPERLINK("http://www.liquidx.com", "www.liquidx.com")</f>
      </c>
      <c r="M753" s="17">
        <f>HYPERLINK("https://my.pitchbook.com?c=42924-88", "View Company Online")</f>
      </c>
    </row>
    <row r="754">
      <c r="A754" t="s" s="10">
        <v>3975</v>
      </c>
      <c r="B754" t="s" s="10">
        <v>3976</v>
      </c>
      <c r="C754" t="s" s="10">
        <v>114</v>
      </c>
      <c r="D754" t="s" s="10">
        <v>115</v>
      </c>
      <c r="E754" t="s" s="10">
        <v>3527</v>
      </c>
      <c r="F754" s="27">
        <v>45688</v>
      </c>
      <c r="G754" t="s" s="10">
        <v>40</v>
      </c>
      <c r="H754" t="s" s="42">
        <v>30</v>
      </c>
      <c r="I754" s="42">
        <v>150</v>
      </c>
      <c r="J754" t="s" s="10">
        <v>3977</v>
      </c>
      <c r="K754" t="s" s="10">
        <v>3978</v>
      </c>
      <c r="L754" s="16">
        <f>HYPERLINK("http://www.morty.com", "www.morty.com")</f>
      </c>
      <c r="M754" s="16">
        <f>HYPERLINK("https://my.pitchbook.com?c=166402-99", "View Company Online")</f>
      </c>
    </row>
    <row r="755">
      <c r="A755" t="s" s="11">
        <v>3980</v>
      </c>
      <c r="B755" t="s" s="11">
        <v>3981</v>
      </c>
      <c r="C755" t="s" s="11">
        <v>27</v>
      </c>
      <c r="D755" t="s" s="11">
        <v>28</v>
      </c>
      <c r="E755" t="s" s="11">
        <v>3982</v>
      </c>
      <c r="F755" s="28">
        <v>46163</v>
      </c>
      <c r="G755" t="s" s="11">
        <v>40</v>
      </c>
      <c r="H755" s="43">
        <v>55</v>
      </c>
      <c r="I755" s="43">
        <v>150</v>
      </c>
      <c r="J755" t="s" s="11">
        <v>3983</v>
      </c>
      <c r="K755" t="s" s="11">
        <v>3984</v>
      </c>
      <c r="L755" s="17">
        <f>HYPERLINK("http://www.ordermentum.com", "www.ordermentum.com")</f>
      </c>
      <c r="M755" s="17">
        <f>HYPERLINK("https://my.pitchbook.com?c=160818-13", "View Company Online")</f>
      </c>
    </row>
    <row r="756">
      <c r="A756" t="s" s="10">
        <v>3986</v>
      </c>
      <c r="B756" t="s" s="10">
        <v>3987</v>
      </c>
      <c r="C756" t="s" s="10">
        <v>60</v>
      </c>
      <c r="D756" t="s" s="10">
        <v>432</v>
      </c>
      <c r="E756" t="s" s="10">
        <v>373</v>
      </c>
      <c r="F756" s="27">
        <v>44571</v>
      </c>
      <c r="G756" t="s" s="10">
        <v>40</v>
      </c>
      <c r="H756" s="42">
        <v>146</v>
      </c>
      <c r="I756" s="42">
        <v>150</v>
      </c>
      <c r="J756" t="s" s="10">
        <v>3988</v>
      </c>
      <c r="K756" t="s" s="10">
        <v>3989</v>
      </c>
      <c r="L756" s="16">
        <f>HYPERLINK("http://www.qraftec.com", "www.qraftec.com")</f>
      </c>
      <c r="M756" s="16">
        <f>HYPERLINK("https://my.pitchbook.com?c=459451-90", "View Company Online")</f>
      </c>
    </row>
    <row r="757">
      <c r="A757" t="s" s="11">
        <v>3991</v>
      </c>
      <c r="B757" t="s" s="11">
        <v>3992</v>
      </c>
      <c r="C757" t="s" s="11">
        <v>60</v>
      </c>
      <c r="D757" t="s" s="11">
        <v>61</v>
      </c>
      <c r="E757" t="s" s="11">
        <v>137</v>
      </c>
      <c r="F757" s="28">
        <v>45810</v>
      </c>
      <c r="G757" t="s" s="11">
        <v>40</v>
      </c>
      <c r="H757" s="43">
        <v>11</v>
      </c>
      <c r="I757" s="43">
        <v>150</v>
      </c>
      <c r="J757" t="s" s="11">
        <v>3993</v>
      </c>
      <c r="K757" t="s" s="11">
        <v>30</v>
      </c>
      <c r="L757" s="17">
        <f>HYPERLINK("http://www.superhero.com.au", "www.superhero.com.au")</f>
      </c>
      <c r="M757" s="17">
        <f>HYPERLINK("https://my.pitchbook.com?c=438879-16", "View Company Online")</f>
      </c>
    </row>
    <row r="758">
      <c r="A758" t="s" s="10">
        <v>3995</v>
      </c>
      <c r="B758" t="s" s="10">
        <v>3996</v>
      </c>
      <c r="C758" t="s" s="10">
        <v>164</v>
      </c>
      <c r="D758" t="s" s="10">
        <v>165</v>
      </c>
      <c r="E758" t="s" s="10">
        <v>3997</v>
      </c>
      <c r="F758" s="27">
        <v>45777</v>
      </c>
      <c r="G758" t="s" s="10">
        <v>40</v>
      </c>
      <c r="H758" t="s" s="42">
        <v>30</v>
      </c>
      <c r="I758" s="42">
        <v>150</v>
      </c>
      <c r="J758" t="s" s="10">
        <v>3998</v>
      </c>
      <c r="K758" t="s" s="10">
        <v>3999</v>
      </c>
      <c r="L758" s="16">
        <f>HYPERLINK("http://www.vesta.com", "www.vesta.com")</f>
      </c>
      <c r="M758" s="16">
        <f>HYPERLINK("https://my.pitchbook.com?c=490870-81", "View Company Online")</f>
      </c>
    </row>
    <row r="759">
      <c r="A759" t="s" s="11">
        <v>4001</v>
      </c>
      <c r="B759" t="s" s="11">
        <v>4002</v>
      </c>
      <c r="C759" t="s" s="11">
        <v>114</v>
      </c>
      <c r="D759" t="s" s="11">
        <v>136</v>
      </c>
      <c r="E759" t="s" s="11">
        <v>367</v>
      </c>
      <c r="F759" s="28">
        <v>45315</v>
      </c>
      <c r="G759" t="s" s="11">
        <v>40</v>
      </c>
      <c r="H759" s="43">
        <v>75</v>
      </c>
      <c r="I759" s="43">
        <v>150</v>
      </c>
      <c r="J759" t="s" s="11">
        <v>4003</v>
      </c>
      <c r="K759" t="s" s="11">
        <v>4004</v>
      </c>
      <c r="L759" s="17">
        <f>HYPERLINK("http://www.vivifin.com", "www.vivifin.com")</f>
      </c>
      <c r="M759" s="17">
        <f>HYPERLINK("https://my.pitchbook.com?c=339830-56", "View Company Online")</f>
      </c>
    </row>
    <row r="760">
      <c r="A760" t="s" s="10">
        <v>4006</v>
      </c>
      <c r="B760" t="s" s="10">
        <v>4007</v>
      </c>
      <c r="C760" t="s" s="10">
        <v>27</v>
      </c>
      <c r="D760" t="s" s="10">
        <v>28</v>
      </c>
      <c r="E760" t="s" s="10">
        <v>137</v>
      </c>
      <c r="F760" s="27">
        <v>46246</v>
      </c>
      <c r="G760" t="s" s="10">
        <v>40</v>
      </c>
      <c r="H760" s="42">
        <v>45</v>
      </c>
      <c r="I760" s="42">
        <v>150</v>
      </c>
      <c r="J760" t="s" s="10">
        <v>4008</v>
      </c>
      <c r="K760" t="s" s="10">
        <v>4009</v>
      </c>
      <c r="L760" s="16">
        <f>HYPERLINK("http://www.y.uno", "www.y.uno")</f>
      </c>
      <c r="M760" s="16">
        <f>HYPERLINK("https://my.pitchbook.com?c=493444-90", "View Company Online")</f>
      </c>
    </row>
    <row r="761">
      <c r="A761" t="s" s="11">
        <v>4011</v>
      </c>
      <c r="B761" t="s" s="11">
        <v>4012</v>
      </c>
      <c r="C761" t="s" s="11">
        <v>114</v>
      </c>
      <c r="D761" t="s" s="11">
        <v>852</v>
      </c>
      <c r="E761" t="s" s="11">
        <v>4013</v>
      </c>
      <c r="F761" s="28">
        <v>46213</v>
      </c>
      <c r="G761" t="s" s="11">
        <v>40</v>
      </c>
      <c r="H761" s="43">
        <v>8.32</v>
      </c>
      <c r="I761" s="43">
        <v>149.27</v>
      </c>
      <c r="J761" t="s" s="11">
        <v>4014</v>
      </c>
      <c r="K761" t="s" s="11">
        <v>4015</v>
      </c>
      <c r="L761" s="17">
        <f>HYPERLINK("http://www.indifi.com", "www.indifi.com")</f>
      </c>
      <c r="M761" s="17">
        <f>HYPERLINK("https://my.pitchbook.com?c=125083-27", "View Company Online")</f>
      </c>
    </row>
    <row r="762">
      <c r="A762" t="s" s="10">
        <v>4017</v>
      </c>
      <c r="B762" t="s" s="10">
        <v>4018</v>
      </c>
      <c r="C762" t="s" s="10">
        <v>27</v>
      </c>
      <c r="D762" t="s" s="10">
        <v>28</v>
      </c>
      <c r="E762" t="s" s="10">
        <v>1109</v>
      </c>
      <c r="F762" s="27">
        <v>45568</v>
      </c>
      <c r="G762" t="s" s="10">
        <v>40</v>
      </c>
      <c r="H762" s="42">
        <v>4.77</v>
      </c>
      <c r="I762" s="42">
        <v>149.14</v>
      </c>
      <c r="J762" t="s" s="10">
        <v>4019</v>
      </c>
      <c r="K762" t="s" s="10">
        <v>4020</v>
      </c>
      <c r="L762" s="16">
        <f>HYPERLINK("http://www.citcon.com", "www.citcon.com")</f>
      </c>
      <c r="M762" s="16">
        <f>HYPERLINK("https://my.pitchbook.com?c=225642-97", "View Company Online")</f>
      </c>
    </row>
    <row r="763">
      <c r="A763" t="s" s="11">
        <v>4022</v>
      </c>
      <c r="B763" t="s" s="11">
        <v>4023</v>
      </c>
      <c r="C763" t="s" s="11">
        <v>37</v>
      </c>
      <c r="D763" t="s" s="11">
        <v>304</v>
      </c>
      <c r="E763" t="s" s="11">
        <v>4024</v>
      </c>
      <c r="F763" s="28">
        <v>44621</v>
      </c>
      <c r="G763" t="s" s="11">
        <v>146</v>
      </c>
      <c r="H763" s="43">
        <v>31.05</v>
      </c>
      <c r="I763" s="43">
        <v>149.05</v>
      </c>
      <c r="J763" t="s" s="11">
        <v>4025</v>
      </c>
      <c r="K763" t="s" s="11">
        <v>4026</v>
      </c>
      <c r="L763" s="17">
        <f>HYPERLINK("http://www.paymongo.com", "www.paymongo.com")</f>
      </c>
      <c r="M763" s="17">
        <f>HYPERLINK("https://my.pitchbook.com?c=277350-67", "View Company Online")</f>
      </c>
    </row>
    <row r="764">
      <c r="A764" t="s" s="10">
        <v>4028</v>
      </c>
      <c r="B764" t="s" s="10">
        <v>4029</v>
      </c>
      <c r="C764" t="s" s="10">
        <v>46</v>
      </c>
      <c r="D764" t="s" s="10">
        <v>47</v>
      </c>
      <c r="E764" t="s" s="10">
        <v>259</v>
      </c>
      <c r="F764" s="27">
        <v>46053</v>
      </c>
      <c r="G764" t="s" s="10">
        <v>40</v>
      </c>
      <c r="H764" s="42">
        <v>22.37</v>
      </c>
      <c r="I764" s="42">
        <v>149</v>
      </c>
      <c r="J764" t="s" s="10">
        <v>4030</v>
      </c>
      <c r="K764" t="s" s="10">
        <v>4031</v>
      </c>
      <c r="L764" s="16">
        <f>HYPERLINK("http://www.billergenie.com", "www.billergenie.com")</f>
      </c>
      <c r="M764" s="16">
        <f>HYPERLINK("https://my.pitchbook.com?c=399594-97", "View Company Online")</f>
      </c>
    </row>
    <row r="765">
      <c r="A765" t="s" s="11">
        <v>4033</v>
      </c>
      <c r="B765" t="s" s="11">
        <v>4034</v>
      </c>
      <c r="C765" t="s" s="11">
        <v>128</v>
      </c>
      <c r="D765" t="s" s="11">
        <v>276</v>
      </c>
      <c r="E765" t="s" s="11">
        <v>193</v>
      </c>
      <c r="F765" s="28">
        <v>45747</v>
      </c>
      <c r="G765" t="s" s="11">
        <v>48</v>
      </c>
      <c r="H765" t="s" s="43">
        <v>30</v>
      </c>
      <c r="I765" s="43">
        <v>148</v>
      </c>
      <c r="J765" t="s" s="11">
        <v>4035</v>
      </c>
      <c r="K765" t="s" s="11">
        <v>4036</v>
      </c>
      <c r="L765" s="17">
        <f>HYPERLINK("http://www.lemfi.com", "www.lemfi.com")</f>
      </c>
      <c r="M765" s="17">
        <f>HYPERLINK("https://my.pitchbook.com?c=458201-62", "View Company Online")</f>
      </c>
    </row>
    <row r="766">
      <c r="A766" t="s" s="10">
        <v>4038</v>
      </c>
      <c r="B766" t="s" s="10">
        <v>4039</v>
      </c>
      <c r="C766" t="s" s="10">
        <v>128</v>
      </c>
      <c r="D766" t="s" s="10">
        <v>199</v>
      </c>
      <c r="E766" t="s" s="10">
        <v>193</v>
      </c>
      <c r="F766" s="27">
        <v>45594</v>
      </c>
      <c r="G766" t="s" s="10">
        <v>64</v>
      </c>
      <c r="H766" t="s" s="42">
        <v>30</v>
      </c>
      <c r="I766" s="42">
        <v>147.73</v>
      </c>
      <c r="J766" t="s" s="10">
        <v>4040</v>
      </c>
      <c r="K766" t="s" s="10">
        <v>4041</v>
      </c>
      <c r="L766" s="16">
        <f>HYPERLINK("http://www.toss.im", "www.toss.im")</f>
      </c>
      <c r="M766" s="16">
        <f>HYPERLINK("https://my.pitchbook.com?c=103347-01", "View Company Online")</f>
      </c>
    </row>
    <row r="767">
      <c r="A767" t="s" s="11">
        <v>4043</v>
      </c>
      <c r="B767" t="s" s="11">
        <v>4044</v>
      </c>
      <c r="C767" t="s" s="11">
        <v>27</v>
      </c>
      <c r="D767" t="s" s="11">
        <v>28</v>
      </c>
      <c r="E767" t="s" s="11">
        <v>253</v>
      </c>
      <c r="F767" s="28">
        <v>45854</v>
      </c>
      <c r="G767" t="s" s="11">
        <v>40</v>
      </c>
      <c r="H767" s="43">
        <v>10.95</v>
      </c>
      <c r="I767" s="43">
        <v>147.72</v>
      </c>
      <c r="J767" t="s" s="11">
        <v>4045</v>
      </c>
      <c r="K767" t="s" s="11">
        <v>4046</v>
      </c>
      <c r="L767" s="17">
        <f>HYPERLINK("http://www.phicommerce.com", "www.phicommerce.com")</f>
      </c>
      <c r="M767" s="17">
        <f>HYPERLINK("https://my.pitchbook.com?c=182544-58", "View Company Online")</f>
      </c>
    </row>
    <row r="768">
      <c r="A768" t="s" s="10">
        <v>4048</v>
      </c>
      <c r="B768" t="s" s="10">
        <v>4049</v>
      </c>
      <c r="C768" t="s" s="10">
        <v>27</v>
      </c>
      <c r="D768" t="s" s="10">
        <v>28</v>
      </c>
      <c r="E768" t="s" s="10">
        <v>200</v>
      </c>
      <c r="F768" s="27">
        <v>45048</v>
      </c>
      <c r="G768" t="s" s="10">
        <v>40</v>
      </c>
      <c r="H768" s="42">
        <v>30</v>
      </c>
      <c r="I768" s="42">
        <v>147.5</v>
      </c>
      <c r="J768" t="s" s="10">
        <v>4050</v>
      </c>
      <c r="K768" t="s" s="10">
        <v>4051</v>
      </c>
      <c r="L768" s="16">
        <f>HYPERLINK("http://www.nomba.com", "www.nomba.com")</f>
      </c>
      <c r="M768" s="16">
        <f>HYPERLINK("https://my.pitchbook.com?c=170508-43", "View Company Online")</f>
      </c>
    </row>
    <row r="769">
      <c r="A769" t="s" s="11">
        <v>4053</v>
      </c>
      <c r="B769" t="s" s="11">
        <v>4054</v>
      </c>
      <c r="C769" t="s" s="11">
        <v>164</v>
      </c>
      <c r="D769" t="s" s="11">
        <v>165</v>
      </c>
      <c r="E769" t="s" s="11">
        <v>108</v>
      </c>
      <c r="F769" s="28">
        <v>46143</v>
      </c>
      <c r="G769" t="s" s="11">
        <v>48</v>
      </c>
      <c r="H769" t="s" s="43">
        <v>30</v>
      </c>
      <c r="I769" s="43">
        <v>147.29</v>
      </c>
      <c r="J769" t="s" s="11">
        <v>4055</v>
      </c>
      <c r="K769" t="s" s="11">
        <v>4056</v>
      </c>
      <c r="L769" s="17">
        <f>HYPERLINK("http://www.komgo.io", "www.komgo.io")</f>
      </c>
      <c r="M769" s="17">
        <f>HYPERLINK("https://my.pitchbook.com?c=233232-22", "View Company Online")</f>
      </c>
    </row>
    <row r="770">
      <c r="A770" t="s" s="10">
        <v>4058</v>
      </c>
      <c r="B770" t="s" s="10">
        <v>4059</v>
      </c>
      <c r="C770" t="s" s="10">
        <v>46</v>
      </c>
      <c r="D770" t="s" s="10">
        <v>47</v>
      </c>
      <c r="E770" t="s" s="10">
        <v>1552</v>
      </c>
      <c r="F770" s="27">
        <v>45952</v>
      </c>
      <c r="G770" t="s" s="10">
        <v>40</v>
      </c>
      <c r="H770" s="42">
        <v>28</v>
      </c>
      <c r="I770" s="42">
        <v>147</v>
      </c>
      <c r="J770" t="s" s="10">
        <v>4060</v>
      </c>
      <c r="K770" t="s" s="10">
        <v>4061</v>
      </c>
      <c r="L770" s="16">
        <f>HYPERLINK("http://www.curbwaste.com", "www.curbwaste.com")</f>
      </c>
      <c r="M770" s="16">
        <f>HYPERLINK("https://my.pitchbook.com?c=481392-37", "View Company Online")</f>
      </c>
    </row>
    <row r="771">
      <c r="A771" t="s" s="11">
        <v>4063</v>
      </c>
      <c r="B771" t="s" s="11">
        <v>4064</v>
      </c>
      <c r="C771" t="s" s="11">
        <v>114</v>
      </c>
      <c r="D771" t="s" s="11">
        <v>1386</v>
      </c>
      <c r="E771" t="s" s="11">
        <v>253</v>
      </c>
      <c r="F771" s="28">
        <v>45853</v>
      </c>
      <c r="G771" t="s" s="11">
        <v>40</v>
      </c>
      <c r="H771" s="43">
        <v>23.35</v>
      </c>
      <c r="I771" s="43">
        <v>147</v>
      </c>
      <c r="J771" t="s" s="11">
        <v>4065</v>
      </c>
      <c r="K771" t="s" s="11">
        <v>4066</v>
      </c>
      <c r="L771" s="17">
        <f>HYPERLINK("http://www.herondata.io", "www.herondata.io")</f>
      </c>
      <c r="M771" s="17">
        <f>HYPERLINK("https://my.pitchbook.com?c=439339-33", "View Company Online")</f>
      </c>
    </row>
    <row r="772">
      <c r="A772" t="s" s="10">
        <v>4068</v>
      </c>
      <c r="B772" t="s" s="10">
        <v>4069</v>
      </c>
      <c r="C772" t="s" s="10">
        <v>114</v>
      </c>
      <c r="D772" t="s" s="10">
        <v>852</v>
      </c>
      <c r="E772" t="s" s="10">
        <v>253</v>
      </c>
      <c r="F772" s="27">
        <v>43810</v>
      </c>
      <c r="G772" t="s" s="10">
        <v>146</v>
      </c>
      <c r="H772" s="42">
        <v>20.1</v>
      </c>
      <c r="I772" s="42">
        <v>146.07</v>
      </c>
      <c r="J772" t="s" s="10">
        <v>4070</v>
      </c>
      <c r="K772" t="s" s="10">
        <v>4071</v>
      </c>
      <c r="L772" s="16">
        <f>HYPERLINK("http://www.kredx.com", "www.kredx.com")</f>
      </c>
      <c r="M772" s="16">
        <f>HYPERLINK("https://my.pitchbook.com?c=113912-11", "View Company Online")</f>
      </c>
    </row>
    <row r="773">
      <c r="A773" t="s" s="11">
        <v>4073</v>
      </c>
      <c r="B773" t="s" s="11">
        <v>4074</v>
      </c>
      <c r="C773" t="s" s="11">
        <v>60</v>
      </c>
      <c r="D773" t="s" s="11">
        <v>192</v>
      </c>
      <c r="E773" t="s" s="11">
        <v>4075</v>
      </c>
      <c r="F773" s="28">
        <v>43348</v>
      </c>
      <c r="G773" t="s" s="11">
        <v>40</v>
      </c>
      <c r="H773" s="43">
        <v>14.6</v>
      </c>
      <c r="I773" s="43">
        <v>145.98</v>
      </c>
      <c r="J773" t="s" s="11">
        <v>4076</v>
      </c>
      <c r="K773" t="s" s="11">
        <v>4077</v>
      </c>
      <c r="L773" s="17">
        <f>HYPERLINK("http://www.ichangtou.com", "www.ichangtou.com")</f>
      </c>
      <c r="M773" s="17">
        <f>HYPERLINK("https://my.pitchbook.com?c=399125-17", "View Company Online")</f>
      </c>
    </row>
    <row r="774">
      <c r="A774" t="s" s="10">
        <v>4079</v>
      </c>
      <c r="B774" t="s" s="10">
        <v>4080</v>
      </c>
      <c r="C774" t="s" s="10">
        <v>164</v>
      </c>
      <c r="D774" t="s" s="10">
        <v>165</v>
      </c>
      <c r="E774" t="s" s="10">
        <v>4081</v>
      </c>
      <c r="F774" s="27">
        <v>42894</v>
      </c>
      <c r="G774" t="s" s="10">
        <v>40</v>
      </c>
      <c r="H774" s="42">
        <v>2.92</v>
      </c>
      <c r="I774" s="42">
        <v>145.82</v>
      </c>
      <c r="J774" t="s" s="10">
        <v>4082</v>
      </c>
      <c r="K774" t="s" s="10">
        <v>4083</v>
      </c>
      <c r="L774" s="16">
        <f>HYPERLINK("http://www.bypay.cn", "www.bypay.cn")</f>
      </c>
      <c r="M774" s="16">
        <f>HYPERLINK("https://my.pitchbook.com?c=230595-40", "View Company Online")</f>
      </c>
    </row>
    <row r="775">
      <c r="A775" t="s" s="11">
        <v>4085</v>
      </c>
      <c r="B775" t="s" s="11">
        <v>4086</v>
      </c>
      <c r="C775" t="s" s="11">
        <v>27</v>
      </c>
      <c r="D775" t="s" s="11">
        <v>122</v>
      </c>
      <c r="E775" t="s" s="11">
        <v>4087</v>
      </c>
      <c r="F775" s="28">
        <v>45698</v>
      </c>
      <c r="G775" t="s" s="11">
        <v>40</v>
      </c>
      <c r="H775" s="43">
        <v>6.52</v>
      </c>
      <c r="I775" s="43">
        <v>145.72</v>
      </c>
      <c r="J775" t="s" s="11">
        <v>4088</v>
      </c>
      <c r="K775" t="s" s="11">
        <v>4089</v>
      </c>
      <c r="L775" s="17">
        <f>HYPERLINK("http://www.3s.money", "www.3s.money")</f>
      </c>
      <c r="M775" s="17">
        <f>HYPERLINK("https://my.pitchbook.com?c=338583-07", "View Company Online")</f>
      </c>
    </row>
    <row r="776">
      <c r="A776" t="s" s="10">
        <v>4091</v>
      </c>
      <c r="B776" t="s" s="10">
        <v>4092</v>
      </c>
      <c r="C776" t="s" s="10">
        <v>172</v>
      </c>
      <c r="D776" t="s" s="10">
        <v>173</v>
      </c>
      <c r="E776" t="s" s="10">
        <v>690</v>
      </c>
      <c r="F776" s="27">
        <v>46199</v>
      </c>
      <c r="G776" t="s" s="10">
        <v>40</v>
      </c>
      <c r="H776" s="42">
        <v>200</v>
      </c>
      <c r="I776" s="42">
        <v>145</v>
      </c>
      <c r="J776" t="s" s="10">
        <v>4093</v>
      </c>
      <c r="K776" t="s" s="10">
        <v>4094</v>
      </c>
      <c r="L776" s="16">
        <f>HYPERLINK("http://www.quantifind.com", "www.quantifind.com")</f>
      </c>
      <c r="M776" s="16">
        <f>HYPERLINK("https://my.pitchbook.com?c=53488-09", "View Company Online")</f>
      </c>
    </row>
    <row r="777">
      <c r="A777" t="s" s="11">
        <v>4096</v>
      </c>
      <c r="B777" t="s" s="11">
        <v>4097</v>
      </c>
      <c r="C777" t="s" s="11">
        <v>222</v>
      </c>
      <c r="D777" t="s" s="11">
        <v>235</v>
      </c>
      <c r="E777" t="s" s="11">
        <v>137</v>
      </c>
      <c r="F777" s="28">
        <v>46084</v>
      </c>
      <c r="G777" t="s" s="11">
        <v>40</v>
      </c>
      <c r="H777" s="43">
        <v>22</v>
      </c>
      <c r="I777" s="43">
        <v>145</v>
      </c>
      <c r="J777" t="s" s="11">
        <v>4098</v>
      </c>
      <c r="K777" t="s" s="11">
        <v>4099</v>
      </c>
      <c r="L777" s="17">
        <f>HYPERLINK("http://www.renofi.com", "www.renofi.com")</f>
      </c>
      <c r="M777" s="17">
        <f>HYPERLINK("https://my.pitchbook.com?c=229787-65", "View Company Online")</f>
      </c>
    </row>
    <row r="778">
      <c r="A778" t="s" s="10">
        <v>4101</v>
      </c>
      <c r="B778" t="s" s="10">
        <v>4102</v>
      </c>
      <c r="C778" t="s" s="10">
        <v>37</v>
      </c>
      <c r="D778" t="s" s="10">
        <v>304</v>
      </c>
      <c r="E778" t="s" s="10">
        <v>253</v>
      </c>
      <c r="F778" s="27">
        <v>45784</v>
      </c>
      <c r="G778" t="s" s="10">
        <v>607</v>
      </c>
      <c r="H778" t="s" s="42">
        <v>30</v>
      </c>
      <c r="I778" s="42">
        <v>143.59</v>
      </c>
      <c r="J778" t="s" s="10">
        <v>4103</v>
      </c>
      <c r="K778" t="s" s="10">
        <v>4104</v>
      </c>
      <c r="L778" s="16">
        <f>HYPERLINK("http://www.yonder.com", "www.yonder.com")</f>
      </c>
      <c r="M778" s="16">
        <f>HYPERLINK("https://my.pitchbook.com?c=472475-80", "View Company Online")</f>
      </c>
    </row>
    <row r="779">
      <c r="A779" t="s" s="11">
        <v>4106</v>
      </c>
      <c r="B779" t="s" s="11">
        <v>4107</v>
      </c>
      <c r="C779" t="s" s="11">
        <v>46</v>
      </c>
      <c r="D779" t="s" s="11">
        <v>397</v>
      </c>
      <c r="E779" t="s" s="11">
        <v>634</v>
      </c>
      <c r="F779" s="28">
        <v>45979</v>
      </c>
      <c r="G779" t="s" s="11">
        <v>146</v>
      </c>
      <c r="H779" s="43">
        <v>30</v>
      </c>
      <c r="I779" s="43">
        <v>143</v>
      </c>
      <c r="J779" t="s" s="11">
        <v>4108</v>
      </c>
      <c r="K779" t="s" s="11">
        <v>4109</v>
      </c>
      <c r="L779" s="17">
        <f>HYPERLINK("http://www.maxima.ai", "www.maxima.ai")</f>
      </c>
      <c r="M779" s="17">
        <f>HYPERLINK("https://my.pitchbook.com?c=608887-81", "View Company Online")</f>
      </c>
    </row>
    <row r="780">
      <c r="A780" t="s" s="10">
        <v>4111</v>
      </c>
      <c r="B780" t="s" s="10">
        <v>4112</v>
      </c>
      <c r="C780" t="s" s="10">
        <v>37</v>
      </c>
      <c r="D780" t="s" s="10">
        <v>304</v>
      </c>
      <c r="E780" t="s" s="10">
        <v>4113</v>
      </c>
      <c r="F780" s="27">
        <v>45932</v>
      </c>
      <c r="G780" t="s" s="10">
        <v>2174</v>
      </c>
      <c r="H780" s="42">
        <v>8.17</v>
      </c>
      <c r="I780" s="42">
        <v>143</v>
      </c>
      <c r="J780" t="s" s="10">
        <v>4114</v>
      </c>
      <c r="K780" t="s" s="10">
        <v>4115</v>
      </c>
      <c r="L780" s="16">
        <f>HYPERLINK("http://www.paytient.com", "www.paytient.com")</f>
      </c>
      <c r="M780" s="16">
        <f>HYPERLINK("https://my.pitchbook.com?c=267781-60", "View Company Online")</f>
      </c>
    </row>
    <row r="781">
      <c r="A781" t="s" s="11">
        <v>4117</v>
      </c>
      <c r="B781" t="s" s="11">
        <v>4118</v>
      </c>
      <c r="C781" t="s" s="11">
        <v>114</v>
      </c>
      <c r="D781" t="s" s="11">
        <v>115</v>
      </c>
      <c r="E781" t="s" s="11">
        <v>1853</v>
      </c>
      <c r="F781" t="s" s="28">
        <v>30</v>
      </c>
      <c r="G781" t="s" s="11">
        <v>48</v>
      </c>
      <c r="H781" t="s" s="43">
        <v>30</v>
      </c>
      <c r="I781" s="43">
        <v>142.6</v>
      </c>
      <c r="J781" t="s" s="11">
        <v>4119</v>
      </c>
      <c r="K781" t="s" s="11">
        <v>4120</v>
      </c>
      <c r="L781" s="17">
        <f>HYPERLINK("http://www.ibanonline.com.do", "www.ibanonline.com.do")</f>
      </c>
      <c r="M781" s="17">
        <f>HYPERLINK("https://my.pitchbook.com?c=166234-87", "View Company Online")</f>
      </c>
    </row>
    <row r="782">
      <c r="A782" t="s" s="10">
        <v>4122</v>
      </c>
      <c r="B782" t="s" s="10">
        <v>4123</v>
      </c>
      <c r="C782" t="s" s="10">
        <v>164</v>
      </c>
      <c r="D782" t="s" s="10">
        <v>206</v>
      </c>
      <c r="E782" t="s" s="10">
        <v>4124</v>
      </c>
      <c r="F782" s="27">
        <v>45877</v>
      </c>
      <c r="G782" t="s" s="10">
        <v>40</v>
      </c>
      <c r="H782" s="42">
        <v>22.5</v>
      </c>
      <c r="I782" s="42">
        <v>142.5</v>
      </c>
      <c r="J782" t="s" s="10">
        <v>4125</v>
      </c>
      <c r="K782" t="s" s="10">
        <v>4126</v>
      </c>
      <c r="L782" s="16">
        <f>HYPERLINK("http://www.steadyiq.com", "www.steadyiq.com")</f>
      </c>
      <c r="M782" s="16">
        <f>HYPERLINK("https://my.pitchbook.com?c=224307-91", "View Company Online")</f>
      </c>
    </row>
    <row r="783">
      <c r="A783" t="s" s="11">
        <v>4128</v>
      </c>
      <c r="B783" t="s" s="11">
        <v>4129</v>
      </c>
      <c r="C783" t="s" s="11">
        <v>164</v>
      </c>
      <c r="D783" t="s" s="11">
        <v>206</v>
      </c>
      <c r="E783" t="s" s="11">
        <v>193</v>
      </c>
      <c r="F783" s="28">
        <v>46125</v>
      </c>
      <c r="G783" t="s" s="11">
        <v>40</v>
      </c>
      <c r="H783" s="43">
        <v>34</v>
      </c>
      <c r="I783" s="43">
        <v>141.5</v>
      </c>
      <c r="J783" t="s" s="11">
        <v>4130</v>
      </c>
      <c r="K783" t="s" s="11">
        <v>4131</v>
      </c>
      <c r="L783" s="17">
        <f>HYPERLINK("http://www.equipifi.com", "www.equipifi.com")</f>
      </c>
      <c r="M783" s="17">
        <f>HYPERLINK("https://my.pitchbook.com?c=481447-27", "View Company Online")</f>
      </c>
    </row>
    <row r="784">
      <c r="A784" t="s" s="10">
        <v>4133</v>
      </c>
      <c r="B784" t="s" s="10">
        <v>4134</v>
      </c>
      <c r="C784" t="s" s="10">
        <v>164</v>
      </c>
      <c r="D784" t="s" s="10">
        <v>206</v>
      </c>
      <c r="E784" t="s" s="10">
        <v>137</v>
      </c>
      <c r="F784" s="27">
        <v>44413</v>
      </c>
      <c r="G784" t="s" s="10">
        <v>146</v>
      </c>
      <c r="H784" s="42">
        <v>31</v>
      </c>
      <c r="I784" s="42">
        <v>141</v>
      </c>
      <c r="J784" t="s" s="10">
        <v>4135</v>
      </c>
      <c r="K784" t="s" s="10">
        <v>4136</v>
      </c>
      <c r="L784" s="16">
        <f>HYPERLINK("http://www.jaris.io", "www.jaris.io")</f>
      </c>
      <c r="M784" s="16">
        <f>HYPERLINK("https://my.pitchbook.com?c=267553-18", "View Company Online")</f>
      </c>
    </row>
    <row r="785">
      <c r="A785" t="s" s="11">
        <v>4138</v>
      </c>
      <c r="B785" t="s" s="11">
        <v>4139</v>
      </c>
      <c r="C785" t="s" s="11">
        <v>222</v>
      </c>
      <c r="D785" t="s" s="11">
        <v>223</v>
      </c>
      <c r="E785" t="s" s="11">
        <v>634</v>
      </c>
      <c r="F785" s="28">
        <v>45321</v>
      </c>
      <c r="G785" t="s" s="11">
        <v>40</v>
      </c>
      <c r="H785" s="43">
        <v>12.5</v>
      </c>
      <c r="I785" s="43">
        <v>141</v>
      </c>
      <c r="J785" t="s" s="11">
        <v>4140</v>
      </c>
      <c r="K785" t="s" s="11">
        <v>4141</v>
      </c>
      <c r="L785" s="17">
        <f>HYPERLINK("http://www.welligence.com", "www.welligence.com")</f>
      </c>
      <c r="M785" s="17">
        <f>HYPERLINK("https://my.pitchbook.com?c=279461-89", "View Company Online")</f>
      </c>
    </row>
    <row r="786">
      <c r="A786" t="s" s="10">
        <v>4143</v>
      </c>
      <c r="B786" t="s" s="10">
        <v>4144</v>
      </c>
      <c r="C786" t="s" s="10">
        <v>114</v>
      </c>
      <c r="D786" t="s" s="10">
        <v>115</v>
      </c>
      <c r="E786" t="s" s="10">
        <v>1625</v>
      </c>
      <c r="F786" s="27">
        <v>46001</v>
      </c>
      <c r="G786" t="s" s="10">
        <v>146</v>
      </c>
      <c r="H786" s="42">
        <v>21.1</v>
      </c>
      <c r="I786" s="42">
        <v>140.7</v>
      </c>
      <c r="J786" t="s" s="10">
        <v>4145</v>
      </c>
      <c r="K786" t="s" s="10">
        <v>4146</v>
      </c>
      <c r="L786" s="16">
        <f>HYPERLINK("http://www.zippymh.com", "www.zippymh.com")</f>
      </c>
      <c r="M786" s="16">
        <f>HYPERLINK("https://my.pitchbook.com?c=490706-65", "View Company Online")</f>
      </c>
    </row>
    <row r="787">
      <c r="A787" t="s" s="11">
        <v>4148</v>
      </c>
      <c r="B787" t="s" s="11">
        <v>4149</v>
      </c>
      <c r="C787" t="s" s="11">
        <v>46</v>
      </c>
      <c r="D787" t="s" s="11">
        <v>915</v>
      </c>
      <c r="E787" t="s" s="11">
        <v>634</v>
      </c>
      <c r="F787" s="28">
        <v>46115</v>
      </c>
      <c r="G787" t="s" s="11">
        <v>40</v>
      </c>
      <c r="H787" s="43">
        <v>2.55</v>
      </c>
      <c r="I787" s="43">
        <v>140</v>
      </c>
      <c r="J787" t="s" s="11">
        <v>4150</v>
      </c>
      <c r="K787" t="s" s="11">
        <v>4151</v>
      </c>
      <c r="L787" s="17">
        <f>HYPERLINK("http://www.markaaz.com", "www.markaaz.com")</f>
      </c>
      <c r="M787" s="17">
        <f>HYPERLINK("https://my.pitchbook.com?c=454548-88", "View Company Online")</f>
      </c>
    </row>
    <row r="788">
      <c r="A788" t="s" s="10">
        <v>4153</v>
      </c>
      <c r="B788" t="s" s="10">
        <v>4154</v>
      </c>
      <c r="C788" t="s" s="10">
        <v>60</v>
      </c>
      <c r="D788" t="s" s="10">
        <v>727</v>
      </c>
      <c r="E788" t="s" s="10">
        <v>2782</v>
      </c>
      <c r="F788" t="s" s="27">
        <v>30</v>
      </c>
      <c r="G788" t="s" s="10">
        <v>31</v>
      </c>
      <c r="H788" t="s" s="42">
        <v>30</v>
      </c>
      <c r="I788" s="42">
        <v>140</v>
      </c>
      <c r="J788" t="s" s="10">
        <v>4155</v>
      </c>
      <c r="K788" t="s" s="10">
        <v>4156</v>
      </c>
      <c r="L788" s="16">
        <f>HYPERLINK("http://www.sharestates.com", "www.sharestates.com")</f>
      </c>
      <c r="M788" s="16">
        <f>HYPERLINK("https://my.pitchbook.com?c=102767-86", "View Company Online")</f>
      </c>
    </row>
    <row r="789">
      <c r="A789" t="s" s="11">
        <v>4158</v>
      </c>
      <c r="B789" t="s" s="11">
        <v>4159</v>
      </c>
      <c r="C789" t="s" s="11">
        <v>27</v>
      </c>
      <c r="D789" t="s" s="11">
        <v>28</v>
      </c>
      <c r="E789" t="s" s="11">
        <v>4160</v>
      </c>
      <c r="F789" s="28">
        <v>45974</v>
      </c>
      <c r="G789" t="s" s="11">
        <v>40</v>
      </c>
      <c r="H789" s="43">
        <v>21</v>
      </c>
      <c r="I789" s="43">
        <v>140</v>
      </c>
      <c r="J789" t="s" s="11">
        <v>4161</v>
      </c>
      <c r="K789" t="s" s="11">
        <v>4162</v>
      </c>
      <c r="L789" s="17">
        <f>HYPERLINK("http://www.sundayapp.com", "www.sundayapp.com")</f>
      </c>
      <c r="M789" s="17">
        <f>HYPERLINK("https://my.pitchbook.com?c=464385-52", "View Company Online")</f>
      </c>
    </row>
    <row r="790">
      <c r="A790" t="s" s="10">
        <v>4164</v>
      </c>
      <c r="B790" t="s" s="10">
        <v>4165</v>
      </c>
      <c r="C790" t="s" s="10">
        <v>114</v>
      </c>
      <c r="D790" t="s" s="10">
        <v>870</v>
      </c>
      <c r="E790" t="s" s="10">
        <v>137</v>
      </c>
      <c r="F790" s="27">
        <v>46136</v>
      </c>
      <c r="G790" t="s" s="10">
        <v>391</v>
      </c>
      <c r="H790" s="42">
        <v>140</v>
      </c>
      <c r="I790" s="42">
        <v>140</v>
      </c>
      <c r="J790" t="s" s="10">
        <v>4166</v>
      </c>
      <c r="K790" t="s" s="10">
        <v>30</v>
      </c>
      <c r="L790" s="16">
        <f>HYPERLINK("http://www.targetedlending.com", "www.targetedlending.com")</f>
      </c>
      <c r="M790" s="16">
        <f>HYPERLINK("https://my.pitchbook.com?c=442682-56", "View Company Online")</f>
      </c>
    </row>
    <row r="791">
      <c r="A791" t="s" s="11">
        <v>4168</v>
      </c>
      <c r="B791" t="s" s="11">
        <v>4169</v>
      </c>
      <c r="C791" t="s" s="11">
        <v>164</v>
      </c>
      <c r="D791" t="s" s="11">
        <v>165</v>
      </c>
      <c r="E791" t="s" s="11">
        <v>373</v>
      </c>
      <c r="F791" s="28">
        <v>46237</v>
      </c>
      <c r="G791" t="s" s="11">
        <v>40</v>
      </c>
      <c r="H791" t="s" s="43">
        <v>30</v>
      </c>
      <c r="I791" s="43">
        <v>139.87</v>
      </c>
      <c r="J791" t="s" s="11">
        <v>4170</v>
      </c>
      <c r="K791" t="s" s="11">
        <v>4171</v>
      </c>
      <c r="L791" s="17">
        <f>HYPERLINK("http://www.zilo.co.uk", "www.zilo.co.uk")</f>
      </c>
      <c r="M791" s="17">
        <f>HYPERLINK("https://my.pitchbook.com?c=519701-32", "View Company Online")</f>
      </c>
    </row>
    <row r="792">
      <c r="A792" t="s" s="10">
        <v>4173</v>
      </c>
      <c r="B792" t="s" s="10">
        <v>4174</v>
      </c>
      <c r="C792" t="s" s="10">
        <v>164</v>
      </c>
      <c r="D792" t="s" s="10">
        <v>206</v>
      </c>
      <c r="E792" t="s" s="10">
        <v>1349</v>
      </c>
      <c r="F792" s="27">
        <v>44375</v>
      </c>
      <c r="G792" t="s" s="10">
        <v>40</v>
      </c>
      <c r="H792" s="42">
        <v>14.85</v>
      </c>
      <c r="I792" s="42">
        <v>139.5</v>
      </c>
      <c r="J792" t="s" s="10">
        <v>4175</v>
      </c>
      <c r="K792" t="s" s="10">
        <v>4176</v>
      </c>
      <c r="L792" s="16">
        <f>HYPERLINK("http://www.peramoko.com", "www.peramoko.com")</f>
      </c>
      <c r="M792" s="16">
        <f>HYPERLINK("https://my.pitchbook.com?c=108464-68", "View Company Online")</f>
      </c>
    </row>
    <row r="793">
      <c r="A793" t="s" s="11">
        <v>4178</v>
      </c>
      <c r="B793" t="s" s="11">
        <v>4179</v>
      </c>
      <c r="C793" t="s" s="11">
        <v>60</v>
      </c>
      <c r="D793" t="s" s="11">
        <v>727</v>
      </c>
      <c r="E793" t="s" s="11">
        <v>4180</v>
      </c>
      <c r="F793" s="28">
        <v>45035</v>
      </c>
      <c r="G793" t="s" s="11">
        <v>40</v>
      </c>
      <c r="H793" t="s" s="43">
        <v>30</v>
      </c>
      <c r="I793" s="43">
        <v>139.34</v>
      </c>
      <c r="J793" t="s" s="11">
        <v>4181</v>
      </c>
      <c r="K793" t="s" s="11">
        <v>4182</v>
      </c>
      <c r="L793" s="17">
        <f>HYPERLINK("http://www.neliotliikkuu.fi", "www.neliotliikkuu.fi")</f>
      </c>
      <c r="M793" s="17">
        <f>HYPERLINK("https://my.pitchbook.com?c=222343-93", "View Company Online")</f>
      </c>
    </row>
    <row r="794">
      <c r="A794" t="s" s="10">
        <v>4184</v>
      </c>
      <c r="B794" t="s" s="10">
        <v>4185</v>
      </c>
      <c r="C794" t="s" s="10">
        <v>222</v>
      </c>
      <c r="D794" t="s" s="10">
        <v>235</v>
      </c>
      <c r="E794" t="s" s="10">
        <v>373</v>
      </c>
      <c r="F794" s="27">
        <v>45749</v>
      </c>
      <c r="G794" t="s" s="10">
        <v>31</v>
      </c>
      <c r="H794" s="42">
        <v>200</v>
      </c>
      <c r="I794" s="42">
        <v>139</v>
      </c>
      <c r="J794" t="s" s="10">
        <v>4186</v>
      </c>
      <c r="K794" t="s" s="10">
        <v>4187</v>
      </c>
      <c r="L794" s="16">
        <f>HYPERLINK("http://www.humcapital.com", "www.humcapital.com")</f>
      </c>
      <c r="M794" s="16">
        <f>HYPERLINK("https://my.pitchbook.com?c=339784-84", "View Company Online")</f>
      </c>
    </row>
    <row r="795">
      <c r="A795" t="s" s="11">
        <v>4189</v>
      </c>
      <c r="B795" t="s" s="11">
        <v>4190</v>
      </c>
      <c r="C795" t="s" s="11">
        <v>144</v>
      </c>
      <c r="D795" t="s" s="11">
        <v>297</v>
      </c>
      <c r="E795" t="s" s="11">
        <v>3191</v>
      </c>
      <c r="F795" s="28">
        <v>45305</v>
      </c>
      <c r="G795" t="s" s="11">
        <v>40</v>
      </c>
      <c r="H795" s="43">
        <v>62.5</v>
      </c>
      <c r="I795" s="43">
        <v>138.26</v>
      </c>
      <c r="J795" t="s" s="11">
        <v>4191</v>
      </c>
      <c r="K795" t="s" s="11">
        <v>4192</v>
      </c>
      <c r="L795" s="17">
        <f>HYPERLINK("http://www.credable.in", "www.credable.in")</f>
      </c>
      <c r="M795" s="17">
        <f>HYPERLINK("https://my.pitchbook.com?c=227073-34", "View Company Online")</f>
      </c>
    </row>
    <row r="796">
      <c r="A796" t="s" s="10">
        <v>4194</v>
      </c>
      <c r="B796" t="s" s="10">
        <v>4195</v>
      </c>
      <c r="C796" t="s" s="10">
        <v>114</v>
      </c>
      <c r="D796" t="s" s="10">
        <v>115</v>
      </c>
      <c r="E796" t="s" s="10">
        <v>137</v>
      </c>
      <c r="F796" s="27">
        <v>45594</v>
      </c>
      <c r="G796" t="s" s="10">
        <v>146</v>
      </c>
      <c r="H796" s="42">
        <v>36.91</v>
      </c>
      <c r="I796" s="42">
        <v>136.57</v>
      </c>
      <c r="J796" t="s" s="10">
        <v>4196</v>
      </c>
      <c r="K796" t="s" s="10">
        <v>4197</v>
      </c>
      <c r="L796" s="16">
        <f>HYPERLINK("http://www.vridhihomefinance.com", "www.vridhihomefinance.com")</f>
      </c>
      <c r="M796" s="16">
        <f>HYPERLINK("https://my.pitchbook.com?c=539199-10", "View Company Online")</f>
      </c>
    </row>
    <row r="797">
      <c r="A797" t="s" s="11">
        <v>4199</v>
      </c>
      <c r="B797" t="s" s="11">
        <v>4200</v>
      </c>
      <c r="C797" t="s" s="11">
        <v>144</v>
      </c>
      <c r="D797" t="s" s="11">
        <v>297</v>
      </c>
      <c r="E797" t="s" s="11">
        <v>253</v>
      </c>
      <c r="F797" t="s" s="28">
        <v>4201</v>
      </c>
      <c r="G797" t="s" s="11">
        <v>391</v>
      </c>
      <c r="H797" t="s" s="43">
        <v>30</v>
      </c>
      <c r="I797" s="43">
        <v>136.25</v>
      </c>
      <c r="J797" t="s" s="11">
        <v>4202</v>
      </c>
      <c r="K797" t="s" s="11">
        <v>4203</v>
      </c>
      <c r="L797" s="17">
        <f>HYPERLINK("http://www.iwoca.co.uk", "www.iwoca.co.uk")</f>
      </c>
      <c r="M797" s="17">
        <f>HYPERLINK("https://my.pitchbook.com?c=55865-17", "View Company Online")</f>
      </c>
    </row>
    <row r="798">
      <c r="A798" t="s" s="10">
        <v>4205</v>
      </c>
      <c r="B798" t="s" s="10">
        <v>4206</v>
      </c>
      <c r="C798" t="s" s="10">
        <v>172</v>
      </c>
      <c r="D798" t="s" s="10">
        <v>338</v>
      </c>
      <c r="E798" t="s" s="10">
        <v>4207</v>
      </c>
      <c r="F798" t="s" s="27">
        <v>30</v>
      </c>
      <c r="G798" t="s" s="10">
        <v>48</v>
      </c>
      <c r="H798" t="s" s="42">
        <v>30</v>
      </c>
      <c r="I798" s="42">
        <v>136</v>
      </c>
      <c r="J798" t="s" s="10">
        <v>4208</v>
      </c>
      <c r="K798" t="s" s="10">
        <v>4209</v>
      </c>
      <c r="L798" s="16">
        <f>HYPERLINK("http://www.bureau.id", "www.bureau.id")</f>
      </c>
      <c r="M798" s="16">
        <f>HYPERLINK("https://my.pitchbook.com?c=462963-07", "View Company Online")</f>
      </c>
    </row>
    <row r="799">
      <c r="A799" t="s" s="11">
        <v>4211</v>
      </c>
      <c r="B799" t="s" s="11">
        <v>4212</v>
      </c>
      <c r="C799" t="s" s="11">
        <v>172</v>
      </c>
      <c r="D799" t="s" s="11">
        <v>338</v>
      </c>
      <c r="E799" t="s" s="11">
        <v>4213</v>
      </c>
      <c r="F799" t="s" s="28">
        <v>30</v>
      </c>
      <c r="G799" t="s" s="11">
        <v>607</v>
      </c>
      <c r="H799" t="s" s="43">
        <v>30</v>
      </c>
      <c r="I799" s="43">
        <v>135.51</v>
      </c>
      <c r="J799" t="s" s="11">
        <v>4214</v>
      </c>
      <c r="K799" t="s" s="11">
        <v>4215</v>
      </c>
      <c r="L799" s="17">
        <f>HYPERLINK("http://www.thirdfort.com", "www.thirdfort.com")</f>
      </c>
      <c r="M799" s="17">
        <f>HYPERLINK("https://my.pitchbook.com?c=228510-01", "View Company Online")</f>
      </c>
    </row>
    <row r="800">
      <c r="A800" t="s" s="10">
        <v>4217</v>
      </c>
      <c r="B800" t="s" s="10">
        <v>4218</v>
      </c>
      <c r="C800" t="s" s="10">
        <v>27</v>
      </c>
      <c r="D800" t="s" s="10">
        <v>28</v>
      </c>
      <c r="E800" t="s" s="10">
        <v>4219</v>
      </c>
      <c r="F800" s="27">
        <v>45425</v>
      </c>
      <c r="G800" t="s" s="10">
        <v>146</v>
      </c>
      <c r="H800" s="42">
        <v>10</v>
      </c>
      <c r="I800" s="42">
        <v>135</v>
      </c>
      <c r="J800" t="s" s="10">
        <v>4220</v>
      </c>
      <c r="K800" t="s" s="10">
        <v>4221</v>
      </c>
      <c r="L800" s="16">
        <f>HYPERLINK("http://www.butterpayments.com", "www.butterpayments.com")</f>
      </c>
      <c r="M800" s="16">
        <f>HYPERLINK("https://my.pitchbook.com?c=467238-07", "View Company Online")</f>
      </c>
    </row>
    <row r="801">
      <c r="A801" t="s" s="11">
        <v>4223</v>
      </c>
      <c r="B801" t="s" s="11">
        <v>4224</v>
      </c>
      <c r="C801" t="s" s="11">
        <v>222</v>
      </c>
      <c r="D801" t="s" s="11">
        <v>252</v>
      </c>
      <c r="E801" t="s" s="11">
        <v>859</v>
      </c>
      <c r="F801" s="28">
        <v>45903</v>
      </c>
      <c r="G801" t="s" s="11">
        <v>146</v>
      </c>
      <c r="H801" s="43">
        <v>40</v>
      </c>
      <c r="I801" s="43">
        <v>135</v>
      </c>
      <c r="J801" t="s" s="11">
        <v>4225</v>
      </c>
      <c r="K801" t="s" s="11">
        <v>4226</v>
      </c>
      <c r="L801" s="17">
        <f>HYPERLINK("http://www.etherealize.com", "www.etherealize.com")</f>
      </c>
      <c r="M801" s="17">
        <f>HYPERLINK("https://my.pitchbook.com?c=807589-90", "View Company Online")</f>
      </c>
    </row>
    <row r="802">
      <c r="A802" t="s" s="10">
        <v>4228</v>
      </c>
      <c r="B802" t="s" s="10">
        <v>4229</v>
      </c>
      <c r="C802" t="s" s="10">
        <v>46</v>
      </c>
      <c r="D802" t="s" s="10">
        <v>47</v>
      </c>
      <c r="E802" t="s" s="10">
        <v>4230</v>
      </c>
      <c r="F802" s="27">
        <v>45643</v>
      </c>
      <c r="G802" t="s" s="10">
        <v>31</v>
      </c>
      <c r="H802" s="42">
        <v>10</v>
      </c>
      <c r="I802" s="42">
        <v>135</v>
      </c>
      <c r="J802" t="s" s="10">
        <v>4231</v>
      </c>
      <c r="K802" t="s" s="10">
        <v>4232</v>
      </c>
      <c r="L802" s="16">
        <f>HYPERLINK("http://www.finexio.com", "www.finexio.com")</f>
      </c>
      <c r="M802" s="16">
        <f>HYPERLINK("https://my.pitchbook.com?c=163783-63", "View Company Online")</f>
      </c>
    </row>
    <row r="803">
      <c r="A803" t="s" s="11">
        <v>4234</v>
      </c>
      <c r="B803" t="s" s="11">
        <v>4235</v>
      </c>
      <c r="C803" t="s" s="11">
        <v>27</v>
      </c>
      <c r="D803" t="s" s="11">
        <v>28</v>
      </c>
      <c r="E803" t="s" s="11">
        <v>4236</v>
      </c>
      <c r="F803" s="28">
        <v>46071</v>
      </c>
      <c r="G803" t="s" s="11">
        <v>40</v>
      </c>
      <c r="H803" s="43">
        <v>3.8</v>
      </c>
      <c r="I803" s="43">
        <v>135</v>
      </c>
      <c r="J803" t="s" s="11">
        <v>4237</v>
      </c>
      <c r="K803" t="s" s="11">
        <v>4238</v>
      </c>
      <c r="L803" s="17">
        <f>HYPERLINK("http://www.tonetag.com", "www.tonetag.com")</f>
      </c>
      <c r="M803" s="17">
        <f>HYPERLINK("https://my.pitchbook.com?c=100467-91", "View Company Online")</f>
      </c>
    </row>
    <row r="804">
      <c r="A804" t="s" s="10">
        <v>4240</v>
      </c>
      <c r="B804" t="s" s="10">
        <v>4241</v>
      </c>
      <c r="C804" t="s" s="10">
        <v>60</v>
      </c>
      <c r="D804" t="s" s="10">
        <v>61</v>
      </c>
      <c r="E804" t="s" s="10">
        <v>193</v>
      </c>
      <c r="F804" s="27">
        <v>45019</v>
      </c>
      <c r="G804" t="s" s="10">
        <v>40</v>
      </c>
      <c r="H804" s="42">
        <v>24.34</v>
      </c>
      <c r="I804" s="42">
        <v>135</v>
      </c>
      <c r="J804" t="s" s="10">
        <v>4242</v>
      </c>
      <c r="K804" t="s" s="10">
        <v>4243</v>
      </c>
      <c r="L804" s="16">
        <f>HYPERLINK("http://www.tradier.com", "www.tradier.com")</f>
      </c>
      <c r="M804" s="16">
        <f>HYPERLINK("https://my.pitchbook.com?c=62620-57", "View Company Online")</f>
      </c>
    </row>
    <row r="805">
      <c r="A805" t="s" s="11">
        <v>4245</v>
      </c>
      <c r="B805" t="s" s="11">
        <v>4246</v>
      </c>
      <c r="C805" t="s" s="11">
        <v>164</v>
      </c>
      <c r="D805" t="s" s="11">
        <v>206</v>
      </c>
      <c r="E805" t="s" s="11">
        <v>253</v>
      </c>
      <c r="F805" s="28">
        <v>45828</v>
      </c>
      <c r="G805" t="s" s="11">
        <v>146</v>
      </c>
      <c r="H805" s="43">
        <v>33</v>
      </c>
      <c r="I805" s="43">
        <v>133.12</v>
      </c>
      <c r="J805" t="s" s="11">
        <v>4247</v>
      </c>
      <c r="K805" t="s" s="11">
        <v>4248</v>
      </c>
      <c r="L805" s="17">
        <f>HYPERLINK("http://www.grainfinance.com", "www.grainfinance.com")</f>
      </c>
      <c r="M805" s="17">
        <f>HYPERLINK("https://my.pitchbook.com?c=503868-52", "View Company Online")</f>
      </c>
    </row>
    <row r="806">
      <c r="A806" t="s" s="10">
        <v>4250</v>
      </c>
      <c r="B806" t="s" s="10">
        <v>4251</v>
      </c>
      <c r="C806" t="s" s="10">
        <v>222</v>
      </c>
      <c r="D806" t="s" s="10">
        <v>235</v>
      </c>
      <c r="E806" t="s" s="10">
        <v>137</v>
      </c>
      <c r="F806" s="27">
        <v>45170</v>
      </c>
      <c r="G806" t="s" s="10">
        <v>607</v>
      </c>
      <c r="H806" t="s" s="42">
        <v>30</v>
      </c>
      <c r="I806" s="42">
        <v>132.8</v>
      </c>
      <c r="J806" t="s" s="10">
        <v>4252</v>
      </c>
      <c r="K806" t="s" s="10">
        <v>4253</v>
      </c>
      <c r="L806" s="16">
        <f>HYPERLINK("http://www.treasuryspring.com", "www.treasuryspring.com")</f>
      </c>
      <c r="M806" s="16">
        <f>HYPERLINK("https://my.pitchbook.com?c=234972-64", "View Company Online")</f>
      </c>
    </row>
    <row r="807">
      <c r="A807" t="s" s="11">
        <v>4255</v>
      </c>
      <c r="B807" t="s" s="11">
        <v>4256</v>
      </c>
      <c r="C807" t="s" s="11">
        <v>114</v>
      </c>
      <c r="D807" t="s" s="11">
        <v>852</v>
      </c>
      <c r="E807" t="s" s="11">
        <v>137</v>
      </c>
      <c r="F807" s="28">
        <v>44378</v>
      </c>
      <c r="G807" t="s" s="11">
        <v>31</v>
      </c>
      <c r="H807" t="s" s="43">
        <v>30</v>
      </c>
      <c r="I807" s="43">
        <v>132.26</v>
      </c>
      <c r="J807" t="s" s="11">
        <v>4257</v>
      </c>
      <c r="K807" t="s" s="11">
        <v>4258</v>
      </c>
      <c r="L807" s="17">
        <f>HYPERLINK("http://mrktstatic.smartbizloans.com", "mrktstatic.smartbizloans.com")</f>
      </c>
      <c r="M807" s="17">
        <f>HYPERLINK("https://my.pitchbook.com?c=45248-32", "View Company Online")</f>
      </c>
    </row>
    <row r="808">
      <c r="A808" t="s" s="10">
        <v>4260</v>
      </c>
      <c r="B808" t="s" s="10">
        <v>4261</v>
      </c>
      <c r="C808" t="s" s="10">
        <v>114</v>
      </c>
      <c r="D808" t="s" s="10">
        <v>136</v>
      </c>
      <c r="E808" t="s" s="10">
        <v>137</v>
      </c>
      <c r="F808" s="27">
        <v>45292</v>
      </c>
      <c r="G808" t="s" s="10">
        <v>48</v>
      </c>
      <c r="H808" t="s" s="42">
        <v>30</v>
      </c>
      <c r="I808" s="42">
        <v>132</v>
      </c>
      <c r="J808" t="s" s="10">
        <v>4262</v>
      </c>
      <c r="K808" t="s" s="10">
        <v>4263</v>
      </c>
      <c r="L808" s="16">
        <f>HYPERLINK("http://www.meritize.com", "www.meritize.com")</f>
      </c>
      <c r="M808" s="16">
        <f>HYPERLINK("https://my.pitchbook.com?c=183716-92", "View Company Online")</f>
      </c>
    </row>
    <row r="809">
      <c r="A809" t="s" s="11">
        <v>4265</v>
      </c>
      <c r="B809" t="s" s="11">
        <v>4266</v>
      </c>
      <c r="C809" t="s" s="11">
        <v>114</v>
      </c>
      <c r="D809" t="s" s="11">
        <v>1386</v>
      </c>
      <c r="E809" t="s" s="11">
        <v>1006</v>
      </c>
      <c r="F809" s="28">
        <v>46162</v>
      </c>
      <c r="G809" t="s" s="11">
        <v>4267</v>
      </c>
      <c r="H809" t="s" s="43">
        <v>30</v>
      </c>
      <c r="I809" s="43">
        <v>132</v>
      </c>
      <c r="J809" t="s" s="11">
        <v>4268</v>
      </c>
      <c r="K809" t="s" s="11">
        <v>4269</v>
      </c>
      <c r="L809" s="17">
        <f>HYPERLINK("http://www.trustscience.com", "www.trustscience.com")</f>
      </c>
      <c r="M809" s="17">
        <f>HYPERLINK("https://my.pitchbook.com?c=232231-78", "View Company Online")</f>
      </c>
    </row>
    <row r="810">
      <c r="A810" t="s" s="10">
        <v>4271</v>
      </c>
      <c r="B810" t="s" s="10">
        <v>4272</v>
      </c>
      <c r="C810" t="s" s="10">
        <v>27</v>
      </c>
      <c r="D810" t="s" s="10">
        <v>28</v>
      </c>
      <c r="E810" t="s" s="10">
        <v>4273</v>
      </c>
      <c r="F810" t="s" s="27">
        <v>30</v>
      </c>
      <c r="G810" t="s" s="10">
        <v>40</v>
      </c>
      <c r="H810" s="42">
        <v>50</v>
      </c>
      <c r="I810" s="42">
        <v>131.66</v>
      </c>
      <c r="J810" t="s" s="10">
        <v>4274</v>
      </c>
      <c r="K810" t="s" s="10">
        <v>4275</v>
      </c>
      <c r="L810" s="16">
        <f>HYPERLINK("http://www.shopic.co", "www.shopic.co")</f>
      </c>
      <c r="M810" s="16">
        <f>HYPERLINK("https://my.pitchbook.com?c=117829-63", "View Company Online")</f>
      </c>
    </row>
    <row r="811">
      <c r="A811" t="s" s="11">
        <v>4277</v>
      </c>
      <c r="B811" t="s" s="11">
        <v>4278</v>
      </c>
      <c r="C811" t="s" s="11">
        <v>172</v>
      </c>
      <c r="D811" t="s" s="11">
        <v>173</v>
      </c>
      <c r="E811" t="s" s="11">
        <v>4279</v>
      </c>
      <c r="F811" s="28">
        <v>45600</v>
      </c>
      <c r="G811" t="s" s="11">
        <v>40</v>
      </c>
      <c r="H811" t="s" s="43">
        <v>30</v>
      </c>
      <c r="I811" s="43">
        <v>131.26</v>
      </c>
      <c r="J811" t="s" s="11">
        <v>4280</v>
      </c>
      <c r="K811" t="s" s="11">
        <v>4281</v>
      </c>
      <c r="L811" s="17">
        <f>HYPERLINK("http://www.ripjar.com", "www.ripjar.com")</f>
      </c>
      <c r="M811" s="17">
        <f>HYPERLINK("https://my.pitchbook.com?c=106888-87", "View Company Online")</f>
      </c>
    </row>
    <row r="812">
      <c r="A812" t="s" s="10">
        <v>4283</v>
      </c>
      <c r="B812" t="s" s="10">
        <v>4284</v>
      </c>
      <c r="C812" t="s" s="10">
        <v>60</v>
      </c>
      <c r="D812" t="s" s="10">
        <v>192</v>
      </c>
      <c r="E812" t="s" s="10">
        <v>414</v>
      </c>
      <c r="F812" s="27">
        <v>46065</v>
      </c>
      <c r="G812" t="s" s="10">
        <v>146</v>
      </c>
      <c r="H812" s="42">
        <v>25</v>
      </c>
      <c r="I812" s="42">
        <v>131.2</v>
      </c>
      <c r="J812" t="s" s="10">
        <v>4285</v>
      </c>
      <c r="K812" t="s" s="10">
        <v>4286</v>
      </c>
      <c r="L812" s="16">
        <f>HYPERLINK("http://www.uptiq.ai", "www.uptiq.ai")</f>
      </c>
      <c r="M812" s="16">
        <f>HYPERLINK("https://my.pitchbook.com?c=489650-77", "View Company Online")</f>
      </c>
    </row>
    <row r="813">
      <c r="A813" t="s" s="11">
        <v>4288</v>
      </c>
      <c r="B813" t="s" s="11">
        <v>4289</v>
      </c>
      <c r="C813" t="s" s="11">
        <v>46</v>
      </c>
      <c r="D813" t="s" s="11">
        <v>915</v>
      </c>
      <c r="E813" t="s" s="11">
        <v>193</v>
      </c>
      <c r="F813" s="28">
        <v>45909</v>
      </c>
      <c r="G813" t="s" s="11">
        <v>146</v>
      </c>
      <c r="H813" s="43">
        <v>29.2</v>
      </c>
      <c r="I813" s="43">
        <v>131</v>
      </c>
      <c r="J813" t="s" s="11">
        <v>4290</v>
      </c>
      <c r="K813" t="s" s="11">
        <v>4291</v>
      </c>
      <c r="L813" s="17">
        <f>HYPERLINK("http://www.highbeam.com", "www.highbeam.com")</f>
      </c>
      <c r="M813" s="17">
        <f>HYPERLINK("https://my.pitchbook.com?c=494492-50", "View Company Online")</f>
      </c>
    </row>
    <row r="814">
      <c r="A814" t="s" s="10">
        <v>4293</v>
      </c>
      <c r="B814" t="s" s="10">
        <v>4294</v>
      </c>
      <c r="C814" t="s" s="10">
        <v>114</v>
      </c>
      <c r="D814" t="s" s="10">
        <v>136</v>
      </c>
      <c r="E814" t="s" s="10">
        <v>759</v>
      </c>
      <c r="F814" s="27">
        <v>45673</v>
      </c>
      <c r="G814" t="s" s="10">
        <v>48</v>
      </c>
      <c r="H814" t="s" s="42">
        <v>30</v>
      </c>
      <c r="I814" s="42">
        <v>131</v>
      </c>
      <c r="J814" t="s" s="10">
        <v>4295</v>
      </c>
      <c r="K814" t="s" s="10">
        <v>4296</v>
      </c>
      <c r="L814" s="16">
        <f>HYPERLINK("http://www.progressa.com", "www.progressa.com")</f>
      </c>
      <c r="M814" s="16">
        <f>HYPERLINK("https://my.pitchbook.com?c=148838-23", "View Company Online")</f>
      </c>
    </row>
    <row r="815">
      <c r="A815" t="s" s="11">
        <v>4298</v>
      </c>
      <c r="B815" t="s" s="11">
        <v>4299</v>
      </c>
      <c r="C815" t="s" s="11">
        <v>27</v>
      </c>
      <c r="D815" t="s" s="11">
        <v>28</v>
      </c>
      <c r="E815" t="s" s="11">
        <v>4300</v>
      </c>
      <c r="F815" s="28">
        <v>43076</v>
      </c>
      <c r="G815" t="s" s="11">
        <v>40</v>
      </c>
      <c r="H815" s="43">
        <v>7.8</v>
      </c>
      <c r="I815" s="43">
        <v>130.06</v>
      </c>
      <c r="J815" t="s" s="11">
        <v>4301</v>
      </c>
      <c r="K815" t="s" s="11">
        <v>4302</v>
      </c>
      <c r="L815" s="17">
        <f>HYPERLINK("http://www.ipaynow.cn", "www.ipaynow.cn")</f>
      </c>
      <c r="M815" s="17">
        <f>HYPERLINK("https://my.pitchbook.com?c=231107-41", "View Company Online")</f>
      </c>
    </row>
    <row r="816">
      <c r="A816" t="s" s="10">
        <v>4304</v>
      </c>
      <c r="B816" t="s" s="10">
        <v>4305</v>
      </c>
      <c r="C816" t="s" s="10">
        <v>37</v>
      </c>
      <c r="D816" t="s" s="10">
        <v>38</v>
      </c>
      <c r="E816" t="s" s="10">
        <v>193</v>
      </c>
      <c r="F816" t="s" s="27">
        <v>30</v>
      </c>
      <c r="G816" t="s" s="10">
        <v>48</v>
      </c>
      <c r="H816" t="s" s="42">
        <v>30</v>
      </c>
      <c r="I816" s="42">
        <v>130</v>
      </c>
      <c r="J816" t="s" s="10">
        <v>4306</v>
      </c>
      <c r="K816" t="s" s="10">
        <v>4307</v>
      </c>
      <c r="L816" s="16">
        <f>HYPERLINK("http://arival.com", "arival.com")</f>
      </c>
      <c r="M816" s="16">
        <f>HYPERLINK("https://my.pitchbook.com?c=268081-48", "View Company Online")</f>
      </c>
    </row>
    <row r="817">
      <c r="A817" t="s" s="11">
        <v>4309</v>
      </c>
      <c r="B817" t="s" s="11">
        <v>4310</v>
      </c>
      <c r="C817" t="s" s="11">
        <v>164</v>
      </c>
      <c r="D817" t="s" s="11">
        <v>165</v>
      </c>
      <c r="E817" t="s" s="11">
        <v>373</v>
      </c>
      <c r="F817" s="28">
        <v>45888</v>
      </c>
      <c r="G817" t="s" s="11">
        <v>146</v>
      </c>
      <c r="H817" s="43">
        <v>29</v>
      </c>
      <c r="I817" s="43">
        <v>130</v>
      </c>
      <c r="J817" t="s" s="11">
        <v>4311</v>
      </c>
      <c r="K817" t="s" s="11">
        <v>4312</v>
      </c>
      <c r="L817" s="17">
        <f>HYPERLINK("http://www.cascading.ai", "www.cascading.ai")</f>
      </c>
      <c r="M817" s="17">
        <f>HYPERLINK("https://my.pitchbook.com?c=534447-82", "View Company Online")</f>
      </c>
    </row>
    <row r="818">
      <c r="A818" t="s" s="10">
        <v>4314</v>
      </c>
      <c r="B818" t="s" s="10">
        <v>4315</v>
      </c>
      <c r="C818" t="s" s="10">
        <v>27</v>
      </c>
      <c r="D818" t="s" s="10">
        <v>28</v>
      </c>
      <c r="E818" t="s" s="10">
        <v>414</v>
      </c>
      <c r="F818" s="27">
        <v>45717</v>
      </c>
      <c r="G818" t="s" s="10">
        <v>40</v>
      </c>
      <c r="H818" s="42">
        <v>75</v>
      </c>
      <c r="I818" s="42">
        <v>130</v>
      </c>
      <c r="J818" t="s" s="10">
        <v>4316</v>
      </c>
      <c r="K818" t="s" s="10">
        <v>4317</v>
      </c>
      <c r="L818" s="16">
        <f>HYPERLINK("http://www.felixpago.com", "www.felixpago.com")</f>
      </c>
      <c r="M818" s="16">
        <f>HYPERLINK("https://my.pitchbook.com?c=467578-18", "View Company Online")</f>
      </c>
    </row>
    <row r="819">
      <c r="A819" t="s" s="11">
        <v>4319</v>
      </c>
      <c r="B819" t="s" s="11">
        <v>4320</v>
      </c>
      <c r="C819" t="s" s="11">
        <v>114</v>
      </c>
      <c r="D819" t="s" s="11">
        <v>852</v>
      </c>
      <c r="E819" t="s" s="11">
        <v>2152</v>
      </c>
      <c r="F819" s="28">
        <v>45552</v>
      </c>
      <c r="G819" t="s" s="11">
        <v>31</v>
      </c>
      <c r="H819" s="43">
        <v>75</v>
      </c>
      <c r="I819" s="43">
        <v>130</v>
      </c>
      <c r="J819" t="s" s="11">
        <v>4321</v>
      </c>
      <c r="K819" t="s" s="11">
        <v>4322</v>
      </c>
      <c r="L819" s="17">
        <f>HYPERLINK("http://www.finkargo.com", "www.finkargo.com")</f>
      </c>
      <c r="M819" s="17">
        <f>HYPERLINK("https://my.pitchbook.com?c=466534-99", "View Company Online")</f>
      </c>
    </row>
    <row r="820">
      <c r="A820" t="s" s="10">
        <v>4324</v>
      </c>
      <c r="B820" t="s" s="10">
        <v>4325</v>
      </c>
      <c r="C820" t="s" s="10">
        <v>46</v>
      </c>
      <c r="D820" t="s" s="10">
        <v>915</v>
      </c>
      <c r="E820" t="s" s="10">
        <v>137</v>
      </c>
      <c r="F820" s="27">
        <v>44308</v>
      </c>
      <c r="G820" t="s" s="10">
        <v>146</v>
      </c>
      <c r="H820" s="42">
        <v>10</v>
      </c>
      <c r="I820" s="42">
        <v>130</v>
      </c>
      <c r="J820" t="s" s="10">
        <v>4326</v>
      </c>
      <c r="K820" t="s" s="10">
        <v>4327</v>
      </c>
      <c r="L820" s="16">
        <f>HYPERLINK("http://www.investorcashmanagement.com", "www.investorcashmanagement.com")</f>
      </c>
      <c r="M820" s="16">
        <f>HYPERLINK("https://my.pitchbook.com?c=416503-00", "View Company Online")</f>
      </c>
    </row>
    <row r="821">
      <c r="A821" t="s" s="11">
        <v>4329</v>
      </c>
      <c r="B821" t="s" s="11">
        <v>4330</v>
      </c>
      <c r="C821" t="s" s="11">
        <v>114</v>
      </c>
      <c r="D821" t="s" s="11">
        <v>115</v>
      </c>
      <c r="E821" t="s" s="11">
        <v>4331</v>
      </c>
      <c r="F821" s="28">
        <v>44686</v>
      </c>
      <c r="G821" t="s" s="11">
        <v>146</v>
      </c>
      <c r="H821" s="43">
        <v>170</v>
      </c>
      <c r="I821" s="43">
        <v>130</v>
      </c>
      <c r="J821" t="s" s="11">
        <v>4332</v>
      </c>
      <c r="K821" t="s" s="11">
        <v>4333</v>
      </c>
      <c r="L821" s="17">
        <f>HYPERLINK("http://lev.com", "lev.com")</f>
      </c>
      <c r="M821" s="17">
        <f>HYPERLINK("https://my.pitchbook.com?c=432505-81", "View Company Online")</f>
      </c>
    </row>
    <row r="822">
      <c r="A822" t="s" s="10">
        <v>4335</v>
      </c>
      <c r="B822" t="s" s="10">
        <v>4336</v>
      </c>
      <c r="C822" t="s" s="10">
        <v>27</v>
      </c>
      <c r="D822" t="s" s="10">
        <v>28</v>
      </c>
      <c r="E822" t="s" s="10">
        <v>3604</v>
      </c>
      <c r="F822" s="27">
        <v>45586</v>
      </c>
      <c r="G822" t="s" s="10">
        <v>40</v>
      </c>
      <c r="H822" s="42">
        <v>35</v>
      </c>
      <c r="I822" s="42">
        <v>130</v>
      </c>
      <c r="J822" t="s" s="10">
        <v>4337</v>
      </c>
      <c r="K822" t="s" s="10">
        <v>4338</v>
      </c>
      <c r="L822" s="16">
        <f>HYPERLINK("http://www.obligo.com", "www.obligo.com")</f>
      </c>
      <c r="M822" s="16">
        <f>HYPERLINK("https://my.pitchbook.com?c=229348-63", "View Company Online")</f>
      </c>
    </row>
    <row r="823">
      <c r="A823" t="s" s="11">
        <v>4340</v>
      </c>
      <c r="B823" t="s" s="11">
        <v>4341</v>
      </c>
      <c r="C823" t="s" s="11">
        <v>60</v>
      </c>
      <c r="D823" t="s" s="11">
        <v>246</v>
      </c>
      <c r="E823" t="s" s="11">
        <v>270</v>
      </c>
      <c r="F823" s="28">
        <v>45292</v>
      </c>
      <c r="G823" t="s" s="11">
        <v>607</v>
      </c>
      <c r="H823" t="s" s="43">
        <v>30</v>
      </c>
      <c r="I823" s="43">
        <v>129.89</v>
      </c>
      <c r="J823" t="s" s="11">
        <v>4342</v>
      </c>
      <c r="K823" t="s" s="11">
        <v>4343</v>
      </c>
      <c r="L823" s="17">
        <f>HYPERLINK("http://www.riseup.co.il", "www.riseup.co.il")</f>
      </c>
      <c r="M823" s="17">
        <f>HYPERLINK("https://my.pitchbook.com?c=443251-90", "View Company Online")</f>
      </c>
    </row>
    <row r="824">
      <c r="A824" t="s" s="10">
        <v>4345</v>
      </c>
      <c r="B824" t="s" s="10">
        <v>4346</v>
      </c>
      <c r="C824" t="s" s="10">
        <v>37</v>
      </c>
      <c r="D824" t="s" s="10">
        <v>38</v>
      </c>
      <c r="E824" t="s" s="10">
        <v>137</v>
      </c>
      <c r="F824" s="27">
        <v>46099</v>
      </c>
      <c r="G824" t="s" s="10">
        <v>391</v>
      </c>
      <c r="H824" s="42">
        <v>32.16</v>
      </c>
      <c r="I824" s="42">
        <v>128.63</v>
      </c>
      <c r="J824" t="s" s="10">
        <v>4347</v>
      </c>
      <c r="K824" t="s" s="10">
        <v>4348</v>
      </c>
      <c r="L824" s="16">
        <f>HYPERLINK("http://www.esh.com", "www.esh.com")</f>
      </c>
      <c r="M824" s="16">
        <f>HYPERLINK("https://my.pitchbook.com?c=517851-01", "View Company Online")</f>
      </c>
    </row>
    <row r="825">
      <c r="A825" t="s" s="11">
        <v>4350</v>
      </c>
      <c r="B825" t="s" s="11">
        <v>4351</v>
      </c>
      <c r="C825" t="s" s="11">
        <v>27</v>
      </c>
      <c r="D825" t="s" s="11">
        <v>28</v>
      </c>
      <c r="E825" t="s" s="11">
        <v>859</v>
      </c>
      <c r="F825" s="28">
        <v>45877</v>
      </c>
      <c r="G825" t="s" s="11">
        <v>146</v>
      </c>
      <c r="H825" s="43">
        <v>25</v>
      </c>
      <c r="I825" s="43">
        <v>127</v>
      </c>
      <c r="J825" t="s" s="11">
        <v>4352</v>
      </c>
      <c r="K825" t="s" s="11">
        <v>4353</v>
      </c>
      <c r="L825" s="17">
        <f>HYPERLINK("http://www.coinflow.cash", "www.coinflow.cash")</f>
      </c>
      <c r="M825" s="17">
        <f>HYPERLINK("https://my.pitchbook.com?c=523335-52", "View Company Online")</f>
      </c>
    </row>
    <row r="826">
      <c r="A826" t="s" s="10">
        <v>4355</v>
      </c>
      <c r="B826" t="s" s="10">
        <v>4356</v>
      </c>
      <c r="C826" t="s" s="10">
        <v>164</v>
      </c>
      <c r="D826" t="s" s="10">
        <v>165</v>
      </c>
      <c r="E826" t="s" s="10">
        <v>373</v>
      </c>
      <c r="F826" s="27">
        <v>44818</v>
      </c>
      <c r="G826" t="s" s="10">
        <v>40</v>
      </c>
      <c r="H826" t="s" s="42">
        <v>30</v>
      </c>
      <c r="I826" s="42">
        <v>126.71</v>
      </c>
      <c r="J826" t="s" s="10">
        <v>4357</v>
      </c>
      <c r="K826" t="s" s="10">
        <v>4358</v>
      </c>
      <c r="L826" s="16">
        <f>HYPERLINK("http://www.weiyankeji.cn", "www.weiyankeji.cn")</f>
      </c>
      <c r="M826" s="16">
        <f>HYPERLINK("https://my.pitchbook.com?c=264847-42", "View Company Online")</f>
      </c>
    </row>
    <row r="827">
      <c r="A827" t="s" s="11">
        <v>4360</v>
      </c>
      <c r="B827" t="s" s="11">
        <v>4361</v>
      </c>
      <c r="C827" t="s" s="11">
        <v>222</v>
      </c>
      <c r="D827" t="s" s="11">
        <v>252</v>
      </c>
      <c r="E827" t="s" s="11">
        <v>253</v>
      </c>
      <c r="F827" s="28">
        <v>46100</v>
      </c>
      <c r="G827" t="s" s="11">
        <v>607</v>
      </c>
      <c r="H827" t="s" s="43">
        <v>30</v>
      </c>
      <c r="I827" s="43">
        <v>126.47</v>
      </c>
      <c r="J827" t="s" s="11">
        <v>4362</v>
      </c>
      <c r="K827" t="s" s="11">
        <v>4363</v>
      </c>
      <c r="L827" s="17">
        <f>HYPERLINK("http://transficc.com", "transficc.com")</f>
      </c>
      <c r="M827" s="17">
        <f>HYPERLINK("https://my.pitchbook.com?c=187995-25", "View Company Online")</f>
      </c>
    </row>
    <row r="828">
      <c r="A828" t="s" s="10">
        <v>4365</v>
      </c>
      <c r="B828" t="s" s="10">
        <v>4366</v>
      </c>
      <c r="C828" t="s" s="10">
        <v>60</v>
      </c>
      <c r="D828" t="s" s="10">
        <v>192</v>
      </c>
      <c r="E828" t="s" s="10">
        <v>270</v>
      </c>
      <c r="F828" s="27">
        <v>46185</v>
      </c>
      <c r="G828" t="s" s="10">
        <v>271</v>
      </c>
      <c r="H828" s="42">
        <v>0.11</v>
      </c>
      <c r="I828" s="42">
        <v>126.36</v>
      </c>
      <c r="J828" t="s" s="10">
        <v>4367</v>
      </c>
      <c r="K828" t="s" s="10">
        <v>4368</v>
      </c>
      <c r="L828" s="16">
        <f>HYPERLINK("http://www.musaffa.com", "www.musaffa.com")</f>
      </c>
      <c r="M828" s="16">
        <f>HYPERLINK("https://my.pitchbook.com?c=498440-17", "View Company Online")</f>
      </c>
    </row>
    <row r="829">
      <c r="A829" t="s" s="11">
        <v>4370</v>
      </c>
      <c r="B829" t="s" s="11">
        <v>4371</v>
      </c>
      <c r="C829" t="s" s="11">
        <v>60</v>
      </c>
      <c r="D829" t="s" s="11">
        <v>192</v>
      </c>
      <c r="E829" t="s" s="11">
        <v>4372</v>
      </c>
      <c r="F829" s="28">
        <v>46202</v>
      </c>
      <c r="G829" t="s" s="11">
        <v>48</v>
      </c>
      <c r="H829" t="s" s="43">
        <v>30</v>
      </c>
      <c r="I829" s="43">
        <v>126.02</v>
      </c>
      <c r="J829" t="s" s="11">
        <v>4373</v>
      </c>
      <c r="K829" t="s" s="11">
        <v>4374</v>
      </c>
      <c r="L829" s="17">
        <f>HYPERLINK("http://www.iyiou.com", "www.iyiou.com")</f>
      </c>
      <c r="M829" s="17">
        <f>HYPERLINK("https://my.pitchbook.com?c=267776-65", "View Company Online")</f>
      </c>
    </row>
    <row r="830">
      <c r="A830" t="s" s="10">
        <v>4376</v>
      </c>
      <c r="B830" t="s" s="10">
        <v>4377</v>
      </c>
      <c r="C830" t="s" s="10">
        <v>172</v>
      </c>
      <c r="D830" t="s" s="10">
        <v>1454</v>
      </c>
      <c r="E830" t="s" s="10">
        <v>367</v>
      </c>
      <c r="F830" s="27">
        <v>46090</v>
      </c>
      <c r="G830" t="s" s="10">
        <v>40</v>
      </c>
      <c r="H830" s="42">
        <v>11</v>
      </c>
      <c r="I830" s="42">
        <v>126</v>
      </c>
      <c r="J830" t="s" s="10">
        <v>4378</v>
      </c>
      <c r="K830" t="s" s="10">
        <v>4379</v>
      </c>
      <c r="L830" s="16">
        <f>HYPERLINK("http://www.covariance.ai", "www.covariance.ai")</f>
      </c>
      <c r="M830" s="16">
        <f>HYPERLINK("https://my.pitchbook.com?c=491845-24", "View Company Online")</f>
      </c>
    </row>
    <row r="831">
      <c r="A831" t="s" s="11">
        <v>4381</v>
      </c>
      <c r="B831" t="s" s="11">
        <v>4382</v>
      </c>
      <c r="C831" t="s" s="11">
        <v>164</v>
      </c>
      <c r="D831" t="s" s="11">
        <v>206</v>
      </c>
      <c r="E831" t="s" s="11">
        <v>4383</v>
      </c>
      <c r="F831" s="28">
        <v>46161</v>
      </c>
      <c r="G831" t="s" s="11">
        <v>138</v>
      </c>
      <c r="H831" t="s" s="43">
        <v>30</v>
      </c>
      <c r="I831" s="43">
        <v>125.54</v>
      </c>
      <c r="J831" t="s" s="11">
        <v>4384</v>
      </c>
      <c r="K831" t="s" s="11">
        <v>30</v>
      </c>
      <c r="L831" s="17">
        <f>HYPERLINK("http://www.dwolla.com", "www.dwolla.com")</f>
      </c>
      <c r="M831" s="17">
        <f>HYPERLINK("https://my.pitchbook.com?c=53351-47", "View Company Online")</f>
      </c>
    </row>
    <row r="832">
      <c r="A832" t="s" s="10">
        <v>4386</v>
      </c>
      <c r="B832" t="s" s="10">
        <v>4387</v>
      </c>
      <c r="C832" t="s" s="10">
        <v>60</v>
      </c>
      <c r="D832" t="s" s="10">
        <v>432</v>
      </c>
      <c r="E832" t="s" s="10">
        <v>29</v>
      </c>
      <c r="F832" s="27">
        <v>46246</v>
      </c>
      <c r="G832" t="s" s="10">
        <v>40</v>
      </c>
      <c r="H832" s="42">
        <v>23.98</v>
      </c>
      <c r="I832" s="42">
        <v>125.04</v>
      </c>
      <c r="J832" t="s" s="10">
        <v>4388</v>
      </c>
      <c r="K832" t="s" s="10">
        <v>4389</v>
      </c>
      <c r="L832" s="16">
        <f>HYPERLINK("http://www.centricity.co.in", "www.centricity.co.in")</f>
      </c>
      <c r="M832" s="16">
        <f>HYPERLINK("https://my.pitchbook.com?c=507297-97", "View Company Online")</f>
      </c>
    </row>
    <row r="833">
      <c r="A833" t="s" s="11">
        <v>4391</v>
      </c>
      <c r="B833" t="s" s="11">
        <v>4392</v>
      </c>
      <c r="C833" t="s" s="11">
        <v>128</v>
      </c>
      <c r="D833" t="s" s="11">
        <v>129</v>
      </c>
      <c r="E833" t="s" s="11">
        <v>137</v>
      </c>
      <c r="F833" t="s" s="28">
        <v>30</v>
      </c>
      <c r="G833" t="s" s="11">
        <v>146</v>
      </c>
      <c r="H833" t="s" s="43">
        <v>30</v>
      </c>
      <c r="I833" s="43">
        <v>125</v>
      </c>
      <c r="J833" t="s" s="11">
        <v>4393</v>
      </c>
      <c r="K833" t="s" s="11">
        <v>4394</v>
      </c>
      <c r="L833" s="17">
        <f>HYPERLINK("http://www.byaccrue.com", "www.byaccrue.com")</f>
      </c>
      <c r="M833" s="17">
        <f>HYPERLINK("https://my.pitchbook.com?c=481225-15", "View Company Online")</f>
      </c>
    </row>
    <row r="834">
      <c r="A834" t="s" s="10">
        <v>4396</v>
      </c>
      <c r="B834" t="s" s="10">
        <v>4397</v>
      </c>
      <c r="C834" t="s" s="10">
        <v>172</v>
      </c>
      <c r="D834" t="s" s="10">
        <v>173</v>
      </c>
      <c r="E834" t="s" s="10">
        <v>367</v>
      </c>
      <c r="F834" s="27">
        <v>46237</v>
      </c>
      <c r="G834" t="s" s="10">
        <v>146</v>
      </c>
      <c r="H834" s="42">
        <v>27</v>
      </c>
      <c r="I834" s="42">
        <v>125</v>
      </c>
      <c r="J834" t="s" s="10">
        <v>4398</v>
      </c>
      <c r="K834" t="s" s="10">
        <v>4399</v>
      </c>
      <c r="L834" s="16">
        <f>HYPERLINK("http://www.baselayer.com", "www.baselayer.com")</f>
      </c>
      <c r="M834" s="16">
        <f>HYPERLINK("https://my.pitchbook.com?c=530737-93", "View Company Online")</f>
      </c>
    </row>
    <row r="835">
      <c r="A835" t="s" s="11">
        <v>4401</v>
      </c>
      <c r="B835" t="s" s="11">
        <v>4402</v>
      </c>
      <c r="C835" t="s" s="11">
        <v>60</v>
      </c>
      <c r="D835" t="s" s="11">
        <v>61</v>
      </c>
      <c r="E835" t="s" s="11">
        <v>253</v>
      </c>
      <c r="F835" s="28">
        <v>45883</v>
      </c>
      <c r="G835" t="s" s="11">
        <v>146</v>
      </c>
      <c r="H835" s="43">
        <v>12.5</v>
      </c>
      <c r="I835" s="43">
        <v>125</v>
      </c>
      <c r="J835" t="s" s="11">
        <v>4403</v>
      </c>
      <c r="K835" t="s" s="11">
        <v>4404</v>
      </c>
      <c r="L835" s="17">
        <f>HYPERLINK("http://www.usecache.com", "www.usecache.com")</f>
      </c>
      <c r="M835" s="17">
        <f>HYPERLINK("https://my.pitchbook.com?c=528707-53", "View Company Online")</f>
      </c>
    </row>
    <row r="836">
      <c r="A836" t="s" s="10">
        <v>4406</v>
      </c>
      <c r="B836" t="s" s="10">
        <v>4407</v>
      </c>
      <c r="C836" t="s" s="10">
        <v>27</v>
      </c>
      <c r="D836" t="s" s="10">
        <v>122</v>
      </c>
      <c r="E836" t="s" s="10">
        <v>137</v>
      </c>
      <c r="F836" s="27">
        <v>45723</v>
      </c>
      <c r="G836" t="s" s="10">
        <v>40</v>
      </c>
      <c r="H836" s="42">
        <v>25</v>
      </c>
      <c r="I836" s="42">
        <v>125</v>
      </c>
      <c r="J836" t="s" s="10">
        <v>4408</v>
      </c>
      <c r="K836" t="s" s="10">
        <v>30</v>
      </c>
      <c r="L836" s="16">
        <f>HYPERLINK("http://www.dkkpartners.com", "www.dkkpartners.com")</f>
      </c>
      <c r="M836" s="16">
        <f>HYPERLINK("https://my.pitchbook.com?c=499961-35", "View Company Online")</f>
      </c>
    </row>
    <row r="837">
      <c r="A837" t="s" s="11">
        <v>4410</v>
      </c>
      <c r="B837" t="s" s="11">
        <v>4411</v>
      </c>
      <c r="C837" t="s" s="11">
        <v>60</v>
      </c>
      <c r="D837" t="s" s="11">
        <v>61</v>
      </c>
      <c r="E837" t="s" s="11">
        <v>137</v>
      </c>
      <c r="F837" s="28">
        <v>45960</v>
      </c>
      <c r="G837" t="s" s="11">
        <v>146</v>
      </c>
      <c r="H837" t="s" s="43">
        <v>30</v>
      </c>
      <c r="I837" s="43">
        <v>125</v>
      </c>
      <c r="J837" t="s" s="11">
        <v>4412</v>
      </c>
      <c r="K837" t="s" s="11">
        <v>4413</v>
      </c>
      <c r="L837" s="17">
        <f>HYPERLINK("http://www.frec.com", "www.frec.com")</f>
      </c>
      <c r="M837" s="17">
        <f>HYPERLINK("https://my.pitchbook.com?c=504090-28", "View Company Online")</f>
      </c>
    </row>
    <row r="838">
      <c r="A838" t="s" s="10">
        <v>4415</v>
      </c>
      <c r="B838" t="s" s="10">
        <v>4416</v>
      </c>
      <c r="C838" t="s" s="10">
        <v>222</v>
      </c>
      <c r="D838" t="s" s="10">
        <v>235</v>
      </c>
      <c r="E838" t="s" s="10">
        <v>3320</v>
      </c>
      <c r="F838" s="27">
        <v>43560</v>
      </c>
      <c r="G838" t="s" s="10">
        <v>40</v>
      </c>
      <c r="H838" s="42">
        <v>18.36</v>
      </c>
      <c r="I838" s="42">
        <v>125</v>
      </c>
      <c r="J838" t="s" s="10">
        <v>4417</v>
      </c>
      <c r="K838" t="s" s="10">
        <v>4418</v>
      </c>
      <c r="L838" s="16">
        <f>HYPERLINK("http://www.gust.com", "www.gust.com")</f>
      </c>
      <c r="M838" s="16">
        <f>HYPERLINK("https://my.pitchbook.com?c=97737-76", "View Company Online")</f>
      </c>
    </row>
    <row r="839">
      <c r="A839" t="s" s="11">
        <v>4420</v>
      </c>
      <c r="B839" t="s" s="11">
        <v>4421</v>
      </c>
      <c r="C839" t="s" s="11">
        <v>114</v>
      </c>
      <c r="D839" t="s" s="11">
        <v>136</v>
      </c>
      <c r="E839" t="s" s="11">
        <v>1207</v>
      </c>
      <c r="F839" s="28">
        <v>44587</v>
      </c>
      <c r="G839" t="s" s="11">
        <v>40</v>
      </c>
      <c r="H839" s="43">
        <v>25</v>
      </c>
      <c r="I839" s="43">
        <v>125</v>
      </c>
      <c r="J839" t="s" s="11">
        <v>4422</v>
      </c>
      <c r="K839" t="s" s="11">
        <v>4423</v>
      </c>
      <c r="L839" s="17">
        <f>HYPERLINK("http://www.loan-street.com", "www.loan-street.com")</f>
      </c>
      <c r="M839" s="17">
        <f>HYPERLINK("https://my.pitchbook.com?c=86040-01", "View Company Online")</f>
      </c>
    </row>
    <row r="840">
      <c r="A840" t="s" s="10">
        <v>4425</v>
      </c>
      <c r="B840" t="s" s="10">
        <v>4426</v>
      </c>
      <c r="C840" t="s" s="10">
        <v>46</v>
      </c>
      <c r="D840" t="s" s="10">
        <v>47</v>
      </c>
      <c r="E840" t="s" s="10">
        <v>373</v>
      </c>
      <c r="F840" s="27">
        <v>46149</v>
      </c>
      <c r="G840" t="s" s="10">
        <v>4427</v>
      </c>
      <c r="H840" t="s" s="42">
        <v>30</v>
      </c>
      <c r="I840" s="42">
        <v>125</v>
      </c>
      <c r="J840" t="s" s="10">
        <v>4428</v>
      </c>
      <c r="K840" t="s" s="10">
        <v>30</v>
      </c>
      <c r="L840" s="16">
        <f>HYPERLINK("http://www.getparker.com", "www.getparker.com")</f>
      </c>
      <c r="M840" s="16">
        <f>HYPERLINK("https://my.pitchbook.com?c=468966-70", "View Company Online")</f>
      </c>
    </row>
    <row r="841">
      <c r="A841" t="s" s="11">
        <v>4430</v>
      </c>
      <c r="B841" t="s" s="11">
        <v>4431</v>
      </c>
      <c r="C841" t="s" s="11">
        <v>128</v>
      </c>
      <c r="D841" t="s" s="11">
        <v>199</v>
      </c>
      <c r="E841" t="s" s="11">
        <v>1071</v>
      </c>
      <c r="F841" s="28">
        <v>45566</v>
      </c>
      <c r="G841" t="s" s="11">
        <v>607</v>
      </c>
      <c r="H841" t="s" s="43">
        <v>30</v>
      </c>
      <c r="I841" s="43">
        <v>124.83</v>
      </c>
      <c r="J841" t="s" s="11">
        <v>4432</v>
      </c>
      <c r="K841" t="s" s="11">
        <v>4433</v>
      </c>
      <c r="L841" s="17">
        <f>HYPERLINK("http://www.yoti.com", "www.yoti.com")</f>
      </c>
      <c r="M841" s="17">
        <f>HYPERLINK("https://my.pitchbook.com?c=222331-42", "View Company Online")</f>
      </c>
    </row>
    <row r="842">
      <c r="A842" t="s" s="10">
        <v>4435</v>
      </c>
      <c r="B842" t="s" s="10">
        <v>4436</v>
      </c>
      <c r="C842" t="s" s="10">
        <v>46</v>
      </c>
      <c r="D842" t="s" s="10">
        <v>47</v>
      </c>
      <c r="E842" t="s" s="10">
        <v>1859</v>
      </c>
      <c r="F842" s="27">
        <v>45901</v>
      </c>
      <c r="G842" t="s" s="10">
        <v>40</v>
      </c>
      <c r="H842" t="s" s="42">
        <v>30</v>
      </c>
      <c r="I842" s="42">
        <v>124.5</v>
      </c>
      <c r="J842" t="s" s="10">
        <v>4437</v>
      </c>
      <c r="K842" t="s" s="10">
        <v>4438</v>
      </c>
      <c r="L842" s="16">
        <f>HYPERLINK("http://www.resolvepay.com", "www.resolvepay.com")</f>
      </c>
      <c r="M842" s="16">
        <f>HYPERLINK("https://my.pitchbook.com?c=266565-61", "View Company Online")</f>
      </c>
    </row>
    <row r="843">
      <c r="A843" t="s" s="11">
        <v>4440</v>
      </c>
      <c r="B843" t="s" s="11">
        <v>4441</v>
      </c>
      <c r="C843" t="s" s="11">
        <v>114</v>
      </c>
      <c r="D843" t="s" s="11">
        <v>870</v>
      </c>
      <c r="E843" t="s" s="11">
        <v>4442</v>
      </c>
      <c r="F843" t="s" s="28">
        <v>30</v>
      </c>
      <c r="G843" t="s" s="11">
        <v>48</v>
      </c>
      <c r="H843" t="s" s="43">
        <v>30</v>
      </c>
      <c r="I843" s="43">
        <v>124.08</v>
      </c>
      <c r="J843" t="s" s="11">
        <v>4443</v>
      </c>
      <c r="K843" t="s" s="11">
        <v>4444</v>
      </c>
      <c r="L843" s="17">
        <f>HYPERLINK("http://www.neogrowth.in", "www.neogrowth.in")</f>
      </c>
      <c r="M843" s="17">
        <f>HYPERLINK("https://my.pitchbook.com?c=58287-97", "View Company Online")</f>
      </c>
    </row>
    <row r="844">
      <c r="A844" t="s" s="10">
        <v>4446</v>
      </c>
      <c r="B844" t="s" s="10">
        <v>4447</v>
      </c>
      <c r="C844" t="s" s="10">
        <v>164</v>
      </c>
      <c r="D844" t="s" s="10">
        <v>165</v>
      </c>
      <c r="E844" t="s" s="10">
        <v>629</v>
      </c>
      <c r="F844" s="27">
        <v>45370</v>
      </c>
      <c r="G844" t="s" s="10">
        <v>146</v>
      </c>
      <c r="H844" s="42">
        <v>32.79</v>
      </c>
      <c r="I844" s="42">
        <v>123.93</v>
      </c>
      <c r="J844" t="s" s="10">
        <v>4448</v>
      </c>
      <c r="K844" t="s" s="10">
        <v>4449</v>
      </c>
      <c r="L844" s="16">
        <f>HYPERLINK("http://www.cxnpl.com", "www.cxnpl.com")</f>
      </c>
      <c r="M844" s="16">
        <f>HYPERLINK("https://my.pitchbook.com?c=516151-45", "View Company Online")</f>
      </c>
    </row>
    <row r="845">
      <c r="A845" t="s" s="11">
        <v>4451</v>
      </c>
      <c r="B845" t="s" s="11">
        <v>4452</v>
      </c>
      <c r="C845" t="s" s="11">
        <v>114</v>
      </c>
      <c r="D845" t="s" s="11">
        <v>1386</v>
      </c>
      <c r="E845" t="s" s="11">
        <v>270</v>
      </c>
      <c r="F845" s="28">
        <v>45954</v>
      </c>
      <c r="G845" t="s" s="11">
        <v>4267</v>
      </c>
      <c r="H845" s="43">
        <v>16.5</v>
      </c>
      <c r="I845" s="43">
        <v>123.81</v>
      </c>
      <c r="J845" t="s" s="11">
        <v>4453</v>
      </c>
      <c r="K845" t="s" s="11">
        <v>4454</v>
      </c>
      <c r="L845" s="17">
        <f>HYPERLINK("http://www.meetava.com", "www.meetava.com")</f>
      </c>
      <c r="M845" s="17">
        <f>HYPERLINK("https://my.pitchbook.com?c=466546-87", "View Company Online")</f>
      </c>
    </row>
    <row r="846">
      <c r="A846" t="s" s="10">
        <v>4456</v>
      </c>
      <c r="B846" t="s" s="10">
        <v>4457</v>
      </c>
      <c r="C846" t="s" s="10">
        <v>114</v>
      </c>
      <c r="D846" t="s" s="10">
        <v>136</v>
      </c>
      <c r="E846" t="s" s="10">
        <v>759</v>
      </c>
      <c r="F846" s="27">
        <v>43495</v>
      </c>
      <c r="G846" t="s" s="10">
        <v>146</v>
      </c>
      <c r="H846" s="42">
        <v>22.24</v>
      </c>
      <c r="I846" s="42">
        <v>123.33</v>
      </c>
      <c r="J846" t="s" s="10">
        <v>4458</v>
      </c>
      <c r="K846" t="s" s="10">
        <v>4459</v>
      </c>
      <c r="L846" s="16">
        <f>HYPERLINK("http://www.loanboox.com", "www.loanboox.com")</f>
      </c>
      <c r="M846" s="16">
        <f>HYPERLINK("https://my.pitchbook.com?c=168313-51", "View Company Online")</f>
      </c>
    </row>
    <row r="847">
      <c r="A847" t="s" s="11">
        <v>4461</v>
      </c>
      <c r="B847" t="s" s="11">
        <v>4462</v>
      </c>
      <c r="C847" t="s" s="11">
        <v>114</v>
      </c>
      <c r="D847" t="s" s="11">
        <v>136</v>
      </c>
      <c r="E847" t="s" s="11">
        <v>185</v>
      </c>
      <c r="F847" s="28">
        <v>45482</v>
      </c>
      <c r="G847" t="s" s="11">
        <v>72</v>
      </c>
      <c r="H847" s="43">
        <v>175</v>
      </c>
      <c r="I847" s="43">
        <v>123</v>
      </c>
      <c r="J847" t="s" s="11">
        <v>4463</v>
      </c>
      <c r="K847" t="s" s="11">
        <v>4464</v>
      </c>
      <c r="L847" s="17">
        <f>HYPERLINK("http://www.dignifi.com", "www.dignifi.com")</f>
      </c>
      <c r="M847" s="17">
        <f>HYPERLINK("https://my.pitchbook.com?c=62185-24", "View Company Online")</f>
      </c>
    </row>
    <row r="848">
      <c r="A848" t="s" s="10">
        <v>4466</v>
      </c>
      <c r="B848" t="s" s="10">
        <v>4467</v>
      </c>
      <c r="C848" t="s" s="10">
        <v>222</v>
      </c>
      <c r="D848" t="s" s="10">
        <v>252</v>
      </c>
      <c r="E848" t="s" s="10">
        <v>4468</v>
      </c>
      <c r="F848" s="27">
        <v>46037</v>
      </c>
      <c r="G848" t="s" s="10">
        <v>146</v>
      </c>
      <c r="H848" s="42">
        <v>20</v>
      </c>
      <c r="I848" s="42">
        <v>123</v>
      </c>
      <c r="J848" t="s" s="10">
        <v>4469</v>
      </c>
      <c r="K848" t="s" s="10">
        <v>4470</v>
      </c>
      <c r="L848" s="16">
        <f>HYPERLINK("http://www.projecteleven.com", "www.projecteleven.com")</f>
      </c>
      <c r="M848" s="16">
        <f>HYPERLINK("https://my.pitchbook.com?c=770581-99", "View Company Online")</f>
      </c>
    </row>
    <row r="849">
      <c r="A849" t="s" s="11">
        <v>4472</v>
      </c>
      <c r="B849" t="s" s="11">
        <v>4473</v>
      </c>
      <c r="C849" t="s" s="11">
        <v>27</v>
      </c>
      <c r="D849" t="s" s="11">
        <v>122</v>
      </c>
      <c r="E849" t="s" s="11">
        <v>1859</v>
      </c>
      <c r="F849" t="s" s="28">
        <v>30</v>
      </c>
      <c r="G849" t="s" s="11">
        <v>48</v>
      </c>
      <c r="H849" t="s" s="43">
        <v>30</v>
      </c>
      <c r="I849" s="43">
        <v>122.9</v>
      </c>
      <c r="J849" t="s" s="11">
        <v>4474</v>
      </c>
      <c r="K849" t="s" s="11">
        <v>4475</v>
      </c>
      <c r="L849" s="17">
        <f>HYPERLINK("http://www.emq.com", "www.emq.com")</f>
      </c>
      <c r="M849" s="17">
        <f>HYPERLINK("https://my.pitchbook.com?c=108061-12", "View Company Online")</f>
      </c>
    </row>
    <row r="850">
      <c r="A850" t="s" s="10">
        <v>4477</v>
      </c>
      <c r="B850" t="s" s="10">
        <v>4478</v>
      </c>
      <c r="C850" t="s" s="10">
        <v>164</v>
      </c>
      <c r="D850" t="s" s="10">
        <v>206</v>
      </c>
      <c r="E850" t="s" s="10">
        <v>4479</v>
      </c>
      <c r="F850" s="27">
        <v>44817</v>
      </c>
      <c r="G850" t="s" s="10">
        <v>146</v>
      </c>
      <c r="H850" s="42">
        <v>55</v>
      </c>
      <c r="I850" s="42">
        <v>122.8</v>
      </c>
      <c r="J850" t="s" s="10">
        <v>4480</v>
      </c>
      <c r="K850" t="s" s="10">
        <v>4481</v>
      </c>
      <c r="L850" s="16">
        <f>HYPERLINK("http://www.patch.io", "www.patch.io")</f>
      </c>
      <c r="M850" s="16">
        <f>HYPERLINK("https://my.pitchbook.com?c=434394-37", "View Company Online")</f>
      </c>
    </row>
    <row r="851">
      <c r="A851" t="s" s="11">
        <v>4483</v>
      </c>
      <c r="B851" t="s" s="11">
        <v>4484</v>
      </c>
      <c r="C851" t="s" s="11">
        <v>164</v>
      </c>
      <c r="D851" t="s" s="11">
        <v>206</v>
      </c>
      <c r="E851" t="s" s="11">
        <v>4485</v>
      </c>
      <c r="F851" s="28">
        <v>45562</v>
      </c>
      <c r="G851" t="s" s="11">
        <v>607</v>
      </c>
      <c r="H851" t="s" s="43">
        <v>30</v>
      </c>
      <c r="I851" s="43">
        <v>122.5</v>
      </c>
      <c r="J851" t="s" s="11">
        <v>4486</v>
      </c>
      <c r="K851" t="s" s="11">
        <v>4487</v>
      </c>
      <c r="L851" s="17">
        <f>HYPERLINK("http://www.posh.ai", "www.posh.ai")</f>
      </c>
      <c r="M851" s="17">
        <f>HYPERLINK("https://my.pitchbook.com?c=277820-74", "View Company Online")</f>
      </c>
    </row>
    <row r="852">
      <c r="A852" t="s" s="10">
        <v>4489</v>
      </c>
      <c r="B852" t="s" s="10">
        <v>4490</v>
      </c>
      <c r="C852" t="s" s="10">
        <v>164</v>
      </c>
      <c r="D852" t="s" s="10">
        <v>165</v>
      </c>
      <c r="E852" t="s" s="10">
        <v>137</v>
      </c>
      <c r="F852" s="27">
        <v>44685</v>
      </c>
      <c r="G852" t="s" s="10">
        <v>607</v>
      </c>
      <c r="H852" t="s" s="42">
        <v>30</v>
      </c>
      <c r="I852" s="42">
        <v>122.02</v>
      </c>
      <c r="J852" t="s" s="10">
        <v>4491</v>
      </c>
      <c r="K852" t="s" s="10">
        <v>4492</v>
      </c>
      <c r="L852" s="16">
        <f>HYPERLINK("http://www.genesis.global", "www.genesis.global")</f>
      </c>
      <c r="M852" s="16">
        <f>HYPERLINK("https://my.pitchbook.com?c=234583-21", "View Company Online")</f>
      </c>
    </row>
    <row r="853">
      <c r="A853" t="s" s="11">
        <v>4494</v>
      </c>
      <c r="B853" t="s" s="11">
        <v>4495</v>
      </c>
      <c r="C853" t="s" s="11">
        <v>27</v>
      </c>
      <c r="D853" t="s" s="11">
        <v>122</v>
      </c>
      <c r="E853" t="s" s="11">
        <v>253</v>
      </c>
      <c r="F853" t="s" s="28">
        <v>30</v>
      </c>
      <c r="G853" t="s" s="11">
        <v>40</v>
      </c>
      <c r="H853" t="s" s="43">
        <v>30</v>
      </c>
      <c r="I853" s="43">
        <v>122.01</v>
      </c>
      <c r="J853" t="s" s="11">
        <v>4496</v>
      </c>
      <c r="K853" t="s" s="11">
        <v>4497</v>
      </c>
      <c r="L853" s="17">
        <f>HYPERLINK("http://www.tazapay.com", "www.tazapay.com")</f>
      </c>
      <c r="M853" s="17">
        <f>HYPERLINK("https://my.pitchbook.com?c=433634-86", "View Company Online")</f>
      </c>
    </row>
    <row r="854">
      <c r="A854" t="s" s="10">
        <v>4499</v>
      </c>
      <c r="B854" t="s" s="10">
        <v>4500</v>
      </c>
      <c r="C854" t="s" s="10">
        <v>60</v>
      </c>
      <c r="D854" t="s" s="10">
        <v>192</v>
      </c>
      <c r="E854" t="s" s="10">
        <v>4501</v>
      </c>
      <c r="F854" s="27">
        <v>46107</v>
      </c>
      <c r="G854" t="s" s="10">
        <v>40</v>
      </c>
      <c r="H854" t="s" s="42">
        <v>30</v>
      </c>
      <c r="I854" s="42">
        <v>122</v>
      </c>
      <c r="J854" t="s" s="10">
        <v>4502</v>
      </c>
      <c r="K854" t="s" s="10">
        <v>4503</v>
      </c>
      <c r="L854" s="16">
        <f>HYPERLINK("http://www.merqube.com", "www.merqube.com")</f>
      </c>
      <c r="M854" s="16">
        <f>HYPERLINK("https://my.pitchbook.com?c=445617-82", "View Company Online")</f>
      </c>
    </row>
    <row r="855">
      <c r="A855" t="s" s="11">
        <v>4505</v>
      </c>
      <c r="B855" t="s" s="11">
        <v>4506</v>
      </c>
      <c r="C855" t="s" s="11">
        <v>60</v>
      </c>
      <c r="D855" t="s" s="11">
        <v>246</v>
      </c>
      <c r="E855" t="s" s="11">
        <v>1207</v>
      </c>
      <c r="F855" s="28">
        <v>44572</v>
      </c>
      <c r="G855" t="s" s="11">
        <v>40</v>
      </c>
      <c r="H855" s="43">
        <v>11.99</v>
      </c>
      <c r="I855" s="43">
        <v>121.99</v>
      </c>
      <c r="J855" t="s" s="11">
        <v>4507</v>
      </c>
      <c r="K855" t="s" s="11">
        <v>4508</v>
      </c>
      <c r="L855" s="17">
        <f>HYPERLINK("http://www.truelinkfinancial.com", "www.truelinkfinancial.com")</f>
      </c>
      <c r="M855" s="17">
        <f>HYPERLINK("https://my.pitchbook.com?c=58218-40", "View Company Online")</f>
      </c>
    </row>
    <row r="856">
      <c r="A856" t="s" s="10">
        <v>4510</v>
      </c>
      <c r="B856" t="s" s="10">
        <v>4511</v>
      </c>
      <c r="C856" t="s" s="10">
        <v>222</v>
      </c>
      <c r="D856" t="s" s="10">
        <v>235</v>
      </c>
      <c r="E856" t="s" s="10">
        <v>253</v>
      </c>
      <c r="F856" s="27">
        <v>45938</v>
      </c>
      <c r="G856" t="s" s="10">
        <v>40</v>
      </c>
      <c r="H856" s="42">
        <v>25.22</v>
      </c>
      <c r="I856" s="42">
        <v>121.84</v>
      </c>
      <c r="J856" t="s" s="10">
        <v>4512</v>
      </c>
      <c r="K856" t="s" s="10">
        <v>4513</v>
      </c>
      <c r="L856" s="16">
        <f>HYPERLINK("http://www.qapita.com", "www.qapita.com")</f>
      </c>
      <c r="M856" s="16">
        <f>HYPERLINK("https://my.pitchbook.com?c=438846-67", "View Company Online")</f>
      </c>
    </row>
    <row r="857">
      <c r="A857" t="s" s="11">
        <v>4515</v>
      </c>
      <c r="B857" t="s" s="11">
        <v>4516</v>
      </c>
      <c r="C857" t="s" s="11">
        <v>164</v>
      </c>
      <c r="D857" t="s" s="11">
        <v>206</v>
      </c>
      <c r="E857" t="s" s="11">
        <v>4517</v>
      </c>
      <c r="F857" s="28">
        <v>46100</v>
      </c>
      <c r="G857" t="s" s="11">
        <v>31</v>
      </c>
      <c r="H857" s="43">
        <v>15</v>
      </c>
      <c r="I857" s="43">
        <v>121.03</v>
      </c>
      <c r="J857" t="s" s="11">
        <v>4518</v>
      </c>
      <c r="K857" t="s" s="11">
        <v>4519</v>
      </c>
      <c r="L857" s="17">
        <f>HYPERLINK("http://www.fintech-farm.com", "www.fintech-farm.com")</f>
      </c>
      <c r="M857" s="17">
        <f>HYPERLINK("https://my.pitchbook.com?c=490042-72", "View Company Online")</f>
      </c>
    </row>
    <row r="858">
      <c r="A858" t="s" s="10">
        <v>4521</v>
      </c>
      <c r="B858" t="s" s="10">
        <v>4522</v>
      </c>
      <c r="C858" t="s" s="10">
        <v>222</v>
      </c>
      <c r="D858" t="s" s="10">
        <v>252</v>
      </c>
      <c r="E858" t="s" s="10">
        <v>1207</v>
      </c>
      <c r="F858" t="s" s="27">
        <v>30</v>
      </c>
      <c r="G858" t="s" s="10">
        <v>48</v>
      </c>
      <c r="H858" t="s" s="42">
        <v>30</v>
      </c>
      <c r="I858" s="42">
        <v>120.5</v>
      </c>
      <c r="J858" t="s" s="10">
        <v>4523</v>
      </c>
      <c r="K858" t="s" s="10">
        <v>4524</v>
      </c>
      <c r="L858" s="16">
        <f>HYPERLINK("http://www.zanbato.com", "www.zanbato.com")</f>
      </c>
      <c r="M858" s="16">
        <f>HYPERLINK("https://my.pitchbook.com?c=54093-61", "View Company Online")</f>
      </c>
    </row>
    <row r="859">
      <c r="A859" t="s" s="11">
        <v>4526</v>
      </c>
      <c r="B859" t="s" s="11">
        <v>4527</v>
      </c>
      <c r="C859" t="s" s="11">
        <v>114</v>
      </c>
      <c r="D859" t="s" s="11">
        <v>870</v>
      </c>
      <c r="E859" t="s" s="11">
        <v>137</v>
      </c>
      <c r="F859" t="s" s="28">
        <v>30</v>
      </c>
      <c r="G859" t="s" s="11">
        <v>391</v>
      </c>
      <c r="H859" t="s" s="43">
        <v>30</v>
      </c>
      <c r="I859" s="43">
        <v>120.39</v>
      </c>
      <c r="J859" t="s" s="11">
        <v>4528</v>
      </c>
      <c r="K859" t="s" s="11">
        <v>4529</v>
      </c>
      <c r="L859" s="17">
        <f>HYPERLINK("http://www.kinaracapital.com", "www.kinaracapital.com")</f>
      </c>
      <c r="M859" s="17">
        <f>HYPERLINK("https://my.pitchbook.com?c=97476-31", "View Company Online")</f>
      </c>
    </row>
    <row r="860">
      <c r="A860" t="s" s="10">
        <v>4531</v>
      </c>
      <c r="B860" t="s" s="10">
        <v>4532</v>
      </c>
      <c r="C860" t="s" s="10">
        <v>27</v>
      </c>
      <c r="D860" t="s" s="10">
        <v>28</v>
      </c>
      <c r="E860" t="s" s="10">
        <v>4533</v>
      </c>
      <c r="F860" s="27">
        <v>45933</v>
      </c>
      <c r="G860" t="s" s="10">
        <v>40</v>
      </c>
      <c r="H860" s="42">
        <v>9.89</v>
      </c>
      <c r="I860" s="42">
        <v>120.33</v>
      </c>
      <c r="J860" t="s" s="10">
        <v>4534</v>
      </c>
      <c r="K860" t="s" s="10">
        <v>4535</v>
      </c>
      <c r="L860" s="16">
        <f>HYPERLINK("http://www.mx51.com", "www.mx51.com")</f>
      </c>
      <c r="M860" s="16">
        <f>HYPERLINK("https://my.pitchbook.com?c=434278-36", "View Company Online")</f>
      </c>
    </row>
    <row r="861">
      <c r="A861" t="s" s="11">
        <v>4537</v>
      </c>
      <c r="B861" t="s" s="11">
        <v>4538</v>
      </c>
      <c r="C861" t="s" s="11">
        <v>60</v>
      </c>
      <c r="D861" t="s" s="11">
        <v>192</v>
      </c>
      <c r="E861" t="s" s="11">
        <v>1266</v>
      </c>
      <c r="F861" s="28">
        <v>46057</v>
      </c>
      <c r="G861" t="s" s="11">
        <v>146</v>
      </c>
      <c r="H861" s="43">
        <v>25</v>
      </c>
      <c r="I861" s="43">
        <v>120.05</v>
      </c>
      <c r="J861" t="s" s="11">
        <v>4539</v>
      </c>
      <c r="K861" t="s" s="11">
        <v>4540</v>
      </c>
      <c r="L861" s="17">
        <f>HYPERLINK("http://www.stablemoney.in", "www.stablemoney.in")</f>
      </c>
      <c r="M861" s="17">
        <f>HYPERLINK("https://my.pitchbook.com?c=519809-59", "View Company Online")</f>
      </c>
    </row>
    <row r="862">
      <c r="A862" t="s" s="10">
        <v>4542</v>
      </c>
      <c r="B862" t="s" s="10">
        <v>4543</v>
      </c>
      <c r="C862" t="s" s="10">
        <v>60</v>
      </c>
      <c r="D862" t="s" s="10">
        <v>246</v>
      </c>
      <c r="E862" t="s" s="10">
        <v>116</v>
      </c>
      <c r="F862" s="27">
        <v>45196</v>
      </c>
      <c r="G862" t="s" s="10">
        <v>146</v>
      </c>
      <c r="H862" s="42">
        <v>62</v>
      </c>
      <c r="I862" s="42">
        <v>120</v>
      </c>
      <c r="J862" t="s" s="10">
        <v>4544</v>
      </c>
      <c r="K862" t="s" s="10">
        <v>4545</v>
      </c>
      <c r="L862" s="16">
        <f>HYPERLINK("http://www.brightmoney.co", "www.brightmoney.co")</f>
      </c>
      <c r="M862" s="16">
        <f>HYPERLINK("https://my.pitchbook.com?c=339766-03", "View Company Online")</f>
      </c>
    </row>
    <row r="863">
      <c r="A863" t="s" s="11">
        <v>4547</v>
      </c>
      <c r="B863" t="s" s="11">
        <v>4548</v>
      </c>
      <c r="C863" t="s" s="11">
        <v>164</v>
      </c>
      <c r="D863" t="s" s="11">
        <v>206</v>
      </c>
      <c r="E863" t="s" s="11">
        <v>1006</v>
      </c>
      <c r="F863" s="28">
        <v>46196</v>
      </c>
      <c r="G863" t="s" s="11">
        <v>138</v>
      </c>
      <c r="H863" t="s" s="43">
        <v>30</v>
      </c>
      <c r="I863" s="43">
        <v>120</v>
      </c>
      <c r="J863" t="s" s="11">
        <v>4549</v>
      </c>
      <c r="K863" t="s" s="11">
        <v>30</v>
      </c>
      <c r="L863" s="17">
        <f>HYPERLINK("http://www.kasisto.com", "www.kasisto.com")</f>
      </c>
      <c r="M863" s="17">
        <f>HYPERLINK("https://my.pitchbook.com?c=66164-86", "View Company Online")</f>
      </c>
    </row>
    <row r="864">
      <c r="A864" t="s" s="10">
        <v>4551</v>
      </c>
      <c r="B864" t="s" s="10">
        <v>4552</v>
      </c>
      <c r="C864" t="s" s="10">
        <v>144</v>
      </c>
      <c r="D864" t="s" s="10">
        <v>297</v>
      </c>
      <c r="E864" t="s" s="10">
        <v>259</v>
      </c>
      <c r="F864" s="27">
        <v>45601</v>
      </c>
      <c r="G864" t="s" s="10">
        <v>40</v>
      </c>
      <c r="H864" s="42">
        <v>15</v>
      </c>
      <c r="I864" s="42">
        <v>120</v>
      </c>
      <c r="J864" t="s" s="10">
        <v>4553</v>
      </c>
      <c r="K864" t="s" s="10">
        <v>4554</v>
      </c>
      <c r="L864" s="16">
        <f>HYPERLINK("http://www.modifi.com", "www.modifi.com")</f>
      </c>
      <c r="M864" s="16">
        <f>HYPERLINK("https://my.pitchbook.com?c=267963-31", "View Company Online")</f>
      </c>
    </row>
    <row r="865">
      <c r="A865" t="s" s="11">
        <v>4556</v>
      </c>
      <c r="B865" t="s" s="11">
        <v>4557</v>
      </c>
      <c r="C865" t="s" s="11">
        <v>46</v>
      </c>
      <c r="D865" t="s" s="11">
        <v>397</v>
      </c>
      <c r="E865" t="s" s="11">
        <v>3825</v>
      </c>
      <c r="F865" s="28">
        <v>45385</v>
      </c>
      <c r="G865" t="s" s="11">
        <v>40</v>
      </c>
      <c r="H865" s="43">
        <v>35</v>
      </c>
      <c r="I865" s="43">
        <v>120</v>
      </c>
      <c r="J865" t="s" s="11">
        <v>4558</v>
      </c>
      <c r="K865" t="s" s="11">
        <v>4559</v>
      </c>
      <c r="L865" s="17">
        <f>HYPERLINK("http://www.netgain.tech", "www.netgain.tech")</f>
      </c>
      <c r="M865" s="17">
        <f>HYPERLINK("https://my.pitchbook.com?c=503933-14", "View Company Online")</f>
      </c>
    </row>
    <row r="866">
      <c r="A866" t="s" s="10">
        <v>4561</v>
      </c>
      <c r="B866" t="s" s="10">
        <v>4562</v>
      </c>
      <c r="C866" t="s" s="10">
        <v>222</v>
      </c>
      <c r="D866" t="s" s="10">
        <v>223</v>
      </c>
      <c r="E866" t="s" s="10">
        <v>116</v>
      </c>
      <c r="F866" s="27">
        <v>45488</v>
      </c>
      <c r="G866" t="s" s="10">
        <v>40</v>
      </c>
      <c r="H866" s="42">
        <v>30</v>
      </c>
      <c r="I866" s="42">
        <v>120</v>
      </c>
      <c r="J866" t="s" s="10">
        <v>4563</v>
      </c>
      <c r="K866" t="s" s="10">
        <v>4564</v>
      </c>
      <c r="L866" s="16">
        <f>HYPERLINK("http://www.reflexivity.com", "www.reflexivity.com")</f>
      </c>
      <c r="M866" s="16">
        <f>HYPERLINK("https://my.pitchbook.com?c=470703-61", "View Company Online")</f>
      </c>
    </row>
    <row r="867">
      <c r="A867" t="s" s="11">
        <v>4566</v>
      </c>
      <c r="B867" t="s" s="11">
        <v>4567</v>
      </c>
      <c r="C867" t="s" s="11">
        <v>144</v>
      </c>
      <c r="D867" t="s" s="11">
        <v>38</v>
      </c>
      <c r="E867" t="s" s="11">
        <v>193</v>
      </c>
      <c r="F867" s="28">
        <v>44562</v>
      </c>
      <c r="G867" t="s" s="11">
        <v>4267</v>
      </c>
      <c r="H867" s="43">
        <v>5.2</v>
      </c>
      <c r="I867" s="43">
        <v>120</v>
      </c>
      <c r="J867" t="s" s="11">
        <v>4568</v>
      </c>
      <c r="K867" t="s" s="11">
        <v>4569</v>
      </c>
      <c r="L867" s="17">
        <f>HYPERLINK("http://www.upbanx.com", "www.upbanx.com")</f>
      </c>
      <c r="M867" s="17">
        <f>HYPERLINK("https://my.pitchbook.com?c=489601-27", "View Company Online")</f>
      </c>
    </row>
    <row r="868">
      <c r="A868" t="s" s="10">
        <v>4571</v>
      </c>
      <c r="B868" t="s" s="10">
        <v>4572</v>
      </c>
      <c r="C868" t="s" s="10">
        <v>222</v>
      </c>
      <c r="D868" t="s" s="10">
        <v>235</v>
      </c>
      <c r="E868" t="s" s="10">
        <v>373</v>
      </c>
      <c r="F868" s="27">
        <v>45170</v>
      </c>
      <c r="G868" t="s" s="10">
        <v>607</v>
      </c>
      <c r="H868" t="s" s="42">
        <v>30</v>
      </c>
      <c r="I868" s="42">
        <v>119.8</v>
      </c>
      <c r="J868" t="s" s="10">
        <v>4573</v>
      </c>
      <c r="K868" t="s" s="10">
        <v>4574</v>
      </c>
      <c r="L868" s="16">
        <f>HYPERLINK("http://www.floww.io", "www.floww.io")</f>
      </c>
      <c r="M868" s="16">
        <f>HYPERLINK("https://my.pitchbook.com?c=267668-38", "View Company Online")</f>
      </c>
    </row>
    <row r="869">
      <c r="A869" t="s" s="11">
        <v>4576</v>
      </c>
      <c r="B869" t="s" s="11">
        <v>4577</v>
      </c>
      <c r="C869" t="s" s="11">
        <v>27</v>
      </c>
      <c r="D869" t="s" s="11">
        <v>28</v>
      </c>
      <c r="E869" t="s" s="11">
        <v>373</v>
      </c>
      <c r="F869" t="s" s="28">
        <v>30</v>
      </c>
      <c r="G869" t="s" s="11">
        <v>40</v>
      </c>
      <c r="H869" s="43">
        <v>10</v>
      </c>
      <c r="I869" s="43">
        <v>119.44</v>
      </c>
      <c r="J869" t="s" s="11">
        <v>4578</v>
      </c>
      <c r="K869" t="s" s="11">
        <v>4579</v>
      </c>
      <c r="L869" s="17">
        <f>HYPERLINK("http://www.ioniapay.com", "www.ioniapay.com")</f>
      </c>
      <c r="M869" s="17">
        <f>HYPERLINK("https://my.pitchbook.com?c=131276-08", "View Company Online")</f>
      </c>
    </row>
    <row r="870">
      <c r="A870" t="s" s="10">
        <v>4581</v>
      </c>
      <c r="B870" t="s" s="10">
        <v>4582</v>
      </c>
      <c r="C870" t="s" s="10">
        <v>27</v>
      </c>
      <c r="D870" t="s" s="10">
        <v>28</v>
      </c>
      <c r="E870" t="s" s="10">
        <v>414</v>
      </c>
      <c r="F870" s="27">
        <v>45117</v>
      </c>
      <c r="G870" t="s" s="10">
        <v>40</v>
      </c>
      <c r="H870" t="s" s="42">
        <v>30</v>
      </c>
      <c r="I870" s="42">
        <v>119.37</v>
      </c>
      <c r="J870" t="s" s="10">
        <v>4583</v>
      </c>
      <c r="K870" t="s" s="10">
        <v>4584</v>
      </c>
      <c r="L870" s="16">
        <f>HYPERLINK("http://www.cellulant.io", "www.cellulant.io")</f>
      </c>
      <c r="M870" s="16">
        <f>HYPERLINK("https://my.pitchbook.com?c=60628-96", "View Company Online")</f>
      </c>
    </row>
    <row r="871">
      <c r="A871" t="s" s="11">
        <v>4586</v>
      </c>
      <c r="B871" t="s" s="11">
        <v>4587</v>
      </c>
      <c r="C871" t="s" s="11">
        <v>27</v>
      </c>
      <c r="D871" t="s" s="11">
        <v>70</v>
      </c>
      <c r="E871" t="s" s="11">
        <v>259</v>
      </c>
      <c r="F871" s="28">
        <v>46217</v>
      </c>
      <c r="G871" t="s" s="11">
        <v>138</v>
      </c>
      <c r="H871" t="s" s="43">
        <v>30</v>
      </c>
      <c r="I871" s="43">
        <v>119.02</v>
      </c>
      <c r="J871" t="s" s="11">
        <v>4588</v>
      </c>
      <c r="K871" t="s" s="11">
        <v>30</v>
      </c>
      <c r="L871" s="17">
        <f>HYPERLINK("http://www.qolo.io", "www.qolo.io")</f>
      </c>
      <c r="M871" s="17">
        <f>HYPERLINK("https://my.pitchbook.com?c=437675-86", "View Company Online")</f>
      </c>
    </row>
    <row r="872">
      <c r="A872" t="s" s="10">
        <v>4590</v>
      </c>
      <c r="B872" t="s" s="10">
        <v>4591</v>
      </c>
      <c r="C872" t="s" s="10">
        <v>60</v>
      </c>
      <c r="D872" t="s" s="10">
        <v>246</v>
      </c>
      <c r="E872" t="s" s="10">
        <v>270</v>
      </c>
      <c r="F872" s="27">
        <v>44617</v>
      </c>
      <c r="G872" t="s" s="10">
        <v>40</v>
      </c>
      <c r="H872" s="42">
        <v>18.5</v>
      </c>
      <c r="I872" s="42">
        <v>118.5</v>
      </c>
      <c r="J872" t="s" s="10">
        <v>4592</v>
      </c>
      <c r="K872" t="s" s="10">
        <v>4593</v>
      </c>
      <c r="L872" s="16">
        <f>HYPERLINK("http://www.doxo.com", "www.doxo.com")</f>
      </c>
      <c r="M872" s="16">
        <f>HYPERLINK("https://my.pitchbook.com?c=51596-29", "View Company Online")</f>
      </c>
    </row>
    <row r="873">
      <c r="A873" t="s" s="11">
        <v>4595</v>
      </c>
      <c r="B873" t="s" s="11">
        <v>4596</v>
      </c>
      <c r="C873" t="s" s="11">
        <v>144</v>
      </c>
      <c r="D873" t="s" s="11">
        <v>38</v>
      </c>
      <c r="E873" t="s" s="11">
        <v>4597</v>
      </c>
      <c r="F873" t="s" s="28">
        <v>30</v>
      </c>
      <c r="G873" t="s" s="11">
        <v>31</v>
      </c>
      <c r="H873" t="s" s="43">
        <v>30</v>
      </c>
      <c r="I873" s="43">
        <v>118</v>
      </c>
      <c r="J873" t="s" s="11">
        <v>4598</v>
      </c>
      <c r="K873" t="s" s="11">
        <v>4599</v>
      </c>
      <c r="L873" s="17">
        <f>HYPERLINK("http://www.greencheckverified.com", "www.greencheckverified.com")</f>
      </c>
      <c r="M873" s="17">
        <f>HYPERLINK("https://my.pitchbook.com?c=234881-56", "View Company Online")</f>
      </c>
    </row>
    <row r="874">
      <c r="A874" t="s" s="10">
        <v>4601</v>
      </c>
      <c r="B874" t="s" s="10">
        <v>4602</v>
      </c>
      <c r="C874" t="s" s="10">
        <v>114</v>
      </c>
      <c r="D874" t="s" s="10">
        <v>852</v>
      </c>
      <c r="E874" t="s" s="10">
        <v>367</v>
      </c>
      <c r="F874" s="27">
        <v>45670</v>
      </c>
      <c r="G874" t="s" s="10">
        <v>40</v>
      </c>
      <c r="H874" s="42">
        <v>44.8</v>
      </c>
      <c r="I874" s="42">
        <v>118</v>
      </c>
      <c r="J874" t="s" s="10">
        <v>4603</v>
      </c>
      <c r="K874" t="s" s="10">
        <v>4604</v>
      </c>
      <c r="L874" s="16">
        <f>HYPERLINK("http://www.sellersfi.com", "www.sellersfi.com")</f>
      </c>
      <c r="M874" s="16">
        <f>HYPERLINK("https://my.pitchbook.com?c=235007-65", "View Company Online")</f>
      </c>
    </row>
    <row r="875">
      <c r="A875" t="s" s="11">
        <v>4606</v>
      </c>
      <c r="B875" t="s" s="11">
        <v>4607</v>
      </c>
      <c r="C875" t="s" s="11">
        <v>60</v>
      </c>
      <c r="D875" t="s" s="11">
        <v>246</v>
      </c>
      <c r="E875" t="s" s="11">
        <v>373</v>
      </c>
      <c r="F875" s="28">
        <v>45982</v>
      </c>
      <c r="G875" t="s" s="11">
        <v>31</v>
      </c>
      <c r="H875" s="43">
        <v>5</v>
      </c>
      <c r="I875" s="43">
        <v>117.5</v>
      </c>
      <c r="J875" t="s" s="11">
        <v>4608</v>
      </c>
      <c r="K875" t="s" s="11">
        <v>4609</v>
      </c>
      <c r="L875" s="17">
        <f>HYPERLINK("http://runway.cfo.ai", "runway.cfo.ai")</f>
      </c>
      <c r="M875" s="17">
        <f>HYPERLINK("https://my.pitchbook.com?c=437187-52", "View Company Online")</f>
      </c>
    </row>
    <row r="876">
      <c r="A876" t="s" s="10">
        <v>4611</v>
      </c>
      <c r="B876" t="s" s="10">
        <v>4612</v>
      </c>
      <c r="C876" t="s" s="10">
        <v>222</v>
      </c>
      <c r="D876" t="s" s="10">
        <v>537</v>
      </c>
      <c r="E876" t="s" s="10">
        <v>193</v>
      </c>
      <c r="F876" s="27">
        <v>45931</v>
      </c>
      <c r="G876" t="s" s="10">
        <v>48</v>
      </c>
      <c r="H876" t="s" s="42">
        <v>30</v>
      </c>
      <c r="I876" s="42">
        <v>116.96</v>
      </c>
      <c r="J876" t="s" s="10">
        <v>4613</v>
      </c>
      <c r="K876" t="s" s="10">
        <v>4614</v>
      </c>
      <c r="L876" s="16">
        <f>HYPERLINK("http://www.openmineral.com", "www.openmineral.com")</f>
      </c>
      <c r="M876" s="16">
        <f>HYPERLINK("https://my.pitchbook.com?c=182983-42", "View Company Online")</f>
      </c>
    </row>
    <row r="877">
      <c r="A877" t="s" s="11">
        <v>4616</v>
      </c>
      <c r="B877" t="s" s="11">
        <v>4617</v>
      </c>
      <c r="C877" t="s" s="11">
        <v>128</v>
      </c>
      <c r="D877" t="s" s="11">
        <v>129</v>
      </c>
      <c r="E877" t="s" s="11">
        <v>4618</v>
      </c>
      <c r="F877" t="s" s="28">
        <v>30</v>
      </c>
      <c r="G877" t="s" s="11">
        <v>31</v>
      </c>
      <c r="H877" t="s" s="43">
        <v>30</v>
      </c>
      <c r="I877" s="43">
        <v>116.56</v>
      </c>
      <c r="J877" t="s" s="11">
        <v>4619</v>
      </c>
      <c r="K877" t="s" s="11">
        <v>4620</v>
      </c>
      <c r="L877" s="17">
        <f>HYPERLINK("http://www.modemobile.com", "www.modemobile.com")</f>
      </c>
      <c r="M877" s="17">
        <f>HYPERLINK("https://my.pitchbook.com?c=187694-38", "View Company Online")</f>
      </c>
    </row>
    <row r="878">
      <c r="A878" t="s" s="10">
        <v>4622</v>
      </c>
      <c r="B878" t="s" s="10">
        <v>4623</v>
      </c>
      <c r="C878" t="s" s="10">
        <v>114</v>
      </c>
      <c r="D878" t="s" s="10">
        <v>115</v>
      </c>
      <c r="E878" t="s" s="10">
        <v>137</v>
      </c>
      <c r="F878" s="27">
        <v>46050</v>
      </c>
      <c r="G878" t="s" s="10">
        <v>40</v>
      </c>
      <c r="H878" s="42">
        <v>30</v>
      </c>
      <c r="I878" s="42">
        <v>116.34</v>
      </c>
      <c r="J878" t="s" s="10">
        <v>4624</v>
      </c>
      <c r="K878" t="s" s="10">
        <v>4625</v>
      </c>
      <c r="L878" s="16">
        <f>HYPERLINK("http://www.easyhomefinance.in", "www.easyhomefinance.in")</f>
      </c>
      <c r="M878" s="16">
        <f>HYPERLINK("https://my.pitchbook.com?c=470815-84", "View Company Online")</f>
      </c>
    </row>
    <row r="879">
      <c r="A879" t="s" s="11">
        <v>4627</v>
      </c>
      <c r="B879" t="s" s="11">
        <v>4628</v>
      </c>
      <c r="C879" t="s" s="11">
        <v>60</v>
      </c>
      <c r="D879" t="s" s="11">
        <v>727</v>
      </c>
      <c r="E879" t="s" s="11">
        <v>137</v>
      </c>
      <c r="F879" s="28">
        <v>44684</v>
      </c>
      <c r="G879" t="s" s="11">
        <v>146</v>
      </c>
      <c r="H879" s="43">
        <v>29.88</v>
      </c>
      <c r="I879" s="43">
        <v>116.3</v>
      </c>
      <c r="J879" t="s" s="11">
        <v>4629</v>
      </c>
      <c r="K879" t="s" s="11">
        <v>4630</v>
      </c>
      <c r="L879" s="17">
        <f>HYPERLINK("http://www.titanbay.com", "www.titanbay.com")</f>
      </c>
      <c r="M879" s="17">
        <f>HYPERLINK("https://my.pitchbook.com?c=435411-37", "View Company Online")</f>
      </c>
    </row>
    <row r="880">
      <c r="A880" t="s" s="10">
        <v>4632</v>
      </c>
      <c r="B880" t="s" s="10">
        <v>4633</v>
      </c>
      <c r="C880" t="s" s="10">
        <v>27</v>
      </c>
      <c r="D880" t="s" s="10">
        <v>28</v>
      </c>
      <c r="E880" t="s" s="10">
        <v>253</v>
      </c>
      <c r="F880" t="s" s="27">
        <v>30</v>
      </c>
      <c r="G880" t="s" s="10">
        <v>607</v>
      </c>
      <c r="H880" t="s" s="42">
        <v>30</v>
      </c>
      <c r="I880" s="42">
        <v>116.12</v>
      </c>
      <c r="J880" t="s" s="10">
        <v>4634</v>
      </c>
      <c r="K880" t="s" s="10">
        <v>4635</v>
      </c>
      <c r="L880" s="16">
        <f>HYPERLINK("http://www.fintecture.com", "www.fintecture.com")</f>
      </c>
      <c r="M880" s="16">
        <f>HYPERLINK("https://my.pitchbook.com?c=267901-30", "View Company Online")</f>
      </c>
    </row>
    <row r="881">
      <c r="A881" t="s" s="11">
        <v>4637</v>
      </c>
      <c r="B881" t="s" s="11">
        <v>4638</v>
      </c>
      <c r="C881" t="s" s="11">
        <v>114</v>
      </c>
      <c r="D881" t="s" s="11">
        <v>136</v>
      </c>
      <c r="E881" t="s" s="11">
        <v>29</v>
      </c>
      <c r="F881" s="28">
        <v>45216</v>
      </c>
      <c r="G881" t="s" s="11">
        <v>48</v>
      </c>
      <c r="H881" t="s" s="43">
        <v>30</v>
      </c>
      <c r="I881" s="43">
        <v>115.88</v>
      </c>
      <c r="J881" t="s" s="11">
        <v>4639</v>
      </c>
      <c r="K881" t="s" s="11">
        <v>4640</v>
      </c>
      <c r="L881" s="17">
        <f>HYPERLINK("http://www.creditspring.co.uk", "www.creditspring.co.uk")</f>
      </c>
      <c r="M881" s="17">
        <f>HYPERLINK("https://my.pitchbook.com?c=184626-64", "View Company Online")</f>
      </c>
    </row>
    <row r="882">
      <c r="A882" t="s" s="10">
        <v>4642</v>
      </c>
      <c r="B882" t="s" s="10">
        <v>4643</v>
      </c>
      <c r="C882" t="s" s="10">
        <v>114</v>
      </c>
      <c r="D882" t="s" s="10">
        <v>136</v>
      </c>
      <c r="E882" t="s" s="10">
        <v>193</v>
      </c>
      <c r="F882" s="27">
        <v>45832</v>
      </c>
      <c r="G882" t="s" s="10">
        <v>31</v>
      </c>
      <c r="H882" s="42">
        <v>405.42</v>
      </c>
      <c r="I882" s="42">
        <v>115.83</v>
      </c>
      <c r="J882" t="s" s="10">
        <v>4644</v>
      </c>
      <c r="K882" t="s" s="10">
        <v>4645</v>
      </c>
      <c r="L882" s="16">
        <f>HYPERLINK("http://www.carmoola.co.uk", "www.carmoola.co.uk")</f>
      </c>
      <c r="M882" s="16">
        <f>HYPERLINK("https://my.pitchbook.com?c=472081-42", "View Company Online")</f>
      </c>
    </row>
    <row r="883">
      <c r="A883" t="s" s="11">
        <v>4647</v>
      </c>
      <c r="B883" t="s" s="11">
        <v>4648</v>
      </c>
      <c r="C883" t="s" s="11">
        <v>172</v>
      </c>
      <c r="D883" t="s" s="11">
        <v>1454</v>
      </c>
      <c r="E883" t="s" s="11">
        <v>1964</v>
      </c>
      <c r="F883" s="28">
        <v>45566</v>
      </c>
      <c r="G883" t="s" s="11">
        <v>607</v>
      </c>
      <c r="H883" t="s" s="43">
        <v>30</v>
      </c>
      <c r="I883" s="43">
        <v>115.09</v>
      </c>
      <c r="J883" t="s" s="11">
        <v>4649</v>
      </c>
      <c r="K883" t="s" s="11">
        <v>4650</v>
      </c>
      <c r="L883" s="17">
        <f>HYPERLINK("http://www.creditbenchmark.com", "www.creditbenchmark.com")</f>
      </c>
      <c r="M883" s="17">
        <f>HYPERLINK("https://my.pitchbook.com?c=64778-50", "View Company Online")</f>
      </c>
    </row>
    <row r="884">
      <c r="A884" t="s" s="10">
        <v>4652</v>
      </c>
      <c r="B884" t="s" s="10">
        <v>4653</v>
      </c>
      <c r="C884" t="s" s="10">
        <v>164</v>
      </c>
      <c r="D884" t="s" s="10">
        <v>165</v>
      </c>
      <c r="E884" t="s" s="10">
        <v>253</v>
      </c>
      <c r="F884" s="27">
        <v>46155</v>
      </c>
      <c r="G884" t="s" s="10">
        <v>2051</v>
      </c>
      <c r="H884" t="s" s="42">
        <v>30</v>
      </c>
      <c r="I884" s="42">
        <v>115</v>
      </c>
      <c r="J884" t="s" s="10">
        <v>4654</v>
      </c>
      <c r="K884" t="s" s="10">
        <v>30</v>
      </c>
      <c r="L884" s="16">
        <f>HYPERLINK("http://www.archwaysoftware.com", "www.archwaysoftware.com")</f>
      </c>
      <c r="M884" s="16">
        <f>HYPERLINK("https://my.pitchbook.com?c=520924-06", "View Company Online")</f>
      </c>
    </row>
    <row r="885">
      <c r="A885" t="s" s="11">
        <v>4656</v>
      </c>
      <c r="B885" t="s" s="11">
        <v>4657</v>
      </c>
      <c r="C885" t="s" s="11">
        <v>60</v>
      </c>
      <c r="D885" t="s" s="11">
        <v>192</v>
      </c>
      <c r="E885" t="s" s="11">
        <v>253</v>
      </c>
      <c r="F885" s="28">
        <v>45896</v>
      </c>
      <c r="G885" t="s" s="11">
        <v>40</v>
      </c>
      <c r="H885" s="43">
        <v>29.9</v>
      </c>
      <c r="I885" s="43">
        <v>115</v>
      </c>
      <c r="J885" t="s" s="11">
        <v>4658</v>
      </c>
      <c r="K885" t="s" s="11">
        <v>4659</v>
      </c>
      <c r="L885" s="17">
        <f>HYPERLINK("http://www.atomicvest.com", "www.atomicvest.com")</f>
      </c>
      <c r="M885" s="17">
        <f>HYPERLINK("https://my.pitchbook.com?c=442540-90", "View Company Online")</f>
      </c>
    </row>
    <row r="886">
      <c r="A886" t="s" s="10">
        <v>4661</v>
      </c>
      <c r="B886" t="s" s="10">
        <v>4662</v>
      </c>
      <c r="C886" t="s" s="10">
        <v>114</v>
      </c>
      <c r="D886" t="s" s="10">
        <v>870</v>
      </c>
      <c r="E886" t="s" s="10">
        <v>29</v>
      </c>
      <c r="F886" s="27">
        <v>44592</v>
      </c>
      <c r="G886" t="s" s="10">
        <v>40</v>
      </c>
      <c r="H886" s="42">
        <v>16.2</v>
      </c>
      <c r="I886" s="42">
        <v>115</v>
      </c>
      <c r="J886" t="s" s="10">
        <v>4663</v>
      </c>
      <c r="K886" t="s" s="10">
        <v>4664</v>
      </c>
      <c r="L886" s="16">
        <f>HYPERLINK("http://www.floatme.com", "www.floatme.com")</f>
      </c>
      <c r="M886" s="16">
        <f>HYPERLINK("https://my.pitchbook.com?c=231898-24", "View Company Online")</f>
      </c>
    </row>
    <row r="887">
      <c r="A887" t="s" s="11">
        <v>4666</v>
      </c>
      <c r="B887" t="s" s="11">
        <v>4667</v>
      </c>
      <c r="C887" t="s" s="11">
        <v>27</v>
      </c>
      <c r="D887" t="s" s="11">
        <v>70</v>
      </c>
      <c r="E887" t="s" s="11">
        <v>253</v>
      </c>
      <c r="F887" s="28">
        <v>45292</v>
      </c>
      <c r="G887" t="s" s="11">
        <v>607</v>
      </c>
      <c r="H887" t="s" s="43">
        <v>30</v>
      </c>
      <c r="I887" s="43">
        <v>115</v>
      </c>
      <c r="J887" t="s" s="11">
        <v>4668</v>
      </c>
      <c r="K887" t="s" s="11">
        <v>4669</v>
      </c>
      <c r="L887" s="17">
        <f>HYPERLINK("http://www.gr4vy.com", "www.gr4vy.com")</f>
      </c>
      <c r="M887" s="17">
        <f>HYPERLINK("https://my.pitchbook.com?c=454838-14", "View Company Online")</f>
      </c>
    </row>
    <row r="888">
      <c r="A888" t="s" s="10">
        <v>4671</v>
      </c>
      <c r="B888" t="s" s="10">
        <v>4672</v>
      </c>
      <c r="C888" t="s" s="10">
        <v>172</v>
      </c>
      <c r="D888" t="s" s="10">
        <v>173</v>
      </c>
      <c r="E888" t="s" s="10">
        <v>493</v>
      </c>
      <c r="F888" s="27">
        <v>45545</v>
      </c>
      <c r="G888" t="s" s="10">
        <v>40</v>
      </c>
      <c r="H888" s="42">
        <v>10.5</v>
      </c>
      <c r="I888" s="42">
        <v>115</v>
      </c>
      <c r="J888" t="s" s="10">
        <v>4673</v>
      </c>
      <c r="K888" t="s" s="10">
        <v>4674</v>
      </c>
      <c r="L888" s="16">
        <f>HYPERLINK("http://www.inscribe.ai", "www.inscribe.ai")</f>
      </c>
      <c r="M888" s="16">
        <f>HYPERLINK("https://my.pitchbook.com?c=227108-53", "View Company Online")</f>
      </c>
    </row>
    <row r="889">
      <c r="A889" t="s" s="11">
        <v>4676</v>
      </c>
      <c r="B889" t="s" s="11">
        <v>4677</v>
      </c>
      <c r="C889" t="s" s="11">
        <v>114</v>
      </c>
      <c r="D889" t="s" s="11">
        <v>136</v>
      </c>
      <c r="E889" t="s" s="11">
        <v>137</v>
      </c>
      <c r="F889" s="28">
        <v>46203</v>
      </c>
      <c r="G889" t="s" s="11">
        <v>40</v>
      </c>
      <c r="H889" s="43">
        <v>60</v>
      </c>
      <c r="I889" s="43">
        <v>115</v>
      </c>
      <c r="J889" t="s" s="11">
        <v>4678</v>
      </c>
      <c r="K889" t="s" s="11">
        <v>4679</v>
      </c>
      <c r="L889" s="17">
        <f>HYPERLINK("http://www.kashable.com", "www.kashable.com")</f>
      </c>
      <c r="M889" s="17">
        <f>HYPERLINK("https://my.pitchbook.com?c=109039-69", "View Company Online")</f>
      </c>
    </row>
    <row r="890">
      <c r="A890" t="s" s="10">
        <v>4681</v>
      </c>
      <c r="B890" t="s" s="10">
        <v>4682</v>
      </c>
      <c r="C890" t="s" s="10">
        <v>172</v>
      </c>
      <c r="D890" t="s" s="10">
        <v>173</v>
      </c>
      <c r="E890" t="s" s="10">
        <v>137</v>
      </c>
      <c r="F890" s="27">
        <v>46085</v>
      </c>
      <c r="G890" t="s" s="10">
        <v>4267</v>
      </c>
      <c r="H890" s="42">
        <v>15</v>
      </c>
      <c r="I890" s="42">
        <v>115</v>
      </c>
      <c r="J890" t="s" s="10">
        <v>4683</v>
      </c>
      <c r="K890" t="s" s="10">
        <v>4684</v>
      </c>
      <c r="L890" s="16">
        <f>HYPERLINK("http://www.pmtbox.com", "www.pmtbox.com")</f>
      </c>
      <c r="M890" s="16">
        <f>HYPERLINK("https://my.pitchbook.com?c=1307726-56", "View Company Online")</f>
      </c>
    </row>
    <row r="891">
      <c r="A891" t="s" s="11">
        <v>4686</v>
      </c>
      <c r="B891" t="s" s="11">
        <v>4687</v>
      </c>
      <c r="C891" t="s" s="11">
        <v>114</v>
      </c>
      <c r="D891" t="s" s="11">
        <v>870</v>
      </c>
      <c r="E891" t="s" s="11">
        <v>367</v>
      </c>
      <c r="F891" s="28">
        <v>46063</v>
      </c>
      <c r="G891" t="s" s="11">
        <v>40</v>
      </c>
      <c r="H891" s="43">
        <v>22.75</v>
      </c>
      <c r="I891" s="43">
        <v>114.84</v>
      </c>
      <c r="J891" t="s" s="11">
        <v>4688</v>
      </c>
      <c r="K891" t="s" s="11">
        <v>4689</v>
      </c>
      <c r="L891" s="17">
        <f>HYPERLINK("http://www.olyv.co.in", "www.olyv.co.in")</f>
      </c>
      <c r="M891" s="17">
        <f>HYPERLINK("https://my.pitchbook.com?c=108884-80", "View Company Online")</f>
      </c>
    </row>
    <row r="892">
      <c r="A892" t="s" s="10">
        <v>4691</v>
      </c>
      <c r="B892" t="s" s="10">
        <v>4692</v>
      </c>
      <c r="C892" t="s" s="10">
        <v>114</v>
      </c>
      <c r="D892" t="s" s="10">
        <v>136</v>
      </c>
      <c r="E892" t="s" s="10">
        <v>4693</v>
      </c>
      <c r="F892" s="27">
        <v>46107</v>
      </c>
      <c r="G892" t="s" s="10">
        <v>40</v>
      </c>
      <c r="H892" s="42">
        <v>25</v>
      </c>
      <c r="I892" s="42">
        <v>114</v>
      </c>
      <c r="J892" t="s" s="10">
        <v>4694</v>
      </c>
      <c r="K892" t="s" s="10">
        <v>4695</v>
      </c>
      <c r="L892" s="16">
        <f>HYPERLINK("http://www.clasp.com", "www.clasp.com")</f>
      </c>
      <c r="M892" s="16">
        <f>HYPERLINK("https://my.pitchbook.com?c=266156-38", "View Company Online")</f>
      </c>
    </row>
    <row r="893">
      <c r="A893" t="s" s="11">
        <v>4697</v>
      </c>
      <c r="B893" t="s" s="11">
        <v>4698</v>
      </c>
      <c r="C893" t="s" s="11">
        <v>114</v>
      </c>
      <c r="D893" t="s" s="11">
        <v>115</v>
      </c>
      <c r="E893" t="s" s="11">
        <v>4699</v>
      </c>
      <c r="F893" s="28">
        <v>45868</v>
      </c>
      <c r="G893" t="s" s="11">
        <v>40</v>
      </c>
      <c r="H893" s="43">
        <v>15</v>
      </c>
      <c r="I893" s="43">
        <v>114</v>
      </c>
      <c r="J893" t="s" s="11">
        <v>4700</v>
      </c>
      <c r="K893" t="s" s="11">
        <v>4701</v>
      </c>
      <c r="L893" s="17">
        <f>HYPERLINK("http://www.flyhomes.com", "www.flyhomes.com")</f>
      </c>
      <c r="M893" s="17">
        <f>HYPERLINK("https://my.pitchbook.com?c=160138-72", "View Company Online")</f>
      </c>
    </row>
    <row r="894">
      <c r="A894" t="s" s="10">
        <v>4703</v>
      </c>
      <c r="B894" t="s" s="10">
        <v>4704</v>
      </c>
      <c r="C894" t="s" s="10">
        <v>172</v>
      </c>
      <c r="D894" t="s" s="10">
        <v>338</v>
      </c>
      <c r="E894" t="s" s="10">
        <v>253</v>
      </c>
      <c r="F894" s="27">
        <v>45047</v>
      </c>
      <c r="G894" t="s" s="10">
        <v>40</v>
      </c>
      <c r="H894" s="42">
        <v>13.5</v>
      </c>
      <c r="I894" s="42">
        <v>113.5</v>
      </c>
      <c r="J894" t="s" s="10">
        <v>4705</v>
      </c>
      <c r="K894" t="s" s="10">
        <v>4706</v>
      </c>
      <c r="L894" s="16">
        <f>HYPERLINK("http://www.monetago.com", "www.monetago.com")</f>
      </c>
      <c r="M894" s="16">
        <f>HYPERLINK("https://my.pitchbook.com?c=159106-15", "View Company Online")</f>
      </c>
    </row>
    <row r="895">
      <c r="A895" t="s" s="11">
        <v>4708</v>
      </c>
      <c r="B895" t="s" s="11">
        <v>4709</v>
      </c>
      <c r="C895" t="s" s="11">
        <v>46</v>
      </c>
      <c r="D895" t="s" s="11">
        <v>397</v>
      </c>
      <c r="E895" t="s" s="11">
        <v>1964</v>
      </c>
      <c r="F895" s="28">
        <v>46023</v>
      </c>
      <c r="G895" t="s" s="11">
        <v>607</v>
      </c>
      <c r="H895" t="s" s="43">
        <v>30</v>
      </c>
      <c r="I895" s="43">
        <v>113.37</v>
      </c>
      <c r="J895" t="s" s="11">
        <v>4710</v>
      </c>
      <c r="K895" t="s" s="11">
        <v>4711</v>
      </c>
      <c r="L895" s="17">
        <f>HYPERLINK("http://www.myu.fr", "www.myu.fr")</f>
      </c>
      <c r="M895" s="17">
        <f>HYPERLINK("https://my.pitchbook.com?c=493494-94", "View Company Online")</f>
      </c>
    </row>
    <row r="896">
      <c r="A896" t="s" s="10">
        <v>4713</v>
      </c>
      <c r="B896" t="s" s="10">
        <v>4714</v>
      </c>
      <c r="C896" t="s" s="10">
        <v>37</v>
      </c>
      <c r="D896" t="s" s="10">
        <v>304</v>
      </c>
      <c r="E896" t="s" s="10">
        <v>185</v>
      </c>
      <c r="F896" s="27">
        <v>45841</v>
      </c>
      <c r="G896" t="s" s="10">
        <v>40</v>
      </c>
      <c r="H896" s="42">
        <v>3.31</v>
      </c>
      <c r="I896" s="42">
        <v>113.31</v>
      </c>
      <c r="J896" t="s" s="10">
        <v>4715</v>
      </c>
      <c r="K896" t="s" s="10">
        <v>4716</v>
      </c>
      <c r="L896" s="16">
        <f>HYPERLINK("http://www.jifiti.com", "www.jifiti.com")</f>
      </c>
      <c r="M896" s="16">
        <f>HYPERLINK("https://my.pitchbook.com?c=55640-08", "View Company Online")</f>
      </c>
    </row>
    <row r="897">
      <c r="A897" t="s" s="11">
        <v>4718</v>
      </c>
      <c r="B897" t="s" s="11">
        <v>4719</v>
      </c>
      <c r="C897" t="s" s="11">
        <v>60</v>
      </c>
      <c r="D897" t="s" s="11">
        <v>727</v>
      </c>
      <c r="E897" t="s" s="11">
        <v>4720</v>
      </c>
      <c r="F897" s="28">
        <v>44477</v>
      </c>
      <c r="G897" t="s" s="11">
        <v>40</v>
      </c>
      <c r="H897" s="43">
        <v>5.17</v>
      </c>
      <c r="I897" s="43">
        <v>113.29</v>
      </c>
      <c r="J897" t="s" s="11">
        <v>4721</v>
      </c>
      <c r="K897" t="s" s="11">
        <v>4722</v>
      </c>
      <c r="L897" s="17">
        <f>HYPERLINK("http://www.landbay.co.uk", "www.landbay.co.uk")</f>
      </c>
      <c r="M897" s="17">
        <f>HYPERLINK("https://my.pitchbook.com?c=62352-64", "View Company Online")</f>
      </c>
    </row>
    <row r="898">
      <c r="A898" t="s" s="10">
        <v>4724</v>
      </c>
      <c r="B898" t="s" s="10">
        <v>4725</v>
      </c>
      <c r="C898" t="s" s="10">
        <v>144</v>
      </c>
      <c r="D898" t="s" s="10">
        <v>297</v>
      </c>
      <c r="E898" t="s" s="10">
        <v>137</v>
      </c>
      <c r="F898" s="27">
        <v>45793</v>
      </c>
      <c r="G898" t="s" s="10">
        <v>48</v>
      </c>
      <c r="H898" t="s" s="42">
        <v>30</v>
      </c>
      <c r="I898" s="42">
        <v>112.56</v>
      </c>
      <c r="J898" t="s" s="10">
        <v>4726</v>
      </c>
      <c r="K898" t="s" s="10">
        <v>4727</v>
      </c>
      <c r="L898" s="16">
        <f>HYPERLINK("http://www.weareuncapped.com", "www.weareuncapped.com")</f>
      </c>
      <c r="M898" s="16">
        <f>HYPERLINK("https://my.pitchbook.com?c=343360-27", "View Company Online")</f>
      </c>
    </row>
    <row r="899">
      <c r="A899" t="s" s="11">
        <v>4729</v>
      </c>
      <c r="B899" t="s" s="11">
        <v>4730</v>
      </c>
      <c r="C899" t="s" s="11">
        <v>27</v>
      </c>
      <c r="D899" t="s" s="11">
        <v>70</v>
      </c>
      <c r="E899" t="s" s="11">
        <v>253</v>
      </c>
      <c r="F899" s="28">
        <v>45036</v>
      </c>
      <c r="G899" t="s" s="11">
        <v>40</v>
      </c>
      <c r="H899" s="43">
        <v>40.35</v>
      </c>
      <c r="I899" s="43">
        <v>112.22</v>
      </c>
      <c r="J899" t="s" s="11">
        <v>4731</v>
      </c>
      <c r="K899" t="s" s="11">
        <v>4732</v>
      </c>
      <c r="L899" s="17">
        <f>HYPERLINK("http://www.mooncard.co", "www.mooncard.co")</f>
      </c>
      <c r="M899" s="17">
        <f>HYPERLINK("https://my.pitchbook.com?c=233698-87", "View Company Online")</f>
      </c>
    </row>
    <row r="900">
      <c r="A900" t="s" s="10">
        <v>4734</v>
      </c>
      <c r="B900" t="s" s="10">
        <v>4735</v>
      </c>
      <c r="C900" t="s" s="10">
        <v>60</v>
      </c>
      <c r="D900" t="s" s="10">
        <v>420</v>
      </c>
      <c r="E900" t="s" s="10">
        <v>2824</v>
      </c>
      <c r="F900" s="27">
        <v>45496</v>
      </c>
      <c r="G900" t="s" s="10">
        <v>31</v>
      </c>
      <c r="H900" s="42">
        <v>22.71</v>
      </c>
      <c r="I900" s="42">
        <v>111.96</v>
      </c>
      <c r="J900" t="s" s="10">
        <v>4736</v>
      </c>
      <c r="K900" t="s" s="10">
        <v>4737</v>
      </c>
      <c r="L900" s="16">
        <f>HYPERLINK("http://www.xempus.ai", "www.xempus.ai")</f>
      </c>
      <c r="M900" s="16">
        <f>HYPERLINK("https://my.pitchbook.com?c=100385-83", "View Company Online")</f>
      </c>
    </row>
    <row r="901">
      <c r="A901" t="s" s="11">
        <v>4739</v>
      </c>
      <c r="B901" t="s" s="11">
        <v>4740</v>
      </c>
      <c r="C901" t="s" s="11">
        <v>222</v>
      </c>
      <c r="D901" t="s" s="11">
        <v>252</v>
      </c>
      <c r="E901" t="s" s="11">
        <v>916</v>
      </c>
      <c r="F901" s="28">
        <v>44986</v>
      </c>
      <c r="G901" t="s" s="11">
        <v>48</v>
      </c>
      <c r="H901" t="s" s="43">
        <v>30</v>
      </c>
      <c r="I901" s="43">
        <v>111.93</v>
      </c>
      <c r="J901" t="s" s="11">
        <v>4741</v>
      </c>
      <c r="K901" t="s" s="11">
        <v>4742</v>
      </c>
      <c r="L901" s="17">
        <f>HYPERLINK("http://www.peernova.com", "www.peernova.com")</f>
      </c>
      <c r="M901" s="17">
        <f>HYPERLINK("https://my.pitchbook.com?c=62851-60", "View Company Online")</f>
      </c>
    </row>
    <row r="902">
      <c r="A902" t="s" s="10">
        <v>4744</v>
      </c>
      <c r="B902" t="s" s="10">
        <v>4745</v>
      </c>
      <c r="C902" t="s" s="10">
        <v>46</v>
      </c>
      <c r="D902" t="s" s="10">
        <v>397</v>
      </c>
      <c r="E902" t="s" s="10">
        <v>1578</v>
      </c>
      <c r="F902" s="27">
        <v>45547</v>
      </c>
      <c r="G902" t="s" s="10">
        <v>146</v>
      </c>
      <c r="H902" s="42">
        <v>22.5</v>
      </c>
      <c r="I902" s="42">
        <v>111.2</v>
      </c>
      <c r="J902" t="s" s="10">
        <v>4746</v>
      </c>
      <c r="K902" t="s" s="10">
        <v>4747</v>
      </c>
      <c r="L902" s="16">
        <f>HYPERLINK("http://www.every.io", "www.every.io")</f>
      </c>
      <c r="M902" s="16">
        <f>HYPERLINK("https://my.pitchbook.com?c=500869-54", "View Company Online")</f>
      </c>
    </row>
    <row r="903">
      <c r="A903" t="s" s="11">
        <v>4749</v>
      </c>
      <c r="B903" t="s" s="11">
        <v>4750</v>
      </c>
      <c r="C903" t="s" s="11">
        <v>27</v>
      </c>
      <c r="D903" t="s" s="11">
        <v>28</v>
      </c>
      <c r="E903" t="s" s="11">
        <v>4751</v>
      </c>
      <c r="F903" s="28">
        <v>45306</v>
      </c>
      <c r="G903" t="s" s="11">
        <v>146</v>
      </c>
      <c r="H903" s="43">
        <v>7.58</v>
      </c>
      <c r="I903" s="43">
        <v>111.01</v>
      </c>
      <c r="J903" t="s" s="11">
        <v>4752</v>
      </c>
      <c r="K903" t="s" s="11">
        <v>4753</v>
      </c>
      <c r="L903" s="17">
        <f>HYPERLINK("http://www.vdrobotics.co.kr", "www.vdrobotics.co.kr")</f>
      </c>
      <c r="M903" s="17">
        <f>HYPERLINK("https://my.pitchbook.com?c=513185-23", "View Company Online")</f>
      </c>
    </row>
    <row r="904">
      <c r="A904" t="s" s="10">
        <v>4755</v>
      </c>
      <c r="B904" t="s" s="10">
        <v>4756</v>
      </c>
      <c r="C904" t="s" s="10">
        <v>27</v>
      </c>
      <c r="D904" t="s" s="10">
        <v>28</v>
      </c>
      <c r="E904" t="s" s="10">
        <v>995</v>
      </c>
      <c r="F904" s="27">
        <v>45994</v>
      </c>
      <c r="G904" t="s" s="10">
        <v>146</v>
      </c>
      <c r="H904" s="42">
        <v>17</v>
      </c>
      <c r="I904" s="42">
        <v>111</v>
      </c>
      <c r="J904" t="s" s="10">
        <v>4757</v>
      </c>
      <c r="K904" t="s" s="10">
        <v>4758</v>
      </c>
      <c r="L904" s="16">
        <f>HYPERLINK("http://www.fin.tech", "www.fin.tech")</f>
      </c>
      <c r="M904" s="16">
        <f>HYPERLINK("https://my.pitchbook.com?c=520579-18", "View Company Online")</f>
      </c>
    </row>
    <row r="905">
      <c r="A905" t="s" s="11">
        <v>4760</v>
      </c>
      <c r="B905" t="s" s="11">
        <v>4761</v>
      </c>
      <c r="C905" t="s" s="11">
        <v>172</v>
      </c>
      <c r="D905" t="s" s="11">
        <v>338</v>
      </c>
      <c r="E905" t="s" s="11">
        <v>373</v>
      </c>
      <c r="F905" t="s" s="28">
        <v>30</v>
      </c>
      <c r="G905" t="s" s="11">
        <v>4267</v>
      </c>
      <c r="H905" t="s" s="43">
        <v>30</v>
      </c>
      <c r="I905" s="43">
        <v>110.7</v>
      </c>
      <c r="J905" t="s" s="11">
        <v>4762</v>
      </c>
      <c r="K905" t="s" s="11">
        <v>4763</v>
      </c>
      <c r="L905" s="17">
        <f>HYPERLINK("http://www.finalis.com", "www.finalis.com")</f>
      </c>
      <c r="M905" s="17">
        <f>HYPERLINK("https://my.pitchbook.com?c=230714-29", "View Company Online")</f>
      </c>
    </row>
    <row r="906">
      <c r="A906" t="s" s="10">
        <v>4765</v>
      </c>
      <c r="B906" t="s" s="10">
        <v>4766</v>
      </c>
      <c r="C906" t="s" s="10">
        <v>46</v>
      </c>
      <c r="D906" t="s" s="10">
        <v>47</v>
      </c>
      <c r="E906" t="s" s="10">
        <v>1054</v>
      </c>
      <c r="F906" s="27">
        <v>44586</v>
      </c>
      <c r="G906" t="s" s="10">
        <v>40</v>
      </c>
      <c r="H906" s="42">
        <v>29.25</v>
      </c>
      <c r="I906" s="42">
        <v>110.48</v>
      </c>
      <c r="J906" t="s" s="10">
        <v>4767</v>
      </c>
      <c r="K906" t="s" s="10">
        <v>4768</v>
      </c>
      <c r="L906" s="16">
        <f>HYPERLINK("http://www.vyaparapp.in", "www.vyaparapp.in")</f>
      </c>
      <c r="M906" s="16">
        <f>HYPERLINK("https://my.pitchbook.com?c=226327-96", "View Company Online")</f>
      </c>
    </row>
    <row r="907">
      <c r="A907" t="s" s="11">
        <v>4770</v>
      </c>
      <c r="B907" t="s" s="11">
        <v>4771</v>
      </c>
      <c r="C907" t="s" s="11">
        <v>222</v>
      </c>
      <c r="D907" t="s" s="11">
        <v>537</v>
      </c>
      <c r="E907" t="s" s="11">
        <v>137</v>
      </c>
      <c r="F907" s="28">
        <v>45895</v>
      </c>
      <c r="G907" t="s" s="11">
        <v>40</v>
      </c>
      <c r="H907" s="43">
        <v>114.41</v>
      </c>
      <c r="I907" s="43">
        <v>110.15</v>
      </c>
      <c r="J907" t="s" s="11">
        <v>4772</v>
      </c>
      <c r="K907" t="s" s="11">
        <v>4773</v>
      </c>
      <c r="L907" s="17">
        <f>HYPERLINK("http://mseindia.com", "mseindia.com")</f>
      </c>
      <c r="M907" s="17">
        <f>HYPERLINK("https://my.pitchbook.com?c=183997-54", "View Company Online")</f>
      </c>
    </row>
    <row r="908">
      <c r="A908" t="s" s="10">
        <v>4775</v>
      </c>
      <c r="B908" t="s" s="10">
        <v>4776</v>
      </c>
      <c r="C908" t="s" s="10">
        <v>60</v>
      </c>
      <c r="D908" t="s" s="10">
        <v>192</v>
      </c>
      <c r="E908" t="s" s="10">
        <v>137</v>
      </c>
      <c r="F908" s="27">
        <v>44987</v>
      </c>
      <c r="G908" t="s" s="10">
        <v>40</v>
      </c>
      <c r="H908" s="42">
        <v>10</v>
      </c>
      <c r="I908" s="42">
        <v>110</v>
      </c>
      <c r="J908" t="s" s="10">
        <v>4777</v>
      </c>
      <c r="K908" t="s" s="10">
        <v>4778</v>
      </c>
      <c r="L908" s="16">
        <f>HYPERLINK("http://www.bestexresearch.com", "www.bestexresearch.com")</f>
      </c>
      <c r="M908" s="16">
        <f>HYPERLINK("https://my.pitchbook.com?c=267799-06", "View Company Online")</f>
      </c>
    </row>
    <row r="909">
      <c r="A909" t="s" s="11">
        <v>4780</v>
      </c>
      <c r="B909" t="s" s="11">
        <v>4781</v>
      </c>
      <c r="C909" t="s" s="11">
        <v>46</v>
      </c>
      <c r="D909" t="s" s="11">
        <v>47</v>
      </c>
      <c r="E909" t="s" s="11">
        <v>1038</v>
      </c>
      <c r="F909" s="28">
        <v>45978</v>
      </c>
      <c r="G909" t="s" s="11">
        <v>40</v>
      </c>
      <c r="H909" s="43">
        <v>30</v>
      </c>
      <c r="I909" s="43">
        <v>110</v>
      </c>
      <c r="J909" t="s" s="11">
        <v>4782</v>
      </c>
      <c r="K909" t="s" s="11">
        <v>30</v>
      </c>
      <c r="L909" s="17">
        <f>HYPERLINK("http://www.bill360.com", "www.bill360.com")</f>
      </c>
      <c r="M909" s="17">
        <f>HYPERLINK("https://my.pitchbook.com?c=482036-95", "View Company Online")</f>
      </c>
    </row>
    <row r="910">
      <c r="A910" t="s" s="10">
        <v>4784</v>
      </c>
      <c r="B910" t="s" s="10">
        <v>4785</v>
      </c>
      <c r="C910" t="s" s="10">
        <v>164</v>
      </c>
      <c r="D910" t="s" s="10">
        <v>165</v>
      </c>
      <c r="E910" t="s" s="10">
        <v>4786</v>
      </c>
      <c r="F910" s="27">
        <v>45029</v>
      </c>
      <c r="G910" t="s" s="10">
        <v>40</v>
      </c>
      <c r="H910" s="42">
        <v>33</v>
      </c>
      <c r="I910" s="42">
        <v>110</v>
      </c>
      <c r="J910" t="s" s="10">
        <v>4787</v>
      </c>
      <c r="K910" t="s" s="10">
        <v>4788</v>
      </c>
      <c r="L910" s="16">
        <f>HYPERLINK("http://www.clerkie.io", "www.clerkie.io")</f>
      </c>
      <c r="M910" s="16">
        <f>HYPERLINK("https://my.pitchbook.com?c=222605-29", "View Company Online")</f>
      </c>
    </row>
    <row r="911">
      <c r="A911" t="s" s="11">
        <v>4790</v>
      </c>
      <c r="B911" t="s" s="11">
        <v>4791</v>
      </c>
      <c r="C911" t="s" s="11">
        <v>222</v>
      </c>
      <c r="D911" t="s" s="11">
        <v>223</v>
      </c>
      <c r="E911" t="s" s="11">
        <v>4792</v>
      </c>
      <c r="F911" s="28">
        <v>46212</v>
      </c>
      <c r="G911" t="s" s="11">
        <v>40</v>
      </c>
      <c r="H911" s="43">
        <v>97.03</v>
      </c>
      <c r="I911" s="43">
        <v>110</v>
      </c>
      <c r="J911" t="s" s="11">
        <v>4793</v>
      </c>
      <c r="K911" t="s" s="11">
        <v>4794</v>
      </c>
      <c r="L911" s="17">
        <f>HYPERLINK("http://www.databento.com", "www.databento.com")</f>
      </c>
      <c r="M911" s="17">
        <f>HYPERLINK("https://my.pitchbook.com?c=267790-96", "View Company Online")</f>
      </c>
    </row>
    <row r="912">
      <c r="A912" t="s" s="10">
        <v>4796</v>
      </c>
      <c r="B912" t="s" s="10">
        <v>4797</v>
      </c>
      <c r="C912" t="s" s="10">
        <v>60</v>
      </c>
      <c r="D912" t="s" s="10">
        <v>192</v>
      </c>
      <c r="E912" t="s" s="10">
        <v>1964</v>
      </c>
      <c r="F912" s="27">
        <v>45645</v>
      </c>
      <c r="G912" t="s" s="10">
        <v>40</v>
      </c>
      <c r="H912" s="42">
        <v>16</v>
      </c>
      <c r="I912" s="42">
        <v>110</v>
      </c>
      <c r="J912" t="s" s="10">
        <v>4798</v>
      </c>
      <c r="K912" t="s" s="10">
        <v>4799</v>
      </c>
      <c r="L912" s="16">
        <f>HYPERLINK("http://www.standardmetrics.io", "www.standardmetrics.io")</f>
      </c>
      <c r="M912" s="16">
        <f>HYPERLINK("https://my.pitchbook.com?c=434163-88", "View Company Online")</f>
      </c>
    </row>
    <row r="913">
      <c r="A913" t="s" s="11">
        <v>4801</v>
      </c>
      <c r="B913" t="s" s="11">
        <v>4802</v>
      </c>
      <c r="C913" t="s" s="11">
        <v>46</v>
      </c>
      <c r="D913" t="s" s="11">
        <v>397</v>
      </c>
      <c r="E913" t="s" s="11">
        <v>4803</v>
      </c>
      <c r="F913" s="28">
        <v>46092</v>
      </c>
      <c r="G913" t="s" s="11">
        <v>146</v>
      </c>
      <c r="H913" s="43">
        <v>27</v>
      </c>
      <c r="I913" s="43">
        <v>110</v>
      </c>
      <c r="J913" t="s" s="11">
        <v>4804</v>
      </c>
      <c r="K913" t="s" s="11">
        <v>4805</v>
      </c>
      <c r="L913" s="17">
        <f>HYPERLINK("http://www.translucent.ai", "www.translucent.ai")</f>
      </c>
      <c r="M913" s="17">
        <f>HYPERLINK("https://my.pitchbook.com?c=895889-08", "View Company Online")</f>
      </c>
    </row>
    <row r="914">
      <c r="A914" t="s" s="10">
        <v>4807</v>
      </c>
      <c r="B914" t="s" s="10">
        <v>4808</v>
      </c>
      <c r="C914" t="s" s="10">
        <v>172</v>
      </c>
      <c r="D914" t="s" s="10">
        <v>338</v>
      </c>
      <c r="E914" t="s" s="10">
        <v>1207</v>
      </c>
      <c r="F914" s="27">
        <v>45064</v>
      </c>
      <c r="G914" t="s" s="10">
        <v>40</v>
      </c>
      <c r="H914" s="42">
        <v>6.37</v>
      </c>
      <c r="I914" s="42">
        <v>109.8</v>
      </c>
      <c r="J914" t="s" s="10">
        <v>4809</v>
      </c>
      <c r="K914" t="s" s="10">
        <v>4810</v>
      </c>
      <c r="L914" s="16">
        <f>HYPERLINK("http://tssconsultancy.com", "tssconsultancy.com")</f>
      </c>
      <c r="M914" s="16">
        <f>HYPERLINK("https://my.pitchbook.com?c=147448-18", "View Company Online")</f>
      </c>
    </row>
    <row r="915">
      <c r="A915" t="s" s="11">
        <v>4812</v>
      </c>
      <c r="B915" t="s" s="11">
        <v>4813</v>
      </c>
      <c r="C915" t="s" s="11">
        <v>46</v>
      </c>
      <c r="D915" t="s" s="11">
        <v>397</v>
      </c>
      <c r="E915" t="s" s="11">
        <v>253</v>
      </c>
      <c r="F915" s="28">
        <v>44293</v>
      </c>
      <c r="G915" t="s" s="11">
        <v>40</v>
      </c>
      <c r="H915" s="43">
        <v>32</v>
      </c>
      <c r="I915" s="43">
        <v>109.62</v>
      </c>
      <c r="J915" t="s" s="11">
        <v>4814</v>
      </c>
      <c r="K915" t="s" s="11">
        <v>4815</v>
      </c>
      <c r="L915" s="17">
        <f>HYPERLINK("http://www.bluedotcorp.com", "www.bluedotcorp.com")</f>
      </c>
      <c r="M915" s="17">
        <f>HYPERLINK("https://my.pitchbook.com?c=104757-49", "View Company Online")</f>
      </c>
    </row>
    <row r="916">
      <c r="A916" t="s" s="10">
        <v>4817</v>
      </c>
      <c r="B916" t="s" s="10">
        <v>4818</v>
      </c>
      <c r="C916" t="s" s="10">
        <v>60</v>
      </c>
      <c r="D916" t="s" s="10">
        <v>246</v>
      </c>
      <c r="E916" t="s" s="10">
        <v>373</v>
      </c>
      <c r="F916" t="s" s="27">
        <v>30</v>
      </c>
      <c r="G916" t="s" s="10">
        <v>40</v>
      </c>
      <c r="H916" t="s" s="42">
        <v>30</v>
      </c>
      <c r="I916" s="42">
        <v>109.18</v>
      </c>
      <c r="J916" t="s" s="10">
        <v>4819</v>
      </c>
      <c r="K916" t="s" s="10">
        <v>4820</v>
      </c>
      <c r="L916" s="16">
        <f>HYPERLINK("http://web.meetcleo.com", "web.meetcleo.com")</f>
      </c>
      <c r="M916" s="16">
        <f>HYPERLINK("https://my.pitchbook.com?c=155203-03", "View Company Online")</f>
      </c>
    </row>
    <row r="917">
      <c r="A917" t="s" s="11">
        <v>4822</v>
      </c>
      <c r="B917" t="s" s="11">
        <v>4823</v>
      </c>
      <c r="C917" t="s" s="11">
        <v>164</v>
      </c>
      <c r="D917" t="s" s="11">
        <v>206</v>
      </c>
      <c r="E917" t="s" s="11">
        <v>152</v>
      </c>
      <c r="F917" s="28">
        <v>46106</v>
      </c>
      <c r="G917" t="s" s="11">
        <v>40</v>
      </c>
      <c r="H917" s="43">
        <v>0.19</v>
      </c>
      <c r="I917" s="43">
        <v>109</v>
      </c>
      <c r="J917" t="s" s="11">
        <v>4824</v>
      </c>
      <c r="K917" t="s" s="11">
        <v>4825</v>
      </c>
      <c r="L917" s="17">
        <f>HYPERLINK("http://www.carveredison.com", "www.carveredison.com")</f>
      </c>
      <c r="M917" s="17">
        <f>HYPERLINK("https://my.pitchbook.com?c=182601-55", "View Company Online")</f>
      </c>
    </row>
    <row r="918">
      <c r="A918" t="s" s="10">
        <v>4827</v>
      </c>
      <c r="B918" t="s" s="10">
        <v>4828</v>
      </c>
      <c r="C918" t="s" s="10">
        <v>46</v>
      </c>
      <c r="D918" t="s" s="10">
        <v>47</v>
      </c>
      <c r="E918" t="s" s="10">
        <v>1652</v>
      </c>
      <c r="F918" s="27">
        <v>45925</v>
      </c>
      <c r="G918" t="s" s="10">
        <v>146</v>
      </c>
      <c r="H918" s="42">
        <v>29.93</v>
      </c>
      <c r="I918" s="42">
        <v>108.22</v>
      </c>
      <c r="J918" t="s" s="10">
        <v>4829</v>
      </c>
      <c r="K918" t="s" s="10">
        <v>4830</v>
      </c>
      <c r="L918" s="16">
        <f>HYPERLINK("http://www.light.inc", "www.light.inc")</f>
      </c>
      <c r="M918" s="16">
        <f>HYPERLINK("https://my.pitchbook.com?c=507325-42", "View Company Online")</f>
      </c>
    </row>
    <row r="919">
      <c r="A919" t="s" s="11">
        <v>4832</v>
      </c>
      <c r="B919" t="s" s="11">
        <v>4833</v>
      </c>
      <c r="C919" t="s" s="11">
        <v>164</v>
      </c>
      <c r="D919" t="s" s="11">
        <v>206</v>
      </c>
      <c r="E919" t="s" s="11">
        <v>253</v>
      </c>
      <c r="F919" s="28">
        <v>45398</v>
      </c>
      <c r="G919" t="s" s="11">
        <v>146</v>
      </c>
      <c r="H919" s="43">
        <v>37.82</v>
      </c>
      <c r="I919" s="43">
        <v>108.05</v>
      </c>
      <c r="J919" t="s" s="11">
        <v>4834</v>
      </c>
      <c r="K919" t="s" s="11">
        <v>4835</v>
      </c>
      <c r="L919" s="17">
        <f>HYPERLINK("http://www.finmid.com", "www.finmid.com")</f>
      </c>
      <c r="M919" s="17">
        <f>HYPERLINK("https://my.pitchbook.com?c=464072-41", "View Company Online")</f>
      </c>
    </row>
    <row r="920">
      <c r="A920" t="s" s="10">
        <v>4837</v>
      </c>
      <c r="B920" t="s" s="10">
        <v>4838</v>
      </c>
      <c r="C920" t="s" s="10">
        <v>46</v>
      </c>
      <c r="D920" t="s" s="10">
        <v>47</v>
      </c>
      <c r="E920" t="s" s="10">
        <v>373</v>
      </c>
      <c r="F920" s="27">
        <v>45695</v>
      </c>
      <c r="G920" t="s" s="10">
        <v>40</v>
      </c>
      <c r="H920" s="42">
        <v>38.95</v>
      </c>
      <c r="I920" s="42">
        <v>108</v>
      </c>
      <c r="J920" t="s" s="10">
        <v>4839</v>
      </c>
      <c r="K920" t="s" s="10">
        <v>4840</v>
      </c>
      <c r="L920" s="16">
        <f>HYPERLINK("http://www.auditoria.ai", "www.auditoria.ai")</f>
      </c>
      <c r="M920" s="16">
        <f>HYPERLINK("https://my.pitchbook.com?c=279962-83", "View Company Online")</f>
      </c>
    </row>
    <row r="921">
      <c r="A921" t="s" s="11">
        <v>4842</v>
      </c>
      <c r="B921" t="s" s="11">
        <v>4843</v>
      </c>
      <c r="C921" t="s" s="11">
        <v>27</v>
      </c>
      <c r="D921" t="s" s="11">
        <v>70</v>
      </c>
      <c r="E921" t="s" s="11">
        <v>1859</v>
      </c>
      <c r="F921" s="28">
        <v>45987</v>
      </c>
      <c r="G921" t="s" s="11">
        <v>48</v>
      </c>
      <c r="H921" t="s" s="43">
        <v>30</v>
      </c>
      <c r="I921" s="43">
        <v>108</v>
      </c>
      <c r="J921" t="s" s="11">
        <v>4844</v>
      </c>
      <c r="K921" t="s" s="11">
        <v>4845</v>
      </c>
      <c r="L921" s="17">
        <f>HYPERLINK("http://www.oyindonesia.com", "www.oyindonesia.com")</f>
      </c>
      <c r="M921" s="17">
        <f>HYPERLINK("https://my.pitchbook.com?c=433602-73", "View Company Online")</f>
      </c>
    </row>
    <row r="922">
      <c r="A922" t="s" s="10">
        <v>4847</v>
      </c>
      <c r="B922" t="s" s="10">
        <v>4848</v>
      </c>
      <c r="C922" t="s" s="10">
        <v>46</v>
      </c>
      <c r="D922" t="s" s="10">
        <v>915</v>
      </c>
      <c r="E922" t="s" s="10">
        <v>373</v>
      </c>
      <c r="F922" s="27">
        <v>46158</v>
      </c>
      <c r="G922" t="s" s="10">
        <v>40</v>
      </c>
      <c r="H922" s="42">
        <v>33</v>
      </c>
      <c r="I922" s="42">
        <v>107.28</v>
      </c>
      <c r="J922" t="s" s="10">
        <v>4849</v>
      </c>
      <c r="K922" t="s" s="10">
        <v>4850</v>
      </c>
      <c r="L922" s="16">
        <f>HYPERLINK("http://www.embat.io", "www.embat.io")</f>
      </c>
      <c r="M922" s="16">
        <f>HYPERLINK("https://my.pitchbook.com?c=494436-43", "View Company Online")</f>
      </c>
    </row>
    <row r="923">
      <c r="A923" t="s" s="11">
        <v>4852</v>
      </c>
      <c r="B923" t="s" s="11">
        <v>4853</v>
      </c>
      <c r="C923" t="s" s="11">
        <v>46</v>
      </c>
      <c r="D923" t="s" s="11">
        <v>78</v>
      </c>
      <c r="E923" t="s" s="11">
        <v>137</v>
      </c>
      <c r="F923" s="28">
        <v>45685</v>
      </c>
      <c r="G923" t="s" s="11">
        <v>146</v>
      </c>
      <c r="H923" s="43">
        <v>25</v>
      </c>
      <c r="I923" s="43">
        <v>107</v>
      </c>
      <c r="J923" t="s" s="11">
        <v>4854</v>
      </c>
      <c r="K923" t="s" s="11">
        <v>4855</v>
      </c>
      <c r="L923" s="17">
        <f>HYPERLINK("http://abhi.com.pk", "abhi.com.pk")</f>
      </c>
      <c r="M923" s="17">
        <f>HYPERLINK("https://my.pitchbook.com?c=467258-86", "View Company Online")</f>
      </c>
    </row>
    <row r="924">
      <c r="A924" t="s" s="10">
        <v>4857</v>
      </c>
      <c r="B924" t="s" s="10">
        <v>4858</v>
      </c>
      <c r="C924" t="s" s="10">
        <v>114</v>
      </c>
      <c r="D924" t="s" s="10">
        <v>136</v>
      </c>
      <c r="E924" t="s" s="10">
        <v>253</v>
      </c>
      <c r="F924" s="27">
        <v>44837</v>
      </c>
      <c r="G924" t="s" s="10">
        <v>146</v>
      </c>
      <c r="H924" s="42">
        <v>10.51</v>
      </c>
      <c r="I924" s="42">
        <v>107</v>
      </c>
      <c r="J924" t="s" s="10">
        <v>4859</v>
      </c>
      <c r="K924" t="s" s="10">
        <v>4860</v>
      </c>
      <c r="L924" s="16">
        <f>HYPERLINK("http://www.quilocloud.com", "www.quilocloud.com")</f>
      </c>
      <c r="M924" s="16">
        <f>HYPERLINK("https://my.pitchbook.com?c=484078-60", "View Company Online")</f>
      </c>
    </row>
    <row r="925">
      <c r="A925" t="s" s="11">
        <v>4862</v>
      </c>
      <c r="B925" t="s" s="11">
        <v>4863</v>
      </c>
      <c r="C925" t="s" s="11">
        <v>164</v>
      </c>
      <c r="D925" t="s" s="11">
        <v>206</v>
      </c>
      <c r="E925" t="s" s="11">
        <v>629</v>
      </c>
      <c r="F925" s="28">
        <v>45456</v>
      </c>
      <c r="G925" t="s" s="11">
        <v>40</v>
      </c>
      <c r="H925" s="43">
        <v>11.85</v>
      </c>
      <c r="I925" s="43">
        <v>106.85</v>
      </c>
      <c r="J925" t="s" s="11">
        <v>4864</v>
      </c>
      <c r="K925" t="s" s="11">
        <v>4865</v>
      </c>
      <c r="L925" s="17">
        <f>HYPERLINK("http://www.tappengine.com", "www.tappengine.com")</f>
      </c>
      <c r="M925" s="17">
        <f>HYPERLINK("https://my.pitchbook.com?c=483281-92", "View Company Online")</f>
      </c>
    </row>
    <row r="926">
      <c r="A926" t="s" s="10">
        <v>4867</v>
      </c>
      <c r="B926" t="s" s="10">
        <v>4868</v>
      </c>
      <c r="C926" t="s" s="10">
        <v>60</v>
      </c>
      <c r="D926" t="s" s="10">
        <v>727</v>
      </c>
      <c r="E926" t="s" s="10">
        <v>4869</v>
      </c>
      <c r="F926" s="27">
        <v>46056</v>
      </c>
      <c r="G926" t="s" s="10">
        <v>40</v>
      </c>
      <c r="H926" s="42">
        <v>1</v>
      </c>
      <c r="I926" s="42">
        <v>106.29</v>
      </c>
      <c r="J926" t="s" s="10">
        <v>4870</v>
      </c>
      <c r="K926" t="s" s="10">
        <v>4871</v>
      </c>
      <c r="L926" s="16">
        <f>HYPERLINK("http://www.glintpay.com", "www.glintpay.com")</f>
      </c>
      <c r="M926" s="16">
        <f>HYPERLINK("https://my.pitchbook.com?c=128479-51", "View Company Online")</f>
      </c>
    </row>
    <row r="927">
      <c r="A927" t="s" s="11">
        <v>4873</v>
      </c>
      <c r="B927" t="s" s="11">
        <v>4874</v>
      </c>
      <c r="C927" t="s" s="11">
        <v>27</v>
      </c>
      <c r="D927" t="s" s="11">
        <v>28</v>
      </c>
      <c r="E927" t="s" s="11">
        <v>4875</v>
      </c>
      <c r="F927" t="s" s="28">
        <v>30</v>
      </c>
      <c r="G927" t="s" s="11">
        <v>40</v>
      </c>
      <c r="H927" s="43">
        <v>15</v>
      </c>
      <c r="I927" s="43">
        <v>106.23</v>
      </c>
      <c r="J927" t="s" s="11">
        <v>4876</v>
      </c>
      <c r="K927" t="s" s="11">
        <v>4877</v>
      </c>
      <c r="L927" s="17">
        <f>HYPERLINK("http://www.onedmg.com", "www.onedmg.com")</f>
      </c>
      <c r="M927" s="17">
        <f>HYPERLINK("https://my.pitchbook.com?c=494240-50", "View Company Online")</f>
      </c>
    </row>
    <row r="928">
      <c r="A928" t="s" s="10">
        <v>4879</v>
      </c>
      <c r="B928" t="s" s="10">
        <v>4880</v>
      </c>
      <c r="C928" t="s" s="10">
        <v>222</v>
      </c>
      <c r="D928" t="s" s="10">
        <v>223</v>
      </c>
      <c r="E928" t="s" s="10">
        <v>253</v>
      </c>
      <c r="F928" t="s" s="27">
        <v>30</v>
      </c>
      <c r="G928" t="s" s="10">
        <v>48</v>
      </c>
      <c r="H928" t="s" s="42">
        <v>30</v>
      </c>
      <c r="I928" s="42">
        <v>106.15</v>
      </c>
      <c r="J928" t="s" s="10">
        <v>4881</v>
      </c>
      <c r="K928" t="s" s="10">
        <v>4882</v>
      </c>
      <c r="L928" s="16">
        <f>HYPERLINK("http://www.ledgy.com", "www.ledgy.com")</f>
      </c>
      <c r="M928" s="16">
        <f>HYPERLINK("https://my.pitchbook.com?c=234953-65", "View Company Online")</f>
      </c>
    </row>
    <row r="929">
      <c r="A929" t="s" s="11">
        <v>4884</v>
      </c>
      <c r="B929" t="s" s="11">
        <v>4885</v>
      </c>
      <c r="C929" t="s" s="11">
        <v>164</v>
      </c>
      <c r="D929" t="s" s="11">
        <v>165</v>
      </c>
      <c r="E929" t="s" s="11">
        <v>311</v>
      </c>
      <c r="F929" s="28">
        <v>45138</v>
      </c>
      <c r="G929" t="s" s="11">
        <v>40</v>
      </c>
      <c r="H929" s="43">
        <v>11</v>
      </c>
      <c r="I929" s="43">
        <v>106</v>
      </c>
      <c r="J929" t="s" s="11">
        <v>4886</v>
      </c>
      <c r="K929" t="s" s="11">
        <v>30</v>
      </c>
      <c r="L929" s="17">
        <f>HYPERLINK("http://www.blocpal.com", "www.blocpal.com")</f>
      </c>
      <c r="M929" s="17">
        <f>HYPERLINK("https://my.pitchbook.com?c=265216-78", "View Company Online")</f>
      </c>
    </row>
    <row r="930">
      <c r="A930" t="s" s="10">
        <v>4888</v>
      </c>
      <c r="B930" t="s" s="10">
        <v>4889</v>
      </c>
      <c r="C930" t="s" s="10">
        <v>37</v>
      </c>
      <c r="D930" t="s" s="10">
        <v>38</v>
      </c>
      <c r="E930" t="s" s="10">
        <v>259</v>
      </c>
      <c r="F930" s="27">
        <v>44539</v>
      </c>
      <c r="G930" t="s" s="10">
        <v>40</v>
      </c>
      <c r="H930" s="42">
        <v>10.02</v>
      </c>
      <c r="I930" s="42">
        <v>105.73</v>
      </c>
      <c r="J930" t="s" s="10">
        <v>4890</v>
      </c>
      <c r="K930" t="s" s="10">
        <v>4891</v>
      </c>
      <c r="L930" s="16">
        <f>HYPERLINK("http://www.zemplerbank.com", "www.zemplerbank.com")</f>
      </c>
      <c r="M930" s="16">
        <f>HYPERLINK("https://my.pitchbook.com?c=13288-69", "View Company Online")</f>
      </c>
    </row>
    <row r="931">
      <c r="A931" t="s" s="11">
        <v>4893</v>
      </c>
      <c r="B931" t="s" s="11">
        <v>4894</v>
      </c>
      <c r="C931" t="s" s="11">
        <v>114</v>
      </c>
      <c r="D931" t="s" s="11">
        <v>870</v>
      </c>
      <c r="E931" t="s" s="11">
        <v>137</v>
      </c>
      <c r="F931" s="28">
        <v>45805</v>
      </c>
      <c r="G931" t="s" s="11">
        <v>146</v>
      </c>
      <c r="H931" s="43">
        <v>55.73</v>
      </c>
      <c r="I931" s="43">
        <v>105.59</v>
      </c>
      <c r="J931" t="s" s="11">
        <v>4895</v>
      </c>
      <c r="K931" t="s" s="11">
        <v>4896</v>
      </c>
      <c r="L931" s="17">
        <f>HYPERLINK("http://www.saarathifinance.com", "www.saarathifinance.com")</f>
      </c>
      <c r="M931" s="17">
        <f>HYPERLINK("https://my.pitchbook.com?c=739620-91", "View Company Online")</f>
      </c>
    </row>
    <row r="932">
      <c r="A932" t="s" s="10">
        <v>4898</v>
      </c>
      <c r="B932" t="s" s="10">
        <v>4899</v>
      </c>
      <c r="C932" t="s" s="10">
        <v>37</v>
      </c>
      <c r="D932" t="s" s="10">
        <v>304</v>
      </c>
      <c r="E932" t="s" s="10">
        <v>4900</v>
      </c>
      <c r="F932" s="27">
        <v>45979</v>
      </c>
      <c r="G932" t="s" s="10">
        <v>40</v>
      </c>
      <c r="H932" t="s" s="42">
        <v>30</v>
      </c>
      <c r="I932" s="42">
        <v>105.4</v>
      </c>
      <c r="J932" t="s" s="10">
        <v>4901</v>
      </c>
      <c r="K932" t="s" s="10">
        <v>4902</v>
      </c>
      <c r="L932" s="16">
        <f>HYPERLINK("http://www.m-kopa.com", "www.m-kopa.com")</f>
      </c>
      <c r="M932" s="16">
        <f>HYPERLINK("https://my.pitchbook.com?c=56319-85", "View Company Online")</f>
      </c>
    </row>
    <row r="933">
      <c r="A933" t="s" s="11">
        <v>4904</v>
      </c>
      <c r="B933" t="s" s="11">
        <v>4905</v>
      </c>
      <c r="C933" t="s" s="11">
        <v>164</v>
      </c>
      <c r="D933" t="s" s="11">
        <v>206</v>
      </c>
      <c r="E933" t="s" s="11">
        <v>373</v>
      </c>
      <c r="F933" s="28">
        <v>45261</v>
      </c>
      <c r="G933" t="s" s="11">
        <v>40</v>
      </c>
      <c r="H933" s="43">
        <v>1.04</v>
      </c>
      <c r="I933" s="43">
        <v>105.36</v>
      </c>
      <c r="J933" t="s" s="11">
        <v>4906</v>
      </c>
      <c r="K933" t="s" s="11">
        <v>4907</v>
      </c>
      <c r="L933" s="17">
        <f>HYPERLINK("http://www.thisisbud.com", "www.thisisbud.com")</f>
      </c>
      <c r="M933" s="17">
        <f>HYPERLINK("https://my.pitchbook.com?c=169783-84", "View Company Online")</f>
      </c>
    </row>
    <row r="934">
      <c r="A934" t="s" s="10">
        <v>4909</v>
      </c>
      <c r="B934" t="s" s="10">
        <v>4910</v>
      </c>
      <c r="C934" t="s" s="10">
        <v>144</v>
      </c>
      <c r="D934" t="s" s="10">
        <v>297</v>
      </c>
      <c r="E934" t="s" s="10">
        <v>137</v>
      </c>
      <c r="F934" s="27">
        <v>46007</v>
      </c>
      <c r="G934" t="s" s="10">
        <v>146</v>
      </c>
      <c r="H934" s="42">
        <v>23.26</v>
      </c>
      <c r="I934" s="42">
        <v>105.1</v>
      </c>
      <c r="J934" t="s" s="10">
        <v>4911</v>
      </c>
      <c r="K934" t="s" s="10">
        <v>4912</v>
      </c>
      <c r="L934" s="16">
        <f>HYPERLINK("http://www.olea.net", "www.olea.net")</f>
      </c>
      <c r="M934" s="16">
        <f>HYPERLINK("https://my.pitchbook.com?c=472082-23", "View Company Online")</f>
      </c>
    </row>
    <row r="935">
      <c r="A935" t="s" s="11">
        <v>4914</v>
      </c>
      <c r="B935" t="s" s="11">
        <v>4915</v>
      </c>
      <c r="C935" t="s" s="11">
        <v>60</v>
      </c>
      <c r="D935" t="s" s="11">
        <v>432</v>
      </c>
      <c r="E935" t="s" s="11">
        <v>414</v>
      </c>
      <c r="F935" s="28">
        <v>45839</v>
      </c>
      <c r="G935" t="s" s="11">
        <v>391</v>
      </c>
      <c r="H935" t="s" s="43">
        <v>30</v>
      </c>
      <c r="I935" s="43">
        <v>105</v>
      </c>
      <c r="J935" t="s" s="11">
        <v>4916</v>
      </c>
      <c r="K935" t="s" s="11">
        <v>4917</v>
      </c>
      <c r="L935" s="17">
        <f>HYPERLINK("http://www.bkln.com", "www.bkln.com")</f>
      </c>
      <c r="M935" s="17">
        <f>HYPERLINK("https://my.pitchbook.com?c=229089-88", "View Company Online")</f>
      </c>
    </row>
    <row r="936">
      <c r="A936" t="s" s="10">
        <v>4919</v>
      </c>
      <c r="B936" t="s" s="10">
        <v>4920</v>
      </c>
      <c r="C936" t="s" s="10">
        <v>164</v>
      </c>
      <c r="D936" t="s" s="10">
        <v>206</v>
      </c>
      <c r="E936" t="s" s="10">
        <v>102</v>
      </c>
      <c r="F936" t="s" s="27">
        <v>30</v>
      </c>
      <c r="G936" t="s" s="10">
        <v>48</v>
      </c>
      <c r="H936" t="s" s="42">
        <v>30</v>
      </c>
      <c r="I936" s="42">
        <v>105</v>
      </c>
      <c r="J936" t="s" s="10">
        <v>4921</v>
      </c>
      <c r="K936" t="s" s="10">
        <v>4922</v>
      </c>
      <c r="L936" s="16">
        <f>HYPERLINK("http://www.paywithextend.com", "www.paywithextend.com")</f>
      </c>
      <c r="M936" s="16">
        <f>HYPERLINK("https://my.pitchbook.com?c=183364-57", "View Company Online")</f>
      </c>
    </row>
    <row r="937">
      <c r="A937" t="s" s="11">
        <v>4924</v>
      </c>
      <c r="B937" t="s" s="11">
        <v>4925</v>
      </c>
      <c r="C937" t="s" s="11">
        <v>114</v>
      </c>
      <c r="D937" t="s" s="11">
        <v>870</v>
      </c>
      <c r="E937" t="s" s="11">
        <v>373</v>
      </c>
      <c r="F937" s="28">
        <v>45477</v>
      </c>
      <c r="G937" t="s" s="11">
        <v>31</v>
      </c>
      <c r="H937" s="43">
        <v>126.99</v>
      </c>
      <c r="I937" s="43">
        <v>105</v>
      </c>
      <c r="J937" t="s" s="11">
        <v>4926</v>
      </c>
      <c r="K937" t="s" s="11">
        <v>4927</v>
      </c>
      <c r="L937" s="17">
        <f>HYPERLINK("http://www.gaincredit.com", "www.gaincredit.com")</f>
      </c>
      <c r="M937" s="17">
        <f>HYPERLINK("https://my.pitchbook.com?c=53473-33", "View Company Online")</f>
      </c>
    </row>
    <row r="938">
      <c r="A938" t="s" s="10">
        <v>4929</v>
      </c>
      <c r="B938" t="s" s="10">
        <v>4930</v>
      </c>
      <c r="C938" t="s" s="10">
        <v>114</v>
      </c>
      <c r="D938" t="s" s="10">
        <v>136</v>
      </c>
      <c r="E938" t="s" s="10">
        <v>270</v>
      </c>
      <c r="F938" s="27">
        <v>45840</v>
      </c>
      <c r="G938" t="s" s="10">
        <v>146</v>
      </c>
      <c r="H938" s="42">
        <v>22</v>
      </c>
      <c r="I938" s="42">
        <v>105</v>
      </c>
      <c r="J938" t="s" s="10">
        <v>4931</v>
      </c>
      <c r="K938" t="s" s="10">
        <v>4932</v>
      </c>
      <c r="L938" s="16">
        <f>HYPERLINK("http://www.kredete.io", "www.kredete.io")</f>
      </c>
      <c r="M938" s="16">
        <f>HYPERLINK("https://my.pitchbook.com?c=515419-03", "View Company Online")</f>
      </c>
    </row>
    <row r="939">
      <c r="A939" t="s" s="11">
        <v>4934</v>
      </c>
      <c r="B939" t="s" s="11">
        <v>4935</v>
      </c>
      <c r="C939" t="s" s="11">
        <v>27</v>
      </c>
      <c r="D939" t="s" s="11">
        <v>122</v>
      </c>
      <c r="E939" t="s" s="11">
        <v>253</v>
      </c>
      <c r="F939" s="28">
        <v>45733</v>
      </c>
      <c r="G939" t="s" s="11">
        <v>146</v>
      </c>
      <c r="H939" s="43">
        <v>45.79</v>
      </c>
      <c r="I939" s="43">
        <v>104.5</v>
      </c>
      <c r="J939" t="s" s="11">
        <v>4936</v>
      </c>
      <c r="K939" t="s" s="11">
        <v>4937</v>
      </c>
      <c r="L939" s="17">
        <f>HYPERLINK("http://www.navro.com", "www.navro.com")</f>
      </c>
      <c r="M939" s="17">
        <f>HYPERLINK("https://my.pitchbook.com?c=501756-58", "View Company Online")</f>
      </c>
    </row>
    <row r="940">
      <c r="A940" t="s" s="10">
        <v>4939</v>
      </c>
      <c r="B940" t="s" s="10">
        <v>4940</v>
      </c>
      <c r="C940" t="s" s="10">
        <v>164</v>
      </c>
      <c r="D940" t="s" s="10">
        <v>165</v>
      </c>
      <c r="E940" t="s" s="10">
        <v>253</v>
      </c>
      <c r="F940" s="27">
        <v>45778</v>
      </c>
      <c r="G940" t="s" s="10">
        <v>40</v>
      </c>
      <c r="H940" t="s" s="42">
        <v>30</v>
      </c>
      <c r="I940" s="42">
        <v>104.28</v>
      </c>
      <c r="J940" t="s" s="10">
        <v>4941</v>
      </c>
      <c r="K940" t="s" s="10">
        <v>4942</v>
      </c>
      <c r="L940" s="16">
        <f>HYPERLINK("http://www.griffin.com", "www.griffin.com")</f>
      </c>
      <c r="M940" s="16">
        <f>HYPERLINK("https://my.pitchbook.com?c=268233-13", "View Company Online")</f>
      </c>
    </row>
    <row r="941">
      <c r="A941" t="s" s="11">
        <v>4944</v>
      </c>
      <c r="B941" t="s" s="11">
        <v>4945</v>
      </c>
      <c r="C941" t="s" s="11">
        <v>46</v>
      </c>
      <c r="D941" t="s" s="11">
        <v>397</v>
      </c>
      <c r="E941" t="s" s="11">
        <v>253</v>
      </c>
      <c r="F941" s="28">
        <v>46054</v>
      </c>
      <c r="G941" t="s" s="11">
        <v>48</v>
      </c>
      <c r="H941" t="s" s="43">
        <v>30</v>
      </c>
      <c r="I941" s="43">
        <v>104.27</v>
      </c>
      <c r="J941" t="s" s="11">
        <v>4946</v>
      </c>
      <c r="K941" t="s" s="11">
        <v>4947</v>
      </c>
      <c r="L941" s="17">
        <f>HYPERLINK("http://www.indinero.com", "www.indinero.com")</f>
      </c>
      <c r="M941" s="17">
        <f>HYPERLINK("https://my.pitchbook.com?c=50972-59", "View Company Online")</f>
      </c>
    </row>
    <row r="942">
      <c r="A942" t="s" s="10">
        <v>4949</v>
      </c>
      <c r="B942" t="s" s="10">
        <v>4950</v>
      </c>
      <c r="C942" t="s" s="10">
        <v>37</v>
      </c>
      <c r="D942" t="s" s="10">
        <v>304</v>
      </c>
      <c r="E942" t="s" s="10">
        <v>253</v>
      </c>
      <c r="F942" t="s" s="27">
        <v>30</v>
      </c>
      <c r="G942" t="s" s="10">
        <v>48</v>
      </c>
      <c r="H942" t="s" s="42">
        <v>30</v>
      </c>
      <c r="I942" s="42">
        <v>104.1</v>
      </c>
      <c r="J942" t="s" s="10">
        <v>4951</v>
      </c>
      <c r="K942" t="s" s="10">
        <v>4952</v>
      </c>
      <c r="L942" s="16">
        <f>HYPERLINK("http://www.jodo.in", "www.jodo.in")</f>
      </c>
      <c r="M942" s="16">
        <f>HYPERLINK("https://my.pitchbook.com?c=437472-10", "View Company Online")</f>
      </c>
    </row>
    <row r="943">
      <c r="A943" t="s" s="11">
        <v>4954</v>
      </c>
      <c r="B943" t="s" s="11">
        <v>4955</v>
      </c>
      <c r="C943" t="s" s="11">
        <v>60</v>
      </c>
      <c r="D943" t="s" s="11">
        <v>246</v>
      </c>
      <c r="E943" t="s" s="11">
        <v>193</v>
      </c>
      <c r="F943" s="28">
        <v>46097</v>
      </c>
      <c r="G943" t="s" s="11">
        <v>4427</v>
      </c>
      <c r="H943" t="s" s="43">
        <v>30</v>
      </c>
      <c r="I943" s="43">
        <v>104</v>
      </c>
      <c r="J943" t="s" s="11">
        <v>4956</v>
      </c>
      <c r="K943" t="s" s="11">
        <v>30</v>
      </c>
      <c r="L943" s="17">
        <f>HYPERLINK("http://www.mocafi.com", "www.mocafi.com")</f>
      </c>
      <c r="M943" s="17">
        <f>HYPERLINK("https://my.pitchbook.com?c=184210-21", "View Company Online")</f>
      </c>
    </row>
    <row r="944">
      <c r="A944" t="s" s="10">
        <v>4958</v>
      </c>
      <c r="B944" t="s" s="10">
        <v>4959</v>
      </c>
      <c r="C944" t="s" s="10">
        <v>46</v>
      </c>
      <c r="D944" t="s" s="10">
        <v>397</v>
      </c>
      <c r="E944" t="s" s="10">
        <v>137</v>
      </c>
      <c r="F944" t="s" s="27">
        <v>30</v>
      </c>
      <c r="G944" t="s" s="10">
        <v>48</v>
      </c>
      <c r="H944" t="s" s="42">
        <v>30</v>
      </c>
      <c r="I944" s="42">
        <v>104</v>
      </c>
      <c r="J944" t="s" s="10">
        <v>4960</v>
      </c>
      <c r="K944" t="s" s="10">
        <v>4961</v>
      </c>
      <c r="L944" s="16">
        <f>HYPERLINK("http://www.tigerbeetle.com", "www.tigerbeetle.com")</f>
      </c>
      <c r="M944" s="16">
        <f>HYPERLINK("https://my.pitchbook.com?c=519173-02", "View Company Online")</f>
      </c>
    </row>
    <row r="945">
      <c r="A945" t="s" s="11">
        <v>4963</v>
      </c>
      <c r="B945" t="s" s="11">
        <v>4964</v>
      </c>
      <c r="C945" t="s" s="11">
        <v>37</v>
      </c>
      <c r="D945" t="s" s="11">
        <v>38</v>
      </c>
      <c r="E945" t="s" s="11">
        <v>4965</v>
      </c>
      <c r="F945" s="28">
        <v>46225</v>
      </c>
      <c r="G945" t="s" s="11">
        <v>2051</v>
      </c>
      <c r="H945" t="s" s="43">
        <v>30</v>
      </c>
      <c r="I945" s="43">
        <v>104</v>
      </c>
      <c r="J945" t="s" s="11">
        <v>4966</v>
      </c>
      <c r="K945" t="s" s="11">
        <v>30</v>
      </c>
      <c r="L945" s="17">
        <f>HYPERLINK("http://www.vativis.com", "www.vativis.com")</f>
      </c>
      <c r="M945" s="17">
        <f>HYPERLINK("https://my.pitchbook.com?c=232095-07", "View Company Online")</f>
      </c>
    </row>
    <row r="946">
      <c r="A946" t="s" s="10">
        <v>4968</v>
      </c>
      <c r="B946" t="s" s="10">
        <v>4969</v>
      </c>
      <c r="C946" t="s" s="10">
        <v>60</v>
      </c>
      <c r="D946" t="s" s="10">
        <v>420</v>
      </c>
      <c r="E946" t="s" s="10">
        <v>137</v>
      </c>
      <c r="F946" s="27">
        <v>44284</v>
      </c>
      <c r="G946" t="s" s="10">
        <v>40</v>
      </c>
      <c r="H946" s="42">
        <v>15.72</v>
      </c>
      <c r="I946" s="42">
        <v>103.87</v>
      </c>
      <c r="J946" t="s" s="10">
        <v>4970</v>
      </c>
      <c r="K946" t="s" s="10">
        <v>4971</v>
      </c>
      <c r="L946" s="16">
        <f>HYPERLINK("http://www.netwealth.com", "www.netwealth.com")</f>
      </c>
      <c r="M946" s="16">
        <f>HYPERLINK("https://my.pitchbook.com?c=169690-60", "View Company Online")</f>
      </c>
    </row>
    <row r="947">
      <c r="A947" t="s" s="11">
        <v>4973</v>
      </c>
      <c r="B947" t="s" s="11">
        <v>4974</v>
      </c>
      <c r="C947" t="s" s="11">
        <v>27</v>
      </c>
      <c r="D947" t="s" s="11">
        <v>28</v>
      </c>
      <c r="E947" t="s" s="11">
        <v>270</v>
      </c>
      <c r="F947" t="s" s="28">
        <v>30</v>
      </c>
      <c r="G947" t="s" s="11">
        <v>40</v>
      </c>
      <c r="H947" s="43">
        <v>3.79</v>
      </c>
      <c r="I947" s="43">
        <v>103.78</v>
      </c>
      <c r="J947" t="s" s="11">
        <v>4975</v>
      </c>
      <c r="K947" t="s" s="11">
        <v>4976</v>
      </c>
      <c r="L947" s="17">
        <f>HYPERLINK("http://www.payglocal.in", "www.payglocal.in")</f>
      </c>
      <c r="M947" s="17">
        <f>HYPERLINK("https://my.pitchbook.com?c=484579-18", "View Company Online")</f>
      </c>
    </row>
    <row r="948">
      <c r="A948" t="s" s="10">
        <v>4978</v>
      </c>
      <c r="B948" t="s" s="10">
        <v>4979</v>
      </c>
      <c r="C948" t="s" s="10">
        <v>114</v>
      </c>
      <c r="D948" t="s" s="10">
        <v>136</v>
      </c>
      <c r="E948" t="s" s="10">
        <v>137</v>
      </c>
      <c r="F948" s="27">
        <v>45962</v>
      </c>
      <c r="G948" t="s" s="10">
        <v>31</v>
      </c>
      <c r="H948" s="42">
        <v>200.37</v>
      </c>
      <c r="I948" s="42">
        <v>103.69</v>
      </c>
      <c r="J948" t="s" s="10">
        <v>4980</v>
      </c>
      <c r="K948" t="s" s="10">
        <v>4981</v>
      </c>
      <c r="L948" s="16">
        <f>HYPERLINK("http://www.assetzcapital.co.uk", "www.assetzcapital.co.uk")</f>
      </c>
      <c r="M948" s="16">
        <f>HYPERLINK("https://my.pitchbook.com?c=82896-76", "View Company Online")</f>
      </c>
    </row>
    <row r="949">
      <c r="A949" t="s" s="11">
        <v>4983</v>
      </c>
      <c r="B949" t="s" s="11">
        <v>4984</v>
      </c>
      <c r="C949" t="s" s="11">
        <v>27</v>
      </c>
      <c r="D949" t="s" s="11">
        <v>28</v>
      </c>
      <c r="E949" t="s" s="11">
        <v>137</v>
      </c>
      <c r="F949" s="28">
        <v>44648</v>
      </c>
      <c r="G949" t="s" s="11">
        <v>40</v>
      </c>
      <c r="H949" s="43">
        <v>18.36</v>
      </c>
      <c r="I949" s="43">
        <v>103.5</v>
      </c>
      <c r="J949" t="s" s="11">
        <v>4985</v>
      </c>
      <c r="K949" t="s" s="11">
        <v>4986</v>
      </c>
      <c r="L949" s="17">
        <f>HYPERLINK("http://www.zepto.com.au", "www.zepto.com.au")</f>
      </c>
      <c r="M949" s="17">
        <f>HYPERLINK("https://my.pitchbook.com?c=325417-96", "View Company Online")</f>
      </c>
    </row>
    <row r="950">
      <c r="A950" t="s" s="10">
        <v>4988</v>
      </c>
      <c r="B950" t="s" s="10">
        <v>4989</v>
      </c>
      <c r="C950" t="s" s="10">
        <v>164</v>
      </c>
      <c r="D950" t="s" s="10">
        <v>165</v>
      </c>
      <c r="E950" t="s" s="10">
        <v>634</v>
      </c>
      <c r="F950" s="27">
        <v>44980</v>
      </c>
      <c r="G950" t="s" s="10">
        <v>48</v>
      </c>
      <c r="H950" t="s" s="42">
        <v>30</v>
      </c>
      <c r="I950" s="42">
        <v>103.36</v>
      </c>
      <c r="J950" t="s" s="10">
        <v>4990</v>
      </c>
      <c r="K950" t="s" s="10">
        <v>4991</v>
      </c>
      <c r="L950" s="16">
        <f>HYPERLINK("http://www.signzy.com", "www.signzy.com")</f>
      </c>
      <c r="M950" s="16">
        <f>HYPERLINK("https://my.pitchbook.com?c=178737-76", "View Company Online")</f>
      </c>
    </row>
    <row r="951">
      <c r="A951" t="s" s="11">
        <v>4993</v>
      </c>
      <c r="B951" t="s" s="11">
        <v>4994</v>
      </c>
      <c r="C951" t="s" s="11">
        <v>27</v>
      </c>
      <c r="D951" t="s" s="11">
        <v>28</v>
      </c>
      <c r="E951" t="s" s="11">
        <v>1109</v>
      </c>
      <c r="F951" s="28">
        <v>45911</v>
      </c>
      <c r="G951" t="s" s="11">
        <v>40</v>
      </c>
      <c r="H951" s="43">
        <v>13.98</v>
      </c>
      <c r="I951" s="43">
        <v>103</v>
      </c>
      <c r="J951" t="s" s="11">
        <v>4995</v>
      </c>
      <c r="K951" t="s" s="11">
        <v>4996</v>
      </c>
      <c r="L951" s="17">
        <f>HYPERLINK("http://www.shouqianba.com", "www.shouqianba.com")</f>
      </c>
      <c r="M951" s="17">
        <f>HYPERLINK("https://my.pitchbook.com?c=185474-80", "View Company Online")</f>
      </c>
    </row>
    <row r="952">
      <c r="A952" t="s" s="10">
        <v>4998</v>
      </c>
      <c r="B952" t="s" s="10">
        <v>4999</v>
      </c>
      <c r="C952" t="s" s="10">
        <v>27</v>
      </c>
      <c r="D952" t="s" s="10">
        <v>122</v>
      </c>
      <c r="E952" t="s" s="10">
        <v>1093</v>
      </c>
      <c r="F952" s="27">
        <v>45433</v>
      </c>
      <c r="G952" t="s" s="10">
        <v>40</v>
      </c>
      <c r="H952" s="42">
        <v>93</v>
      </c>
      <c r="I952" s="42">
        <v>102.81</v>
      </c>
      <c r="J952" t="s" s="10">
        <v>5000</v>
      </c>
      <c r="K952" t="s" s="10">
        <v>5001</v>
      </c>
      <c r="L952" s="16">
        <f>HYPERLINK("http://www.vitesse.io", "www.vitesse.io")</f>
      </c>
      <c r="M952" s="16">
        <f>HYPERLINK("https://my.pitchbook.com?c=156158-38", "View Company Online")</f>
      </c>
    </row>
    <row r="953">
      <c r="A953" t="s" s="11">
        <v>5003</v>
      </c>
      <c r="B953" t="s" s="11">
        <v>5004</v>
      </c>
      <c r="C953" t="s" s="11">
        <v>172</v>
      </c>
      <c r="D953" t="s" s="11">
        <v>338</v>
      </c>
      <c r="E953" t="s" s="11">
        <v>367</v>
      </c>
      <c r="F953" s="28">
        <v>45926</v>
      </c>
      <c r="G953" t="s" s="11">
        <v>146</v>
      </c>
      <c r="H953" s="43">
        <v>15.5</v>
      </c>
      <c r="I953" s="43">
        <v>102.5</v>
      </c>
      <c r="J953" t="s" s="11">
        <v>5005</v>
      </c>
      <c r="K953" t="s" s="11">
        <v>5006</v>
      </c>
      <c r="L953" s="17">
        <f>HYPERLINK("http://www.greenboard.com", "www.greenboard.com")</f>
      </c>
      <c r="M953" s="17">
        <f>HYPERLINK("https://my.pitchbook.com?c=538315-21", "View Company Online")</f>
      </c>
    </row>
    <row r="954">
      <c r="A954" t="s" s="10">
        <v>5008</v>
      </c>
      <c r="B954" t="s" s="10">
        <v>5009</v>
      </c>
      <c r="C954" t="s" s="10">
        <v>60</v>
      </c>
      <c r="D954" t="s" s="10">
        <v>246</v>
      </c>
      <c r="E954" t="s" s="10">
        <v>270</v>
      </c>
      <c r="F954" t="s" s="27">
        <v>30</v>
      </c>
      <c r="G954" t="s" s="10">
        <v>48</v>
      </c>
      <c r="H954" t="s" s="42">
        <v>30</v>
      </c>
      <c r="I954" s="42">
        <v>102.16</v>
      </c>
      <c r="J954" t="s" s="10">
        <v>5010</v>
      </c>
      <c r="K954" t="s" s="10">
        <v>5011</v>
      </c>
      <c r="L954" s="16">
        <f>HYPERLINK("http://www.bankin.com", "www.bankin.com")</f>
      </c>
      <c r="M954" s="16">
        <f>HYPERLINK("https://my.pitchbook.com?c=98282-62", "View Company Online")</f>
      </c>
    </row>
    <row r="955">
      <c r="A955" t="s" s="11">
        <v>5013</v>
      </c>
      <c r="B955" t="s" s="11">
        <v>5014</v>
      </c>
      <c r="C955" t="s" s="11">
        <v>114</v>
      </c>
      <c r="D955" t="s" s="11">
        <v>870</v>
      </c>
      <c r="E955" t="s" s="11">
        <v>5015</v>
      </c>
      <c r="F955" s="28">
        <v>46005</v>
      </c>
      <c r="G955" t="s" s="11">
        <v>40</v>
      </c>
      <c r="H955" s="43">
        <v>15.17</v>
      </c>
      <c r="I955" s="43">
        <v>101.12</v>
      </c>
      <c r="J955" t="s" s="11">
        <v>5016</v>
      </c>
      <c r="K955" t="s" s="11">
        <v>5017</v>
      </c>
      <c r="L955" s="17">
        <f>HYPERLINK("http://www.aerem.co", "www.aerem.co")</f>
      </c>
      <c r="M955" s="17">
        <f>HYPERLINK("https://my.pitchbook.com?c=459654-58", "View Company Online")</f>
      </c>
    </row>
    <row r="956">
      <c r="A956" t="s" s="10">
        <v>5019</v>
      </c>
      <c r="B956" t="s" s="10">
        <v>5020</v>
      </c>
      <c r="C956" t="s" s="10">
        <v>46</v>
      </c>
      <c r="D956" t="s" s="10">
        <v>397</v>
      </c>
      <c r="E956" t="s" s="10">
        <v>137</v>
      </c>
      <c r="F956" s="27">
        <v>45671</v>
      </c>
      <c r="G956" t="s" s="10">
        <v>146</v>
      </c>
      <c r="H956" s="42">
        <v>11</v>
      </c>
      <c r="I956" s="42">
        <v>101</v>
      </c>
      <c r="J956" t="s" s="10">
        <v>5021</v>
      </c>
      <c r="K956" t="s" s="10">
        <v>5022</v>
      </c>
      <c r="L956" s="16">
        <f>HYPERLINK("http://www.sydecar.io", "www.sydecar.io")</f>
      </c>
      <c r="M956" s="16">
        <f>HYPERLINK("https://my.pitchbook.com?c=461855-08", "View Company Online")</f>
      </c>
    </row>
    <row r="957">
      <c r="A957" t="s" s="11">
        <v>5024</v>
      </c>
      <c r="B957" t="s" s="11">
        <v>5025</v>
      </c>
      <c r="C957" t="s" s="11">
        <v>27</v>
      </c>
      <c r="D957" t="s" s="11">
        <v>28</v>
      </c>
      <c r="E957" t="s" s="11">
        <v>200</v>
      </c>
      <c r="F957" t="s" s="28">
        <v>30</v>
      </c>
      <c r="G957" t="s" s="11">
        <v>40</v>
      </c>
      <c r="H957" s="43">
        <v>100</v>
      </c>
      <c r="I957" s="43">
        <v>100.76</v>
      </c>
      <c r="J957" t="s" s="11">
        <v>5026</v>
      </c>
      <c r="K957" t="s" s="11">
        <v>5027</v>
      </c>
      <c r="L957" s="17">
        <f>HYPERLINK("http://www.cashfree.com", "www.cashfree.com")</f>
      </c>
      <c r="M957" s="17">
        <f>HYPERLINK("https://my.pitchbook.com?c=121702-96", "View Company Online")</f>
      </c>
    </row>
    <row r="958">
      <c r="A958" t="s" s="10">
        <v>5029</v>
      </c>
      <c r="B958" t="s" s="10">
        <v>5030</v>
      </c>
      <c r="C958" t="s" s="10">
        <v>114</v>
      </c>
      <c r="D958" t="s" s="10">
        <v>852</v>
      </c>
      <c r="E958" t="s" s="10">
        <v>1349</v>
      </c>
      <c r="F958" t="s" s="27">
        <v>30</v>
      </c>
      <c r="G958" t="s" s="10">
        <v>40</v>
      </c>
      <c r="H958" s="42">
        <v>96.08</v>
      </c>
      <c r="I958" s="42">
        <v>100.76</v>
      </c>
      <c r="J958" t="s" s="10">
        <v>5031</v>
      </c>
      <c r="K958" t="s" s="10">
        <v>5032</v>
      </c>
      <c r="L958" s="16">
        <f>HYPERLINK("http://www.lendingkart.com", "www.lendingkart.com")</f>
      </c>
      <c r="M958" s="16">
        <f>HYPERLINK("https://my.pitchbook.com?c=119345-32", "View Company Online")</f>
      </c>
    </row>
    <row r="959">
      <c r="A959" t="s" s="11">
        <v>5034</v>
      </c>
      <c r="B959" t="s" s="11">
        <v>5035</v>
      </c>
      <c r="C959" t="s" s="11">
        <v>46</v>
      </c>
      <c r="D959" t="s" s="11">
        <v>397</v>
      </c>
      <c r="E959" t="s" s="11">
        <v>137</v>
      </c>
      <c r="F959" s="28">
        <v>46128</v>
      </c>
      <c r="G959" t="s" s="11">
        <v>146</v>
      </c>
      <c r="H959" s="43">
        <v>175</v>
      </c>
      <c r="I959" s="43">
        <v>100.48</v>
      </c>
      <c r="J959" t="s" s="11">
        <v>5036</v>
      </c>
      <c r="K959" t="s" s="11">
        <v>5037</v>
      </c>
      <c r="L959" s="17">
        <f>HYPERLINK("http://k1x.io", "k1x.io")</f>
      </c>
      <c r="M959" s="17">
        <f>HYPERLINK("https://my.pitchbook.com?c=481595-86", "View Company Online")</f>
      </c>
    </row>
    <row r="960">
      <c r="A960" t="s" s="10">
        <v>5039</v>
      </c>
      <c r="B960" t="s" s="10">
        <v>5040</v>
      </c>
      <c r="C960" t="s" s="10">
        <v>128</v>
      </c>
      <c r="D960" t="s" s="10">
        <v>129</v>
      </c>
      <c r="E960" t="s" s="10">
        <v>137</v>
      </c>
      <c r="F960" s="27">
        <v>45951</v>
      </c>
      <c r="G960" t="s" s="10">
        <v>40</v>
      </c>
      <c r="H960" s="42">
        <v>15</v>
      </c>
      <c r="I960" s="42">
        <v>100.45</v>
      </c>
      <c r="J960" t="s" s="10">
        <v>5041</v>
      </c>
      <c r="K960" t="s" s="10">
        <v>5042</v>
      </c>
      <c r="L960" s="16">
        <f>HYPERLINK("http://www.getkard.com", "www.getkard.com")</f>
      </c>
      <c r="M960" s="16">
        <f>HYPERLINK("https://my.pitchbook.com?c=154368-46", "View Company Online")</f>
      </c>
    </row>
    <row r="961">
      <c r="A961" t="s" s="11">
        <v>5044</v>
      </c>
      <c r="B961" t="s" s="11">
        <v>5045</v>
      </c>
      <c r="C961" t="s" s="11">
        <v>37</v>
      </c>
      <c r="D961" t="s" s="11">
        <v>304</v>
      </c>
      <c r="E961" t="s" s="11">
        <v>270</v>
      </c>
      <c r="F961" s="28">
        <v>45888</v>
      </c>
      <c r="G961" t="s" s="11">
        <v>146</v>
      </c>
      <c r="H961" s="43">
        <v>23.91</v>
      </c>
      <c r="I961" s="43">
        <v>100.12</v>
      </c>
      <c r="J961" t="s" s="11">
        <v>5046</v>
      </c>
      <c r="K961" t="s" s="11">
        <v>5047</v>
      </c>
      <c r="L961" s="17">
        <f>HYPERLINK("http://www.gokiwi.in", "www.gokiwi.in")</f>
      </c>
      <c r="M961" s="17">
        <f>HYPERLINK("https://my.pitchbook.com?c=527120-92", "View Company Online")</f>
      </c>
    </row>
    <row r="962">
      <c r="A962" t="s" s="10">
        <v>5049</v>
      </c>
      <c r="B962" t="s" s="10">
        <v>5050</v>
      </c>
      <c r="C962" t="s" s="10">
        <v>144</v>
      </c>
      <c r="D962" t="s" s="10">
        <v>297</v>
      </c>
      <c r="E962" t="s" s="10">
        <v>5051</v>
      </c>
      <c r="F962" s="27">
        <v>46212</v>
      </c>
      <c r="G962" t="s" s="10">
        <v>40</v>
      </c>
      <c r="H962" s="42">
        <v>25.21</v>
      </c>
      <c r="I962" s="42">
        <v>100.02</v>
      </c>
      <c r="J962" t="s" s="10">
        <v>5052</v>
      </c>
      <c r="K962" t="s" s="10">
        <v>5053</v>
      </c>
      <c r="L962" s="16">
        <f>HYPERLINK("http://www.helloaria.eu", "www.helloaria.eu")</f>
      </c>
      <c r="M962" s="16">
        <f>HYPERLINK("https://my.pitchbook.com?c=435807-10", "View Company Online")</f>
      </c>
    </row>
    <row r="963">
      <c r="A963" t="s" s="11">
        <v>5055</v>
      </c>
      <c r="B963" t="s" s="11">
        <v>5056</v>
      </c>
      <c r="C963" t="s" s="11">
        <v>60</v>
      </c>
      <c r="D963" t="s" s="11">
        <v>420</v>
      </c>
      <c r="E963" t="s" s="11">
        <v>414</v>
      </c>
      <c r="F963" s="28">
        <v>45847</v>
      </c>
      <c r="G963" t="s" s="11">
        <v>146</v>
      </c>
      <c r="H963" s="43">
        <v>29.63</v>
      </c>
      <c r="I963" s="43">
        <v>100</v>
      </c>
      <c r="J963" t="s" s="11">
        <v>5057</v>
      </c>
      <c r="K963" t="s" s="11">
        <v>5058</v>
      </c>
      <c r="L963" s="17">
        <f>HYPERLINK("http://www.meetalix.com", "www.meetalix.com")</f>
      </c>
      <c r="M963" s="17">
        <f>HYPERLINK("https://my.pitchbook.com?c=533023-21", "View Company Online")</f>
      </c>
    </row>
    <row r="964">
      <c r="A964" t="s" s="10">
        <v>5060</v>
      </c>
      <c r="B964" t="s" s="10">
        <v>5061</v>
      </c>
      <c r="C964" t="s" s="10">
        <v>114</v>
      </c>
      <c r="D964" t="s" s="10">
        <v>852</v>
      </c>
      <c r="E964" t="s" s="10">
        <v>1032</v>
      </c>
      <c r="F964" t="s" s="27">
        <v>30</v>
      </c>
      <c r="G964" t="s" s="10">
        <v>48</v>
      </c>
      <c r="H964" t="s" s="42">
        <v>30</v>
      </c>
      <c r="I964" s="42">
        <v>100</v>
      </c>
      <c r="J964" t="s" s="10">
        <v>5062</v>
      </c>
      <c r="K964" t="s" s="10">
        <v>5063</v>
      </c>
      <c r="L964" s="16">
        <f>HYPERLINK("http://www.alphaflow.com", "www.alphaflow.com")</f>
      </c>
      <c r="M964" s="16">
        <f>HYPERLINK("https://my.pitchbook.com?c=126055-90", "View Company Online")</f>
      </c>
    </row>
    <row r="965">
      <c r="A965" t="s" s="11">
        <v>5065</v>
      </c>
      <c r="B965" t="s" s="11">
        <v>5066</v>
      </c>
      <c r="C965" t="s" s="11">
        <v>60</v>
      </c>
      <c r="D965" t="s" s="11">
        <v>246</v>
      </c>
      <c r="E965" t="s" s="11">
        <v>270</v>
      </c>
      <c r="F965" s="28">
        <v>45874</v>
      </c>
      <c r="G965" t="s" s="11">
        <v>4267</v>
      </c>
      <c r="H965" s="43">
        <v>7</v>
      </c>
      <c r="I965" s="43">
        <v>100</v>
      </c>
      <c r="J965" t="s" s="11">
        <v>5067</v>
      </c>
      <c r="K965" t="s" s="11">
        <v>5068</v>
      </c>
      <c r="L965" s="17">
        <f>HYPERLINK("http://www.aside.co", "www.aside.co")</f>
      </c>
      <c r="M965" s="17">
        <f>HYPERLINK("https://my.pitchbook.com?c=510868-45", "View Company Online")</f>
      </c>
    </row>
    <row r="966">
      <c r="A966" t="s" s="10">
        <v>5070</v>
      </c>
      <c r="B966" t="s" s="10">
        <v>5071</v>
      </c>
      <c r="C966" t="s" s="10">
        <v>128</v>
      </c>
      <c r="D966" t="s" s="10">
        <v>199</v>
      </c>
      <c r="E966" t="s" s="10">
        <v>5072</v>
      </c>
      <c r="F966" s="27">
        <v>45945</v>
      </c>
      <c r="G966" t="s" s="10">
        <v>40</v>
      </c>
      <c r="H966" s="42">
        <v>15.5</v>
      </c>
      <c r="I966" s="42">
        <v>100</v>
      </c>
      <c r="J966" t="s" s="10">
        <v>5073</v>
      </c>
      <c r="K966" t="s" s="10">
        <v>5074</v>
      </c>
      <c r="L966" s="16">
        <f>HYPERLINK("http://www.chari.ma", "www.chari.ma")</f>
      </c>
      <c r="M966" s="16">
        <f>HYPERLINK("https://my.pitchbook.com?c=458121-52", "View Company Online")</f>
      </c>
    </row>
    <row r="967">
      <c r="A967" t="s" s="11">
        <v>5076</v>
      </c>
      <c r="B967" t="s" s="11">
        <v>5077</v>
      </c>
      <c r="C967" t="s" s="11">
        <v>46</v>
      </c>
      <c r="D967" t="s" s="11">
        <v>47</v>
      </c>
      <c r="E967" t="s" s="11">
        <v>253</v>
      </c>
      <c r="F967" s="28">
        <v>46172</v>
      </c>
      <c r="G967" t="s" s="11">
        <v>138</v>
      </c>
      <c r="H967" s="43">
        <v>100</v>
      </c>
      <c r="I967" s="43">
        <v>100</v>
      </c>
      <c r="J967" t="s" s="11">
        <v>5078</v>
      </c>
      <c r="K967" t="s" s="11">
        <v>5079</v>
      </c>
      <c r="L967" s="17">
        <f>HYPERLINK("http://www.debtist.com", "www.debtist.com")</f>
      </c>
      <c r="M967" s="17">
        <f>HYPERLINK("https://my.pitchbook.com?c=537475-51", "View Company Online")</f>
      </c>
    </row>
    <row r="968">
      <c r="A968" t="s" s="10">
        <v>5081</v>
      </c>
      <c r="B968" t="s" s="10">
        <v>5082</v>
      </c>
      <c r="C968" t="s" s="10">
        <v>222</v>
      </c>
      <c r="D968" t="s" s="10">
        <v>537</v>
      </c>
      <c r="E968" t="s" s="10">
        <v>193</v>
      </c>
      <c r="F968" s="27">
        <v>45960</v>
      </c>
      <c r="G968" t="s" s="10">
        <v>40</v>
      </c>
      <c r="H968" s="42">
        <v>0.5</v>
      </c>
      <c r="I968" s="42">
        <v>100</v>
      </c>
      <c r="J968" t="s" s="10">
        <v>5083</v>
      </c>
      <c r="K968" t="s" s="10">
        <v>5084</v>
      </c>
      <c r="L968" s="16">
        <f>HYPERLINK("http://www.domainmoney.com", "www.domainmoney.com")</f>
      </c>
      <c r="M968" s="16">
        <f>HYPERLINK("https://my.pitchbook.com?c=470716-84", "View Company Online")</f>
      </c>
    </row>
    <row r="969">
      <c r="A969" t="s" s="11">
        <v>5086</v>
      </c>
      <c r="B969" t="s" s="11">
        <v>5087</v>
      </c>
      <c r="C969" t="s" s="11">
        <v>60</v>
      </c>
      <c r="D969" t="s" s="11">
        <v>420</v>
      </c>
      <c r="E969" t="s" s="11">
        <v>2824</v>
      </c>
      <c r="F969" s="28">
        <v>44652</v>
      </c>
      <c r="G969" t="s" s="11">
        <v>48</v>
      </c>
      <c r="H969" t="s" s="43">
        <v>30</v>
      </c>
      <c r="I969" s="43">
        <v>100</v>
      </c>
      <c r="J969" t="s" s="11">
        <v>5088</v>
      </c>
      <c r="K969" t="s" s="11">
        <v>30</v>
      </c>
      <c r="L969" s="17">
        <f>HYPERLINK("http://www.everdays.com", "www.everdays.com")</f>
      </c>
      <c r="M969" s="17">
        <f>HYPERLINK("https://my.pitchbook.com?c=178984-36", "View Company Online")</f>
      </c>
    </row>
    <row r="970">
      <c r="A970" t="s" s="10">
        <v>5090</v>
      </c>
      <c r="B970" t="s" s="10">
        <v>5091</v>
      </c>
      <c r="C970" t="s" s="10">
        <v>27</v>
      </c>
      <c r="D970" t="s" s="10">
        <v>28</v>
      </c>
      <c r="E970" t="s" s="10">
        <v>414</v>
      </c>
      <c r="F970" s="27">
        <v>45484</v>
      </c>
      <c r="G970" t="s" s="10">
        <v>146</v>
      </c>
      <c r="H970" s="42">
        <v>16.6</v>
      </c>
      <c r="I970" s="42">
        <v>100</v>
      </c>
      <c r="J970" t="s" s="10">
        <v>5092</v>
      </c>
      <c r="K970" t="s" s="10">
        <v>5093</v>
      </c>
      <c r="L970" s="16">
        <f>HYPERLINK("http://www.flexfactor.io", "www.flexfactor.io")</f>
      </c>
      <c r="M970" s="16">
        <f>HYPERLINK("https://my.pitchbook.com?c=507385-54", "View Company Online")</f>
      </c>
    </row>
    <row r="971">
      <c r="A971" t="s" s="11">
        <v>5095</v>
      </c>
      <c r="B971" t="s" s="11">
        <v>5096</v>
      </c>
      <c r="C971" t="s" s="11">
        <v>60</v>
      </c>
      <c r="D971" t="s" s="11">
        <v>727</v>
      </c>
      <c r="E971" t="s" s="11">
        <v>1032</v>
      </c>
      <c r="F971" s="28">
        <v>45602</v>
      </c>
      <c r="G971" t="s" s="11">
        <v>146</v>
      </c>
      <c r="H971" s="43">
        <v>15</v>
      </c>
      <c r="I971" s="43">
        <v>100</v>
      </c>
      <c r="J971" t="s" s="11">
        <v>5097</v>
      </c>
      <c r="K971" t="s" s="11">
        <v>5098</v>
      </c>
      <c r="L971" s="17">
        <f>HYPERLINK("http://www.fractional.app", "www.fractional.app")</f>
      </c>
      <c r="M971" s="17">
        <f>HYPERLINK("https://my.pitchbook.com?c=459548-38", "View Company Online")</f>
      </c>
    </row>
    <row r="972">
      <c r="A972" t="s" s="10">
        <v>5100</v>
      </c>
      <c r="B972" t="s" s="10">
        <v>5101</v>
      </c>
      <c r="C972" t="s" s="10">
        <v>27</v>
      </c>
      <c r="D972" t="s" s="10">
        <v>28</v>
      </c>
      <c r="E972" t="s" s="10">
        <v>5102</v>
      </c>
      <c r="F972" s="27">
        <v>46135</v>
      </c>
      <c r="G972" t="s" s="10">
        <v>40</v>
      </c>
      <c r="H972" t="s" s="42">
        <v>30</v>
      </c>
      <c r="I972" s="42">
        <v>100</v>
      </c>
      <c r="J972" t="s" s="10">
        <v>5103</v>
      </c>
      <c r="K972" t="s" s="10">
        <v>5104</v>
      </c>
      <c r="L972" s="16">
        <f>HYPERLINK("http://www.instant.one", "www.instant.one")</f>
      </c>
      <c r="M972" s="16">
        <f>HYPERLINK("https://my.pitchbook.com?c=490165-21", "View Company Online")</f>
      </c>
    </row>
    <row r="973">
      <c r="A973" t="s" s="11">
        <v>5106</v>
      </c>
      <c r="B973" t="s" s="11">
        <v>5107</v>
      </c>
      <c r="C973" t="s" s="11">
        <v>164</v>
      </c>
      <c r="D973" t="s" s="11">
        <v>934</v>
      </c>
      <c r="E973" t="s" s="11">
        <v>373</v>
      </c>
      <c r="F973" s="28">
        <v>46064</v>
      </c>
      <c r="G973" t="s" s="11">
        <v>4267</v>
      </c>
      <c r="H973" s="43">
        <v>17</v>
      </c>
      <c r="I973" s="43">
        <v>100</v>
      </c>
      <c r="J973" t="s" s="11">
        <v>5108</v>
      </c>
      <c r="K973" t="s" s="11">
        <v>5109</v>
      </c>
      <c r="L973" s="17">
        <f>HYPERLINK("http://www.meridian.ai", "www.meridian.ai")</f>
      </c>
      <c r="M973" s="17">
        <f>HYPERLINK("https://my.pitchbook.com?c=988192-45", "View Company Online")</f>
      </c>
    </row>
    <row r="974">
      <c r="A974" t="s" s="10">
        <v>5111</v>
      </c>
      <c r="B974" t="s" s="10">
        <v>5112</v>
      </c>
      <c r="C974" t="s" s="10">
        <v>46</v>
      </c>
      <c r="D974" t="s" s="10">
        <v>78</v>
      </c>
      <c r="E974" t="s" s="10">
        <v>193</v>
      </c>
      <c r="F974" s="27">
        <v>46187</v>
      </c>
      <c r="G974" t="s" s="10">
        <v>391</v>
      </c>
      <c r="H974" s="42">
        <v>100</v>
      </c>
      <c r="I974" s="42">
        <v>100</v>
      </c>
      <c r="J974" t="s" s="10">
        <v>5113</v>
      </c>
      <c r="K974" t="s" s="10">
        <v>30</v>
      </c>
      <c r="L974" s="16">
        <f>HYPERLINK("http://www.minu.mx", "www.minu.mx")</f>
      </c>
      <c r="M974" s="16">
        <f>HYPERLINK("https://my.pitchbook.com?c=268245-73", "View Company Online")</f>
      </c>
    </row>
    <row r="975">
      <c r="A975" t="s" s="11">
        <v>5115</v>
      </c>
      <c r="B975" t="s" s="11">
        <v>5116</v>
      </c>
      <c r="C975" t="s" s="11">
        <v>114</v>
      </c>
      <c r="D975" t="s" s="11">
        <v>115</v>
      </c>
      <c r="E975" t="s" s="11">
        <v>5117</v>
      </c>
      <c r="F975" s="28">
        <v>45596</v>
      </c>
      <c r="G975" t="s" s="11">
        <v>146</v>
      </c>
      <c r="H975" s="43">
        <v>12</v>
      </c>
      <c r="I975" s="43">
        <v>100</v>
      </c>
      <c r="J975" t="s" s="11">
        <v>5118</v>
      </c>
      <c r="K975" t="s" s="11">
        <v>5119</v>
      </c>
      <c r="L975" s="17">
        <f>HYPERLINK("http://www.pine.ca", "www.pine.ca")</f>
      </c>
      <c r="M975" s="17">
        <f>HYPERLINK("https://my.pitchbook.com?c=481381-84", "View Company Online")</f>
      </c>
    </row>
    <row r="976">
      <c r="A976" t="s" s="10">
        <v>5121</v>
      </c>
      <c r="B976" t="s" s="10">
        <v>5122</v>
      </c>
      <c r="C976" t="s" s="10">
        <v>164</v>
      </c>
      <c r="D976" t="s" s="10">
        <v>206</v>
      </c>
      <c r="E976" t="s" s="10">
        <v>373</v>
      </c>
      <c r="F976" s="27">
        <v>45811</v>
      </c>
      <c r="G976" t="s" s="10">
        <v>40</v>
      </c>
      <c r="H976" s="42">
        <v>12</v>
      </c>
      <c r="I976" s="42">
        <v>100</v>
      </c>
      <c r="J976" t="s" s="10">
        <v>5123</v>
      </c>
      <c r="K976" t="s" s="10">
        <v>5124</v>
      </c>
      <c r="L976" s="16">
        <f>HYPERLINK("http://www.projectworks.com", "www.projectworks.com")</f>
      </c>
      <c r="M976" s="16">
        <f>HYPERLINK("https://my.pitchbook.com?c=454957-93", "View Company Online")</f>
      </c>
    </row>
    <row r="977">
      <c r="A977" t="s" s="11">
        <v>5126</v>
      </c>
      <c r="B977" t="s" s="11">
        <v>5127</v>
      </c>
      <c r="C977" t="s" s="11">
        <v>164</v>
      </c>
      <c r="D977" t="s" s="11">
        <v>206</v>
      </c>
      <c r="E977" t="s" s="11">
        <v>5128</v>
      </c>
      <c r="F977" t="s" s="28">
        <v>30</v>
      </c>
      <c r="G977" t="s" s="11">
        <v>40</v>
      </c>
      <c r="H977" t="s" s="43">
        <v>30</v>
      </c>
      <c r="I977" s="43">
        <v>100</v>
      </c>
      <c r="J977" t="s" s="11">
        <v>5129</v>
      </c>
      <c r="K977" t="s" s="11">
        <v>5130</v>
      </c>
      <c r="L977" s="17">
        <f>HYPERLINK("http://www.prometeoapi.com", "www.prometeoapi.com")</f>
      </c>
      <c r="M977" s="17">
        <f>HYPERLINK("https://my.pitchbook.com?c=232058-89", "View Company Online")</f>
      </c>
    </row>
    <row r="978">
      <c r="A978" t="s" s="10">
        <v>5132</v>
      </c>
      <c r="B978" t="s" s="10">
        <v>5133</v>
      </c>
      <c r="C978" t="s" s="10">
        <v>114</v>
      </c>
      <c r="D978" t="s" s="10">
        <v>870</v>
      </c>
      <c r="E978" t="s" s="10">
        <v>634</v>
      </c>
      <c r="F978" s="27">
        <v>45959</v>
      </c>
      <c r="G978" t="s" s="10">
        <v>40</v>
      </c>
      <c r="H978" t="s" s="42">
        <v>30</v>
      </c>
      <c r="I978" s="42">
        <v>100</v>
      </c>
      <c r="J978" t="s" s="10">
        <v>5134</v>
      </c>
      <c r="K978" t="s" s="10">
        <v>5135</v>
      </c>
      <c r="L978" s="16">
        <f>HYPERLINK("http://www.r2.co", "www.r2.co")</f>
      </c>
      <c r="M978" s="16">
        <f>HYPERLINK("https://my.pitchbook.com?c=459507-61", "View Company Online")</f>
      </c>
    </row>
    <row r="979">
      <c r="A979" t="s" s="11">
        <v>5137</v>
      </c>
      <c r="B979" t="s" s="11">
        <v>5138</v>
      </c>
      <c r="C979" t="s" s="11">
        <v>46</v>
      </c>
      <c r="D979" t="s" s="11">
        <v>397</v>
      </c>
      <c r="E979" t="s" s="11">
        <v>373</v>
      </c>
      <c r="F979" s="28">
        <v>45680</v>
      </c>
      <c r="G979" t="s" s="11">
        <v>40</v>
      </c>
      <c r="H979" s="43">
        <v>30</v>
      </c>
      <c r="I979" s="43">
        <v>100</v>
      </c>
      <c r="J979" t="s" s="11">
        <v>5139</v>
      </c>
      <c r="K979" t="s" s="11">
        <v>5140</v>
      </c>
      <c r="L979" s="17">
        <f>HYPERLINK("http://www.simetrik.com", "www.simetrik.com")</f>
      </c>
      <c r="M979" s="17">
        <f>HYPERLINK("https://my.pitchbook.com?c=343288-63", "View Company Online")</f>
      </c>
    </row>
    <row r="980">
      <c r="A980" t="s" s="10">
        <v>5142</v>
      </c>
      <c r="B980" t="s" s="10">
        <v>5143</v>
      </c>
      <c r="C980" t="s" s="10">
        <v>164</v>
      </c>
      <c r="D980" t="s" s="10">
        <v>206</v>
      </c>
      <c r="E980" t="s" s="10">
        <v>373</v>
      </c>
      <c r="F980" s="27">
        <v>44536</v>
      </c>
      <c r="G980" t="s" s="10">
        <v>146</v>
      </c>
      <c r="H980" t="s" s="42">
        <v>30</v>
      </c>
      <c r="I980" s="42">
        <v>100</v>
      </c>
      <c r="J980" t="s" s="10">
        <v>5144</v>
      </c>
      <c r="K980" t="s" s="10">
        <v>5145</v>
      </c>
      <c r="L980" s="16">
        <f>HYPERLINK("http://www.sivo.com", "www.sivo.com")</f>
      </c>
      <c r="M980" s="16">
        <f>HYPERLINK("https://my.pitchbook.com?c=459548-02", "View Company Online")</f>
      </c>
    </row>
    <row r="981">
      <c r="A981" t="s" s="11">
        <v>5147</v>
      </c>
      <c r="B981" t="s" s="11">
        <v>5148</v>
      </c>
      <c r="C981" t="s" s="11">
        <v>128</v>
      </c>
      <c r="D981" t="s" s="11">
        <v>276</v>
      </c>
      <c r="E981" t="s" s="11">
        <v>1652</v>
      </c>
      <c r="F981" s="28">
        <v>45607</v>
      </c>
      <c r="G981" t="s" s="11">
        <v>40</v>
      </c>
      <c r="H981" s="43">
        <v>28.03</v>
      </c>
      <c r="I981" s="43">
        <v>100</v>
      </c>
      <c r="J981" t="s" s="11">
        <v>5149</v>
      </c>
      <c r="K981" t="s" s="11">
        <v>5150</v>
      </c>
      <c r="L981" s="17">
        <f>HYPERLINK("http://www.smartbank.co.jp", "www.smartbank.co.jp")</f>
      </c>
      <c r="M981" s="17">
        <f>HYPERLINK("https://my.pitchbook.com?c=470073-79", "View Company Online")</f>
      </c>
    </row>
    <row r="982">
      <c r="A982" t="s" s="10">
        <v>5152</v>
      </c>
      <c r="B982" t="s" s="10">
        <v>5153</v>
      </c>
      <c r="C982" t="s" s="10">
        <v>46</v>
      </c>
      <c r="D982" t="s" s="10">
        <v>47</v>
      </c>
      <c r="E982" t="s" s="10">
        <v>373</v>
      </c>
      <c r="F982" s="27">
        <v>45981</v>
      </c>
      <c r="G982" t="s" s="10">
        <v>146</v>
      </c>
      <c r="H982" s="42">
        <v>29.5</v>
      </c>
      <c r="I982" s="42">
        <v>100</v>
      </c>
      <c r="J982" t="s" s="10">
        <v>5154</v>
      </c>
      <c r="K982" t="s" s="10">
        <v>5155</v>
      </c>
      <c r="L982" s="16">
        <f>HYPERLINK("http://www.stuut.ai", "www.stuut.ai")</f>
      </c>
      <c r="M982" s="16">
        <f>HYPERLINK("https://my.pitchbook.com?c=551784-25", "View Company Online")</f>
      </c>
    </row>
    <row r="983">
      <c r="A983" t="s" s="11">
        <v>5157</v>
      </c>
      <c r="B983" t="s" s="11">
        <v>5158</v>
      </c>
      <c r="C983" t="s" s="11">
        <v>128</v>
      </c>
      <c r="D983" t="s" s="11">
        <v>276</v>
      </c>
      <c r="E983" t="s" s="11">
        <v>270</v>
      </c>
      <c r="F983" s="28">
        <v>44693</v>
      </c>
      <c r="G983" t="s" s="11">
        <v>607</v>
      </c>
      <c r="H983" s="43">
        <v>0.07</v>
      </c>
      <c r="I983" s="43">
        <v>100</v>
      </c>
      <c r="J983" t="s" s="11">
        <v>5159</v>
      </c>
      <c r="K983" t="s" s="11">
        <v>5160</v>
      </c>
      <c r="L983" s="17">
        <f>HYPERLINK("http://www.tagme.pk", "www.tagme.pk")</f>
      </c>
      <c r="M983" s="17">
        <f>HYPERLINK("https://my.pitchbook.com?c=452715-85", "View Company Online")</f>
      </c>
    </row>
    <row r="984">
      <c r="A984" t="s" s="10">
        <v>5162</v>
      </c>
      <c r="B984" t="s" s="10">
        <v>5163</v>
      </c>
      <c r="C984" t="s" s="10">
        <v>114</v>
      </c>
      <c r="D984" t="s" s="10">
        <v>136</v>
      </c>
      <c r="E984" t="s" s="10">
        <v>137</v>
      </c>
      <c r="F984" s="27">
        <v>45972</v>
      </c>
      <c r="G984" t="s" s="10">
        <v>40</v>
      </c>
      <c r="H984" s="42">
        <v>56.6</v>
      </c>
      <c r="I984" s="42">
        <v>99.88</v>
      </c>
      <c r="J984" t="s" s="10">
        <v>5164</v>
      </c>
      <c r="K984" t="s" s="10">
        <v>5165</v>
      </c>
      <c r="L984" s="16">
        <f>HYPERLINK("http://www.finnable.com", "www.finnable.com")</f>
      </c>
      <c r="M984" s="16">
        <f>HYPERLINK("https://my.pitchbook.com?c=465696-01", "View Company Online")</f>
      </c>
    </row>
    <row r="985">
      <c r="A985" t="s" s="11">
        <v>5167</v>
      </c>
      <c r="B985" t="s" s="11">
        <v>5168</v>
      </c>
      <c r="C985" t="s" s="11">
        <v>37</v>
      </c>
      <c r="D985" t="s" s="11">
        <v>38</v>
      </c>
      <c r="E985" t="s" s="11">
        <v>270</v>
      </c>
      <c r="F985" t="s" s="28">
        <v>30</v>
      </c>
      <c r="G985" t="s" s="11">
        <v>48</v>
      </c>
      <c r="H985" t="s" s="43">
        <v>30</v>
      </c>
      <c r="I985" s="43">
        <v>99.84</v>
      </c>
      <c r="J985" t="s" s="11">
        <v>5169</v>
      </c>
      <c r="K985" t="s" s="11">
        <v>5170</v>
      </c>
      <c r="L985" s="17">
        <f>HYPERLINK("http://www.pockit.com", "www.pockit.com")</f>
      </c>
      <c r="M985" s="17">
        <f>HYPERLINK("https://my.pitchbook.com?c=63226-09", "View Company Online")</f>
      </c>
    </row>
    <row r="986">
      <c r="A986" t="s" s="10">
        <v>5172</v>
      </c>
      <c r="B986" t="s" s="10">
        <v>5173</v>
      </c>
      <c r="C986" t="s" s="10">
        <v>114</v>
      </c>
      <c r="D986" t="s" s="10">
        <v>136</v>
      </c>
      <c r="E986" t="s" s="10">
        <v>137</v>
      </c>
      <c r="F986" s="27">
        <v>46023</v>
      </c>
      <c r="G986" t="s" s="10">
        <v>48</v>
      </c>
      <c r="H986" t="s" s="42">
        <v>30</v>
      </c>
      <c r="I986" s="42">
        <v>99.78</v>
      </c>
      <c r="J986" t="s" s="10">
        <v>5174</v>
      </c>
      <c r="K986" t="s" s="10">
        <v>5175</v>
      </c>
      <c r="L986" s="16">
        <f>HYPERLINK("http://www.readyfor.jp", "www.readyfor.jp")</f>
      </c>
      <c r="M986" s="16">
        <f>HYPERLINK("https://my.pitchbook.com?c=234834-49", "View Company Online")</f>
      </c>
    </row>
    <row r="987">
      <c r="A987" t="s" s="11">
        <v>5177</v>
      </c>
      <c r="B987" t="s" s="11">
        <v>5178</v>
      </c>
      <c r="C987" t="s" s="11">
        <v>114</v>
      </c>
      <c r="D987" t="s" s="11">
        <v>136</v>
      </c>
      <c r="E987" t="s" s="11">
        <v>193</v>
      </c>
      <c r="F987" s="28">
        <v>46168</v>
      </c>
      <c r="G987" t="s" s="11">
        <v>40</v>
      </c>
      <c r="H987" s="43">
        <v>30.35</v>
      </c>
      <c r="I987" s="43">
        <v>99.23</v>
      </c>
      <c r="J987" t="s" s="11">
        <v>5179</v>
      </c>
      <c r="K987" t="s" s="11">
        <v>5180</v>
      </c>
      <c r="L987" s="17">
        <f>HYPERLINK("http://funds.jp", "funds.jp")</f>
      </c>
      <c r="M987" s="17">
        <f>HYPERLINK("https://my.pitchbook.com?c=416559-07", "View Company Online")</f>
      </c>
    </row>
    <row r="988">
      <c r="A988" t="s" s="10">
        <v>5182</v>
      </c>
      <c r="B988" t="s" s="10">
        <v>5183</v>
      </c>
      <c r="C988" t="s" s="10">
        <v>46</v>
      </c>
      <c r="D988" t="s" s="10">
        <v>47</v>
      </c>
      <c r="E988" t="s" s="10">
        <v>2835</v>
      </c>
      <c r="F988" s="27">
        <v>45931</v>
      </c>
      <c r="G988" t="s" s="10">
        <v>40</v>
      </c>
      <c r="H988" s="42">
        <v>20</v>
      </c>
      <c r="I988" s="42">
        <v>99</v>
      </c>
      <c r="J988" t="s" s="10">
        <v>5184</v>
      </c>
      <c r="K988" t="s" s="10">
        <v>5185</v>
      </c>
      <c r="L988" s="16">
        <f>HYPERLINK("http://www.baselane.com", "www.baselane.com")</f>
      </c>
      <c r="M988" s="16">
        <f>HYPERLINK("https://my.pitchbook.com?c=463445-02", "View Company Online")</f>
      </c>
    </row>
    <row r="989">
      <c r="A989" t="s" s="11">
        <v>5187</v>
      </c>
      <c r="B989" t="s" s="11">
        <v>5188</v>
      </c>
      <c r="C989" t="s" s="11">
        <v>60</v>
      </c>
      <c r="D989" t="s" s="11">
        <v>61</v>
      </c>
      <c r="E989" t="s" s="11">
        <v>5189</v>
      </c>
      <c r="F989" s="28">
        <v>44438</v>
      </c>
      <c r="G989" t="s" s="11">
        <v>40</v>
      </c>
      <c r="H989" s="43">
        <v>26.41</v>
      </c>
      <c r="I989" s="43">
        <v>98.99</v>
      </c>
      <c r="J989" t="s" s="11">
        <v>5190</v>
      </c>
      <c r="K989" t="s" s="11">
        <v>5191</v>
      </c>
      <c r="L989" s="17">
        <f>HYPERLINK("http://www.toranotec.com", "www.toranotec.com")</f>
      </c>
      <c r="M989" s="17">
        <f>HYPERLINK("https://my.pitchbook.com?c=169138-99", "View Company Online")</f>
      </c>
    </row>
    <row r="990">
      <c r="A990" t="s" s="10">
        <v>5193</v>
      </c>
      <c r="B990" t="s" s="10">
        <v>5194</v>
      </c>
      <c r="C990" t="s" s="10">
        <v>46</v>
      </c>
      <c r="D990" t="s" s="10">
        <v>47</v>
      </c>
      <c r="E990" t="s" s="10">
        <v>821</v>
      </c>
      <c r="F990" s="27">
        <v>45075</v>
      </c>
      <c r="G990" t="s" s="10">
        <v>40</v>
      </c>
      <c r="H990" s="42">
        <v>9.97</v>
      </c>
      <c r="I990" s="42">
        <v>98.51</v>
      </c>
      <c r="J990" t="s" s="10">
        <v>5195</v>
      </c>
      <c r="K990" t="s" s="10">
        <v>5196</v>
      </c>
      <c r="L990" s="16">
        <f>HYPERLINK("http://www.simfoni.com", "www.simfoni.com")</f>
      </c>
      <c r="M990" s="16">
        <f>HYPERLINK("https://my.pitchbook.com?c=232300-54", "View Company Online")</f>
      </c>
    </row>
    <row r="991">
      <c r="A991" t="s" s="11">
        <v>5198</v>
      </c>
      <c r="B991" t="s" s="11">
        <v>5199</v>
      </c>
      <c r="C991" t="s" s="11">
        <v>46</v>
      </c>
      <c r="D991" t="s" s="11">
        <v>47</v>
      </c>
      <c r="E991" t="s" s="11">
        <v>332</v>
      </c>
      <c r="F991" s="28">
        <v>45904</v>
      </c>
      <c r="G991" t="s" s="11">
        <v>40</v>
      </c>
      <c r="H991" s="43">
        <v>53.92</v>
      </c>
      <c r="I991" s="43">
        <v>98.42</v>
      </c>
      <c r="J991" t="s" s="11">
        <v>5200</v>
      </c>
      <c r="K991" t="s" s="11">
        <v>5201</v>
      </c>
      <c r="L991" s="17">
        <f>HYPERLINK("http://www.anna.money", "www.anna.money")</f>
      </c>
      <c r="M991" s="17">
        <f>HYPERLINK("https://my.pitchbook.com?c=265240-00", "View Company Online")</f>
      </c>
    </row>
    <row r="992">
      <c r="A992" t="s" s="10">
        <v>5203</v>
      </c>
      <c r="B992" t="s" s="10">
        <v>5204</v>
      </c>
      <c r="C992" t="s" s="10">
        <v>60</v>
      </c>
      <c r="D992" t="s" s="10">
        <v>61</v>
      </c>
      <c r="E992" t="s" s="10">
        <v>270</v>
      </c>
      <c r="F992" s="27">
        <v>44287</v>
      </c>
      <c r="G992" t="s" s="10">
        <v>48</v>
      </c>
      <c r="H992" t="s" s="42">
        <v>30</v>
      </c>
      <c r="I992" s="42">
        <v>98.4</v>
      </c>
      <c r="J992" t="s" s="10">
        <v>5205</v>
      </c>
      <c r="K992" t="s" s="10">
        <v>5206</v>
      </c>
      <c r="L992" s="16">
        <f>HYPERLINK("http://www.stockpile.com", "www.stockpile.com")</f>
      </c>
      <c r="M992" s="16">
        <f>HYPERLINK("https://my.pitchbook.com?c=62105-05", "View Company Online")</f>
      </c>
    </row>
    <row r="993">
      <c r="A993" t="s" s="11">
        <v>5208</v>
      </c>
      <c r="B993" t="s" s="11">
        <v>5209</v>
      </c>
      <c r="C993" t="s" s="11">
        <v>164</v>
      </c>
      <c r="D993" t="s" s="11">
        <v>206</v>
      </c>
      <c r="E993" t="s" s="11">
        <v>137</v>
      </c>
      <c r="F993" s="28">
        <v>45689</v>
      </c>
      <c r="G993" t="s" s="11">
        <v>146</v>
      </c>
      <c r="H993" s="43">
        <v>29</v>
      </c>
      <c r="I993" s="43">
        <v>98</v>
      </c>
      <c r="J993" t="s" s="11">
        <v>5210</v>
      </c>
      <c r="K993" t="s" s="11">
        <v>5211</v>
      </c>
      <c r="L993" s="17">
        <f>HYPERLINK("http://www.lynx-fh.com", "www.lynx-fh.com")</f>
      </c>
      <c r="M993" s="17">
        <f>HYPERLINK("https://my.pitchbook.com?c=471265-12", "View Company Online")</f>
      </c>
    </row>
    <row r="994">
      <c r="A994" t="s" s="10">
        <v>5213</v>
      </c>
      <c r="B994" t="s" s="10">
        <v>5214</v>
      </c>
      <c r="C994" t="s" s="10">
        <v>222</v>
      </c>
      <c r="D994" t="s" s="10">
        <v>537</v>
      </c>
      <c r="E994" t="s" s="10">
        <v>253</v>
      </c>
      <c r="F994" s="27">
        <v>44825</v>
      </c>
      <c r="G994" t="s" s="10">
        <v>146</v>
      </c>
      <c r="H994" s="42">
        <v>7.86</v>
      </c>
      <c r="I994" s="42">
        <v>97.86</v>
      </c>
      <c r="J994" t="s" s="10">
        <v>5215</v>
      </c>
      <c r="K994" t="s" s="10">
        <v>5216</v>
      </c>
      <c r="L994" s="16">
        <f>HYPERLINK("http://www.purestream.tech", "www.purestream.tech")</f>
      </c>
      <c r="M994" s="16">
        <f>HYPERLINK("https://my.pitchbook.com?c=458560-45", "View Company Online")</f>
      </c>
    </row>
    <row r="995">
      <c r="A995" t="s" s="11">
        <v>5218</v>
      </c>
      <c r="B995" t="s" s="11">
        <v>5219</v>
      </c>
      <c r="C995" t="s" s="11">
        <v>222</v>
      </c>
      <c r="D995" t="s" s="11">
        <v>235</v>
      </c>
      <c r="E995" t="s" s="11">
        <v>137</v>
      </c>
      <c r="F995" s="28">
        <v>45576</v>
      </c>
      <c r="G995" t="s" s="11">
        <v>40</v>
      </c>
      <c r="H995" s="43">
        <v>4.31</v>
      </c>
      <c r="I995" s="43">
        <v>97.69</v>
      </c>
      <c r="J995" t="s" s="11">
        <v>5220</v>
      </c>
      <c r="K995" t="s" s="11">
        <v>5221</v>
      </c>
      <c r="L995" s="17">
        <f>HYPERLINK("http://www.indihood.com", "www.indihood.com")</f>
      </c>
      <c r="M995" s="17">
        <f>HYPERLINK("https://my.pitchbook.com?c=467590-24", "View Company Online")</f>
      </c>
    </row>
    <row r="996">
      <c r="A996" t="s" s="10">
        <v>5223</v>
      </c>
      <c r="B996" t="s" s="10">
        <v>5224</v>
      </c>
      <c r="C996" t="s" s="10">
        <v>60</v>
      </c>
      <c r="D996" t="s" s="10">
        <v>246</v>
      </c>
      <c r="E996" t="s" s="10">
        <v>137</v>
      </c>
      <c r="F996" s="27">
        <v>45776</v>
      </c>
      <c r="G996" t="s" s="10">
        <v>40</v>
      </c>
      <c r="H996" s="42">
        <v>29.57</v>
      </c>
      <c r="I996" s="42">
        <v>97.57</v>
      </c>
      <c r="J996" t="s" s="10">
        <v>5225</v>
      </c>
      <c r="K996" t="s" s="10">
        <v>5226</v>
      </c>
      <c r="L996" s="16">
        <f>HYPERLINK("http://www.zoefinancial.com", "www.zoefinancial.com")</f>
      </c>
      <c r="M996" s="16">
        <f>HYPERLINK("https://my.pitchbook.com?c=233306-02", "View Company Online")</f>
      </c>
    </row>
    <row r="997">
      <c r="A997" t="s" s="11">
        <v>5228</v>
      </c>
      <c r="B997" t="s" s="11">
        <v>5229</v>
      </c>
      <c r="C997" t="s" s="11">
        <v>222</v>
      </c>
      <c r="D997" t="s" s="11">
        <v>235</v>
      </c>
      <c r="E997" t="s" s="11">
        <v>5230</v>
      </c>
      <c r="F997" s="28">
        <v>45575</v>
      </c>
      <c r="G997" t="s" s="11">
        <v>607</v>
      </c>
      <c r="H997" t="s" s="43">
        <v>30</v>
      </c>
      <c r="I997" s="43">
        <v>97.5</v>
      </c>
      <c r="J997" t="s" s="11">
        <v>5231</v>
      </c>
      <c r="K997" t="s" s="11">
        <v>5232</v>
      </c>
      <c r="L997" s="17">
        <f>HYPERLINK("http://www.banyaninfrastructure.com", "www.banyaninfrastructure.com")</f>
      </c>
      <c r="M997" s="17">
        <f>HYPERLINK("https://my.pitchbook.com?c=228795-22", "View Company Online")</f>
      </c>
    </row>
    <row r="998">
      <c r="A998" t="s" s="10">
        <v>5234</v>
      </c>
      <c r="B998" t="s" s="10">
        <v>5235</v>
      </c>
      <c r="C998" t="s" s="10">
        <v>46</v>
      </c>
      <c r="D998" t="s" s="10">
        <v>397</v>
      </c>
      <c r="E998" t="s" s="10">
        <v>5236</v>
      </c>
      <c r="F998" s="27">
        <v>45552</v>
      </c>
      <c r="G998" t="s" s="10">
        <v>40</v>
      </c>
      <c r="H998" t="s" s="42">
        <v>30</v>
      </c>
      <c r="I998" s="42">
        <v>97.5</v>
      </c>
      <c r="J998" t="s" s="10">
        <v>5237</v>
      </c>
      <c r="K998" t="s" s="10">
        <v>5238</v>
      </c>
      <c r="L998" s="16">
        <f>HYPERLINK("http://www.proper.ai", "www.proper.ai")</f>
      </c>
      <c r="M998" s="16">
        <f>HYPERLINK("https://my.pitchbook.com?c=433646-38", "View Company Online")</f>
      </c>
    </row>
    <row r="999">
      <c r="A999" t="s" s="11">
        <v>5240</v>
      </c>
      <c r="B999" t="s" s="11">
        <v>5241</v>
      </c>
      <c r="C999" t="s" s="11">
        <v>222</v>
      </c>
      <c r="D999" t="s" s="11">
        <v>223</v>
      </c>
      <c r="E999" t="s" s="11">
        <v>116</v>
      </c>
      <c r="F999" s="28">
        <v>43700</v>
      </c>
      <c r="G999" t="s" s="11">
        <v>146</v>
      </c>
      <c r="H999" s="43">
        <v>9.73</v>
      </c>
      <c r="I999" s="43">
        <v>97.33</v>
      </c>
      <c r="J999" t="s" s="11">
        <v>5242</v>
      </c>
      <c r="K999" t="s" s="11">
        <v>5243</v>
      </c>
      <c r="L999" s="17">
        <f>HYPERLINK("http://www.wealthbetter.com", "www.wealthbetter.com")</f>
      </c>
      <c r="M999" s="17">
        <f>HYPERLINK("https://my.pitchbook.com?c=229786-57", "View Company Online")</f>
      </c>
    </row>
    <row r="1000">
      <c r="A1000" t="s" s="10">
        <v>5245</v>
      </c>
      <c r="B1000" t="s" s="10">
        <v>5246</v>
      </c>
      <c r="C1000" t="s" s="10">
        <v>27</v>
      </c>
      <c r="D1000" t="s" s="10">
        <v>28</v>
      </c>
      <c r="E1000" t="s" s="10">
        <v>5247</v>
      </c>
      <c r="F1000" s="27">
        <v>45999</v>
      </c>
      <c r="G1000" t="s" s="10">
        <v>40</v>
      </c>
      <c r="H1000" s="42">
        <v>10</v>
      </c>
      <c r="I1000" s="42">
        <v>97</v>
      </c>
      <c r="J1000" t="s" s="10">
        <v>5248</v>
      </c>
      <c r="K1000" t="s" s="10">
        <v>5249</v>
      </c>
      <c r="L1000" s="16">
        <f>HYPERLINK("http://www.magiccube.co", "www.magiccube.co")</f>
      </c>
      <c r="M1000" s="16">
        <f>HYPERLINK("https://my.pitchbook.com?c=122849-65", "View Company Online")</f>
      </c>
    </row>
    <row r="1001">
      <c r="A1001" t="s" s="11">
        <v>5251</v>
      </c>
      <c r="B1001" t="s" s="11">
        <v>5252</v>
      </c>
      <c r="C1001" t="s" s="11">
        <v>164</v>
      </c>
      <c r="D1001" t="s" s="11">
        <v>206</v>
      </c>
      <c r="E1001" t="s" s="11">
        <v>5253</v>
      </c>
      <c r="F1001" s="28">
        <v>46001</v>
      </c>
      <c r="G1001" t="s" s="11">
        <v>40</v>
      </c>
      <c r="H1001" t="s" s="43">
        <v>30</v>
      </c>
      <c r="I1001" s="43">
        <v>97</v>
      </c>
      <c r="J1001" t="s" s="11">
        <v>5254</v>
      </c>
      <c r="K1001" t="s" s="11">
        <v>5255</v>
      </c>
      <c r="L1001" s="17">
        <f>HYPERLINK("http://www.spiral.us", "www.spiral.us")</f>
      </c>
      <c r="M1001" s="17">
        <f>HYPERLINK("https://my.pitchbook.com?c=463576-78", "View Company Online")</f>
      </c>
    </row>
    <row r="1002">
      <c r="A1002" t="s" s="10">
        <v>5257</v>
      </c>
      <c r="B1002" t="s" s="10">
        <v>5258</v>
      </c>
      <c r="C1002" t="s" s="10">
        <v>60</v>
      </c>
      <c r="D1002" t="s" s="10">
        <v>246</v>
      </c>
      <c r="E1002" t="s" s="10">
        <v>1349</v>
      </c>
      <c r="F1002" t="s" s="27">
        <v>30</v>
      </c>
      <c r="G1002" t="s" s="10">
        <v>146</v>
      </c>
      <c r="H1002" t="s" s="42">
        <v>30</v>
      </c>
      <c r="I1002" s="42">
        <v>96.54</v>
      </c>
      <c r="J1002" t="s" s="10">
        <v>5259</v>
      </c>
      <c r="K1002" t="s" s="10">
        <v>5260</v>
      </c>
      <c r="L1002" s="16">
        <f>HYPERLINK("http://quantit.ai", "quantit.ai")</f>
      </c>
      <c r="M1002" s="16">
        <f>HYPERLINK("https://my.pitchbook.com?c=521231-23", "View Company Online")</f>
      </c>
    </row>
    <row r="1003">
      <c r="A1003" t="s" s="11">
        <v>5262</v>
      </c>
      <c r="B1003" t="s" s="11">
        <v>5263</v>
      </c>
      <c r="C1003" t="s" s="11">
        <v>222</v>
      </c>
      <c r="D1003" t="s" s="11">
        <v>235</v>
      </c>
      <c r="E1003" t="s" s="11">
        <v>137</v>
      </c>
      <c r="F1003" s="28">
        <v>45962</v>
      </c>
      <c r="G1003" t="s" s="11">
        <v>146</v>
      </c>
      <c r="H1003" t="s" s="43">
        <v>30</v>
      </c>
      <c r="I1003" s="43">
        <v>96.5</v>
      </c>
      <c r="J1003" t="s" s="11">
        <v>5264</v>
      </c>
      <c r="K1003" t="s" s="11">
        <v>5265</v>
      </c>
      <c r="L1003" s="17">
        <f>HYPERLINK("http://www.decilegroup.com", "www.decilegroup.com")</f>
      </c>
      <c r="M1003" s="17">
        <f>HYPERLINK("https://my.pitchbook.com?c=527167-27", "View Company Online")</f>
      </c>
    </row>
    <row r="1004">
      <c r="A1004" t="s" s="10">
        <v>5267</v>
      </c>
      <c r="B1004" t="s" s="10">
        <v>5268</v>
      </c>
      <c r="C1004" t="s" s="10">
        <v>164</v>
      </c>
      <c r="D1004" t="s" s="10">
        <v>206</v>
      </c>
      <c r="E1004" t="s" s="10">
        <v>859</v>
      </c>
      <c r="F1004" s="27">
        <v>45503</v>
      </c>
      <c r="G1004" t="s" s="10">
        <v>40</v>
      </c>
      <c r="H1004" s="42">
        <v>22.8</v>
      </c>
      <c r="I1004" s="42">
        <v>96.5</v>
      </c>
      <c r="J1004" t="s" s="10">
        <v>5269</v>
      </c>
      <c r="K1004" t="s" s="10">
        <v>5270</v>
      </c>
      <c r="L1004" s="16">
        <f>HYPERLINK("http://www.shiftmarkets.com", "www.shiftmarkets.com")</f>
      </c>
      <c r="M1004" s="16">
        <f>HYPERLINK("https://my.pitchbook.com?c=435826-99", "View Company Online")</f>
      </c>
    </row>
    <row r="1005">
      <c r="A1005" t="s" s="11">
        <v>5272</v>
      </c>
      <c r="B1005" t="s" s="11">
        <v>5273</v>
      </c>
      <c r="C1005" t="s" s="11">
        <v>60</v>
      </c>
      <c r="D1005" t="s" s="11">
        <v>192</v>
      </c>
      <c r="E1005" t="s" s="11">
        <v>137</v>
      </c>
      <c r="F1005" s="28">
        <v>44410</v>
      </c>
      <c r="G1005" t="s" s="11">
        <v>5274</v>
      </c>
      <c r="H1005" s="43">
        <v>1.85</v>
      </c>
      <c r="I1005" s="43">
        <v>96.35</v>
      </c>
      <c r="J1005" t="s" s="11">
        <v>5275</v>
      </c>
      <c r="K1005" t="s" s="11">
        <v>30</v>
      </c>
      <c r="L1005" s="17">
        <f>HYPERLINK("http://www.threeplusone.us", "www.threeplusone.us")</f>
      </c>
      <c r="M1005" s="17">
        <f>HYPERLINK("https://my.pitchbook.com?c=266255-47", "View Company Online")</f>
      </c>
    </row>
    <row r="1006">
      <c r="A1006" t="s" s="10">
        <v>5277</v>
      </c>
      <c r="B1006" t="s" s="10">
        <v>5278</v>
      </c>
      <c r="C1006" t="s" s="10">
        <v>60</v>
      </c>
      <c r="D1006" t="s" s="10">
        <v>246</v>
      </c>
      <c r="E1006" t="s" s="10">
        <v>137</v>
      </c>
      <c r="F1006" s="27">
        <v>45576</v>
      </c>
      <c r="G1006" t="s" s="10">
        <v>40</v>
      </c>
      <c r="H1006" t="s" s="42">
        <v>30</v>
      </c>
      <c r="I1006" s="42">
        <v>96.08</v>
      </c>
      <c r="J1006" t="s" s="10">
        <v>5279</v>
      </c>
      <c r="K1006" t="s" s="10">
        <v>5280</v>
      </c>
      <c r="L1006" s="16">
        <f>HYPERLINK("http://www.liqid.de", "www.liqid.de")</f>
      </c>
      <c r="M1006" s="16">
        <f>HYPERLINK("https://my.pitchbook.com?c=161873-47", "View Company Online")</f>
      </c>
    </row>
    <row r="1007">
      <c r="A1007" t="s" s="11">
        <v>5282</v>
      </c>
      <c r="B1007" t="s" s="11">
        <v>5283</v>
      </c>
      <c r="C1007" t="s" s="11">
        <v>60</v>
      </c>
      <c r="D1007" t="s" s="11">
        <v>192</v>
      </c>
      <c r="E1007" t="s" s="11">
        <v>270</v>
      </c>
      <c r="F1007" s="28">
        <v>45626</v>
      </c>
      <c r="G1007" t="s" s="11">
        <v>5274</v>
      </c>
      <c r="H1007" s="43">
        <v>5.83</v>
      </c>
      <c r="I1007" s="43">
        <v>95.82</v>
      </c>
      <c r="J1007" t="s" s="11">
        <v>5284</v>
      </c>
      <c r="K1007" t="s" s="11">
        <v>5285</v>
      </c>
      <c r="L1007" s="17">
        <f>HYPERLINK("http://www.internovo.in", "www.internovo.in")</f>
      </c>
      <c r="M1007" s="17">
        <f>HYPERLINK("https://my.pitchbook.com?c=551294-74", "View Company Online")</f>
      </c>
    </row>
    <row r="1008">
      <c r="A1008" t="s" s="10">
        <v>5287</v>
      </c>
      <c r="B1008" t="s" s="10">
        <v>5288</v>
      </c>
      <c r="C1008" t="s" s="10">
        <v>164</v>
      </c>
      <c r="D1008" t="s" s="10">
        <v>206</v>
      </c>
      <c r="E1008" t="s" s="10">
        <v>5289</v>
      </c>
      <c r="F1008" s="27">
        <v>45896</v>
      </c>
      <c r="G1008" t="s" s="10">
        <v>40</v>
      </c>
      <c r="H1008" s="42">
        <v>11</v>
      </c>
      <c r="I1008" s="42">
        <v>95.67</v>
      </c>
      <c r="J1008" t="s" s="10">
        <v>5290</v>
      </c>
      <c r="K1008" t="s" s="10">
        <v>5291</v>
      </c>
      <c r="L1008" s="16">
        <f>HYPERLINK("http://www.traydstream.com", "www.traydstream.com")</f>
      </c>
      <c r="M1008" s="16">
        <f>HYPERLINK("https://my.pitchbook.com?c=181933-75", "View Company Online")</f>
      </c>
    </row>
    <row r="1009">
      <c r="A1009" t="s" s="11">
        <v>5293</v>
      </c>
      <c r="B1009" t="s" s="11">
        <v>5294</v>
      </c>
      <c r="C1009" t="s" s="11">
        <v>60</v>
      </c>
      <c r="D1009" t="s" s="11">
        <v>727</v>
      </c>
      <c r="E1009" t="s" s="11">
        <v>137</v>
      </c>
      <c r="F1009" s="28">
        <v>45530</v>
      </c>
      <c r="G1009" t="s" s="11">
        <v>40</v>
      </c>
      <c r="H1009" s="43">
        <v>54.3</v>
      </c>
      <c r="I1009" s="43">
        <v>95.58</v>
      </c>
      <c r="J1009" t="s" s="11">
        <v>5295</v>
      </c>
      <c r="K1009" t="s" s="11">
        <v>5296</v>
      </c>
      <c r="L1009" s="17">
        <f>HYPERLINK("http://www.helicap.com", "www.helicap.com")</f>
      </c>
      <c r="M1009" s="17">
        <f>HYPERLINK("https://my.pitchbook.com?c=229111-93", "View Company Online")</f>
      </c>
    </row>
    <row r="1010">
      <c r="A1010" t="s" s="10">
        <v>5298</v>
      </c>
      <c r="B1010" t="s" s="10">
        <v>5299</v>
      </c>
      <c r="C1010" t="s" s="10">
        <v>222</v>
      </c>
      <c r="D1010" t="s" s="10">
        <v>223</v>
      </c>
      <c r="E1010" t="s" s="10">
        <v>1349</v>
      </c>
      <c r="F1010" s="27">
        <v>45987</v>
      </c>
      <c r="G1010" t="s" s="10">
        <v>40</v>
      </c>
      <c r="H1010" s="42">
        <v>10.25</v>
      </c>
      <c r="I1010" s="42">
        <v>95.25</v>
      </c>
      <c r="J1010" t="s" s="10">
        <v>5300</v>
      </c>
      <c r="K1010" t="s" s="10">
        <v>5301</v>
      </c>
      <c r="L1010" s="16">
        <f>HYPERLINK("http://www.entelligent.com", "www.entelligent.com")</f>
      </c>
      <c r="M1010" s="16">
        <f>HYPERLINK("https://my.pitchbook.com?c=181005-58", "View Company Online")</f>
      </c>
    </row>
    <row r="1011">
      <c r="A1011" t="s" s="11">
        <v>5303</v>
      </c>
      <c r="B1011" t="s" s="11">
        <v>5304</v>
      </c>
      <c r="C1011" t="s" s="11">
        <v>60</v>
      </c>
      <c r="D1011" t="s" s="11">
        <v>61</v>
      </c>
      <c r="E1011" t="s" s="11">
        <v>193</v>
      </c>
      <c r="F1011" s="28">
        <v>45658</v>
      </c>
      <c r="G1011" t="s" s="11">
        <v>40</v>
      </c>
      <c r="H1011" t="s" s="43">
        <v>30</v>
      </c>
      <c r="I1011" s="43">
        <v>95.11</v>
      </c>
      <c r="J1011" t="s" s="11">
        <v>5305</v>
      </c>
      <c r="K1011" t="s" s="11">
        <v>5306</v>
      </c>
      <c r="L1011" s="17">
        <f>HYPERLINK("http://www.sharesies.nz", "www.sharesies.nz")</f>
      </c>
      <c r="M1011" s="17">
        <f>HYPERLINK("https://my.pitchbook.com?c=277452-10", "View Company Online")</f>
      </c>
    </row>
    <row r="1012">
      <c r="A1012" t="s" s="10">
        <v>5308</v>
      </c>
      <c r="B1012" t="s" s="10">
        <v>5309</v>
      </c>
      <c r="C1012" t="s" s="10">
        <v>27</v>
      </c>
      <c r="D1012" t="s" s="10">
        <v>28</v>
      </c>
      <c r="E1012" t="s" s="10">
        <v>5310</v>
      </c>
      <c r="F1012" s="27">
        <v>43949</v>
      </c>
      <c r="G1012" t="s" s="10">
        <v>5311</v>
      </c>
      <c r="H1012" s="42">
        <v>0.36</v>
      </c>
      <c r="I1012" s="42">
        <v>95</v>
      </c>
      <c r="J1012" t="s" s="10">
        <v>5312</v>
      </c>
      <c r="K1012" t="s" s="10">
        <v>5313</v>
      </c>
      <c r="L1012" s="16">
        <f>HYPERLINK("http://www.onedine.com", "www.onedine.com")</f>
      </c>
      <c r="M1012" s="16">
        <f>HYPERLINK("https://my.pitchbook.com?c=187970-95", "View Company Online")</f>
      </c>
    </row>
    <row r="1013">
      <c r="A1013" t="s" s="11">
        <v>5315</v>
      </c>
      <c r="B1013" t="s" s="11">
        <v>5316</v>
      </c>
      <c r="C1013" t="s" s="11">
        <v>114</v>
      </c>
      <c r="D1013" t="s" s="11">
        <v>870</v>
      </c>
      <c r="E1013" t="s" s="11">
        <v>270</v>
      </c>
      <c r="F1013" s="28">
        <v>46107</v>
      </c>
      <c r="G1013" t="s" s="11">
        <v>40</v>
      </c>
      <c r="H1013" s="43">
        <v>18</v>
      </c>
      <c r="I1013" s="43">
        <v>95</v>
      </c>
      <c r="J1013" t="s" s="11">
        <v>5317</v>
      </c>
      <c r="K1013" t="s" s="11">
        <v>5318</v>
      </c>
      <c r="L1013" s="17">
        <f>HYPERLINK("http://www.uni.cards", "www.uni.cards")</f>
      </c>
      <c r="M1013" s="17">
        <f>HYPERLINK("https://my.pitchbook.com?c=438592-87", "View Company Online")</f>
      </c>
    </row>
    <row r="1014">
      <c r="A1014" t="s" s="10">
        <v>5320</v>
      </c>
      <c r="B1014" t="s" s="10">
        <v>5321</v>
      </c>
      <c r="C1014" t="s" s="10">
        <v>60</v>
      </c>
      <c r="D1014" t="s" s="10">
        <v>246</v>
      </c>
      <c r="E1014" t="s" s="10">
        <v>137</v>
      </c>
      <c r="F1014" s="27">
        <v>45861</v>
      </c>
      <c r="G1014" t="s" s="10">
        <v>146</v>
      </c>
      <c r="H1014" s="42">
        <v>17.35</v>
      </c>
      <c r="I1014" s="42">
        <v>94.98</v>
      </c>
      <c r="J1014" t="s" s="10">
        <v>5322</v>
      </c>
      <c r="K1014" t="s" s="10">
        <v>5323</v>
      </c>
      <c r="L1014" s="16">
        <f>HYPERLINK("http://www.chocolatefinance.com", "www.chocolatefinance.com")</f>
      </c>
      <c r="M1014" s="16">
        <f>HYPERLINK("https://my.pitchbook.com?c=504086-50", "View Company Online")</f>
      </c>
    </row>
    <row r="1015">
      <c r="A1015" t="s" s="11">
        <v>5325</v>
      </c>
      <c r="B1015" t="s" s="11">
        <v>5326</v>
      </c>
      <c r="C1015" t="s" s="11">
        <v>60</v>
      </c>
      <c r="D1015" t="s" s="11">
        <v>432</v>
      </c>
      <c r="E1015" t="s" s="11">
        <v>137</v>
      </c>
      <c r="F1015" s="28">
        <v>45646</v>
      </c>
      <c r="G1015" t="s" s="11">
        <v>40</v>
      </c>
      <c r="H1015" s="43">
        <v>9.96</v>
      </c>
      <c r="I1015" s="43">
        <v>94.96</v>
      </c>
      <c r="J1015" t="s" s="11">
        <v>5327</v>
      </c>
      <c r="K1015" t="s" s="11">
        <v>5328</v>
      </c>
      <c r="L1015" s="17">
        <f>HYPERLINK("http://www.hazeltree.com", "www.hazeltree.com")</f>
      </c>
      <c r="M1015" s="17">
        <f>HYPERLINK("https://my.pitchbook.com?c=42372-73", "View Company Online")</f>
      </c>
    </row>
    <row r="1016">
      <c r="A1016" t="s" s="10">
        <v>5330</v>
      </c>
      <c r="B1016" t="s" s="10">
        <v>5331</v>
      </c>
      <c r="C1016" t="s" s="10">
        <v>60</v>
      </c>
      <c r="D1016" t="s" s="10">
        <v>192</v>
      </c>
      <c r="E1016" t="s" s="10">
        <v>193</v>
      </c>
      <c r="F1016" s="27">
        <v>46141</v>
      </c>
      <c r="G1016" t="s" s="10">
        <v>2051</v>
      </c>
      <c r="H1016" t="s" s="42">
        <v>30</v>
      </c>
      <c r="I1016" s="42">
        <v>94.63</v>
      </c>
      <c r="J1016" t="s" s="10">
        <v>5332</v>
      </c>
      <c r="K1016" t="s" s="10">
        <v>5333</v>
      </c>
      <c r="L1016" s="16">
        <f>HYPERLINK("http://askmodu.com", "askmodu.com")</f>
      </c>
      <c r="M1016" s="16">
        <f>HYPERLINK("https://my.pitchbook.com?c=435372-49", "View Company Online")</f>
      </c>
    </row>
    <row r="1017">
      <c r="A1017" t="s" s="11">
        <v>5335</v>
      </c>
      <c r="B1017" t="s" s="11">
        <v>5336</v>
      </c>
      <c r="C1017" t="s" s="11">
        <v>114</v>
      </c>
      <c r="D1017" t="s" s="11">
        <v>136</v>
      </c>
      <c r="E1017" t="s" s="11">
        <v>759</v>
      </c>
      <c r="F1017" s="28">
        <v>44573</v>
      </c>
      <c r="G1017" t="s" s="11">
        <v>40</v>
      </c>
      <c r="H1017" s="43">
        <v>21.2</v>
      </c>
      <c r="I1017" s="43">
        <v>94.57</v>
      </c>
      <c r="J1017" t="s" s="11">
        <v>5337</v>
      </c>
      <c r="K1017" t="s" s="11">
        <v>5338</v>
      </c>
      <c r="L1017" s="17">
        <f>HYPERLINK("http://www.valiantfinance.com", "www.valiantfinance.com")</f>
      </c>
      <c r="M1017" s="17">
        <f>HYPERLINK("https://my.pitchbook.com?c=161206-57", "View Company Online")</f>
      </c>
    </row>
    <row r="1018">
      <c r="A1018" t="s" s="10">
        <v>5340</v>
      </c>
      <c r="B1018" t="s" s="10">
        <v>5341</v>
      </c>
      <c r="C1018" t="s" s="10">
        <v>164</v>
      </c>
      <c r="D1018" t="s" s="10">
        <v>206</v>
      </c>
      <c r="E1018" t="s" s="10">
        <v>253</v>
      </c>
      <c r="F1018" s="27">
        <v>46128</v>
      </c>
      <c r="G1018" t="s" s="10">
        <v>40</v>
      </c>
      <c r="H1018" s="42">
        <v>13.5</v>
      </c>
      <c r="I1018" s="42">
        <v>94.5</v>
      </c>
      <c r="J1018" t="s" s="10">
        <v>5342</v>
      </c>
      <c r="K1018" t="s" s="10">
        <v>5343</v>
      </c>
      <c r="L1018" s="16">
        <f>HYPERLINK("http://www.templuminc.com", "www.templuminc.com")</f>
      </c>
      <c r="M1018" s="16">
        <f>HYPERLINK("https://my.pitchbook.com?c=187698-07", "View Company Online")</f>
      </c>
    </row>
    <row r="1019">
      <c r="A1019" t="s" s="11">
        <v>5345</v>
      </c>
      <c r="B1019" t="s" s="11">
        <v>5346</v>
      </c>
      <c r="C1019" t="s" s="11">
        <v>222</v>
      </c>
      <c r="D1019" t="s" s="11">
        <v>235</v>
      </c>
      <c r="E1019" t="s" s="11">
        <v>259</v>
      </c>
      <c r="F1019" s="28">
        <v>45440</v>
      </c>
      <c r="G1019" t="s" s="11">
        <v>146</v>
      </c>
      <c r="H1019" s="43">
        <v>18.92</v>
      </c>
      <c r="I1019" s="43">
        <v>94.46</v>
      </c>
      <c r="J1019" t="s" s="11">
        <v>5347</v>
      </c>
      <c r="K1019" t="s" s="11">
        <v>5348</v>
      </c>
      <c r="L1019" s="17">
        <f>HYPERLINK("http://www.bondaval.com", "www.bondaval.com")</f>
      </c>
      <c r="M1019" s="17">
        <f>HYPERLINK("https://my.pitchbook.com?c=459129-07", "View Company Online")</f>
      </c>
    </row>
    <row r="1020">
      <c r="A1020" t="s" s="10">
        <v>5350</v>
      </c>
      <c r="B1020" t="s" s="10">
        <v>5351</v>
      </c>
      <c r="C1020" t="s" s="10">
        <v>222</v>
      </c>
      <c r="D1020" t="s" s="10">
        <v>223</v>
      </c>
      <c r="E1020" t="s" s="10">
        <v>634</v>
      </c>
      <c r="F1020" s="27">
        <v>45020</v>
      </c>
      <c r="G1020" t="s" s="10">
        <v>607</v>
      </c>
      <c r="H1020" t="s" s="42">
        <v>30</v>
      </c>
      <c r="I1020" s="42">
        <v>94.23</v>
      </c>
      <c r="J1020" t="s" s="10">
        <v>5352</v>
      </c>
      <c r="K1020" t="s" s="10">
        <v>5353</v>
      </c>
      <c r="L1020" s="16">
        <f>HYPERLINK("http://www.sesamm.com", "www.sesamm.com")</f>
      </c>
      <c r="M1020" s="16">
        <f>HYPERLINK("https://my.pitchbook.com?c=99049-60", "View Company Online")</f>
      </c>
    </row>
    <row r="1021">
      <c r="A1021" t="s" s="11">
        <v>5355</v>
      </c>
      <c r="B1021" t="s" s="11">
        <v>5356</v>
      </c>
      <c r="C1021" t="s" s="11">
        <v>164</v>
      </c>
      <c r="D1021" t="s" s="11">
        <v>206</v>
      </c>
      <c r="E1021" t="s" s="11">
        <v>253</v>
      </c>
      <c r="F1021" s="28">
        <v>44837</v>
      </c>
      <c r="G1021" t="s" s="11">
        <v>48</v>
      </c>
      <c r="H1021" t="s" s="43">
        <v>30</v>
      </c>
      <c r="I1021" s="43">
        <v>94.15</v>
      </c>
      <c r="J1021" t="s" s="11">
        <v>5357</v>
      </c>
      <c r="K1021" t="s" s="11">
        <v>5358</v>
      </c>
      <c r="L1021" s="17">
        <f>HYPERLINK("http://www.lendkey.com", "www.lendkey.com")</f>
      </c>
      <c r="M1021" s="17">
        <f>HYPERLINK("https://my.pitchbook.com?c=51227-83", "View Company Online")</f>
      </c>
    </row>
    <row r="1022">
      <c r="A1022" t="s" s="10">
        <v>5360</v>
      </c>
      <c r="B1022" t="s" s="10">
        <v>5361</v>
      </c>
      <c r="C1022" t="s" s="10">
        <v>27</v>
      </c>
      <c r="D1022" t="s" s="10">
        <v>28</v>
      </c>
      <c r="E1022" t="s" s="10">
        <v>4207</v>
      </c>
      <c r="F1022" s="27">
        <v>46143</v>
      </c>
      <c r="G1022" t="s" s="10">
        <v>391</v>
      </c>
      <c r="H1022" t="s" s="42">
        <v>30</v>
      </c>
      <c r="I1022" s="42">
        <v>94.12</v>
      </c>
      <c r="J1022" t="s" s="10">
        <v>5362</v>
      </c>
      <c r="K1022" t="s" s="10">
        <v>30</v>
      </c>
      <c r="L1022" s="16">
        <f>HYPERLINK("http://www.paybyb.com", "www.paybyb.com")</f>
      </c>
      <c r="M1022" s="16">
        <f>HYPERLINK("https://my.pitchbook.com?c=234776-08", "View Company Online")</f>
      </c>
    </row>
    <row r="1023">
      <c r="A1023" t="s" s="11">
        <v>5364</v>
      </c>
      <c r="B1023" t="s" s="11">
        <v>5365</v>
      </c>
      <c r="C1023" t="s" s="11">
        <v>114</v>
      </c>
      <c r="D1023" t="s" s="11">
        <v>136</v>
      </c>
      <c r="E1023" t="s" s="11">
        <v>137</v>
      </c>
      <c r="F1023" s="28">
        <v>45610</v>
      </c>
      <c r="G1023" t="s" s="11">
        <v>40</v>
      </c>
      <c r="H1023" s="43">
        <v>67.14</v>
      </c>
      <c r="I1023" s="43">
        <v>94.02</v>
      </c>
      <c r="J1023" t="s" s="11">
        <v>5366</v>
      </c>
      <c r="K1023" t="s" s="11">
        <v>5367</v>
      </c>
      <c r="L1023" s="17">
        <f>HYPERLINK("http://www.sarvagram.com", "www.sarvagram.com")</f>
      </c>
      <c r="M1023" s="17">
        <f>HYPERLINK("https://my.pitchbook.com?c=338701-60", "View Company Online")</f>
      </c>
    </row>
    <row r="1024">
      <c r="A1024" t="s" s="10">
        <v>5369</v>
      </c>
      <c r="B1024" t="s" s="10">
        <v>5370</v>
      </c>
      <c r="C1024" t="s" s="10">
        <v>222</v>
      </c>
      <c r="D1024" t="s" s="10">
        <v>252</v>
      </c>
      <c r="E1024" t="s" s="10">
        <v>629</v>
      </c>
      <c r="F1024" s="27">
        <v>45623</v>
      </c>
      <c r="G1024" t="s" s="10">
        <v>146</v>
      </c>
      <c r="H1024" s="42">
        <v>80</v>
      </c>
      <c r="I1024" s="42">
        <v>93.22</v>
      </c>
      <c r="J1024" t="s" s="10">
        <v>5371</v>
      </c>
      <c r="K1024" t="s" s="10">
        <v>5372</v>
      </c>
      <c r="L1024" s="16">
        <f>HYPERLINK("http://www.partior.com", "www.partior.com")</f>
      </c>
      <c r="M1024" s="16">
        <f>HYPERLINK("https://my.pitchbook.com?c=466428-52", "View Company Online")</f>
      </c>
    </row>
    <row r="1025">
      <c r="A1025" t="s" s="11">
        <v>5374</v>
      </c>
      <c r="B1025" t="s" s="11">
        <v>5375</v>
      </c>
      <c r="C1025" t="s" s="11">
        <v>46</v>
      </c>
      <c r="D1025" t="s" s="11">
        <v>397</v>
      </c>
      <c r="E1025" t="s" s="11">
        <v>414</v>
      </c>
      <c r="F1025" s="28">
        <v>45097</v>
      </c>
      <c r="G1025" t="s" s="11">
        <v>146</v>
      </c>
      <c r="H1025" s="43">
        <v>17.91</v>
      </c>
      <c r="I1025" s="43">
        <v>93</v>
      </c>
      <c r="J1025" t="s" s="11">
        <v>5376</v>
      </c>
      <c r="K1025" t="s" s="11">
        <v>5377</v>
      </c>
      <c r="L1025" s="17">
        <f>HYPERLINK("http://www.cognaize.com", "www.cognaize.com")</f>
      </c>
      <c r="M1025" s="17">
        <f>HYPERLINK("https://my.pitchbook.com?c=481894-39", "View Company Online")</f>
      </c>
    </row>
    <row r="1026">
      <c r="A1026" t="s" s="10">
        <v>5379</v>
      </c>
      <c r="B1026" t="s" s="10">
        <v>5380</v>
      </c>
      <c r="C1026" t="s" s="10">
        <v>114</v>
      </c>
      <c r="D1026" t="s" s="10">
        <v>136</v>
      </c>
      <c r="E1026" t="s" s="10">
        <v>859</v>
      </c>
      <c r="F1026" s="27">
        <v>44629</v>
      </c>
      <c r="G1026" t="s" s="10">
        <v>146</v>
      </c>
      <c r="H1026" s="42">
        <v>17</v>
      </c>
      <c r="I1026" s="42">
        <v>93</v>
      </c>
      <c r="J1026" t="s" s="10">
        <v>5381</v>
      </c>
      <c r="K1026" t="s" s="10">
        <v>5382</v>
      </c>
      <c r="L1026" s="16">
        <f>HYPERLINK("http://www.milo.io", "www.milo.io")</f>
      </c>
      <c r="M1026" s="16">
        <f>HYPERLINK("https://my.pitchbook.com?c=433640-35", "View Company Online")</f>
      </c>
    </row>
    <row r="1027">
      <c r="A1027" t="s" s="11">
        <v>5384</v>
      </c>
      <c r="B1027" t="s" s="11">
        <v>5385</v>
      </c>
      <c r="C1027" t="s" s="11">
        <v>164</v>
      </c>
      <c r="D1027" t="s" s="11">
        <v>206</v>
      </c>
      <c r="E1027" t="s" s="11">
        <v>5386</v>
      </c>
      <c r="F1027" s="28">
        <v>46182</v>
      </c>
      <c r="G1027" t="s" s="11">
        <v>146</v>
      </c>
      <c r="H1027" s="43">
        <v>20</v>
      </c>
      <c r="I1027" s="43">
        <v>93</v>
      </c>
      <c r="J1027" t="s" s="11">
        <v>5387</v>
      </c>
      <c r="K1027" t="s" s="11">
        <v>5388</v>
      </c>
      <c r="L1027" s="17">
        <f>HYPERLINK("http://www.vinylequity.com", "www.vinylequity.com")</f>
      </c>
      <c r="M1027" s="17">
        <f>HYPERLINK("https://my.pitchbook.com?c=570302-74", "View Company Online")</f>
      </c>
    </row>
    <row r="1028">
      <c r="A1028" t="s" s="10">
        <v>5390</v>
      </c>
      <c r="B1028" t="s" s="10">
        <v>5391</v>
      </c>
      <c r="C1028" t="s" s="10">
        <v>27</v>
      </c>
      <c r="D1028" t="s" s="10">
        <v>28</v>
      </c>
      <c r="E1028" t="s" s="10">
        <v>5392</v>
      </c>
      <c r="F1028" s="27">
        <v>46174</v>
      </c>
      <c r="G1028" t="s" s="10">
        <v>186</v>
      </c>
      <c r="H1028" t="s" s="42">
        <v>30</v>
      </c>
      <c r="I1028" s="42">
        <v>92.6</v>
      </c>
      <c r="J1028" t="s" s="10">
        <v>5393</v>
      </c>
      <c r="K1028" t="s" s="10">
        <v>5394</v>
      </c>
      <c r="L1028" s="16">
        <f>HYPERLINK("http://www.gotab.com", "www.gotab.com")</f>
      </c>
      <c r="M1028" s="16">
        <f>HYPERLINK("https://my.pitchbook.com?c=117430-75", "View Company Online")</f>
      </c>
    </row>
    <row r="1029">
      <c r="A1029" t="s" s="11">
        <v>5396</v>
      </c>
      <c r="B1029" t="s" s="11">
        <v>5397</v>
      </c>
      <c r="C1029" t="s" s="11">
        <v>27</v>
      </c>
      <c r="D1029" t="s" s="11">
        <v>122</v>
      </c>
      <c r="E1029" t="s" s="11">
        <v>137</v>
      </c>
      <c r="F1029" s="28">
        <v>45358</v>
      </c>
      <c r="G1029" t="s" s="11">
        <v>40</v>
      </c>
      <c r="H1029" s="43">
        <v>5.83</v>
      </c>
      <c r="I1029" s="43">
        <v>91.94</v>
      </c>
      <c r="J1029" t="s" s="11">
        <v>5398</v>
      </c>
      <c r="K1029" t="s" s="11">
        <v>5399</v>
      </c>
      <c r="L1029" s="17">
        <f>HYPERLINK("http://www.sparksystems.sg", "www.sparksystems.sg")</f>
      </c>
      <c r="M1029" s="17">
        <f>HYPERLINK("https://my.pitchbook.com?c=168630-58", "View Company Online")</f>
      </c>
    </row>
    <row r="1030">
      <c r="A1030" t="s" s="10">
        <v>5401</v>
      </c>
      <c r="B1030" t="s" s="10">
        <v>5402</v>
      </c>
      <c r="C1030" t="s" s="10">
        <v>114</v>
      </c>
      <c r="D1030" t="s" s="10">
        <v>115</v>
      </c>
      <c r="E1030" t="s" s="10">
        <v>5403</v>
      </c>
      <c r="F1030" s="27">
        <v>45962</v>
      </c>
      <c r="G1030" t="s" s="10">
        <v>48</v>
      </c>
      <c r="H1030" t="s" s="42">
        <v>30</v>
      </c>
      <c r="I1030" s="42">
        <v>91.81</v>
      </c>
      <c r="J1030" t="s" s="10">
        <v>5404</v>
      </c>
      <c r="K1030" t="s" s="10">
        <v>5405</v>
      </c>
      <c r="L1030" s="16">
        <f>HYPERLINK("http://www.pretto.fr", "www.pretto.fr")</f>
      </c>
      <c r="M1030" s="16">
        <f>HYPERLINK("https://my.pitchbook.com?c=233733-52", "View Company Online")</f>
      </c>
    </row>
    <row r="1031">
      <c r="A1031" t="s" s="11">
        <v>5407</v>
      </c>
      <c r="B1031" t="s" s="11">
        <v>5408</v>
      </c>
      <c r="C1031" t="s" s="11">
        <v>60</v>
      </c>
      <c r="D1031" t="s" s="11">
        <v>420</v>
      </c>
      <c r="E1031" t="s" s="11">
        <v>137</v>
      </c>
      <c r="F1031" s="28">
        <v>45705</v>
      </c>
      <c r="G1031" t="s" s="11">
        <v>40</v>
      </c>
      <c r="H1031" s="43">
        <v>16.63</v>
      </c>
      <c r="I1031" s="43">
        <v>91.67</v>
      </c>
      <c r="J1031" t="s" s="11">
        <v>5409</v>
      </c>
      <c r="K1031" t="s" s="11">
        <v>5410</v>
      </c>
      <c r="L1031" s="17">
        <f>HYPERLINK("http://www.epsor.fr", "www.epsor.fr")</f>
      </c>
      <c r="M1031" s="17">
        <f>HYPERLINK("https://my.pitchbook.com?c=234764-20", "View Company Online")</f>
      </c>
    </row>
    <row r="1032">
      <c r="A1032" t="s" s="10">
        <v>5412</v>
      </c>
      <c r="B1032" t="s" s="10">
        <v>5413</v>
      </c>
      <c r="C1032" t="s" s="10">
        <v>27</v>
      </c>
      <c r="D1032" t="s" s="10">
        <v>28</v>
      </c>
      <c r="E1032" t="s" s="10">
        <v>137</v>
      </c>
      <c r="F1032" s="27">
        <v>45706</v>
      </c>
      <c r="G1032" t="s" s="10">
        <v>146</v>
      </c>
      <c r="H1032" s="42">
        <v>17.89</v>
      </c>
      <c r="I1032" s="42">
        <v>91.51</v>
      </c>
      <c r="J1032" t="s" s="10">
        <v>5414</v>
      </c>
      <c r="K1032" t="s" s="10">
        <v>5415</v>
      </c>
      <c r="L1032" s="16">
        <f>HYPERLINK("http://www.capimoney.com", "www.capimoney.com")</f>
      </c>
      <c r="M1032" s="16">
        <f>HYPERLINK("https://my.pitchbook.com?c=534577-87", "View Company Online")</f>
      </c>
    </row>
    <row r="1033">
      <c r="A1033" t="s" s="11">
        <v>5417</v>
      </c>
      <c r="B1033" t="s" s="11">
        <v>5418</v>
      </c>
      <c r="C1033" t="s" s="11">
        <v>60</v>
      </c>
      <c r="D1033" t="s" s="11">
        <v>246</v>
      </c>
      <c r="E1033" t="s" s="11">
        <v>1006</v>
      </c>
      <c r="F1033" t="s" s="28">
        <v>30</v>
      </c>
      <c r="G1033" t="s" s="11">
        <v>607</v>
      </c>
      <c r="H1033" t="s" s="43">
        <v>30</v>
      </c>
      <c r="I1033" s="43">
        <v>91.31</v>
      </c>
      <c r="J1033" t="s" s="11">
        <v>5419</v>
      </c>
      <c r="K1033" t="s" s="11">
        <v>5420</v>
      </c>
      <c r="L1033" s="17">
        <f>HYPERLINK("http://www.finda.co.kr", "www.finda.co.kr")</f>
      </c>
      <c r="M1033" s="17">
        <f>HYPERLINK("https://my.pitchbook.com?c=108494-74", "View Company Online")</f>
      </c>
    </row>
    <row r="1034">
      <c r="A1034" t="s" s="10">
        <v>5422</v>
      </c>
      <c r="B1034" t="s" s="10">
        <v>5423</v>
      </c>
      <c r="C1034" t="s" s="10">
        <v>114</v>
      </c>
      <c r="D1034" t="s" s="10">
        <v>136</v>
      </c>
      <c r="E1034" t="s" s="10">
        <v>253</v>
      </c>
      <c r="F1034" t="s" s="27">
        <v>30</v>
      </c>
      <c r="G1034" t="s" s="10">
        <v>40</v>
      </c>
      <c r="H1034" s="42">
        <v>5.15</v>
      </c>
      <c r="I1034" s="42">
        <v>91.03</v>
      </c>
      <c r="J1034" t="s" s="10">
        <v>5424</v>
      </c>
      <c r="K1034" t="s" s="10">
        <v>5425</v>
      </c>
      <c r="L1034" s="16">
        <f>HYPERLINK("http://www.fairlo.se", "www.fairlo.se")</f>
      </c>
      <c r="M1034" s="16">
        <f>HYPERLINK("https://my.pitchbook.com?c=232440-58", "View Company Online")</f>
      </c>
    </row>
    <row r="1035">
      <c r="A1035" t="s" s="11">
        <v>5427</v>
      </c>
      <c r="B1035" t="s" s="11">
        <v>5428</v>
      </c>
      <c r="C1035" t="s" s="11">
        <v>46</v>
      </c>
      <c r="D1035" t="s" s="11">
        <v>47</v>
      </c>
      <c r="E1035" t="s" s="11">
        <v>259</v>
      </c>
      <c r="F1035" s="28">
        <v>46050</v>
      </c>
      <c r="G1035" t="s" s="11">
        <v>146</v>
      </c>
      <c r="H1035" t="s" s="43">
        <v>30</v>
      </c>
      <c r="I1035" s="43">
        <v>90.5</v>
      </c>
      <c r="J1035" t="s" s="11">
        <v>5429</v>
      </c>
      <c r="K1035" t="s" s="11">
        <v>30</v>
      </c>
      <c r="L1035" s="17">
        <f>HYPERLINK("http://www.payra.com", "www.payra.com")</f>
      </c>
      <c r="M1035" s="17">
        <f>HYPERLINK("https://my.pitchbook.com?c=1154418-67", "View Company Online")</f>
      </c>
    </row>
    <row r="1036">
      <c r="A1036" t="s" s="10">
        <v>5431</v>
      </c>
      <c r="B1036" t="s" s="10">
        <v>5432</v>
      </c>
      <c r="C1036" t="s" s="10">
        <v>27</v>
      </c>
      <c r="D1036" t="s" s="10">
        <v>28</v>
      </c>
      <c r="E1036" t="s" s="10">
        <v>137</v>
      </c>
      <c r="F1036" s="27">
        <v>45456</v>
      </c>
      <c r="G1036" t="s" s="10">
        <v>40</v>
      </c>
      <c r="H1036" t="s" s="42">
        <v>30</v>
      </c>
      <c r="I1036" s="42">
        <v>90.34</v>
      </c>
      <c r="J1036" t="s" s="10">
        <v>5433</v>
      </c>
      <c r="K1036" t="s" s="10">
        <v>5434</v>
      </c>
      <c r="L1036" s="16">
        <f>HYPERLINK("http://www.yabie.com", "www.yabie.com")</f>
      </c>
      <c r="M1036" s="16">
        <f>HYPERLINK("https://my.pitchbook.com?c=221988-25", "View Company Online")</f>
      </c>
    </row>
    <row r="1037">
      <c r="A1037" t="s" s="11">
        <v>5436</v>
      </c>
      <c r="B1037" t="s" s="11">
        <v>5437</v>
      </c>
      <c r="C1037" t="s" s="11">
        <v>60</v>
      </c>
      <c r="D1037" t="s" s="11">
        <v>246</v>
      </c>
      <c r="E1037" t="s" s="11">
        <v>5438</v>
      </c>
      <c r="F1037" s="28">
        <v>46030</v>
      </c>
      <c r="G1037" t="s" s="11">
        <v>40</v>
      </c>
      <c r="H1037" t="s" s="43">
        <v>30</v>
      </c>
      <c r="I1037" s="43">
        <v>90</v>
      </c>
      <c r="J1037" t="s" s="11">
        <v>5439</v>
      </c>
      <c r="K1037" t="s" s="11">
        <v>5440</v>
      </c>
      <c r="L1037" s="17">
        <f>HYPERLINK("http://www.atlasconsolidated.com", "www.atlasconsolidated.com")</f>
      </c>
      <c r="M1037" s="17">
        <f>HYPERLINK("https://my.pitchbook.com?c=468894-88", "View Company Online")</f>
      </c>
    </row>
    <row r="1038">
      <c r="A1038" t="s" s="10">
        <v>5442</v>
      </c>
      <c r="B1038" t="s" s="10">
        <v>5443</v>
      </c>
      <c r="C1038" t="s" s="10">
        <v>27</v>
      </c>
      <c r="D1038" t="s" s="10">
        <v>70</v>
      </c>
      <c r="E1038" t="s" s="10">
        <v>253</v>
      </c>
      <c r="F1038" s="27">
        <v>45999</v>
      </c>
      <c r="G1038" t="s" s="10">
        <v>146</v>
      </c>
      <c r="H1038" s="42">
        <v>13.5</v>
      </c>
      <c r="I1038" s="42">
        <v>90</v>
      </c>
      <c r="J1038" t="s" s="10">
        <v>5444</v>
      </c>
      <c r="K1038" t="s" s="10">
        <v>5445</v>
      </c>
      <c r="L1038" s="16">
        <f>HYPERLINK("http://crown-brlv.com", "crown-brlv.com")</f>
      </c>
      <c r="M1038" s="16">
        <f>HYPERLINK("https://my.pitchbook.com?c=1083812-50", "View Company Online")</f>
      </c>
    </row>
    <row r="1039">
      <c r="A1039" t="s" s="11">
        <v>5447</v>
      </c>
      <c r="B1039" t="s" s="11">
        <v>5448</v>
      </c>
      <c r="C1039" t="s" s="11">
        <v>60</v>
      </c>
      <c r="D1039" t="s" s="11">
        <v>727</v>
      </c>
      <c r="E1039" t="s" s="11">
        <v>116</v>
      </c>
      <c r="F1039" s="28">
        <v>45063</v>
      </c>
      <c r="G1039" t="s" s="11">
        <v>40</v>
      </c>
      <c r="H1039" s="43">
        <v>30</v>
      </c>
      <c r="I1039" s="43">
        <v>90</v>
      </c>
      <c r="J1039" t="s" s="11">
        <v>5449</v>
      </c>
      <c r="K1039" t="s" s="11">
        <v>5450</v>
      </c>
      <c r="L1039" s="17">
        <f>HYPERLINK("http://www.percent.com", "www.percent.com")</f>
      </c>
      <c r="M1039" s="17">
        <f>HYPERLINK("https://my.pitchbook.com?c=233520-76", "View Company Online")</f>
      </c>
    </row>
    <row r="1040">
      <c r="A1040" t="s" s="10">
        <v>5452</v>
      </c>
      <c r="B1040" t="s" s="10">
        <v>5453</v>
      </c>
      <c r="C1040" t="s" s="10">
        <v>114</v>
      </c>
      <c r="D1040" t="s" s="10">
        <v>136</v>
      </c>
      <c r="E1040" t="s" s="10">
        <v>29</v>
      </c>
      <c r="F1040" s="27">
        <v>45995</v>
      </c>
      <c r="G1040" t="s" s="10">
        <v>40</v>
      </c>
      <c r="H1040" s="42">
        <v>1</v>
      </c>
      <c r="I1040" s="42">
        <v>90</v>
      </c>
      <c r="J1040" t="s" s="10">
        <v>5454</v>
      </c>
      <c r="K1040" t="s" s="10">
        <v>5455</v>
      </c>
      <c r="L1040" s="16">
        <f>HYPERLINK("http://www.solofunds.com", "www.solofunds.com")</f>
      </c>
      <c r="M1040" s="16">
        <f>HYPERLINK("https://my.pitchbook.com?c=227314-18", "View Company Online")</f>
      </c>
    </row>
    <row r="1041">
      <c r="A1041" t="s" s="11">
        <v>5457</v>
      </c>
      <c r="B1041" t="s" s="11">
        <v>5458</v>
      </c>
      <c r="C1041" t="s" s="11">
        <v>46</v>
      </c>
      <c r="D1041" t="s" s="11">
        <v>397</v>
      </c>
      <c r="E1041" t="s" s="11">
        <v>29</v>
      </c>
      <c r="F1041" s="28">
        <v>46176</v>
      </c>
      <c r="G1041" t="s" s="11">
        <v>146</v>
      </c>
      <c r="H1041" s="43">
        <v>60.15</v>
      </c>
      <c r="I1041" s="43">
        <v>90</v>
      </c>
      <c r="J1041" t="s" s="11">
        <v>5459</v>
      </c>
      <c r="K1041" t="s" s="11">
        <v>5460</v>
      </c>
      <c r="L1041" s="17">
        <f>HYPERLINK("http://www.town.com", "www.town.com")</f>
      </c>
      <c r="M1041" s="17">
        <f>HYPERLINK("https://my.pitchbook.com?c=758278-18", "View Company Online")</f>
      </c>
    </row>
    <row r="1042">
      <c r="A1042" t="s" s="10">
        <v>5462</v>
      </c>
      <c r="B1042" t="s" s="10">
        <v>5463</v>
      </c>
      <c r="C1042" t="s" s="10">
        <v>46</v>
      </c>
      <c r="D1042" t="s" s="10">
        <v>915</v>
      </c>
      <c r="E1042" t="s" s="10">
        <v>373</v>
      </c>
      <c r="F1042" s="27">
        <v>45790</v>
      </c>
      <c r="G1042" t="s" s="10">
        <v>4267</v>
      </c>
      <c r="H1042" s="42">
        <v>6.25</v>
      </c>
      <c r="I1042" s="42">
        <v>89.84</v>
      </c>
      <c r="J1042" t="s" s="10">
        <v>5464</v>
      </c>
      <c r="K1042" t="s" s="10">
        <v>5465</v>
      </c>
      <c r="L1042" s="16">
        <f>HYPERLINK("http://www.celeryway.com", "www.celeryway.com")</f>
      </c>
      <c r="M1042" s="16">
        <f>HYPERLINK("https://my.pitchbook.com?c=529909-75", "View Company Online")</f>
      </c>
    </row>
    <row r="1043">
      <c r="A1043" t="s" s="11">
        <v>5467</v>
      </c>
      <c r="B1043" t="s" s="11">
        <v>5468</v>
      </c>
      <c r="C1043" t="s" s="11">
        <v>37</v>
      </c>
      <c r="D1043" t="s" s="11">
        <v>38</v>
      </c>
      <c r="E1043" t="s" s="11">
        <v>270</v>
      </c>
      <c r="F1043" s="28">
        <v>44364</v>
      </c>
      <c r="G1043" t="s" s="11">
        <v>146</v>
      </c>
      <c r="H1043" s="43">
        <v>43.88</v>
      </c>
      <c r="I1043" s="43">
        <v>89.22</v>
      </c>
      <c r="J1043" t="s" s="11">
        <v>5469</v>
      </c>
      <c r="K1043" t="s" s="11">
        <v>5470</v>
      </c>
      <c r="L1043" s="17">
        <f>HYPERLINK("http://www.famapp.in", "www.famapp.in")</f>
      </c>
      <c r="M1043" s="17">
        <f>HYPERLINK("https://my.pitchbook.com?c=295328-98", "View Company Online")</f>
      </c>
    </row>
    <row r="1044">
      <c r="A1044" t="s" s="10">
        <v>5472</v>
      </c>
      <c r="B1044" t="s" s="10">
        <v>5473</v>
      </c>
      <c r="C1044" t="s" s="10">
        <v>222</v>
      </c>
      <c r="D1044" t="s" s="10">
        <v>223</v>
      </c>
      <c r="E1044" t="s" s="10">
        <v>137</v>
      </c>
      <c r="F1044" s="27">
        <v>46094</v>
      </c>
      <c r="G1044" t="s" s="10">
        <v>391</v>
      </c>
      <c r="H1044" t="s" s="42">
        <v>30</v>
      </c>
      <c r="I1044" s="42">
        <v>89.05</v>
      </c>
      <c r="J1044" t="s" s="10">
        <v>5474</v>
      </c>
      <c r="K1044" t="s" s="10">
        <v>5475</v>
      </c>
      <c r="L1044" s="16">
        <f>HYPERLINK("http://www.kmerit.com", "www.kmerit.com")</f>
      </c>
      <c r="M1044" s="16">
        <f>HYPERLINK("https://my.pitchbook.com?c=469664-83", "View Company Online")</f>
      </c>
    </row>
    <row r="1045">
      <c r="A1045" t="s" s="11">
        <v>5477</v>
      </c>
      <c r="B1045" t="s" s="11">
        <v>5478</v>
      </c>
      <c r="C1045" t="s" s="11">
        <v>172</v>
      </c>
      <c r="D1045" t="s" s="11">
        <v>173</v>
      </c>
      <c r="E1045" t="s" s="11">
        <v>5479</v>
      </c>
      <c r="F1045" s="28">
        <v>46204</v>
      </c>
      <c r="G1045" t="s" s="11">
        <v>40</v>
      </c>
      <c r="H1045" t="s" s="43">
        <v>30</v>
      </c>
      <c r="I1045" s="43">
        <v>89</v>
      </c>
      <c r="J1045" t="s" s="11">
        <v>5480</v>
      </c>
      <c r="K1045" t="s" s="11">
        <v>5481</v>
      </c>
      <c r="L1045" s="17">
        <f>HYPERLINK("http://www.merklescience.com", "www.merklescience.com")</f>
      </c>
      <c r="M1045" s="17">
        <f>HYPERLINK("https://my.pitchbook.com?c=268491-25", "View Company Online")</f>
      </c>
    </row>
    <row r="1046">
      <c r="A1046" t="s" s="10">
        <v>5483</v>
      </c>
      <c r="B1046" t="s" s="10">
        <v>5484</v>
      </c>
      <c r="C1046" t="s" s="10">
        <v>37</v>
      </c>
      <c r="D1046" t="s" s="10">
        <v>38</v>
      </c>
      <c r="E1046" t="s" s="10">
        <v>721</v>
      </c>
      <c r="F1046" s="27">
        <v>46148</v>
      </c>
      <c r="G1046" t="s" s="10">
        <v>607</v>
      </c>
      <c r="H1046" t="s" s="42">
        <v>30</v>
      </c>
      <c r="I1046" s="42">
        <v>88.29</v>
      </c>
      <c r="J1046" t="s" s="10">
        <v>5485</v>
      </c>
      <c r="K1046" t="s" s="10">
        <v>5486</v>
      </c>
      <c r="L1046" s="16">
        <f>HYPERLINK("http://www.bitwala.com", "www.bitwala.com")</f>
      </c>
      <c r="M1046" s="16">
        <f>HYPERLINK("https://my.pitchbook.com?c=156544-12", "View Company Online")</f>
      </c>
    </row>
    <row r="1047">
      <c r="A1047" t="s" s="11">
        <v>5488</v>
      </c>
      <c r="B1047" t="s" s="11">
        <v>5489</v>
      </c>
      <c r="C1047" t="s" s="11">
        <v>60</v>
      </c>
      <c r="D1047" t="s" s="11">
        <v>192</v>
      </c>
      <c r="E1047" t="s" s="11">
        <v>859</v>
      </c>
      <c r="F1047" s="28">
        <v>45860</v>
      </c>
      <c r="G1047" t="s" s="11">
        <v>146</v>
      </c>
      <c r="H1047" s="43">
        <v>9.56</v>
      </c>
      <c r="I1047" s="43">
        <v>88.18</v>
      </c>
      <c r="J1047" t="s" s="11">
        <v>5490</v>
      </c>
      <c r="K1047" t="s" s="11">
        <v>5491</v>
      </c>
      <c r="L1047" s="17">
        <f>HYPERLINK("http://www.swaap.finance", "www.swaap.finance")</f>
      </c>
      <c r="M1047" s="17">
        <f>HYPERLINK("https://my.pitchbook.com?c=494784-82", "View Company Online")</f>
      </c>
    </row>
    <row r="1048">
      <c r="A1048" t="s" s="10">
        <v>5493</v>
      </c>
      <c r="B1048" t="s" s="10">
        <v>5494</v>
      </c>
      <c r="C1048" t="s" s="10">
        <v>222</v>
      </c>
      <c r="D1048" t="s" s="10">
        <v>235</v>
      </c>
      <c r="E1048" t="s" s="10">
        <v>629</v>
      </c>
      <c r="F1048" s="27">
        <v>46030</v>
      </c>
      <c r="G1048" t="s" s="10">
        <v>40</v>
      </c>
      <c r="H1048" s="42">
        <v>30</v>
      </c>
      <c r="I1048" s="42">
        <v>87.5</v>
      </c>
      <c r="J1048" t="s" s="10">
        <v>5495</v>
      </c>
      <c r="K1048" t="s" s="10">
        <v>5496</v>
      </c>
      <c r="L1048" s="16">
        <f>HYPERLINK("http://www.enhanceddigital.group", "www.enhanceddigital.group")</f>
      </c>
      <c r="M1048" s="16">
        <f>HYPERLINK("https://my.pitchbook.com?c=497375-38", "View Company Online")</f>
      </c>
    </row>
    <row r="1049">
      <c r="A1049" t="s" s="11">
        <v>5498</v>
      </c>
      <c r="B1049" t="s" s="11">
        <v>5499</v>
      </c>
      <c r="C1049" t="s" s="11">
        <v>114</v>
      </c>
      <c r="D1049" t="s" s="11">
        <v>136</v>
      </c>
      <c r="E1049" t="s" s="11">
        <v>193</v>
      </c>
      <c r="F1049" s="28">
        <v>45204</v>
      </c>
      <c r="G1049" t="s" s="11">
        <v>40</v>
      </c>
      <c r="H1049" t="s" s="43">
        <v>30</v>
      </c>
      <c r="I1049" s="43">
        <v>87.35</v>
      </c>
      <c r="J1049" t="s" s="11">
        <v>5500</v>
      </c>
      <c r="K1049" t="s" s="11">
        <v>5501</v>
      </c>
      <c r="L1049" s="17">
        <f>HYPERLINK("http://www.alamisharia.co.id", "www.alamisharia.co.id")</f>
      </c>
      <c r="M1049" s="17">
        <f>HYPERLINK("https://my.pitchbook.com?c=342093-43", "View Company Online")</f>
      </c>
    </row>
    <row r="1050">
      <c r="A1050" t="s" s="10">
        <v>5503</v>
      </c>
      <c r="B1050" t="s" s="10">
        <v>5504</v>
      </c>
      <c r="C1050" t="s" s="10">
        <v>172</v>
      </c>
      <c r="D1050" t="s" s="10">
        <v>1454</v>
      </c>
      <c r="E1050" t="s" s="10">
        <v>137</v>
      </c>
      <c r="F1050" s="27">
        <v>43990</v>
      </c>
      <c r="G1050" t="s" s="10">
        <v>146</v>
      </c>
      <c r="H1050" s="42">
        <v>2.98</v>
      </c>
      <c r="I1050" s="42">
        <v>87.27</v>
      </c>
      <c r="J1050" t="s" s="10">
        <v>5505</v>
      </c>
      <c r="K1050" t="s" s="10">
        <v>5506</v>
      </c>
      <c r="L1050" s="16">
        <f>HYPERLINK("http://www.isimu123.com", "www.isimu123.com")</f>
      </c>
      <c r="M1050" s="16">
        <f>HYPERLINK("https://my.pitchbook.com?c=442317-79", "View Company Online")</f>
      </c>
    </row>
    <row r="1051">
      <c r="A1051" t="s" s="11">
        <v>5508</v>
      </c>
      <c r="B1051" t="s" s="11">
        <v>5509</v>
      </c>
      <c r="C1051" t="s" s="11">
        <v>46</v>
      </c>
      <c r="D1051" t="s" s="11">
        <v>78</v>
      </c>
      <c r="E1051" t="s" s="11">
        <v>137</v>
      </c>
      <c r="F1051" s="28">
        <v>45681</v>
      </c>
      <c r="G1051" t="s" s="11">
        <v>40</v>
      </c>
      <c r="H1051" s="43">
        <v>8.4</v>
      </c>
      <c r="I1051" s="43">
        <v>87</v>
      </c>
      <c r="J1051" t="s" s="11">
        <v>5510</v>
      </c>
      <c r="K1051" t="s" s="11">
        <v>5511</v>
      </c>
      <c r="L1051" s="17">
        <f>HYPERLINK("http://www.oneblinc.com", "www.oneblinc.com")</f>
      </c>
      <c r="M1051" s="17">
        <f>HYPERLINK("https://my.pitchbook.com?c=463563-28", "View Company Online")</f>
      </c>
    </row>
    <row r="1052">
      <c r="A1052" t="s" s="10">
        <v>5513</v>
      </c>
      <c r="B1052" t="s" s="10">
        <v>5514</v>
      </c>
      <c r="C1052" t="s" s="10">
        <v>27</v>
      </c>
      <c r="D1052" t="s" s="10">
        <v>70</v>
      </c>
      <c r="E1052" t="s" s="10">
        <v>253</v>
      </c>
      <c r="F1052" s="27">
        <v>45601</v>
      </c>
      <c r="G1052" t="s" s="10">
        <v>4267</v>
      </c>
      <c r="H1052" s="42">
        <v>14.4</v>
      </c>
      <c r="I1052" s="42">
        <v>87</v>
      </c>
      <c r="J1052" t="s" s="10">
        <v>5515</v>
      </c>
      <c r="K1052" t="s" s="10">
        <v>5516</v>
      </c>
      <c r="L1052" s="16">
        <f>HYPERLINK("http://www.tesouro.com", "www.tesouro.com")</f>
      </c>
      <c r="M1052" s="16">
        <f>HYPERLINK("https://my.pitchbook.com?c=501216-22", "View Company Online")</f>
      </c>
    </row>
    <row r="1053">
      <c r="A1053" t="s" s="11">
        <v>5518</v>
      </c>
      <c r="B1053" t="s" s="11">
        <v>5519</v>
      </c>
      <c r="C1053" t="s" s="11">
        <v>114</v>
      </c>
      <c r="D1053" t="s" s="11">
        <v>852</v>
      </c>
      <c r="E1053" t="s" s="11">
        <v>137</v>
      </c>
      <c r="F1053" s="28">
        <v>45779</v>
      </c>
      <c r="G1053" t="s" s="11">
        <v>40</v>
      </c>
      <c r="H1053" s="43">
        <v>8.66</v>
      </c>
      <c r="I1053" s="43">
        <v>86.59</v>
      </c>
      <c r="J1053" t="s" s="11">
        <v>5520</v>
      </c>
      <c r="K1053" t="s" s="11">
        <v>5521</v>
      </c>
      <c r="L1053" s="17">
        <f>HYPERLINK("http://www.blips.com.br", "www.blips.com.br")</f>
      </c>
      <c r="M1053" s="17">
        <f>HYPERLINK("https://my.pitchbook.com?c=484649-47", "View Company Online")</f>
      </c>
    </row>
    <row r="1054">
      <c r="A1054" t="s" s="10">
        <v>5523</v>
      </c>
      <c r="B1054" t="s" s="10">
        <v>5524</v>
      </c>
      <c r="C1054" t="s" s="10">
        <v>46</v>
      </c>
      <c r="D1054" t="s" s="10">
        <v>397</v>
      </c>
      <c r="E1054" t="s" s="10">
        <v>253</v>
      </c>
      <c r="F1054" s="27">
        <v>45995</v>
      </c>
      <c r="G1054" t="s" s="10">
        <v>146</v>
      </c>
      <c r="H1054" s="42">
        <v>15</v>
      </c>
      <c r="I1054" s="42">
        <v>86.5</v>
      </c>
      <c r="J1054" t="s" s="10">
        <v>5525</v>
      </c>
      <c r="K1054" t="s" s="10">
        <v>5526</v>
      </c>
      <c r="L1054" s="16">
        <f>HYPERLINK("http://www.usequanta.com", "www.usequanta.com")</f>
      </c>
      <c r="M1054" s="16">
        <f>HYPERLINK("https://my.pitchbook.com?c=523442-26", "View Company Online")</f>
      </c>
    </row>
    <row r="1055">
      <c r="A1055" t="s" s="11">
        <v>5528</v>
      </c>
      <c r="B1055" t="s" s="11">
        <v>5529</v>
      </c>
      <c r="C1055" t="s" s="11">
        <v>46</v>
      </c>
      <c r="D1055" t="s" s="11">
        <v>47</v>
      </c>
      <c r="E1055" t="s" s="11">
        <v>253</v>
      </c>
      <c r="F1055" s="28">
        <v>45539</v>
      </c>
      <c r="G1055" t="s" s="11">
        <v>4267</v>
      </c>
      <c r="H1055" s="43">
        <v>12.1</v>
      </c>
      <c r="I1055" s="43">
        <v>86.4</v>
      </c>
      <c r="J1055" t="s" s="11">
        <v>5530</v>
      </c>
      <c r="K1055" t="s" s="11">
        <v>5531</v>
      </c>
      <c r="L1055" s="17">
        <f>HYPERLINK("http://www.payouts.com", "www.payouts.com")</f>
      </c>
      <c r="M1055" s="17">
        <f>HYPERLINK("https://my.pitchbook.com?c=530191-81", "View Company Online")</f>
      </c>
    </row>
    <row r="1056">
      <c r="A1056" t="s" s="10">
        <v>5533</v>
      </c>
      <c r="B1056" t="s" s="10">
        <v>5534</v>
      </c>
      <c r="C1056" t="s" s="10">
        <v>46</v>
      </c>
      <c r="D1056" t="s" s="10">
        <v>397</v>
      </c>
      <c r="E1056" t="s" s="10">
        <v>373</v>
      </c>
      <c r="F1056" s="27">
        <v>45404</v>
      </c>
      <c r="G1056" t="s" s="10">
        <v>146</v>
      </c>
      <c r="H1056" s="42">
        <v>26.9</v>
      </c>
      <c r="I1056" s="42">
        <v>86.34</v>
      </c>
      <c r="J1056" t="s" s="10">
        <v>5535</v>
      </c>
      <c r="K1056" t="s" s="10">
        <v>5536</v>
      </c>
      <c r="L1056" s="16">
        <f>HYPERLINK("http://www.payflows.io", "www.payflows.io")</f>
      </c>
      <c r="M1056" s="16">
        <f>HYPERLINK("https://my.pitchbook.com?c=510690-70", "View Company Online")</f>
      </c>
    </row>
    <row r="1057">
      <c r="A1057" t="s" s="11">
        <v>5538</v>
      </c>
      <c r="B1057" t="s" s="11">
        <v>5539</v>
      </c>
      <c r="C1057" t="s" s="11">
        <v>60</v>
      </c>
      <c r="D1057" t="s" s="11">
        <v>192</v>
      </c>
      <c r="E1057" t="s" s="11">
        <v>1578</v>
      </c>
      <c r="F1057" s="28">
        <v>46042</v>
      </c>
      <c r="G1057" t="s" s="11">
        <v>40</v>
      </c>
      <c r="H1057" s="43">
        <v>4.02</v>
      </c>
      <c r="I1057" s="43">
        <v>86</v>
      </c>
      <c r="J1057" t="s" s="11">
        <v>5540</v>
      </c>
      <c r="K1057" t="s" s="11">
        <v>5541</v>
      </c>
      <c r="L1057" s="17">
        <f>HYPERLINK("http://www.brightplan.com", "www.brightplan.com")</f>
      </c>
      <c r="M1057" s="17">
        <f>HYPERLINK("https://my.pitchbook.com?c=463633-03", "View Company Online")</f>
      </c>
    </row>
    <row r="1058">
      <c r="A1058" t="s" s="10">
        <v>5543</v>
      </c>
      <c r="B1058" t="s" s="10">
        <v>5544</v>
      </c>
      <c r="C1058" t="s" s="10">
        <v>114</v>
      </c>
      <c r="D1058" t="s" s="10">
        <v>136</v>
      </c>
      <c r="E1058" t="s" s="10">
        <v>137</v>
      </c>
      <c r="F1058" s="27">
        <v>46225</v>
      </c>
      <c r="G1058" t="s" s="10">
        <v>40</v>
      </c>
      <c r="H1058" s="42">
        <v>6.02</v>
      </c>
      <c r="I1058" s="42">
        <v>85.5</v>
      </c>
      <c r="J1058" t="s" s="10">
        <v>5545</v>
      </c>
      <c r="K1058" t="s" s="10">
        <v>5546</v>
      </c>
      <c r="L1058" s="16">
        <f>HYPERLINK("http://www.funding-u.com", "www.funding-u.com")</f>
      </c>
      <c r="M1058" s="16">
        <f>HYPERLINK("https://my.pitchbook.com?c=159460-48", "View Company Online")</f>
      </c>
    </row>
    <row r="1059">
      <c r="A1059" t="s" s="11">
        <v>5548</v>
      </c>
      <c r="B1059" t="s" s="11">
        <v>5549</v>
      </c>
      <c r="C1059" t="s" s="11">
        <v>46</v>
      </c>
      <c r="D1059" t="s" s="11">
        <v>47</v>
      </c>
      <c r="E1059" t="s" s="11">
        <v>373</v>
      </c>
      <c r="F1059" s="28">
        <v>46163</v>
      </c>
      <c r="G1059" t="s" s="11">
        <v>146</v>
      </c>
      <c r="H1059" s="43">
        <v>46.82</v>
      </c>
      <c r="I1059" s="43">
        <v>85.06</v>
      </c>
      <c r="J1059" t="s" s="11">
        <v>5550</v>
      </c>
      <c r="K1059" t="s" s="11">
        <v>5551</v>
      </c>
      <c r="L1059" s="17">
        <f>HYPERLINK("http://www.pivotapp.ai", "www.pivotapp.ai")</f>
      </c>
      <c r="M1059" s="17">
        <f>HYPERLINK("https://my.pitchbook.com?c=537348-16", "View Company Online")</f>
      </c>
    </row>
    <row r="1060">
      <c r="A1060" t="s" s="10">
        <v>5553</v>
      </c>
      <c r="B1060" t="s" s="10">
        <v>5554</v>
      </c>
      <c r="C1060" t="s" s="10">
        <v>164</v>
      </c>
      <c r="D1060" t="s" s="10">
        <v>206</v>
      </c>
      <c r="E1060" t="s" s="10">
        <v>373</v>
      </c>
      <c r="F1060" s="27">
        <v>46007</v>
      </c>
      <c r="G1060" t="s" s="10">
        <v>146</v>
      </c>
      <c r="H1060" s="42">
        <v>19.8</v>
      </c>
      <c r="I1060" s="42">
        <v>85.05</v>
      </c>
      <c r="J1060" t="s" s="10">
        <v>5555</v>
      </c>
      <c r="K1060" t="s" s="10">
        <v>5556</v>
      </c>
      <c r="L1060" s="16">
        <f>HYPERLINK("http://www.sequencehq.com", "www.sequencehq.com")</f>
      </c>
      <c r="M1060" s="16">
        <f>HYPERLINK("https://my.pitchbook.com?c=482624-47", "View Company Online")</f>
      </c>
    </row>
    <row r="1061">
      <c r="A1061" t="s" s="11">
        <v>5558</v>
      </c>
      <c r="B1061" t="s" s="11">
        <v>5559</v>
      </c>
      <c r="C1061" t="s" s="11">
        <v>27</v>
      </c>
      <c r="D1061" t="s" s="11">
        <v>122</v>
      </c>
      <c r="E1061" t="s" s="11">
        <v>116</v>
      </c>
      <c r="F1061" s="28">
        <v>46028</v>
      </c>
      <c r="G1061" t="s" s="11">
        <v>40</v>
      </c>
      <c r="H1061" s="43">
        <v>0.57</v>
      </c>
      <c r="I1061" s="43">
        <v>85</v>
      </c>
      <c r="J1061" t="s" s="11">
        <v>5560</v>
      </c>
      <c r="K1061" t="s" s="11">
        <v>5561</v>
      </c>
      <c r="L1061" s="17">
        <f>HYPERLINK("http://www.airtm.com", "www.airtm.com")</f>
      </c>
      <c r="M1061" s="17">
        <f>HYPERLINK("https://my.pitchbook.com?c=167628-88", "View Company Online")</f>
      </c>
    </row>
    <row r="1062">
      <c r="A1062" t="s" s="10">
        <v>5563</v>
      </c>
      <c r="B1062" t="s" s="10">
        <v>5564</v>
      </c>
      <c r="C1062" t="s" s="10">
        <v>27</v>
      </c>
      <c r="D1062" t="s" s="10">
        <v>28</v>
      </c>
      <c r="E1062" t="s" s="10">
        <v>137</v>
      </c>
      <c r="F1062" t="s" s="27">
        <v>30</v>
      </c>
      <c r="G1062" t="s" s="10">
        <v>40</v>
      </c>
      <c r="H1062" t="s" s="42">
        <v>30</v>
      </c>
      <c r="I1062" s="42">
        <v>85</v>
      </c>
      <c r="J1062" t="s" s="10">
        <v>5565</v>
      </c>
      <c r="K1062" t="s" s="10">
        <v>5566</v>
      </c>
      <c r="L1062" s="16">
        <f>HYPERLINK("http://www.domuso.com", "www.domuso.com")</f>
      </c>
      <c r="M1062" s="16">
        <f>HYPERLINK("https://my.pitchbook.com?c=101357-11", "View Company Online")</f>
      </c>
    </row>
    <row r="1063">
      <c r="A1063" t="s" s="11">
        <v>5568</v>
      </c>
      <c r="B1063" t="s" s="11">
        <v>5569</v>
      </c>
      <c r="C1063" t="s" s="11">
        <v>222</v>
      </c>
      <c r="D1063" t="s" s="11">
        <v>252</v>
      </c>
      <c r="E1063" t="s" s="11">
        <v>373</v>
      </c>
      <c r="F1063" s="28">
        <v>46084</v>
      </c>
      <c r="G1063" t="s" s="11">
        <v>40</v>
      </c>
      <c r="H1063" s="43">
        <v>40</v>
      </c>
      <c r="I1063" s="43">
        <v>85</v>
      </c>
      <c r="J1063" t="s" s="11">
        <v>5570</v>
      </c>
      <c r="K1063" t="s" s="11">
        <v>5571</v>
      </c>
      <c r="L1063" s="17">
        <f>HYPERLINK("http://www.kore.inc", "www.kore.inc")</f>
      </c>
      <c r="M1063" s="17">
        <f>HYPERLINK("https://my.pitchbook.com?c=101935-72", "View Company Online")</f>
      </c>
    </row>
    <row r="1064">
      <c r="A1064" t="s" s="10">
        <v>5573</v>
      </c>
      <c r="B1064" t="s" s="10">
        <v>5574</v>
      </c>
      <c r="C1064" t="s" s="10">
        <v>222</v>
      </c>
      <c r="D1064" t="s" s="10">
        <v>223</v>
      </c>
      <c r="E1064" t="s" s="10">
        <v>4279</v>
      </c>
      <c r="F1064" s="27">
        <v>46219</v>
      </c>
      <c r="G1064" t="s" s="10">
        <v>607</v>
      </c>
      <c r="H1064" t="s" s="42">
        <v>30</v>
      </c>
      <c r="I1064" s="42">
        <v>85</v>
      </c>
      <c r="J1064" t="s" s="10">
        <v>5575</v>
      </c>
      <c r="K1064" t="s" s="10">
        <v>5576</v>
      </c>
      <c r="L1064" s="16">
        <f>HYPERLINK("http://www.linqalpha.com", "www.linqalpha.com")</f>
      </c>
      <c r="M1064" s="16">
        <f>HYPERLINK("https://my.pitchbook.com?c=495826-66", "View Company Online")</f>
      </c>
    </row>
    <row r="1065">
      <c r="A1065" t="s" s="11">
        <v>5578</v>
      </c>
      <c r="B1065" t="s" s="11">
        <v>5579</v>
      </c>
      <c r="C1065" t="s" s="11">
        <v>27</v>
      </c>
      <c r="D1065" t="s" s="11">
        <v>122</v>
      </c>
      <c r="E1065" t="s" s="11">
        <v>259</v>
      </c>
      <c r="F1065" s="28">
        <v>46077</v>
      </c>
      <c r="G1065" t="s" s="11">
        <v>40</v>
      </c>
      <c r="H1065" s="43">
        <v>16</v>
      </c>
      <c r="I1065" s="43">
        <v>85</v>
      </c>
      <c r="J1065" t="s" s="11">
        <v>5580</v>
      </c>
      <c r="K1065" t="s" s="11">
        <v>5581</v>
      </c>
      <c r="L1065" s="17">
        <f>HYPERLINK("http://www.xflowpay.com", "www.xflowpay.com")</f>
      </c>
      <c r="M1065" s="17">
        <f>HYPERLINK("https://my.pitchbook.com?c=493460-20", "View Company Online")</f>
      </c>
    </row>
    <row r="1066">
      <c r="A1066" t="s" s="10">
        <v>5583</v>
      </c>
      <c r="B1066" t="s" s="10">
        <v>5584</v>
      </c>
      <c r="C1066" t="s" s="10">
        <v>60</v>
      </c>
      <c r="D1066" t="s" s="10">
        <v>727</v>
      </c>
      <c r="E1066" t="s" s="10">
        <v>1120</v>
      </c>
      <c r="F1066" s="27">
        <v>44886</v>
      </c>
      <c r="G1066" t="s" s="10">
        <v>40</v>
      </c>
      <c r="H1066" s="42">
        <v>12.64</v>
      </c>
      <c r="I1066" s="42">
        <v>84.88</v>
      </c>
      <c r="J1066" t="s" s="10">
        <v>5585</v>
      </c>
      <c r="K1066" t="s" s="10">
        <v>5586</v>
      </c>
      <c r="L1066" s="16">
        <f>HYPERLINK("http://www.kristal.ai", "www.kristal.ai")</f>
      </c>
      <c r="M1066" s="16">
        <f>HYPERLINK("https://my.pitchbook.com?c=180247-42", "View Company Online")</f>
      </c>
    </row>
    <row r="1067">
      <c r="A1067" t="s" s="11">
        <v>5588</v>
      </c>
      <c r="B1067" t="s" s="11">
        <v>5589</v>
      </c>
      <c r="C1067" t="s" s="11">
        <v>27</v>
      </c>
      <c r="D1067" t="s" s="11">
        <v>28</v>
      </c>
      <c r="E1067" t="s" s="11">
        <v>158</v>
      </c>
      <c r="F1067" s="28">
        <v>43959</v>
      </c>
      <c r="G1067" t="s" s="11">
        <v>40</v>
      </c>
      <c r="H1067" s="43">
        <v>14.14</v>
      </c>
      <c r="I1067" s="43">
        <v>84.88</v>
      </c>
      <c r="J1067" t="s" s="11">
        <v>5590</v>
      </c>
      <c r="K1067" t="s" s="11">
        <v>5591</v>
      </c>
      <c r="L1067" s="17">
        <f>HYPERLINK("http://www.epaynfc.com", "www.epaynfc.com")</f>
      </c>
      <c r="M1067" s="17">
        <f>HYPERLINK("https://my.pitchbook.com?c=434945-35", "View Company Online")</f>
      </c>
    </row>
    <row r="1068">
      <c r="A1068" t="s" s="10">
        <v>5593</v>
      </c>
      <c r="B1068" t="s" s="10">
        <v>5594</v>
      </c>
      <c r="C1068" t="s" s="10">
        <v>60</v>
      </c>
      <c r="D1068" t="s" s="10">
        <v>420</v>
      </c>
      <c r="E1068" t="s" s="10">
        <v>253</v>
      </c>
      <c r="F1068" s="27">
        <v>44845</v>
      </c>
      <c r="G1068" t="s" s="10">
        <v>40</v>
      </c>
      <c r="H1068" s="42">
        <v>5.38</v>
      </c>
      <c r="I1068" s="42">
        <v>84.67</v>
      </c>
      <c r="J1068" t="s" s="10">
        <v>5595</v>
      </c>
      <c r="K1068" t="s" s="10">
        <v>5596</v>
      </c>
      <c r="L1068" s="16">
        <f>HYPERLINK("http://www.forusall.com", "www.forusall.com")</f>
      </c>
      <c r="M1068" s="16">
        <f>HYPERLINK("https://my.pitchbook.com?c=60056-02", "View Company Online")</f>
      </c>
    </row>
    <row r="1069">
      <c r="A1069" t="s" s="11">
        <v>5598</v>
      </c>
      <c r="B1069" t="s" s="11">
        <v>5599</v>
      </c>
      <c r="C1069" t="s" s="11">
        <v>60</v>
      </c>
      <c r="D1069" t="s" s="11">
        <v>246</v>
      </c>
      <c r="E1069" t="s" s="11">
        <v>623</v>
      </c>
      <c r="F1069" s="28">
        <v>44927</v>
      </c>
      <c r="G1069" t="s" s="11">
        <v>40</v>
      </c>
      <c r="H1069" t="s" s="43">
        <v>30</v>
      </c>
      <c r="I1069" s="43">
        <v>84.5</v>
      </c>
      <c r="J1069" t="s" s="11">
        <v>5600</v>
      </c>
      <c r="K1069" t="s" s="11">
        <v>5601</v>
      </c>
      <c r="L1069" s="17">
        <f>HYPERLINK("http://www.splitwise.com", "www.splitwise.com")</f>
      </c>
      <c r="M1069" s="17">
        <f>HYPERLINK("https://my.pitchbook.com?c=94918-51", "View Company Online")</f>
      </c>
    </row>
    <row r="1070">
      <c r="A1070" t="s" s="10">
        <v>5603</v>
      </c>
      <c r="B1070" t="s" s="10">
        <v>5604</v>
      </c>
      <c r="C1070" t="s" s="10">
        <v>164</v>
      </c>
      <c r="D1070" t="s" s="10">
        <v>165</v>
      </c>
      <c r="E1070" t="s" s="10">
        <v>5605</v>
      </c>
      <c r="F1070" s="27">
        <v>45681</v>
      </c>
      <c r="G1070" t="s" s="10">
        <v>40</v>
      </c>
      <c r="H1070" s="42">
        <v>8.41</v>
      </c>
      <c r="I1070" s="42">
        <v>84.41</v>
      </c>
      <c r="J1070" t="s" s="10">
        <v>5606</v>
      </c>
      <c r="K1070" t="s" s="10">
        <v>5607</v>
      </c>
      <c r="L1070" s="16">
        <f>HYPERLINK("http://www.lenderprice.com", "www.lenderprice.com")</f>
      </c>
      <c r="M1070" s="16">
        <f>HYPERLINK("https://my.pitchbook.com?c=227922-22", "View Company Online")</f>
      </c>
    </row>
    <row r="1071">
      <c r="A1071" t="s" s="11">
        <v>5609</v>
      </c>
      <c r="B1071" t="s" s="11">
        <v>5610</v>
      </c>
      <c r="C1071" t="s" s="11">
        <v>144</v>
      </c>
      <c r="D1071" t="s" s="11">
        <v>297</v>
      </c>
      <c r="E1071" t="s" s="11">
        <v>373</v>
      </c>
      <c r="F1071" s="28">
        <v>45923</v>
      </c>
      <c r="G1071" t="s" s="11">
        <v>146</v>
      </c>
      <c r="H1071" s="43">
        <v>18.75</v>
      </c>
      <c r="I1071" s="43">
        <v>84.39</v>
      </c>
      <c r="J1071" t="s" s="11">
        <v>5611</v>
      </c>
      <c r="K1071" t="s" s="11">
        <v>5612</v>
      </c>
      <c r="L1071" s="17">
        <f>HYPERLINK("http://www.getdefacto.com", "www.getdefacto.com")</f>
      </c>
      <c r="M1071" s="17">
        <f>HYPERLINK("https://my.pitchbook.com?c=472360-42", "View Company Online")</f>
      </c>
    </row>
    <row r="1072">
      <c r="A1072" t="s" s="10">
        <v>5614</v>
      </c>
      <c r="B1072" t="s" s="10">
        <v>5615</v>
      </c>
      <c r="C1072" t="s" s="10">
        <v>60</v>
      </c>
      <c r="D1072" t="s" s="10">
        <v>246</v>
      </c>
      <c r="E1072" t="s" s="10">
        <v>367</v>
      </c>
      <c r="F1072" s="27">
        <v>46196</v>
      </c>
      <c r="G1072" t="s" s="10">
        <v>31</v>
      </c>
      <c r="H1072" s="42">
        <v>5</v>
      </c>
      <c r="I1072" s="42">
        <v>84.31</v>
      </c>
      <c r="J1072" t="s" s="10">
        <v>5616</v>
      </c>
      <c r="K1072" t="s" s="10">
        <v>5617</v>
      </c>
      <c r="L1072" s="16">
        <f>HYPERLINK("http://www.kaleidofin.com", "www.kaleidofin.com")</f>
      </c>
      <c r="M1072" s="16">
        <f>HYPERLINK("https://my.pitchbook.com?c=226774-27", "View Company Online")</f>
      </c>
    </row>
    <row r="1073">
      <c r="A1073" t="s" s="11">
        <v>5619</v>
      </c>
      <c r="B1073" t="s" s="11">
        <v>5620</v>
      </c>
      <c r="C1073" t="s" s="11">
        <v>46</v>
      </c>
      <c r="D1073" t="s" s="11">
        <v>78</v>
      </c>
      <c r="E1073" t="s" s="11">
        <v>1131</v>
      </c>
      <c r="F1073" s="28">
        <v>46198</v>
      </c>
      <c r="G1073" t="s" s="11">
        <v>146</v>
      </c>
      <c r="H1073" s="43">
        <v>12</v>
      </c>
      <c r="I1073" s="43">
        <v>84</v>
      </c>
      <c r="J1073" t="s" s="11">
        <v>5621</v>
      </c>
      <c r="K1073" t="s" s="11">
        <v>5622</v>
      </c>
      <c r="L1073" s="17">
        <f>HYPERLINK("http://www.applausehq.com", "www.applausehq.com")</f>
      </c>
      <c r="M1073" s="17">
        <f>HYPERLINK("https://my.pitchbook.com?c=520743-88", "View Company Online")</f>
      </c>
    </row>
    <row r="1074">
      <c r="A1074" t="s" s="10">
        <v>5624</v>
      </c>
      <c r="B1074" t="s" s="10">
        <v>5625</v>
      </c>
      <c r="C1074" t="s" s="10">
        <v>46</v>
      </c>
      <c r="D1074" t="s" s="10">
        <v>47</v>
      </c>
      <c r="E1074" t="s" s="10">
        <v>1859</v>
      </c>
      <c r="F1074" s="27">
        <v>45200</v>
      </c>
      <c r="G1074" t="s" s="10">
        <v>40</v>
      </c>
      <c r="H1074" t="s" s="42">
        <v>30</v>
      </c>
      <c r="I1074" s="42">
        <v>84</v>
      </c>
      <c r="J1074" t="s" s="10">
        <v>5626</v>
      </c>
      <c r="K1074" t="s" s="10">
        <v>5627</v>
      </c>
      <c r="L1074" s="16">
        <f>HYPERLINK("http://www.bluepenguin.com", "www.bluepenguin.com")</f>
      </c>
      <c r="M1074" s="16">
        <f>HYPERLINK("https://my.pitchbook.com?c=327126-88", "View Company Online")</f>
      </c>
    </row>
    <row r="1075">
      <c r="A1075" t="s" s="11">
        <v>5629</v>
      </c>
      <c r="B1075" t="s" s="11">
        <v>5630</v>
      </c>
      <c r="C1075" t="s" s="11">
        <v>46</v>
      </c>
      <c r="D1075" t="s" s="11">
        <v>47</v>
      </c>
      <c r="E1075" t="s" s="11">
        <v>373</v>
      </c>
      <c r="F1075" t="s" s="28">
        <v>30</v>
      </c>
      <c r="G1075" t="s" s="11">
        <v>31</v>
      </c>
      <c r="H1075" t="s" s="43">
        <v>30</v>
      </c>
      <c r="I1075" s="43">
        <v>83.88</v>
      </c>
      <c r="J1075" t="s" s="11">
        <v>5631</v>
      </c>
      <c r="K1075" t="s" s="11">
        <v>5632</v>
      </c>
      <c r="L1075" s="17">
        <f>HYPERLINK("http://www.candis.io", "www.candis.io")</f>
      </c>
      <c r="M1075" s="17">
        <f>HYPERLINK("https://my.pitchbook.com?c=121408-30", "View Company Online")</f>
      </c>
    </row>
    <row r="1076">
      <c r="A1076" t="s" s="10">
        <v>5634</v>
      </c>
      <c r="B1076" t="s" s="10">
        <v>5635</v>
      </c>
      <c r="C1076" t="s" s="10">
        <v>222</v>
      </c>
      <c r="D1076" t="s" s="10">
        <v>537</v>
      </c>
      <c r="E1076" t="s" s="10">
        <v>629</v>
      </c>
      <c r="F1076" s="27">
        <v>45139</v>
      </c>
      <c r="G1076" t="s" s="10">
        <v>4267</v>
      </c>
      <c r="H1076" s="42">
        <v>6.44</v>
      </c>
      <c r="I1076" s="42">
        <v>83.74</v>
      </c>
      <c r="J1076" t="s" s="10">
        <v>5636</v>
      </c>
      <c r="K1076" t="s" s="10">
        <v>5637</v>
      </c>
      <c r="L1076" s="16">
        <f>HYPERLINK("http://www.adebsx.com", "www.adebsx.com")</f>
      </c>
      <c r="M1076" s="16">
        <f>HYPERLINK("https://my.pitchbook.com?c=516080-53", "View Company Online")</f>
      </c>
    </row>
    <row r="1077">
      <c r="A1077" t="s" s="11">
        <v>5639</v>
      </c>
      <c r="B1077" t="s" s="11">
        <v>5640</v>
      </c>
      <c r="C1077" t="s" s="11">
        <v>46</v>
      </c>
      <c r="D1077" t="s" s="11">
        <v>397</v>
      </c>
      <c r="E1077" t="s" s="11">
        <v>5641</v>
      </c>
      <c r="F1077" t="s" s="28">
        <v>4201</v>
      </c>
      <c r="G1077" t="s" s="11">
        <v>40</v>
      </c>
      <c r="H1077" t="s" s="43">
        <v>30</v>
      </c>
      <c r="I1077" s="43">
        <v>83.5</v>
      </c>
      <c r="J1077" t="s" s="11">
        <v>5642</v>
      </c>
      <c r="K1077" t="s" s="11">
        <v>5643</v>
      </c>
      <c r="L1077" s="17">
        <f>HYPERLINK("http://www.kion.io", "www.kion.io")</f>
      </c>
      <c r="M1077" s="17">
        <f>HYPERLINK("https://my.pitchbook.com?c=343309-78", "View Company Online")</f>
      </c>
    </row>
    <row r="1078">
      <c r="A1078" t="s" s="10">
        <v>5645</v>
      </c>
      <c r="B1078" t="s" s="10">
        <v>5646</v>
      </c>
      <c r="C1078" t="s" s="10">
        <v>222</v>
      </c>
      <c r="D1078" t="s" s="10">
        <v>235</v>
      </c>
      <c r="E1078" t="s" s="10">
        <v>5647</v>
      </c>
      <c r="F1078" s="27">
        <v>45964</v>
      </c>
      <c r="G1078" t="s" s="10">
        <v>146</v>
      </c>
      <c r="H1078" s="42">
        <v>18.44</v>
      </c>
      <c r="I1078" s="42">
        <v>83.5</v>
      </c>
      <c r="J1078" t="s" s="10">
        <v>5648</v>
      </c>
      <c r="K1078" t="s" s="10">
        <v>5649</v>
      </c>
      <c r="L1078" s="16">
        <f>HYPERLINK("http://www.synonym.bio", "www.synonym.bio")</f>
      </c>
      <c r="M1078" s="16">
        <f>HYPERLINK("https://my.pitchbook.com?c=499983-94", "View Company Online")</f>
      </c>
    </row>
    <row r="1079">
      <c r="A1079" t="s" s="11">
        <v>5651</v>
      </c>
      <c r="B1079" t="s" s="11">
        <v>5652</v>
      </c>
      <c r="C1079" t="s" s="11">
        <v>114</v>
      </c>
      <c r="D1079" t="s" s="11">
        <v>870</v>
      </c>
      <c r="E1079" t="s" s="11">
        <v>270</v>
      </c>
      <c r="F1079" s="28">
        <v>45819</v>
      </c>
      <c r="G1079" t="s" s="11">
        <v>40</v>
      </c>
      <c r="H1079" s="43">
        <v>77.75</v>
      </c>
      <c r="I1079" s="43">
        <v>83.38</v>
      </c>
      <c r="J1079" t="s" s="11">
        <v>5653</v>
      </c>
      <c r="K1079" t="s" s="11">
        <v>5654</v>
      </c>
      <c r="L1079" s="17">
        <f>HYPERLINK("http://www.flexiloans.com", "www.flexiloans.com")</f>
      </c>
      <c r="M1079" s="17">
        <f>HYPERLINK("https://my.pitchbook.com?c=166993-21", "View Company Online")</f>
      </c>
    </row>
    <row r="1080">
      <c r="A1080" t="s" s="10">
        <v>5656</v>
      </c>
      <c r="B1080" t="s" s="10">
        <v>5657</v>
      </c>
      <c r="C1080" t="s" s="10">
        <v>222</v>
      </c>
      <c r="D1080" t="s" s="10">
        <v>252</v>
      </c>
      <c r="E1080" t="s" s="10">
        <v>5658</v>
      </c>
      <c r="F1080" s="27">
        <v>45916</v>
      </c>
      <c r="G1080" t="s" s="10">
        <v>40</v>
      </c>
      <c r="H1080" s="42">
        <v>10</v>
      </c>
      <c r="I1080" s="42">
        <v>83.3</v>
      </c>
      <c r="J1080" t="s" s="10">
        <v>5659</v>
      </c>
      <c r="K1080" t="s" s="10">
        <v>5660</v>
      </c>
      <c r="L1080" s="16">
        <f>HYPERLINK("http://www.pointsville.com", "www.pointsville.com")</f>
      </c>
      <c r="M1080" s="16">
        <f>HYPERLINK("https://my.pitchbook.com?c=496538-56", "View Company Online")</f>
      </c>
    </row>
    <row r="1081">
      <c r="A1081" t="s" s="11">
        <v>5662</v>
      </c>
      <c r="B1081" t="s" s="11">
        <v>5663</v>
      </c>
      <c r="C1081" t="s" s="11">
        <v>114</v>
      </c>
      <c r="D1081" t="s" s="11">
        <v>852</v>
      </c>
      <c r="E1081" t="s" s="11">
        <v>414</v>
      </c>
      <c r="F1081" s="28">
        <v>44705</v>
      </c>
      <c r="G1081" t="s" s="11">
        <v>40</v>
      </c>
      <c r="H1081" s="43">
        <v>35.3</v>
      </c>
      <c r="I1081" s="43">
        <v>83.11</v>
      </c>
      <c r="J1081" t="s" s="11">
        <v>5664</v>
      </c>
      <c r="K1081" t="s" s="11">
        <v>5665</v>
      </c>
      <c r="L1081" s="17">
        <f>HYPERLINK("http://www.previse.co/en-gb", "www.previse.co/en-gb")</f>
      </c>
      <c r="M1081" s="17">
        <f>HYPERLINK("https://my.pitchbook.com?c=182952-82", "View Company Online")</f>
      </c>
    </row>
    <row r="1082">
      <c r="A1082" t="s" s="10">
        <v>5667</v>
      </c>
      <c r="B1082" t="s" s="10">
        <v>5668</v>
      </c>
      <c r="C1082" t="s" s="10">
        <v>222</v>
      </c>
      <c r="D1082" t="s" s="10">
        <v>537</v>
      </c>
      <c r="E1082" t="s" s="10">
        <v>253</v>
      </c>
      <c r="F1082" s="27">
        <v>46195</v>
      </c>
      <c r="G1082" t="s" s="10">
        <v>40</v>
      </c>
      <c r="H1082" s="42">
        <v>16</v>
      </c>
      <c r="I1082" s="42">
        <v>83</v>
      </c>
      <c r="J1082" t="s" s="10">
        <v>5669</v>
      </c>
      <c r="K1082" t="s" s="10">
        <v>5670</v>
      </c>
      <c r="L1082" s="16">
        <f>HYPERLINK("http://www.caplight.com", "www.caplight.com")</f>
      </c>
      <c r="M1082" s="16">
        <f>HYPERLINK("https://my.pitchbook.com?c=465098-77", "View Company Online")</f>
      </c>
    </row>
    <row r="1083">
      <c r="A1083" t="s" s="11">
        <v>5672</v>
      </c>
      <c r="B1083" t="s" s="11">
        <v>5673</v>
      </c>
      <c r="C1083" t="s" s="11">
        <v>60</v>
      </c>
      <c r="D1083" t="s" s="11">
        <v>432</v>
      </c>
      <c r="E1083" t="s" s="11">
        <v>373</v>
      </c>
      <c r="F1083" s="28">
        <v>45867</v>
      </c>
      <c r="G1083" t="s" s="11">
        <v>146</v>
      </c>
      <c r="H1083" s="43">
        <v>17.97</v>
      </c>
      <c r="I1083" s="43">
        <v>83</v>
      </c>
      <c r="J1083" t="s" s="11">
        <v>5674</v>
      </c>
      <c r="K1083" t="s" s="11">
        <v>5675</v>
      </c>
      <c r="L1083" s="17">
        <f>HYPERLINK("http://www.dispatch.io", "www.dispatch.io")</f>
      </c>
      <c r="M1083" s="17">
        <f>HYPERLINK("https://my.pitchbook.com?c=509495-14", "View Company Online")</f>
      </c>
    </row>
    <row r="1084">
      <c r="A1084" t="s" s="10">
        <v>5677</v>
      </c>
      <c r="B1084" t="s" s="10">
        <v>5678</v>
      </c>
      <c r="C1084" t="s" s="10">
        <v>46</v>
      </c>
      <c r="D1084" t="s" s="10">
        <v>47</v>
      </c>
      <c r="E1084" t="s" s="10">
        <v>1859</v>
      </c>
      <c r="F1084" s="27">
        <v>46170</v>
      </c>
      <c r="G1084" t="s" s="10">
        <v>146</v>
      </c>
      <c r="H1084" s="42">
        <v>15</v>
      </c>
      <c r="I1084" s="42">
        <v>83</v>
      </c>
      <c r="J1084" t="s" s="10">
        <v>5679</v>
      </c>
      <c r="K1084" t="s" s="10">
        <v>5680</v>
      </c>
      <c r="L1084" s="16">
        <f>HYPERLINK("http://www.usepiston.com", "www.usepiston.com")</f>
      </c>
      <c r="M1084" s="16">
        <f>HYPERLINK("https://my.pitchbook.com?c=729324-01", "View Company Online")</f>
      </c>
    </row>
    <row r="1085">
      <c r="A1085" t="s" s="11">
        <v>5682</v>
      </c>
      <c r="B1085" t="s" s="11">
        <v>5683</v>
      </c>
      <c r="C1085" t="s" s="11">
        <v>144</v>
      </c>
      <c r="D1085" t="s" s="11">
        <v>297</v>
      </c>
      <c r="E1085" t="s" s="11">
        <v>2226</v>
      </c>
      <c r="F1085" s="28">
        <v>43935</v>
      </c>
      <c r="G1085" t="s" s="11">
        <v>5311</v>
      </c>
      <c r="H1085" s="43">
        <v>3.01</v>
      </c>
      <c r="I1085" s="43">
        <v>83</v>
      </c>
      <c r="J1085" t="s" s="11">
        <v>5684</v>
      </c>
      <c r="K1085" t="s" s="11">
        <v>5685</v>
      </c>
      <c r="L1085" s="17">
        <f>HYPERLINK("http://www.primerevenue.com", "www.primerevenue.com")</f>
      </c>
      <c r="M1085" s="17">
        <f>HYPERLINK("https://my.pitchbook.com?c=52950-16", "View Company Online")</f>
      </c>
    </row>
    <row r="1086">
      <c r="A1086" t="s" s="10">
        <v>5687</v>
      </c>
      <c r="B1086" t="s" s="10">
        <v>5688</v>
      </c>
      <c r="C1086" t="s" s="10">
        <v>27</v>
      </c>
      <c r="D1086" t="s" s="10">
        <v>28</v>
      </c>
      <c r="E1086" t="s" s="10">
        <v>253</v>
      </c>
      <c r="F1086" s="27">
        <v>45658</v>
      </c>
      <c r="G1086" t="s" s="10">
        <v>607</v>
      </c>
      <c r="H1086" t="s" s="42">
        <v>30</v>
      </c>
      <c r="I1086" s="42">
        <v>82</v>
      </c>
      <c r="J1086" t="s" s="10">
        <v>5689</v>
      </c>
      <c r="K1086" t="s" s="10">
        <v>5690</v>
      </c>
      <c r="L1086" s="16">
        <f>HYPERLINK("http://www.goharness.com", "www.goharness.com")</f>
      </c>
      <c r="M1086" s="16">
        <f>HYPERLINK("https://my.pitchbook.com?c=171173-35", "View Company Online")</f>
      </c>
    </row>
    <row r="1087">
      <c r="A1087" t="s" s="11">
        <v>5692</v>
      </c>
      <c r="B1087" t="s" s="11">
        <v>5693</v>
      </c>
      <c r="C1087" t="s" s="11">
        <v>60</v>
      </c>
      <c r="D1087" t="s" s="11">
        <v>246</v>
      </c>
      <c r="E1087" t="s" s="11">
        <v>5694</v>
      </c>
      <c r="F1087" s="28">
        <v>44336</v>
      </c>
      <c r="G1087" t="s" s="11">
        <v>40</v>
      </c>
      <c r="H1087" s="43">
        <v>20.17</v>
      </c>
      <c r="I1087" s="43">
        <v>81.47</v>
      </c>
      <c r="J1087" t="s" s="11">
        <v>5695</v>
      </c>
      <c r="K1087" t="s" s="11">
        <v>5696</v>
      </c>
      <c r="L1087" s="17">
        <f>HYPERLINK("http://www.discoverignition.com", "www.discoverignition.com")</f>
      </c>
      <c r="M1087" s="17">
        <f>HYPERLINK("https://my.pitchbook.com?c=164328-94", "View Company Online")</f>
      </c>
    </row>
    <row r="1088">
      <c r="A1088" t="s" s="10">
        <v>5698</v>
      </c>
      <c r="B1088" t="s" s="10">
        <v>5699</v>
      </c>
      <c r="C1088" t="s" s="10">
        <v>60</v>
      </c>
      <c r="D1088" t="s" s="10">
        <v>727</v>
      </c>
      <c r="E1088" t="s" s="10">
        <v>2782</v>
      </c>
      <c r="F1088" s="27">
        <v>45020</v>
      </c>
      <c r="G1088" t="s" s="10">
        <v>607</v>
      </c>
      <c r="H1088" t="s" s="42">
        <v>30</v>
      </c>
      <c r="I1088" s="42">
        <v>81.21</v>
      </c>
      <c r="J1088" t="s" s="10">
        <v>5700</v>
      </c>
      <c r="K1088" t="s" s="10">
        <v>5701</v>
      </c>
      <c r="L1088" s="16">
        <f>HYPERLINK("http://www.bricks.co", "www.bricks.co")</f>
      </c>
      <c r="M1088" s="16">
        <f>HYPERLINK("https://my.pitchbook.com?c=494960-14", "View Company Online")</f>
      </c>
    </row>
    <row r="1089">
      <c r="A1089" t="s" s="11">
        <v>5703</v>
      </c>
      <c r="B1089" t="s" s="11">
        <v>5704</v>
      </c>
      <c r="C1089" t="s" s="11">
        <v>60</v>
      </c>
      <c r="D1089" t="s" s="11">
        <v>192</v>
      </c>
      <c r="E1089" t="s" s="11">
        <v>1207</v>
      </c>
      <c r="F1089" s="28">
        <v>45056</v>
      </c>
      <c r="G1089" t="s" s="11">
        <v>31</v>
      </c>
      <c r="H1089" t="s" s="43">
        <v>30</v>
      </c>
      <c r="I1089" s="43">
        <v>80.63</v>
      </c>
      <c r="J1089" t="s" s="11">
        <v>5705</v>
      </c>
      <c r="K1089" t="s" s="11">
        <v>5706</v>
      </c>
      <c r="L1089" s="17">
        <f>HYPERLINK("http://www.cassini.com", "www.cassini.com")</f>
      </c>
      <c r="M1089" s="17">
        <f>HYPERLINK("https://my.pitchbook.com?c=228952-72", "View Company Online")</f>
      </c>
    </row>
    <row r="1090">
      <c r="A1090" t="s" s="10">
        <v>5708</v>
      </c>
      <c r="B1090" t="s" s="10">
        <v>5709</v>
      </c>
      <c r="C1090" t="s" s="10">
        <v>60</v>
      </c>
      <c r="D1090" t="s" s="10">
        <v>727</v>
      </c>
      <c r="E1090" t="s" s="10">
        <v>1625</v>
      </c>
      <c r="F1090" t="s" s="27">
        <v>30</v>
      </c>
      <c r="G1090" t="s" s="10">
        <v>48</v>
      </c>
      <c r="H1090" t="s" s="42">
        <v>30</v>
      </c>
      <c r="I1090" s="42">
        <v>80.54</v>
      </c>
      <c r="J1090" t="s" s="10">
        <v>5710</v>
      </c>
      <c r="K1090" t="s" s="10">
        <v>5711</v>
      </c>
      <c r="L1090" s="16">
        <f>HYPERLINK("http://www.groundfloor.com", "www.groundfloor.com")</f>
      </c>
      <c r="M1090" s="16">
        <f>HYPERLINK("https://my.pitchbook.com?c=66130-57", "View Company Online")</f>
      </c>
    </row>
    <row r="1091">
      <c r="A1091" t="s" s="11">
        <v>5713</v>
      </c>
      <c r="B1091" t="s" s="11">
        <v>5714</v>
      </c>
      <c r="C1091" t="s" s="11">
        <v>60</v>
      </c>
      <c r="D1091" t="s" s="11">
        <v>246</v>
      </c>
      <c r="E1091" t="s" s="11">
        <v>373</v>
      </c>
      <c r="F1091" s="28">
        <v>44992</v>
      </c>
      <c r="G1091" t="s" s="11">
        <v>40</v>
      </c>
      <c r="H1091" s="43">
        <v>20.5</v>
      </c>
      <c r="I1091" s="43">
        <v>80.5</v>
      </c>
      <c r="J1091" t="s" s="11">
        <v>5715</v>
      </c>
      <c r="K1091" t="s" s="11">
        <v>5716</v>
      </c>
      <c r="L1091" s="17">
        <f>HYPERLINK("http://www.getcandidly.com", "www.getcandidly.com")</f>
      </c>
      <c r="M1091" s="17">
        <f>HYPERLINK("https://my.pitchbook.com?c=169853-50", "View Company Online")</f>
      </c>
    </row>
    <row r="1092">
      <c r="A1092" t="s" s="10">
        <v>5718</v>
      </c>
      <c r="B1092" t="s" s="10">
        <v>5719</v>
      </c>
      <c r="C1092" t="s" s="10">
        <v>164</v>
      </c>
      <c r="D1092" t="s" s="10">
        <v>206</v>
      </c>
      <c r="E1092" t="s" s="10">
        <v>2695</v>
      </c>
      <c r="F1092" s="27">
        <v>45554</v>
      </c>
      <c r="G1092" t="s" s="10">
        <v>146</v>
      </c>
      <c r="H1092" s="42">
        <v>20</v>
      </c>
      <c r="I1092" s="42">
        <v>80.15</v>
      </c>
      <c r="J1092" t="s" s="10">
        <v>5720</v>
      </c>
      <c r="K1092" t="s" s="10">
        <v>5721</v>
      </c>
      <c r="L1092" s="16">
        <f>HYPERLINK("http://www.functionalfi.com", "www.functionalfi.com")</f>
      </c>
      <c r="M1092" s="16">
        <f>HYPERLINK("https://my.pitchbook.com?c=503171-11", "View Company Online")</f>
      </c>
    </row>
    <row r="1093">
      <c r="A1093" t="s" s="11">
        <v>5723</v>
      </c>
      <c r="B1093" t="s" s="11">
        <v>5724</v>
      </c>
      <c r="C1093" t="s" s="11">
        <v>27</v>
      </c>
      <c r="D1093" t="s" s="11">
        <v>28</v>
      </c>
      <c r="E1093" t="s" s="11">
        <v>367</v>
      </c>
      <c r="F1093" s="28">
        <v>46155</v>
      </c>
      <c r="G1093" t="s" s="11">
        <v>40</v>
      </c>
      <c r="H1093" s="43">
        <v>17</v>
      </c>
      <c r="I1093" s="43">
        <v>80.07</v>
      </c>
      <c r="J1093" t="s" s="11">
        <v>5725</v>
      </c>
      <c r="K1093" t="s" s="11">
        <v>5726</v>
      </c>
      <c r="L1093" s="17">
        <f>HYPERLINK("http://www.findanomaly.com", "www.findanomaly.com")</f>
      </c>
      <c r="M1093" s="17">
        <f>HYPERLINK("https://my.pitchbook.com?c=438130-81", "View Company Online")</f>
      </c>
    </row>
    <row r="1094">
      <c r="A1094" t="s" s="10">
        <v>5728</v>
      </c>
      <c r="B1094" t="s" s="10">
        <v>5729</v>
      </c>
      <c r="C1094" t="s" s="10">
        <v>60</v>
      </c>
      <c r="D1094" t="s" s="10">
        <v>61</v>
      </c>
      <c r="E1094" t="s" s="10">
        <v>193</v>
      </c>
      <c r="F1094" s="27">
        <v>44552</v>
      </c>
      <c r="G1094" t="s" s="10">
        <v>146</v>
      </c>
      <c r="H1094" s="42">
        <v>20</v>
      </c>
      <c r="I1094" s="42">
        <v>80</v>
      </c>
      <c r="J1094" t="s" s="10">
        <v>5730</v>
      </c>
      <c r="K1094" t="s" s="10">
        <v>5731</v>
      </c>
      <c r="L1094" s="16">
        <f>HYPERLINK("http://www.atm.com", "www.atm.com")</f>
      </c>
      <c r="M1094" s="16">
        <f>HYPERLINK("https://my.pitchbook.com?c=489421-27", "View Company Online")</f>
      </c>
    </row>
    <row r="1095">
      <c r="A1095" t="s" s="11">
        <v>5733</v>
      </c>
      <c r="B1095" t="s" s="11">
        <v>5734</v>
      </c>
      <c r="C1095" t="s" s="11">
        <v>164</v>
      </c>
      <c r="D1095" t="s" s="11">
        <v>206</v>
      </c>
      <c r="E1095" t="s" s="11">
        <v>373</v>
      </c>
      <c r="F1095" s="28">
        <v>45545</v>
      </c>
      <c r="G1095" t="s" s="11">
        <v>607</v>
      </c>
      <c r="H1095" t="s" s="43">
        <v>30</v>
      </c>
      <c r="I1095" s="43">
        <v>80</v>
      </c>
      <c r="J1095" t="s" s="11">
        <v>5735</v>
      </c>
      <c r="K1095" t="s" s="11">
        <v>5736</v>
      </c>
      <c r="L1095" s="17">
        <f>HYPERLINK("http://www.blooma.ai", "www.blooma.ai")</f>
      </c>
      <c r="M1095" s="17">
        <f>HYPERLINK("https://my.pitchbook.com?c=279503-11", "View Company Online")</f>
      </c>
    </row>
    <row r="1096">
      <c r="A1096" t="s" s="10">
        <v>5738</v>
      </c>
      <c r="B1096" t="s" s="10">
        <v>5739</v>
      </c>
      <c r="C1096" t="s" s="10">
        <v>46</v>
      </c>
      <c r="D1096" t="s" s="10">
        <v>915</v>
      </c>
      <c r="E1096" t="s" s="10">
        <v>1652</v>
      </c>
      <c r="F1096" s="27">
        <v>45699</v>
      </c>
      <c r="G1096" t="s" s="10">
        <v>146</v>
      </c>
      <c r="H1096" s="42">
        <v>1.5</v>
      </c>
      <c r="I1096" s="42">
        <v>80</v>
      </c>
      <c r="J1096" t="s" s="10">
        <v>5740</v>
      </c>
      <c r="K1096" t="s" s="10">
        <v>30</v>
      </c>
      <c r="L1096" s="16">
        <f>HYPERLINK("http://www.clarityschools.com", "www.clarityschools.com")</f>
      </c>
      <c r="M1096" s="16">
        <f>HYPERLINK("https://my.pitchbook.com?c=496322-74", "View Company Online")</f>
      </c>
    </row>
    <row r="1097">
      <c r="A1097" t="s" s="11">
        <v>5742</v>
      </c>
      <c r="B1097" t="s" s="11">
        <v>5743</v>
      </c>
      <c r="C1097" t="s" s="11">
        <v>172</v>
      </c>
      <c r="D1097" t="s" s="11">
        <v>1454</v>
      </c>
      <c r="E1097" t="s" s="11">
        <v>634</v>
      </c>
      <c r="F1097" s="28">
        <v>44501</v>
      </c>
      <c r="G1097" t="s" s="11">
        <v>40</v>
      </c>
      <c r="H1097" s="43">
        <v>10</v>
      </c>
      <c r="I1097" s="43">
        <v>80</v>
      </c>
      <c r="J1097" t="s" s="11">
        <v>5744</v>
      </c>
      <c r="K1097" t="s" s="11">
        <v>5745</v>
      </c>
      <c r="L1097" s="17">
        <f>HYPERLINK("http://www.enin.ai", "www.enin.ai")</f>
      </c>
      <c r="M1097" s="17">
        <f>HYPERLINK("https://my.pitchbook.com?c=221865-67", "View Company Online")</f>
      </c>
    </row>
    <row r="1098">
      <c r="A1098" t="s" s="10">
        <v>5747</v>
      </c>
      <c r="B1098" t="s" s="10">
        <v>5748</v>
      </c>
      <c r="C1098" t="s" s="10">
        <v>60</v>
      </c>
      <c r="D1098" t="s" s="10">
        <v>727</v>
      </c>
      <c r="E1098" t="s" s="10">
        <v>5749</v>
      </c>
      <c r="F1098" s="27">
        <v>44840</v>
      </c>
      <c r="G1098" t="s" s="10">
        <v>146</v>
      </c>
      <c r="H1098" s="42">
        <v>6.2</v>
      </c>
      <c r="I1098" s="42">
        <v>80</v>
      </c>
      <c r="J1098" t="s" s="10">
        <v>5750</v>
      </c>
      <c r="K1098" t="s" s="10">
        <v>5751</v>
      </c>
      <c r="L1098" s="16">
        <f>HYPERLINK("http://www.fintor.com", "www.fintor.com")</f>
      </c>
      <c r="M1098" s="16">
        <f>HYPERLINK("https://my.pitchbook.com?c=465209-20", "View Company Online")</f>
      </c>
    </row>
    <row r="1099">
      <c r="A1099" t="s" s="11">
        <v>5753</v>
      </c>
      <c r="B1099" t="s" s="11">
        <v>5754</v>
      </c>
      <c r="C1099" t="s" s="11">
        <v>114</v>
      </c>
      <c r="D1099" t="s" s="11">
        <v>870</v>
      </c>
      <c r="E1099" t="s" s="11">
        <v>5755</v>
      </c>
      <c r="F1099" t="s" s="28">
        <v>30</v>
      </c>
      <c r="G1099" t="s" s="11">
        <v>48</v>
      </c>
      <c r="H1099" t="s" s="43">
        <v>30</v>
      </c>
      <c r="I1099" s="43">
        <v>80</v>
      </c>
      <c r="J1099" t="s" s="11">
        <v>5756</v>
      </c>
      <c r="K1099" t="s" s="11">
        <v>5757</v>
      </c>
      <c r="L1099" s="17">
        <f>HYPERLINK("http://www.futurefamily.com", "www.futurefamily.com")</f>
      </c>
      <c r="M1099" s="17">
        <f>HYPERLINK("https://my.pitchbook.com?c=182816-11", "View Company Online")</f>
      </c>
    </row>
    <row r="1100">
      <c r="A1100" t="s" s="10">
        <v>5759</v>
      </c>
      <c r="B1100" t="s" s="10">
        <v>5760</v>
      </c>
      <c r="C1100" t="s" s="10">
        <v>144</v>
      </c>
      <c r="D1100" t="s" s="10">
        <v>297</v>
      </c>
      <c r="E1100" t="s" s="10">
        <v>193</v>
      </c>
      <c r="F1100" s="27">
        <v>45906</v>
      </c>
      <c r="G1100" t="s" s="10">
        <v>607</v>
      </c>
      <c r="H1100" s="42">
        <v>0.01</v>
      </c>
      <c r="I1100" s="42">
        <v>80</v>
      </c>
      <c r="J1100" t="s" s="10">
        <v>5761</v>
      </c>
      <c r="K1100" t="s" s="10">
        <v>5762</v>
      </c>
      <c r="L1100" s="16">
        <f>HYPERLINK("http://www.hadifinance.com", "www.hadifinance.com")</f>
      </c>
      <c r="M1100" s="16">
        <f>HYPERLINK("https://my.pitchbook.com?c=553140-10", "View Company Online")</f>
      </c>
    </row>
    <row r="1101">
      <c r="A1101" t="s" s="11">
        <v>5764</v>
      </c>
      <c r="B1101" t="s" s="11">
        <v>5765</v>
      </c>
      <c r="C1101" t="s" s="11">
        <v>164</v>
      </c>
      <c r="D1101" t="s" s="11">
        <v>165</v>
      </c>
      <c r="E1101" t="s" s="11">
        <v>367</v>
      </c>
      <c r="F1101" s="28">
        <v>46007</v>
      </c>
      <c r="G1101" t="s" s="11">
        <v>40</v>
      </c>
      <c r="H1101" s="43">
        <v>63</v>
      </c>
      <c r="I1101" s="43">
        <v>80</v>
      </c>
      <c r="J1101" t="s" s="11">
        <v>5766</v>
      </c>
      <c r="K1101" t="s" s="11">
        <v>5767</v>
      </c>
      <c r="L1101" s="17">
        <f>HYPERLINK("http://www.informediq.com", "www.informediq.com")</f>
      </c>
      <c r="M1101" s="17">
        <f>HYPERLINK("https://my.pitchbook.com?c=266155-30", "View Company Online")</f>
      </c>
    </row>
    <row r="1102">
      <c r="A1102" t="s" s="10">
        <v>5769</v>
      </c>
      <c r="B1102" t="s" s="10">
        <v>5770</v>
      </c>
      <c r="C1102" t="s" s="10">
        <v>60</v>
      </c>
      <c r="D1102" t="s" s="10">
        <v>192</v>
      </c>
      <c r="E1102" t="s" s="10">
        <v>137</v>
      </c>
      <c r="F1102" s="27">
        <v>45792</v>
      </c>
      <c r="G1102" t="s" s="10">
        <v>40</v>
      </c>
      <c r="H1102" t="s" s="42">
        <v>30</v>
      </c>
      <c r="I1102" s="42">
        <v>80</v>
      </c>
      <c r="J1102" t="s" s="10">
        <v>5771</v>
      </c>
      <c r="K1102" t="s" s="10">
        <v>30</v>
      </c>
      <c r="L1102" s="16">
        <f>HYPERLINK("http://www.intellistocks.com", "www.intellistocks.com")</f>
      </c>
      <c r="M1102" s="16">
        <f>HYPERLINK("https://my.pitchbook.com?c=549108-19", "View Company Online")</f>
      </c>
    </row>
    <row r="1103">
      <c r="A1103" t="s" s="11">
        <v>5773</v>
      </c>
      <c r="B1103" t="s" s="11">
        <v>5774</v>
      </c>
      <c r="C1103" t="s" s="11">
        <v>27</v>
      </c>
      <c r="D1103" t="s" s="11">
        <v>28</v>
      </c>
      <c r="E1103" t="s" s="11">
        <v>973</v>
      </c>
      <c r="F1103" s="28">
        <v>45463</v>
      </c>
      <c r="G1103" t="s" s="11">
        <v>607</v>
      </c>
      <c r="H1103" t="s" s="43">
        <v>30</v>
      </c>
      <c r="I1103" s="43">
        <v>80</v>
      </c>
      <c r="J1103" t="s" s="11">
        <v>5775</v>
      </c>
      <c r="K1103" t="s" s="11">
        <v>5776</v>
      </c>
      <c r="L1103" s="17">
        <f>HYPERLINK("http://www.link.money", "www.link.money")</f>
      </c>
      <c r="M1103" s="17">
        <f>HYPERLINK("https://my.pitchbook.com?c=506793-43", "View Company Online")</f>
      </c>
    </row>
    <row r="1104">
      <c r="A1104" t="s" s="10">
        <v>5778</v>
      </c>
      <c r="B1104" t="s" s="10">
        <v>5779</v>
      </c>
      <c r="C1104" t="s" s="10">
        <v>27</v>
      </c>
      <c r="D1104" t="s" s="10">
        <v>28</v>
      </c>
      <c r="E1104" t="s" s="10">
        <v>5253</v>
      </c>
      <c r="F1104" s="27">
        <v>45329</v>
      </c>
      <c r="G1104" t="s" s="10">
        <v>146</v>
      </c>
      <c r="H1104" s="42">
        <v>20</v>
      </c>
      <c r="I1104" s="42">
        <v>80</v>
      </c>
      <c r="J1104" t="s" s="10">
        <v>5780</v>
      </c>
      <c r="K1104" t="s" s="10">
        <v>5781</v>
      </c>
      <c r="L1104" s="16">
        <f>HYPERLINK("http://www.overflow.co", "www.overflow.co")</f>
      </c>
      <c r="M1104" s="16">
        <f>HYPERLINK("https://my.pitchbook.com?c=435903-76", "View Company Online")</f>
      </c>
    </row>
    <row r="1105">
      <c r="A1105" t="s" s="11">
        <v>5783</v>
      </c>
      <c r="B1105" t="s" s="11">
        <v>5784</v>
      </c>
      <c r="C1105" t="s" s="11">
        <v>37</v>
      </c>
      <c r="D1105" t="s" s="11">
        <v>38</v>
      </c>
      <c r="E1105" t="s" s="11">
        <v>193</v>
      </c>
      <c r="F1105" s="28">
        <v>45450</v>
      </c>
      <c r="G1105" t="s" s="11">
        <v>146</v>
      </c>
      <c r="H1105" s="43">
        <v>10</v>
      </c>
      <c r="I1105" s="43">
        <v>80</v>
      </c>
      <c r="J1105" t="s" s="11">
        <v>5785</v>
      </c>
      <c r="K1105" t="s" s="11">
        <v>5786</v>
      </c>
      <c r="L1105" s="17">
        <f>HYPERLINK("http://www.seis.com", "www.seis.com")</f>
      </c>
      <c r="M1105" s="17">
        <f>HYPERLINK("https://my.pitchbook.com?c=470927-71", "View Company Online")</f>
      </c>
    </row>
    <row r="1106">
      <c r="A1106" t="s" s="10">
        <v>5788</v>
      </c>
      <c r="B1106" t="s" s="10">
        <v>5789</v>
      </c>
      <c r="C1106" t="s" s="10">
        <v>114</v>
      </c>
      <c r="D1106" t="s" s="10">
        <v>1386</v>
      </c>
      <c r="E1106" t="s" s="10">
        <v>5790</v>
      </c>
      <c r="F1106" s="27">
        <v>46101</v>
      </c>
      <c r="G1106" t="s" s="10">
        <v>40</v>
      </c>
      <c r="H1106" s="42">
        <v>5.5</v>
      </c>
      <c r="I1106" s="42">
        <v>80</v>
      </c>
      <c r="J1106" t="s" s="10">
        <v>5791</v>
      </c>
      <c r="K1106" t="s" s="10">
        <v>5792</v>
      </c>
      <c r="L1106" s="16">
        <f>HYPERLINK("http://www.zypl.ai", "www.zypl.ai")</f>
      </c>
      <c r="M1106" s="16">
        <f>HYPERLINK("https://my.pitchbook.com?c=497251-00", "View Company Online")</f>
      </c>
    </row>
    <row r="1107">
      <c r="A1107" t="s" s="11">
        <v>5794</v>
      </c>
      <c r="B1107" t="s" s="11">
        <v>5795</v>
      </c>
      <c r="C1107" t="s" s="11">
        <v>27</v>
      </c>
      <c r="D1107" t="s" s="11">
        <v>28</v>
      </c>
      <c r="E1107" t="s" s="11">
        <v>2146</v>
      </c>
      <c r="F1107" s="28">
        <v>45455</v>
      </c>
      <c r="G1107" t="s" s="11">
        <v>31</v>
      </c>
      <c r="H1107" s="43">
        <v>954.11</v>
      </c>
      <c r="I1107" s="43">
        <v>79.87</v>
      </c>
      <c r="J1107" t="s" s="11">
        <v>5796</v>
      </c>
      <c r="K1107" t="s" s="11">
        <v>5797</v>
      </c>
      <c r="L1107" s="17">
        <f>HYPERLINK("http://tabeo.co.uk", "tabeo.co.uk")</f>
      </c>
      <c r="M1107" s="17">
        <f>HYPERLINK("https://my.pitchbook.com?c=435462-76", "View Company Online")</f>
      </c>
    </row>
    <row r="1108">
      <c r="A1108" t="s" s="10">
        <v>5799</v>
      </c>
      <c r="B1108" t="s" s="10">
        <v>5800</v>
      </c>
      <c r="C1108" t="s" s="10">
        <v>46</v>
      </c>
      <c r="D1108" t="s" s="10">
        <v>47</v>
      </c>
      <c r="E1108" t="s" s="10">
        <v>253</v>
      </c>
      <c r="F1108" s="27">
        <v>44847</v>
      </c>
      <c r="G1108" t="s" s="10">
        <v>40</v>
      </c>
      <c r="H1108" s="42">
        <v>12.87</v>
      </c>
      <c r="I1108" s="42">
        <v>79.78</v>
      </c>
      <c r="J1108" t="s" s="10">
        <v>5801</v>
      </c>
      <c r="K1108" t="s" s="10">
        <v>5802</v>
      </c>
      <c r="L1108" s="16">
        <f>HYPERLINK("http://www.lemonway.com", "www.lemonway.com")</f>
      </c>
      <c r="M1108" s="16">
        <f>HYPERLINK("https://my.pitchbook.com?c=85872-07", "View Company Online")</f>
      </c>
    </row>
    <row r="1109">
      <c r="A1109" t="s" s="11">
        <v>5804</v>
      </c>
      <c r="B1109" t="s" s="11">
        <v>5805</v>
      </c>
      <c r="C1109" t="s" s="11">
        <v>46</v>
      </c>
      <c r="D1109" t="s" s="11">
        <v>47</v>
      </c>
      <c r="E1109" t="s" s="11">
        <v>253</v>
      </c>
      <c r="F1109" s="28">
        <v>46078</v>
      </c>
      <c r="G1109" t="s" s="11">
        <v>40</v>
      </c>
      <c r="H1109" s="43">
        <v>4.2</v>
      </c>
      <c r="I1109" s="43">
        <v>79.69</v>
      </c>
      <c r="J1109" t="s" s="11">
        <v>5806</v>
      </c>
      <c r="K1109" t="s" s="11">
        <v>5807</v>
      </c>
      <c r="L1109" s="17">
        <f>HYPERLINK("http://www.lyte.co", "www.lyte.co")</f>
      </c>
      <c r="M1109" s="17">
        <f>HYPERLINK("https://my.pitchbook.com?c=501898-96", "View Company Online")</f>
      </c>
    </row>
    <row r="1110">
      <c r="A1110" t="s" s="10">
        <v>5809</v>
      </c>
      <c r="B1110" t="s" s="10">
        <v>5810</v>
      </c>
      <c r="C1110" t="s" s="10">
        <v>164</v>
      </c>
      <c r="D1110" t="s" s="10">
        <v>206</v>
      </c>
      <c r="E1110" t="s" s="10">
        <v>253</v>
      </c>
      <c r="F1110" s="27">
        <v>45770</v>
      </c>
      <c r="G1110" t="s" s="10">
        <v>40</v>
      </c>
      <c r="H1110" s="42">
        <v>26.5</v>
      </c>
      <c r="I1110" s="42">
        <v>79.55</v>
      </c>
      <c r="J1110" t="s" s="10">
        <v>5811</v>
      </c>
      <c r="K1110" t="s" s="10">
        <v>5812</v>
      </c>
      <c r="L1110" s="16">
        <f>HYPERLINK("http://www.surfinglobal.com", "www.surfinglobal.com")</f>
      </c>
      <c r="M1110" s="16">
        <f>HYPERLINK("https://my.pitchbook.com?c=495792-28", "View Company Online")</f>
      </c>
    </row>
    <row r="1111">
      <c r="A1111" t="s" s="11">
        <v>5814</v>
      </c>
      <c r="B1111" t="s" s="11">
        <v>5815</v>
      </c>
      <c r="C1111" t="s" s="11">
        <v>128</v>
      </c>
      <c r="D1111" t="s" s="11">
        <v>129</v>
      </c>
      <c r="E1111" t="s" s="11">
        <v>5816</v>
      </c>
      <c r="F1111" s="28">
        <v>45946</v>
      </c>
      <c r="G1111" t="s" s="11">
        <v>40</v>
      </c>
      <c r="H1111" s="43">
        <v>15</v>
      </c>
      <c r="I1111" s="43">
        <v>79</v>
      </c>
      <c r="J1111" t="s" s="11">
        <v>5817</v>
      </c>
      <c r="K1111" t="s" s="11">
        <v>5818</v>
      </c>
      <c r="L1111" s="17">
        <f>HYPERLINK("http://www.godaylight.com", "www.godaylight.com")</f>
      </c>
      <c r="M1111" s="17">
        <f>HYPERLINK("https://my.pitchbook.com?c=513410-86", "View Company Online")</f>
      </c>
    </row>
    <row r="1112">
      <c r="A1112" t="s" s="10">
        <v>5820</v>
      </c>
      <c r="B1112" t="s" s="10">
        <v>5821</v>
      </c>
      <c r="C1112" t="s" s="10">
        <v>46</v>
      </c>
      <c r="D1112" t="s" s="10">
        <v>47</v>
      </c>
      <c r="E1112" t="s" s="10">
        <v>634</v>
      </c>
      <c r="F1112" s="27">
        <v>45657</v>
      </c>
      <c r="G1112" t="s" s="10">
        <v>40</v>
      </c>
      <c r="H1112" s="42">
        <v>20.03</v>
      </c>
      <c r="I1112" s="42">
        <v>79</v>
      </c>
      <c r="J1112" t="s" s="10">
        <v>5822</v>
      </c>
      <c r="K1112" t="s" s="10">
        <v>5823</v>
      </c>
      <c r="L1112" s="16">
        <f>HYPERLINK("http://www.nue.io", "www.nue.io")</f>
      </c>
      <c r="M1112" s="16">
        <f>HYPERLINK("https://my.pitchbook.com?c=498439-36", "View Company Online")</f>
      </c>
    </row>
    <row r="1113">
      <c r="A1113" t="s" s="11">
        <v>5825</v>
      </c>
      <c r="B1113" t="s" s="11">
        <v>5826</v>
      </c>
      <c r="C1113" t="s" s="11">
        <v>164</v>
      </c>
      <c r="D1113" t="s" s="11">
        <v>206</v>
      </c>
      <c r="E1113" t="s" s="11">
        <v>332</v>
      </c>
      <c r="F1113" s="28">
        <v>45901</v>
      </c>
      <c r="G1113" t="s" s="11">
        <v>607</v>
      </c>
      <c r="H1113" t="s" s="43">
        <v>30</v>
      </c>
      <c r="I1113" s="43">
        <v>79</v>
      </c>
      <c r="J1113" t="s" s="11">
        <v>5827</v>
      </c>
      <c r="K1113" t="s" s="11">
        <v>5828</v>
      </c>
      <c r="L1113" s="17">
        <f>HYPERLINK("http://www.getpliant.com", "www.getpliant.com")</f>
      </c>
      <c r="M1113" s="17">
        <f>HYPERLINK("https://my.pitchbook.com?c=458610-49", "View Company Online")</f>
      </c>
    </row>
    <row r="1114">
      <c r="A1114" t="s" s="10">
        <v>5830</v>
      </c>
      <c r="B1114" t="s" s="10">
        <v>5831</v>
      </c>
      <c r="C1114" t="s" s="10">
        <v>164</v>
      </c>
      <c r="D1114" t="s" s="10">
        <v>165</v>
      </c>
      <c r="E1114" t="s" s="10">
        <v>259</v>
      </c>
      <c r="F1114" s="27">
        <v>45292</v>
      </c>
      <c r="G1114" t="s" s="10">
        <v>146</v>
      </c>
      <c r="H1114" s="42">
        <v>8.8</v>
      </c>
      <c r="I1114" s="42">
        <v>78.86</v>
      </c>
      <c r="J1114" t="s" s="10">
        <v>5832</v>
      </c>
      <c r="K1114" t="s" s="10">
        <v>5833</v>
      </c>
      <c r="L1114" s="16">
        <f>HYPERLINK("http://www.atlar.com", "www.atlar.com")</f>
      </c>
      <c r="M1114" s="16">
        <f>HYPERLINK("https://my.pitchbook.com?c=495035-29", "View Company Online")</f>
      </c>
    </row>
    <row r="1115">
      <c r="A1115" t="s" s="11">
        <v>5835</v>
      </c>
      <c r="B1115" t="s" s="11">
        <v>5836</v>
      </c>
      <c r="C1115" t="s" s="11">
        <v>164</v>
      </c>
      <c r="D1115" t="s" s="11">
        <v>165</v>
      </c>
      <c r="E1115" t="s" s="11">
        <v>367</v>
      </c>
      <c r="F1115" s="28">
        <v>46196</v>
      </c>
      <c r="G1115" t="s" s="11">
        <v>146</v>
      </c>
      <c r="H1115" s="43">
        <v>15</v>
      </c>
      <c r="I1115" s="43">
        <v>78.7</v>
      </c>
      <c r="J1115" t="s" s="11">
        <v>5837</v>
      </c>
      <c r="K1115" t="s" s="11">
        <v>5838</v>
      </c>
      <c r="L1115" s="17">
        <f>HYPERLINK("http://www.tetrix.co", "www.tetrix.co")</f>
      </c>
      <c r="M1115" s="17">
        <f>HYPERLINK("https://my.pitchbook.com?c=539897-68", "View Company Online")</f>
      </c>
    </row>
    <row r="1116">
      <c r="A1116" t="s" s="10">
        <v>5840</v>
      </c>
      <c r="B1116" t="s" s="10">
        <v>5841</v>
      </c>
      <c r="C1116" t="s" s="10">
        <v>60</v>
      </c>
      <c r="D1116" t="s" s="10">
        <v>61</v>
      </c>
      <c r="E1116" t="s" s="10">
        <v>5842</v>
      </c>
      <c r="F1116" s="27">
        <v>44874</v>
      </c>
      <c r="G1116" t="s" s="10">
        <v>146</v>
      </c>
      <c r="H1116" s="42">
        <v>8.5</v>
      </c>
      <c r="I1116" s="42">
        <v>78.5</v>
      </c>
      <c r="J1116" t="s" s="10">
        <v>5843</v>
      </c>
      <c r="K1116" t="s" s="10">
        <v>5844</v>
      </c>
      <c r="L1116" s="16">
        <f>HYPERLINK("http://www.zingeroo.com", "www.zingeroo.com")</f>
      </c>
      <c r="M1116" s="16">
        <f>HYPERLINK("https://my.pitchbook.com?c=435360-88", "View Company Online")</f>
      </c>
    </row>
    <row r="1117">
      <c r="A1117" t="s" s="11">
        <v>5846</v>
      </c>
      <c r="B1117" t="s" s="11">
        <v>5847</v>
      </c>
      <c r="C1117" t="s" s="11">
        <v>172</v>
      </c>
      <c r="D1117" t="s" s="11">
        <v>338</v>
      </c>
      <c r="E1117" t="s" s="11">
        <v>253</v>
      </c>
      <c r="F1117" s="28">
        <v>44501</v>
      </c>
      <c r="G1117" t="s" s="11">
        <v>146</v>
      </c>
      <c r="H1117" s="43">
        <v>21.15</v>
      </c>
      <c r="I1117" s="43">
        <v>78.22</v>
      </c>
      <c r="J1117" t="s" s="11">
        <v>5848</v>
      </c>
      <c r="K1117" t="s" s="11">
        <v>5849</v>
      </c>
      <c r="L1117" s="17">
        <f>HYPERLINK("http://www.firstaml.com", "www.firstaml.com")</f>
      </c>
      <c r="M1117" s="17">
        <f>HYPERLINK("https://my.pitchbook.com?c=327317-77", "View Company Online")</f>
      </c>
    </row>
    <row r="1118">
      <c r="A1118" t="s" s="10">
        <v>5851</v>
      </c>
      <c r="B1118" t="s" s="10">
        <v>5852</v>
      </c>
      <c r="C1118" t="s" s="10">
        <v>60</v>
      </c>
      <c r="D1118" t="s" s="10">
        <v>246</v>
      </c>
      <c r="E1118" t="s" s="10">
        <v>29</v>
      </c>
      <c r="F1118" s="27">
        <v>46136</v>
      </c>
      <c r="G1118" t="s" s="10">
        <v>146</v>
      </c>
      <c r="H1118" s="42">
        <v>13.91</v>
      </c>
      <c r="I1118" s="42">
        <v>78.13</v>
      </c>
      <c r="J1118" t="s" s="10">
        <v>5853</v>
      </c>
      <c r="K1118" t="s" s="10">
        <v>5854</v>
      </c>
      <c r="L1118" s="16">
        <f>HYPERLINK("http://www.oolka.in", "www.oolka.in")</f>
      </c>
      <c r="M1118" s="16">
        <f>HYPERLINK("https://my.pitchbook.com?c=707958-10", "View Company Online")</f>
      </c>
    </row>
    <row r="1119">
      <c r="A1119" t="s" s="11">
        <v>5856</v>
      </c>
      <c r="B1119" t="s" s="11">
        <v>5857</v>
      </c>
      <c r="C1119" t="s" s="11">
        <v>144</v>
      </c>
      <c r="D1119" t="s" s="11">
        <v>297</v>
      </c>
      <c r="E1119" t="s" s="11">
        <v>373</v>
      </c>
      <c r="F1119" s="28">
        <v>45463</v>
      </c>
      <c r="G1119" t="s" s="11">
        <v>31</v>
      </c>
      <c r="H1119" s="43">
        <v>100</v>
      </c>
      <c r="I1119" s="43">
        <v>78</v>
      </c>
      <c r="J1119" t="s" s="11">
        <v>5858</v>
      </c>
      <c r="K1119" t="s" s="11">
        <v>5859</v>
      </c>
      <c r="L1119" s="17">
        <f>HYPERLINK("http://www.gynger.io", "www.gynger.io")</f>
      </c>
      <c r="M1119" s="17">
        <f>HYPERLINK("https://my.pitchbook.com?c=498412-81", "View Company Online")</f>
      </c>
    </row>
    <row r="1120">
      <c r="A1120" t="s" s="10">
        <v>5861</v>
      </c>
      <c r="B1120" t="s" s="10">
        <v>5862</v>
      </c>
      <c r="C1120" t="s" s="10">
        <v>46</v>
      </c>
      <c r="D1120" t="s" s="10">
        <v>47</v>
      </c>
      <c r="E1120" t="s" s="10">
        <v>373</v>
      </c>
      <c r="F1120" t="s" s="27">
        <v>30</v>
      </c>
      <c r="G1120" t="s" s="10">
        <v>48</v>
      </c>
      <c r="H1120" t="s" s="42">
        <v>30</v>
      </c>
      <c r="I1120" s="42">
        <v>77.95</v>
      </c>
      <c r="J1120" t="s" s="10">
        <v>5863</v>
      </c>
      <c r="K1120" t="s" s="10">
        <v>5864</v>
      </c>
      <c r="L1120" s="16">
        <f>HYPERLINK("http://www.ignitionapp.com", "www.ignitionapp.com")</f>
      </c>
      <c r="M1120" s="16">
        <f>HYPERLINK("https://my.pitchbook.com?c=91283-41", "View Company Online")</f>
      </c>
    </row>
    <row r="1121">
      <c r="A1121" t="s" s="11">
        <v>5866</v>
      </c>
      <c r="B1121" t="s" s="11">
        <v>5867</v>
      </c>
      <c r="C1121" t="s" s="11">
        <v>60</v>
      </c>
      <c r="D1121" t="s" s="11">
        <v>727</v>
      </c>
      <c r="E1121" t="s" s="11">
        <v>116</v>
      </c>
      <c r="F1121" s="28">
        <v>46036</v>
      </c>
      <c r="G1121" t="s" s="11">
        <v>40</v>
      </c>
      <c r="H1121" s="43">
        <v>27.76</v>
      </c>
      <c r="I1121" s="43">
        <v>77.73</v>
      </c>
      <c r="J1121" t="s" s="11">
        <v>5868</v>
      </c>
      <c r="K1121" t="s" s="11">
        <v>5869</v>
      </c>
      <c r="L1121" s="17">
        <f>HYPERLINK("http://www.wintwealth.com", "www.wintwealth.com")</f>
      </c>
      <c r="M1121" s="17">
        <f>HYPERLINK("https://my.pitchbook.com?c=459403-75", "View Company Online")</f>
      </c>
    </row>
    <row r="1122">
      <c r="A1122" t="s" s="10">
        <v>5871</v>
      </c>
      <c r="B1122" t="s" s="10">
        <v>5872</v>
      </c>
      <c r="C1122" t="s" s="10">
        <v>164</v>
      </c>
      <c r="D1122" t="s" s="10">
        <v>206</v>
      </c>
      <c r="E1122" t="s" s="10">
        <v>259</v>
      </c>
      <c r="F1122" s="27">
        <v>45742</v>
      </c>
      <c r="G1122" t="s" s="10">
        <v>146</v>
      </c>
      <c r="H1122" s="42">
        <v>24</v>
      </c>
      <c r="I1122" s="42">
        <v>77.5</v>
      </c>
      <c r="J1122" t="s" s="10">
        <v>5873</v>
      </c>
      <c r="K1122" t="s" s="10">
        <v>5874</v>
      </c>
      <c r="L1122" s="16">
        <f>HYPERLINK("http://oatfi.com", "oatfi.com")</f>
      </c>
      <c r="M1122" s="16">
        <f>HYPERLINK("https://my.pitchbook.com?c=491851-90", "View Company Online")</f>
      </c>
    </row>
    <row r="1123">
      <c r="A1123" t="s" s="11">
        <v>5876</v>
      </c>
      <c r="B1123" t="s" s="11">
        <v>5877</v>
      </c>
      <c r="C1123" t="s" s="11">
        <v>46</v>
      </c>
      <c r="D1123" t="s" s="11">
        <v>397</v>
      </c>
      <c r="E1123" t="s" s="11">
        <v>373</v>
      </c>
      <c r="F1123" s="28">
        <v>45960</v>
      </c>
      <c r="G1123" t="s" s="11">
        <v>146</v>
      </c>
      <c r="H1123" s="43">
        <v>28</v>
      </c>
      <c r="I1123" s="43">
        <v>77</v>
      </c>
      <c r="J1123" t="s" s="11">
        <v>5878</v>
      </c>
      <c r="K1123" t="s" s="11">
        <v>5879</v>
      </c>
      <c r="L1123" s="17">
        <f>HYPERLINK("http://www.lettuce.co", "www.lettuce.co")</f>
      </c>
      <c r="M1123" s="17">
        <f>HYPERLINK("https://my.pitchbook.com?c=571548-79", "View Company Online")</f>
      </c>
    </row>
    <row r="1124">
      <c r="A1124" t="s" s="10">
        <v>5881</v>
      </c>
      <c r="B1124" t="s" s="10">
        <v>5882</v>
      </c>
      <c r="C1124" t="s" s="10">
        <v>46</v>
      </c>
      <c r="D1124" t="s" s="10">
        <v>78</v>
      </c>
      <c r="E1124" t="s" s="10">
        <v>5883</v>
      </c>
      <c r="F1124" s="27">
        <v>45653</v>
      </c>
      <c r="G1124" t="s" s="10">
        <v>146</v>
      </c>
      <c r="H1124" s="42">
        <v>15.5</v>
      </c>
      <c r="I1124" s="42">
        <v>77</v>
      </c>
      <c r="J1124" t="s" s="10">
        <v>5884</v>
      </c>
      <c r="K1124" t="s" s="10">
        <v>5885</v>
      </c>
      <c r="L1124" s="16">
        <f>HYPERLINK("http://www.lumberfi.com", "www.lumberfi.com")</f>
      </c>
      <c r="M1124" s="16">
        <f>HYPERLINK("https://my.pitchbook.com?c=530965-27", "View Company Online")</f>
      </c>
    </row>
    <row r="1125">
      <c r="A1125" t="s" s="11">
        <v>5887</v>
      </c>
      <c r="B1125" t="s" s="11">
        <v>5888</v>
      </c>
      <c r="C1125" t="s" s="11">
        <v>27</v>
      </c>
      <c r="D1125" t="s" s="11">
        <v>28</v>
      </c>
      <c r="E1125" t="s" s="11">
        <v>253</v>
      </c>
      <c r="F1125" s="28">
        <v>45743</v>
      </c>
      <c r="G1125" t="s" s="11">
        <v>146</v>
      </c>
      <c r="H1125" s="43">
        <v>16.04</v>
      </c>
      <c r="I1125" s="43">
        <v>77</v>
      </c>
      <c r="J1125" t="s" s="11">
        <v>5889</v>
      </c>
      <c r="K1125" t="s" s="11">
        <v>5890</v>
      </c>
      <c r="L1125" s="17">
        <f>HYPERLINK("http://www.meadowfi.com", "www.meadowfi.com")</f>
      </c>
      <c r="M1125" s="17">
        <f>HYPERLINK("https://my.pitchbook.com?c=495772-30", "View Company Online")</f>
      </c>
    </row>
    <row r="1126">
      <c r="A1126" t="s" s="10">
        <v>5892</v>
      </c>
      <c r="B1126" t="s" s="10">
        <v>5893</v>
      </c>
      <c r="C1126" t="s" s="10">
        <v>164</v>
      </c>
      <c r="D1126" t="s" s="10">
        <v>206</v>
      </c>
      <c r="E1126" t="s" s="10">
        <v>137</v>
      </c>
      <c r="F1126" s="27">
        <v>45740</v>
      </c>
      <c r="G1126" t="s" s="10">
        <v>40</v>
      </c>
      <c r="H1126" s="42">
        <v>9.5</v>
      </c>
      <c r="I1126" s="42">
        <v>77</v>
      </c>
      <c r="J1126" t="s" s="10">
        <v>5894</v>
      </c>
      <c r="K1126" t="s" s="10">
        <v>5895</v>
      </c>
      <c r="L1126" s="16">
        <f>HYPERLINK("http://www.skeps.com", "www.skeps.com")</f>
      </c>
      <c r="M1126" s="16">
        <f>HYPERLINK("https://my.pitchbook.com?c=265155-40", "View Company Online")</f>
      </c>
    </row>
    <row r="1127">
      <c r="A1127" t="s" s="11">
        <v>5897</v>
      </c>
      <c r="B1127" t="s" s="11">
        <v>5898</v>
      </c>
      <c r="C1127" t="s" s="11">
        <v>46</v>
      </c>
      <c r="D1127" t="s" s="11">
        <v>47</v>
      </c>
      <c r="E1127" t="s" s="11">
        <v>821</v>
      </c>
      <c r="F1127" s="28">
        <v>44747</v>
      </c>
      <c r="G1127" t="s" s="11">
        <v>40</v>
      </c>
      <c r="H1127" s="43">
        <v>17</v>
      </c>
      <c r="I1127" s="43">
        <v>77</v>
      </c>
      <c r="J1127" t="s" s="11">
        <v>5899</v>
      </c>
      <c r="K1127" t="s" s="11">
        <v>5900</v>
      </c>
      <c r="L1127" s="17">
        <f>HYPERLINK("http://www.tesorio.com", "www.tesorio.com")</f>
      </c>
      <c r="M1127" s="17">
        <f>HYPERLINK("https://my.pitchbook.com?c=118655-20", "View Company Online")</f>
      </c>
    </row>
    <row r="1128">
      <c r="A1128" t="s" s="10">
        <v>5902</v>
      </c>
      <c r="B1128" t="s" s="10">
        <v>5903</v>
      </c>
      <c r="C1128" t="s" s="10">
        <v>27</v>
      </c>
      <c r="D1128" t="s" s="10">
        <v>28</v>
      </c>
      <c r="E1128" t="s" s="10">
        <v>5904</v>
      </c>
      <c r="F1128" s="27">
        <v>45147</v>
      </c>
      <c r="G1128" t="s" s="10">
        <v>40</v>
      </c>
      <c r="H1128" t="s" s="42">
        <v>30</v>
      </c>
      <c r="I1128" s="42">
        <v>77</v>
      </c>
      <c r="J1128" t="s" s="10">
        <v>5905</v>
      </c>
      <c r="K1128" t="s" s="10">
        <v>5906</v>
      </c>
      <c r="L1128" s="16">
        <f>HYPERLINK("http://www.getunion.com", "www.getunion.com")</f>
      </c>
      <c r="M1128" s="16">
        <f>HYPERLINK("https://my.pitchbook.com?c=51074-38", "View Company Online")</f>
      </c>
    </row>
    <row r="1129">
      <c r="A1129" t="s" s="11">
        <v>5908</v>
      </c>
      <c r="B1129" t="s" s="11">
        <v>5909</v>
      </c>
      <c r="C1129" t="s" s="11">
        <v>27</v>
      </c>
      <c r="D1129" t="s" s="11">
        <v>70</v>
      </c>
      <c r="E1129" t="s" s="11">
        <v>259</v>
      </c>
      <c r="F1129" s="28">
        <v>44872</v>
      </c>
      <c r="G1129" t="s" s="11">
        <v>146</v>
      </c>
      <c r="H1129" s="43">
        <v>14.62</v>
      </c>
      <c r="I1129" s="43">
        <v>76.8</v>
      </c>
      <c r="J1129" t="s" s="11">
        <v>5910</v>
      </c>
      <c r="K1129" t="s" s="11">
        <v>5911</v>
      </c>
      <c r="L1129" s="17">
        <f>HYPERLINK("http://www.libeo.io", "www.libeo.io")</f>
      </c>
      <c r="M1129" s="17">
        <f>HYPERLINK("https://my.pitchbook.com?c=292701-52", "View Company Online")</f>
      </c>
    </row>
    <row r="1130">
      <c r="A1130" t="s" s="10">
        <v>5913</v>
      </c>
      <c r="B1130" t="s" s="10">
        <v>5914</v>
      </c>
      <c r="C1130" t="s" s="10">
        <v>60</v>
      </c>
      <c r="D1130" t="s" s="10">
        <v>727</v>
      </c>
      <c r="E1130" t="s" s="10">
        <v>2835</v>
      </c>
      <c r="F1130" s="27">
        <v>45426</v>
      </c>
      <c r="G1130" t="s" s="10">
        <v>40</v>
      </c>
      <c r="H1130" s="42">
        <v>16.17</v>
      </c>
      <c r="I1130" s="42">
        <v>76.77</v>
      </c>
      <c r="J1130" t="s" s="10">
        <v>5915</v>
      </c>
      <c r="K1130" t="s" s="10">
        <v>5916</v>
      </c>
      <c r="L1130" s="16">
        <f>HYPERLINK("http://wealth-park.com", "wealth-park.com")</f>
      </c>
      <c r="M1130" s="16">
        <f>HYPERLINK("https://my.pitchbook.com?c=434616-76", "View Company Online")</f>
      </c>
    </row>
    <row r="1131">
      <c r="A1131" t="s" s="11">
        <v>5918</v>
      </c>
      <c r="B1131" t="s" s="11">
        <v>5919</v>
      </c>
      <c r="C1131" t="s" s="11">
        <v>60</v>
      </c>
      <c r="D1131" t="s" s="11">
        <v>246</v>
      </c>
      <c r="E1131" t="s" s="11">
        <v>5920</v>
      </c>
      <c r="F1131" t="s" s="28">
        <v>30</v>
      </c>
      <c r="G1131" t="s" s="11">
        <v>48</v>
      </c>
      <c r="H1131" t="s" s="43">
        <v>30</v>
      </c>
      <c r="I1131" s="43">
        <v>76.75</v>
      </c>
      <c r="J1131" t="s" s="11">
        <v>5921</v>
      </c>
      <c r="K1131" t="s" s="11">
        <v>5922</v>
      </c>
      <c r="L1131" s="17">
        <f>HYPERLINK("http://www.spriggy.com.au", "www.spriggy.com.au")</f>
      </c>
      <c r="M1131" s="17">
        <f>HYPERLINK("https://my.pitchbook.com?c=126349-66", "View Company Online")</f>
      </c>
    </row>
    <row r="1132">
      <c r="A1132" t="s" s="10">
        <v>5924</v>
      </c>
      <c r="B1132" t="s" s="10">
        <v>5925</v>
      </c>
      <c r="C1132" t="s" s="10">
        <v>46</v>
      </c>
      <c r="D1132" t="s" s="10">
        <v>47</v>
      </c>
      <c r="E1132" t="s" s="10">
        <v>2184</v>
      </c>
      <c r="F1132" t="s" s="27">
        <v>30</v>
      </c>
      <c r="G1132" t="s" s="10">
        <v>40</v>
      </c>
      <c r="H1132" t="s" s="42">
        <v>30</v>
      </c>
      <c r="I1132" s="42">
        <v>76.68</v>
      </c>
      <c r="J1132" t="s" s="10">
        <v>5926</v>
      </c>
      <c r="K1132" t="s" s="10">
        <v>5927</v>
      </c>
      <c r="L1132" s="16">
        <f>HYPERLINK("http://www.enkash.com", "www.enkash.com")</f>
      </c>
      <c r="M1132" s="16">
        <f>HYPERLINK("https://my.pitchbook.com?c=267111-55", "View Company Online")</f>
      </c>
    </row>
    <row r="1133">
      <c r="A1133" t="s" s="11">
        <v>5929</v>
      </c>
      <c r="B1133" t="s" s="11">
        <v>5930</v>
      </c>
      <c r="C1133" t="s" s="11">
        <v>60</v>
      </c>
      <c r="D1133" t="s" s="11">
        <v>432</v>
      </c>
      <c r="E1133" t="s" s="11">
        <v>3831</v>
      </c>
      <c r="F1133" s="28">
        <v>44957</v>
      </c>
      <c r="G1133" t="s" s="11">
        <v>40</v>
      </c>
      <c r="H1133" s="43">
        <v>23.64</v>
      </c>
      <c r="I1133" s="43">
        <v>76.56</v>
      </c>
      <c r="J1133" t="s" s="11">
        <v>5931</v>
      </c>
      <c r="K1133" t="s" s="11">
        <v>5932</v>
      </c>
      <c r="L1133" s="17">
        <f>HYPERLINK("http://www.mqube.com", "www.mqube.com")</f>
      </c>
      <c r="M1133" s="17">
        <f>HYPERLINK("https://my.pitchbook.com?c=339866-56", "View Company Online")</f>
      </c>
    </row>
    <row r="1134">
      <c r="A1134" t="s" s="10">
        <v>5934</v>
      </c>
      <c r="B1134" t="s" s="10">
        <v>5935</v>
      </c>
      <c r="C1134" t="s" s="10">
        <v>114</v>
      </c>
      <c r="D1134" t="s" s="10">
        <v>870</v>
      </c>
      <c r="E1134" t="s" s="10">
        <v>270</v>
      </c>
      <c r="F1134" t="s" s="27">
        <v>30</v>
      </c>
      <c r="G1134" t="s" s="10">
        <v>146</v>
      </c>
      <c r="H1134" t="s" s="42">
        <v>30</v>
      </c>
      <c r="I1134" s="42">
        <v>76.52</v>
      </c>
      <c r="J1134" t="s" s="10">
        <v>5936</v>
      </c>
      <c r="K1134" t="s" s="10">
        <v>5937</v>
      </c>
      <c r="L1134" s="16">
        <f>HYPERLINK("http://www.indiagold.co", "www.indiagold.co")</f>
      </c>
      <c r="M1134" s="16">
        <f>HYPERLINK("https://my.pitchbook.com?c=436757-05", "View Company Online")</f>
      </c>
    </row>
    <row r="1135">
      <c r="A1135" t="s" s="11">
        <v>5939</v>
      </c>
      <c r="B1135" t="s" s="11">
        <v>5940</v>
      </c>
      <c r="C1135" t="s" s="11">
        <v>144</v>
      </c>
      <c r="D1135" t="s" s="11">
        <v>297</v>
      </c>
      <c r="E1135" t="s" s="11">
        <v>108</v>
      </c>
      <c r="F1135" s="28">
        <v>45736</v>
      </c>
      <c r="G1135" t="s" s="11">
        <v>40</v>
      </c>
      <c r="H1135" s="43">
        <v>13.86</v>
      </c>
      <c r="I1135" s="43">
        <v>76.31</v>
      </c>
      <c r="J1135" t="s" s="11">
        <v>5941</v>
      </c>
      <c r="K1135" t="s" s="11">
        <v>5942</v>
      </c>
      <c r="L1135" s="17">
        <f>HYPERLINK("http://www.two.inc", "www.two.inc")</f>
      </c>
      <c r="M1135" s="17">
        <f>HYPERLINK("https://my.pitchbook.com?c=459086-41", "View Company Online")</f>
      </c>
    </row>
    <row r="1136">
      <c r="A1136" t="s" s="10">
        <v>5944</v>
      </c>
      <c r="B1136" t="s" s="10">
        <v>5945</v>
      </c>
      <c r="C1136" t="s" s="10">
        <v>164</v>
      </c>
      <c r="D1136" t="s" s="10">
        <v>206</v>
      </c>
      <c r="E1136" t="s" s="10">
        <v>253</v>
      </c>
      <c r="F1136" t="s" s="27">
        <v>30</v>
      </c>
      <c r="G1136" t="s" s="10">
        <v>48</v>
      </c>
      <c r="H1136" t="s" s="42">
        <v>30</v>
      </c>
      <c r="I1136" s="42">
        <v>76.29</v>
      </c>
      <c r="J1136" t="s" s="10">
        <v>5946</v>
      </c>
      <c r="K1136" t="s" s="10">
        <v>5947</v>
      </c>
      <c r="L1136" s="16">
        <f>HYPERLINK("http://www.pngme.com", "www.pngme.com")</f>
      </c>
      <c r="M1136" s="16">
        <f>HYPERLINK("https://my.pitchbook.com?c=342097-39", "View Company Online")</f>
      </c>
    </row>
    <row r="1137">
      <c r="A1137" t="s" s="11">
        <v>5949</v>
      </c>
      <c r="B1137" t="s" s="11">
        <v>5950</v>
      </c>
      <c r="C1137" t="s" s="11">
        <v>46</v>
      </c>
      <c r="D1137" t="s" s="11">
        <v>915</v>
      </c>
      <c r="E1137" t="s" s="11">
        <v>373</v>
      </c>
      <c r="F1137" s="28">
        <v>46049</v>
      </c>
      <c r="G1137" t="s" s="11">
        <v>146</v>
      </c>
      <c r="H1137" s="43">
        <v>12</v>
      </c>
      <c r="I1137" s="43">
        <v>76</v>
      </c>
      <c r="J1137" t="s" s="11">
        <v>5951</v>
      </c>
      <c r="K1137" t="s" s="11">
        <v>5952</v>
      </c>
      <c r="L1137" s="17">
        <f>HYPERLINK("http://www.concourse.ai", "www.concourse.ai")</f>
      </c>
      <c r="M1137" s="17">
        <f>HYPERLINK("https://my.pitchbook.com?c=534533-05", "View Company Online")</f>
      </c>
    </row>
    <row r="1138">
      <c r="A1138" t="s" s="10">
        <v>5954</v>
      </c>
      <c r="B1138" t="s" s="10">
        <v>5955</v>
      </c>
      <c r="C1138" t="s" s="10">
        <v>172</v>
      </c>
      <c r="D1138" t="s" s="10">
        <v>338</v>
      </c>
      <c r="E1138" t="s" s="10">
        <v>5956</v>
      </c>
      <c r="F1138" s="27">
        <v>45344</v>
      </c>
      <c r="G1138" t="s" s="10">
        <v>4267</v>
      </c>
      <c r="H1138" s="42">
        <v>10</v>
      </c>
      <c r="I1138" s="42">
        <v>76</v>
      </c>
      <c r="J1138" t="s" s="10">
        <v>5957</v>
      </c>
      <c r="K1138" t="s" s="10">
        <v>5958</v>
      </c>
      <c r="L1138" s="16">
        <f>HYPERLINK("http://www.kinectify.com", "www.kinectify.com")</f>
      </c>
      <c r="M1138" s="16">
        <f>HYPERLINK("https://my.pitchbook.com?c=466509-25", "View Company Online")</f>
      </c>
    </row>
    <row r="1139">
      <c r="A1139" t="s" s="11">
        <v>5960</v>
      </c>
      <c r="B1139" t="s" s="11">
        <v>5961</v>
      </c>
      <c r="C1139" t="s" s="11">
        <v>222</v>
      </c>
      <c r="D1139" t="s" s="11">
        <v>223</v>
      </c>
      <c r="E1139" t="s" s="11">
        <v>253</v>
      </c>
      <c r="F1139" s="28">
        <v>46126</v>
      </c>
      <c r="G1139" t="s" s="11">
        <v>4267</v>
      </c>
      <c r="H1139" s="43">
        <v>22.9</v>
      </c>
      <c r="I1139" s="43">
        <v>76</v>
      </c>
      <c r="J1139" t="s" s="11">
        <v>5962</v>
      </c>
      <c r="K1139" t="s" s="11">
        <v>5963</v>
      </c>
      <c r="L1139" s="17">
        <f>HYPERLINK("http://www.pillarhq.com", "www.pillarhq.com")</f>
      </c>
      <c r="M1139" s="17">
        <f>HYPERLINK("https://my.pitchbook.com?c=539454-43", "View Company Online")</f>
      </c>
    </row>
    <row r="1140">
      <c r="A1140" t="s" s="10">
        <v>5965</v>
      </c>
      <c r="B1140" t="s" s="10">
        <v>5966</v>
      </c>
      <c r="C1140" t="s" s="10">
        <v>60</v>
      </c>
      <c r="D1140" t="s" s="10">
        <v>727</v>
      </c>
      <c r="E1140" t="s" s="10">
        <v>759</v>
      </c>
      <c r="F1140" s="27">
        <v>44805</v>
      </c>
      <c r="G1140" t="s" s="10">
        <v>40</v>
      </c>
      <c r="H1140" s="42">
        <v>25.28</v>
      </c>
      <c r="I1140" s="42">
        <v>75.99</v>
      </c>
      <c r="J1140" t="s" s="10">
        <v>5967</v>
      </c>
      <c r="K1140" t="s" s="10">
        <v>5968</v>
      </c>
      <c r="L1140" s="16">
        <f>HYPERLINK("http://www.yomoni.fr", "www.yomoni.fr")</f>
      </c>
      <c r="M1140" s="16">
        <f>HYPERLINK("https://my.pitchbook.com?c=115604-83", "View Company Online")</f>
      </c>
    </row>
    <row r="1141">
      <c r="A1141" t="s" s="11">
        <v>5970</v>
      </c>
      <c r="B1141" t="s" s="11">
        <v>5971</v>
      </c>
      <c r="C1141" t="s" s="11">
        <v>164</v>
      </c>
      <c r="D1141" t="s" s="11">
        <v>206</v>
      </c>
      <c r="E1141" t="s" s="11">
        <v>200</v>
      </c>
      <c r="F1141" s="28">
        <v>44986</v>
      </c>
      <c r="G1141" t="s" s="11">
        <v>48</v>
      </c>
      <c r="H1141" t="s" s="43">
        <v>30</v>
      </c>
      <c r="I1141" s="43">
        <v>75.96</v>
      </c>
      <c r="J1141" t="s" s="11">
        <v>5972</v>
      </c>
      <c r="K1141" t="s" s="11">
        <v>5973</v>
      </c>
      <c r="L1141" s="17">
        <f>HYPERLINK("http://www.sequent.com", "www.sequent.com")</f>
      </c>
      <c r="M1141" s="17">
        <f>HYPERLINK("https://my.pitchbook.com?c=54071-65", "View Company Online")</f>
      </c>
    </row>
    <row r="1142">
      <c r="A1142" t="s" s="10">
        <v>5975</v>
      </c>
      <c r="B1142" t="s" s="10">
        <v>5976</v>
      </c>
      <c r="C1142" t="s" s="10">
        <v>27</v>
      </c>
      <c r="D1142" t="s" s="10">
        <v>122</v>
      </c>
      <c r="E1142" t="s" s="10">
        <v>973</v>
      </c>
      <c r="F1142" s="27">
        <v>46238</v>
      </c>
      <c r="G1142" t="s" s="10">
        <v>146</v>
      </c>
      <c r="H1142" s="42">
        <v>22</v>
      </c>
      <c r="I1142" s="42">
        <v>75.92</v>
      </c>
      <c r="J1142" t="s" s="10">
        <v>5977</v>
      </c>
      <c r="K1142" t="s" s="10">
        <v>5978</v>
      </c>
      <c r="L1142" s="16">
        <f>HYPERLINK("http://www.momentco.net", "www.momentco.net")</f>
      </c>
      <c r="M1142" s="16">
        <f>HYPERLINK("https://my.pitchbook.com?c=589596-94", "View Company Online")</f>
      </c>
    </row>
    <row r="1143">
      <c r="A1143" t="s" s="11">
        <v>5980</v>
      </c>
      <c r="B1143" t="s" s="11">
        <v>5981</v>
      </c>
      <c r="C1143" t="s" s="11">
        <v>164</v>
      </c>
      <c r="D1143" t="s" s="11">
        <v>206</v>
      </c>
      <c r="E1143" t="s" s="11">
        <v>137</v>
      </c>
      <c r="F1143" s="28">
        <v>46087</v>
      </c>
      <c r="G1143" t="s" s="11">
        <v>391</v>
      </c>
      <c r="H1143" t="s" s="43">
        <v>30</v>
      </c>
      <c r="I1143" s="43">
        <v>75.82</v>
      </c>
      <c r="J1143" t="s" s="11">
        <v>5982</v>
      </c>
      <c r="K1143" t="s" s="11">
        <v>30</v>
      </c>
      <c r="L1143" s="17">
        <f>HYPERLINK("http://www.wealthkernel.com", "www.wealthkernel.com")</f>
      </c>
      <c r="M1143" s="17">
        <f>HYPERLINK("https://my.pitchbook.com?c=168010-21", "View Company Online")</f>
      </c>
    </row>
    <row r="1144">
      <c r="A1144" t="s" s="10">
        <v>5984</v>
      </c>
      <c r="B1144" t="s" s="10">
        <v>5985</v>
      </c>
      <c r="C1144" t="s" s="10">
        <v>27</v>
      </c>
      <c r="D1144" t="s" s="10">
        <v>28</v>
      </c>
      <c r="E1144" t="s" s="10">
        <v>5072</v>
      </c>
      <c r="F1144" t="s" s="27">
        <v>30</v>
      </c>
      <c r="G1144" t="s" s="10">
        <v>40</v>
      </c>
      <c r="H1144" t="s" s="42">
        <v>30</v>
      </c>
      <c r="I1144" s="42">
        <v>75.75</v>
      </c>
      <c r="J1144" t="s" s="10">
        <v>5986</v>
      </c>
      <c r="K1144" t="s" s="10">
        <v>5987</v>
      </c>
      <c r="L1144" s="16">
        <f>HYPERLINK("http://www.hitpayapp.com", "www.hitpayapp.com")</f>
      </c>
      <c r="M1144" s="16">
        <f>HYPERLINK("https://my.pitchbook.com?c=465130-72", "View Company Online")</f>
      </c>
    </row>
    <row r="1145">
      <c r="A1145" t="s" s="11">
        <v>5989</v>
      </c>
      <c r="B1145" t="s" s="11">
        <v>5990</v>
      </c>
      <c r="C1145" t="s" s="11">
        <v>172</v>
      </c>
      <c r="D1145" t="s" s="11">
        <v>173</v>
      </c>
      <c r="E1145" t="s" s="11">
        <v>1685</v>
      </c>
      <c r="F1145" t="s" s="28">
        <v>30</v>
      </c>
      <c r="G1145" t="s" s="11">
        <v>607</v>
      </c>
      <c r="H1145" t="s" s="43">
        <v>30</v>
      </c>
      <c r="I1145" s="43">
        <v>75.6</v>
      </c>
      <c r="J1145" t="s" s="11">
        <v>5991</v>
      </c>
      <c r="K1145" t="s" s="11">
        <v>5992</v>
      </c>
      <c r="L1145" s="17">
        <f>HYPERLINK("http://www.ebisbank.com", "www.ebisbank.com")</f>
      </c>
      <c r="M1145" s="17">
        <f>HYPERLINK("https://my.pitchbook.com?c=517385-08", "View Company Online")</f>
      </c>
    </row>
    <row r="1146">
      <c r="A1146" t="s" s="10">
        <v>5994</v>
      </c>
      <c r="B1146" t="s" s="10">
        <v>5995</v>
      </c>
      <c r="C1146" t="s" s="10">
        <v>114</v>
      </c>
      <c r="D1146" t="s" s="10">
        <v>136</v>
      </c>
      <c r="E1146" t="s" s="10">
        <v>116</v>
      </c>
      <c r="F1146" s="27">
        <v>45696</v>
      </c>
      <c r="G1146" t="s" s="10">
        <v>5996</v>
      </c>
      <c r="H1146" s="42">
        <v>2.95</v>
      </c>
      <c r="I1146" s="42">
        <v>75.41</v>
      </c>
      <c r="J1146" t="s" s="10">
        <v>5997</v>
      </c>
      <c r="K1146" t="s" s="10">
        <v>5998</v>
      </c>
      <c r="L1146" s="16">
        <f>HYPERLINK("http://www.eduvanz.com", "www.eduvanz.com")</f>
      </c>
      <c r="M1146" s="16">
        <f>HYPERLINK("https://my.pitchbook.com?c=225785-35", "View Company Online")</f>
      </c>
    </row>
    <row r="1147">
      <c r="A1147" t="s" s="11">
        <v>6000</v>
      </c>
      <c r="B1147" t="s" s="11">
        <v>6001</v>
      </c>
      <c r="C1147" t="s" s="11">
        <v>222</v>
      </c>
      <c r="D1147" t="s" s="11">
        <v>252</v>
      </c>
      <c r="E1147" t="s" s="11">
        <v>373</v>
      </c>
      <c r="F1147" s="28">
        <v>45688</v>
      </c>
      <c r="G1147" t="s" s="11">
        <v>146</v>
      </c>
      <c r="H1147" s="43">
        <v>7.6</v>
      </c>
      <c r="I1147" s="43">
        <v>75.35</v>
      </c>
      <c r="J1147" t="s" s="11">
        <v>6002</v>
      </c>
      <c r="K1147" t="s" s="11">
        <v>6003</v>
      </c>
      <c r="L1147" s="17">
        <f>HYPERLINK("http://www.teamsecfin.com", "www.teamsecfin.com")</f>
      </c>
      <c r="M1147" s="17">
        <f>HYPERLINK("https://my.pitchbook.com?c=533205-46", "View Company Online")</f>
      </c>
    </row>
    <row r="1148">
      <c r="A1148" t="s" s="10">
        <v>6005</v>
      </c>
      <c r="B1148" t="s" s="10">
        <v>6006</v>
      </c>
      <c r="C1148" t="s" s="10">
        <v>27</v>
      </c>
      <c r="D1148" t="s" s="10">
        <v>70</v>
      </c>
      <c r="E1148" t="s" s="10">
        <v>6007</v>
      </c>
      <c r="F1148" s="27">
        <v>45326</v>
      </c>
      <c r="G1148" t="s" s="10">
        <v>48</v>
      </c>
      <c r="H1148" t="s" s="42">
        <v>30</v>
      </c>
      <c r="I1148" s="42">
        <v>75.24</v>
      </c>
      <c r="J1148" t="s" s="10">
        <v>6008</v>
      </c>
      <c r="K1148" t="s" s="10">
        <v>6009</v>
      </c>
      <c r="L1148" s="16">
        <f>HYPERLINK("http://www.freemud.com", "www.freemud.com")</f>
      </c>
      <c r="M1148" s="16">
        <f>HYPERLINK("https://my.pitchbook.com?c=265974-94", "View Company Online")</f>
      </c>
    </row>
    <row r="1149">
      <c r="A1149" t="s" s="11">
        <v>6011</v>
      </c>
      <c r="B1149" t="s" s="11">
        <v>6012</v>
      </c>
      <c r="C1149" t="s" s="11">
        <v>37</v>
      </c>
      <c r="D1149" t="s" s="11">
        <v>38</v>
      </c>
      <c r="E1149" t="s" s="11">
        <v>270</v>
      </c>
      <c r="F1149" s="28">
        <v>44607</v>
      </c>
      <c r="G1149" t="s" s="11">
        <v>40</v>
      </c>
      <c r="H1149" s="43">
        <v>15</v>
      </c>
      <c r="I1149" s="43">
        <v>75.13</v>
      </c>
      <c r="J1149" t="s" s="11">
        <v>6013</v>
      </c>
      <c r="K1149" t="s" s="11">
        <v>6014</v>
      </c>
      <c r="L1149" s="17">
        <f>HYPERLINK("http://in.rapipay.com", "in.rapipay.com")</f>
      </c>
      <c r="M1149" s="17">
        <f>HYPERLINK("https://my.pitchbook.com?c=458203-06", "View Company Online")</f>
      </c>
    </row>
    <row r="1150">
      <c r="A1150" t="s" s="10">
        <v>6016</v>
      </c>
      <c r="B1150" t="s" s="10">
        <v>6017</v>
      </c>
      <c r="C1150" t="s" s="10">
        <v>60</v>
      </c>
      <c r="D1150" t="s" s="10">
        <v>727</v>
      </c>
      <c r="E1150" t="s" s="10">
        <v>270</v>
      </c>
      <c r="F1150" s="27">
        <v>45909</v>
      </c>
      <c r="G1150" t="s" s="10">
        <v>40</v>
      </c>
      <c r="H1150" t="s" s="42">
        <v>30</v>
      </c>
      <c r="I1150" s="42">
        <v>75</v>
      </c>
      <c r="J1150" t="s" s="10">
        <v>6018</v>
      </c>
      <c r="K1150" t="s" s="10">
        <v>6019</v>
      </c>
      <c r="L1150" s="16">
        <f>HYPERLINK("http://www.joinautopilot.com", "www.joinautopilot.com")</f>
      </c>
      <c r="M1150" s="16">
        <f>HYPERLINK("https://my.pitchbook.com?c=459686-44", "View Company Online")</f>
      </c>
    </row>
    <row r="1151">
      <c r="A1151" t="s" s="11">
        <v>6021</v>
      </c>
      <c r="B1151" t="s" s="11">
        <v>6022</v>
      </c>
      <c r="C1151" t="s" s="11">
        <v>114</v>
      </c>
      <c r="D1151" t="s" s="11">
        <v>115</v>
      </c>
      <c r="E1151" t="s" s="11">
        <v>130</v>
      </c>
      <c r="F1151" s="28">
        <v>45978</v>
      </c>
      <c r="G1151" t="s" s="11">
        <v>146</v>
      </c>
      <c r="H1151" s="43">
        <v>10</v>
      </c>
      <c r="I1151" s="43">
        <v>75</v>
      </c>
      <c r="J1151" t="s" s="11">
        <v>6023</v>
      </c>
      <c r="K1151" t="s" s="11">
        <v>6024</v>
      </c>
      <c r="L1151" s="17">
        <f>HYPERLINK("http://www.backflip.com", "www.backflip.com")</f>
      </c>
      <c r="M1151" s="17">
        <f>HYPERLINK("https://my.pitchbook.com?c=494886-61", "View Company Online")</f>
      </c>
    </row>
    <row r="1152">
      <c r="A1152" t="s" s="10">
        <v>6026</v>
      </c>
      <c r="B1152" t="s" s="10">
        <v>6027</v>
      </c>
      <c r="C1152" t="s" s="10">
        <v>164</v>
      </c>
      <c r="D1152" t="s" s="10">
        <v>206</v>
      </c>
      <c r="E1152" t="s" s="10">
        <v>253</v>
      </c>
      <c r="F1152" s="27">
        <v>44741</v>
      </c>
      <c r="G1152" t="s" s="10">
        <v>40</v>
      </c>
      <c r="H1152" s="42">
        <v>16</v>
      </c>
      <c r="I1152" s="42">
        <v>75</v>
      </c>
      <c r="J1152" t="s" s="10">
        <v>6028</v>
      </c>
      <c r="K1152" t="s" s="10">
        <v>6029</v>
      </c>
      <c r="L1152" s="16">
        <f>HYPERLINK("http://www.blackthorn.io", "www.blackthorn.io")</f>
      </c>
      <c r="M1152" s="16">
        <f>HYPERLINK("https://my.pitchbook.com?c=280062-91", "View Company Online")</f>
      </c>
    </row>
    <row r="1153">
      <c r="A1153" t="s" s="11">
        <v>6031</v>
      </c>
      <c r="B1153" t="s" s="11">
        <v>6032</v>
      </c>
      <c r="C1153" t="s" s="11">
        <v>222</v>
      </c>
      <c r="D1153" t="s" s="11">
        <v>537</v>
      </c>
      <c r="E1153" t="s" s="11">
        <v>253</v>
      </c>
      <c r="F1153" t="s" s="28">
        <v>30</v>
      </c>
      <c r="G1153" t="s" s="11">
        <v>607</v>
      </c>
      <c r="H1153" t="s" s="43">
        <v>30</v>
      </c>
      <c r="I1153" s="43">
        <v>75</v>
      </c>
      <c r="J1153" t="s" s="11">
        <v>6033</v>
      </c>
      <c r="K1153" t="s" s="11">
        <v>6034</v>
      </c>
      <c r="L1153" s="17">
        <f>HYPERLINK("http://www.bondlink.com", "www.bondlink.com")</f>
      </c>
      <c r="M1153" s="17">
        <f>HYPERLINK("https://my.pitchbook.com?c=150600-25", "View Company Online")</f>
      </c>
    </row>
    <row r="1154">
      <c r="A1154" t="s" s="10">
        <v>6036</v>
      </c>
      <c r="B1154" t="s" s="10">
        <v>6037</v>
      </c>
      <c r="C1154" t="s" s="10">
        <v>222</v>
      </c>
      <c r="D1154" t="s" s="10">
        <v>223</v>
      </c>
      <c r="E1154" t="s" s="10">
        <v>414</v>
      </c>
      <c r="F1154" s="27">
        <v>45594</v>
      </c>
      <c r="G1154" t="s" s="10">
        <v>40</v>
      </c>
      <c r="H1154" s="42">
        <v>21</v>
      </c>
      <c r="I1154" s="42">
        <v>75</v>
      </c>
      <c r="J1154" t="s" s="10">
        <v>6038</v>
      </c>
      <c r="K1154" t="s" s="10">
        <v>6039</v>
      </c>
      <c r="L1154" s="16">
        <f>HYPERLINK("http://www.brightwave.io", "www.brightwave.io")</f>
      </c>
      <c r="M1154" s="16">
        <f>HYPERLINK("https://my.pitchbook.com?c=588809-89", "View Company Online")</f>
      </c>
    </row>
    <row r="1155">
      <c r="A1155" t="s" s="11">
        <v>6041</v>
      </c>
      <c r="B1155" t="s" s="11">
        <v>6042</v>
      </c>
      <c r="C1155" t="s" s="11">
        <v>60</v>
      </c>
      <c r="D1155" t="s" s="11">
        <v>192</v>
      </c>
      <c r="E1155" t="s" s="11">
        <v>4075</v>
      </c>
      <c r="F1155" s="28">
        <v>46127</v>
      </c>
      <c r="G1155" t="s" s="11">
        <v>391</v>
      </c>
      <c r="H1155" t="s" s="43">
        <v>30</v>
      </c>
      <c r="I1155" s="43">
        <v>75</v>
      </c>
      <c r="J1155" t="s" s="11">
        <v>6043</v>
      </c>
      <c r="K1155" t="s" s="11">
        <v>6044</v>
      </c>
      <c r="L1155" s="17">
        <f>HYPERLINK("http://www.carry.com", "www.carry.com")</f>
      </c>
      <c r="M1155" s="17">
        <f>HYPERLINK("https://my.pitchbook.com?c=515855-89", "View Company Online")</f>
      </c>
    </row>
    <row r="1156">
      <c r="A1156" t="s" s="10">
        <v>6046</v>
      </c>
      <c r="B1156" t="s" s="10">
        <v>6047</v>
      </c>
      <c r="C1156" t="s" s="10">
        <v>164</v>
      </c>
      <c r="D1156" t="s" s="10">
        <v>206</v>
      </c>
      <c r="E1156" t="s" s="10">
        <v>373</v>
      </c>
      <c r="F1156" s="27">
        <v>45758</v>
      </c>
      <c r="G1156" t="s" s="10">
        <v>146</v>
      </c>
      <c r="H1156" s="42">
        <v>15</v>
      </c>
      <c r="I1156" s="42">
        <v>75</v>
      </c>
      <c r="J1156" t="s" s="10">
        <v>6048</v>
      </c>
      <c r="K1156" t="s" s="10">
        <v>6049</v>
      </c>
      <c r="L1156" s="16">
        <f>HYPERLINK("http://www.withglide.com", "www.withglide.com")</f>
      </c>
      <c r="M1156" s="16">
        <f>HYPERLINK("https://my.pitchbook.com?c=482643-55", "View Company Online")</f>
      </c>
    </row>
    <row r="1157">
      <c r="A1157" t="s" s="11">
        <v>6051</v>
      </c>
      <c r="B1157" t="s" s="11">
        <v>6052</v>
      </c>
      <c r="C1157" t="s" s="11">
        <v>37</v>
      </c>
      <c r="D1157" t="s" s="11">
        <v>304</v>
      </c>
      <c r="E1157" t="s" s="11">
        <v>1054</v>
      </c>
      <c r="F1157" s="28">
        <v>44568</v>
      </c>
      <c r="G1157" t="s" s="11">
        <v>40</v>
      </c>
      <c r="H1157" s="43">
        <v>17.7</v>
      </c>
      <c r="I1157" s="43">
        <v>75</v>
      </c>
      <c r="J1157" t="s" s="11">
        <v>6053</v>
      </c>
      <c r="K1157" t="s" s="11">
        <v>6054</v>
      </c>
      <c r="L1157" s="17">
        <f>HYPERLINK("http://www.getgrid.app", "www.getgrid.app")</f>
      </c>
      <c r="M1157" s="17">
        <f>HYPERLINK("https://my.pitchbook.com?c=186611-77", "View Company Online")</f>
      </c>
    </row>
    <row r="1158">
      <c r="A1158" t="s" s="10">
        <v>6056</v>
      </c>
      <c r="B1158" t="s" s="10">
        <v>6057</v>
      </c>
      <c r="C1158" t="s" s="10">
        <v>114</v>
      </c>
      <c r="D1158" t="s" s="10">
        <v>852</v>
      </c>
      <c r="E1158" t="s" s="10">
        <v>6058</v>
      </c>
      <c r="F1158" s="27">
        <v>45762</v>
      </c>
      <c r="G1158" t="s" s="10">
        <v>40</v>
      </c>
      <c r="H1158" s="42">
        <v>32.03</v>
      </c>
      <c r="I1158" s="42">
        <v>75</v>
      </c>
      <c r="J1158" t="s" s="10">
        <v>6059</v>
      </c>
      <c r="K1158" t="s" s="10">
        <v>6060</v>
      </c>
      <c r="L1158" s="16">
        <f>HYPERLINK("http://www.growersedge.com", "www.growersedge.com")</f>
      </c>
      <c r="M1158" s="16">
        <f>HYPERLINK("https://my.pitchbook.com?c=179650-99", "View Company Online")</f>
      </c>
    </row>
    <row r="1159">
      <c r="A1159" t="s" s="11">
        <v>6062</v>
      </c>
      <c r="B1159" t="s" s="11">
        <v>6063</v>
      </c>
      <c r="C1159" t="s" s="11">
        <v>27</v>
      </c>
      <c r="D1159" t="s" s="11">
        <v>28</v>
      </c>
      <c r="E1159" t="s" s="11">
        <v>859</v>
      </c>
      <c r="F1159" s="28">
        <v>45134</v>
      </c>
      <c r="G1159" t="s" s="11">
        <v>146</v>
      </c>
      <c r="H1159" s="43">
        <v>6</v>
      </c>
      <c r="I1159" s="43">
        <v>75</v>
      </c>
      <c r="J1159" t="s" s="11">
        <v>6064</v>
      </c>
      <c r="K1159" t="s" s="11">
        <v>6065</v>
      </c>
      <c r="L1159" s="17">
        <f>HYPERLINK("http://www.keeta.com", "www.keeta.com")</f>
      </c>
      <c r="M1159" s="17">
        <f>HYPERLINK("https://my.pitchbook.com?c=497327-23", "View Company Online")</f>
      </c>
    </row>
    <row r="1160">
      <c r="A1160" t="s" s="10">
        <v>6067</v>
      </c>
      <c r="B1160" t="s" s="10">
        <v>6068</v>
      </c>
      <c r="C1160" t="s" s="10">
        <v>27</v>
      </c>
      <c r="D1160" t="s" s="10">
        <v>122</v>
      </c>
      <c r="E1160" t="s" s="10">
        <v>1054</v>
      </c>
      <c r="F1160" s="27">
        <v>45689</v>
      </c>
      <c r="G1160" t="s" s="10">
        <v>4267</v>
      </c>
      <c r="H1160" s="42">
        <v>2.5</v>
      </c>
      <c r="I1160" s="42">
        <v>75</v>
      </c>
      <c r="J1160" t="s" s="10">
        <v>6069</v>
      </c>
      <c r="K1160" t="s" s="10">
        <v>6070</v>
      </c>
      <c r="L1160" s="16">
        <f>HYPERLINK("http://www.payall.com", "www.payall.com")</f>
      </c>
      <c r="M1160" s="16">
        <f>HYPERLINK("https://my.pitchbook.com?c=226495-99", "View Company Online")</f>
      </c>
    </row>
    <row r="1161">
      <c r="A1161" t="s" s="11">
        <v>6072</v>
      </c>
      <c r="B1161" t="s" s="11">
        <v>6073</v>
      </c>
      <c r="C1161" t="s" s="11">
        <v>128</v>
      </c>
      <c r="D1161" t="s" s="11">
        <v>276</v>
      </c>
      <c r="E1161" t="s" s="11">
        <v>270</v>
      </c>
      <c r="F1161" s="28">
        <v>46050</v>
      </c>
      <c r="G1161" t="s" s="11">
        <v>391</v>
      </c>
      <c r="H1161" t="s" s="43">
        <v>30</v>
      </c>
      <c r="I1161" s="43">
        <v>75</v>
      </c>
      <c r="J1161" t="s" s="11">
        <v>6074</v>
      </c>
      <c r="K1161" t="s" s="11">
        <v>30</v>
      </c>
      <c r="L1161" s="17">
        <f>HYPERLINK("http://www.pomelo.com", "www.pomelo.com")</f>
      </c>
      <c r="M1161" s="17">
        <f>HYPERLINK("https://my.pitchbook.com?c=482423-14", "View Company Online")</f>
      </c>
    </row>
    <row r="1162">
      <c r="A1162" t="s" s="10">
        <v>6076</v>
      </c>
      <c r="B1162" t="s" s="10">
        <v>6077</v>
      </c>
      <c r="C1162" t="s" s="10">
        <v>46</v>
      </c>
      <c r="D1162" t="s" s="10">
        <v>78</v>
      </c>
      <c r="E1162" t="s" s="10">
        <v>253</v>
      </c>
      <c r="F1162" s="27">
        <v>45853</v>
      </c>
      <c r="G1162" t="s" s="10">
        <v>40</v>
      </c>
      <c r="H1162" s="42">
        <v>24</v>
      </c>
      <c r="I1162" s="42">
        <v>75</v>
      </c>
      <c r="J1162" t="s" s="10">
        <v>6078</v>
      </c>
      <c r="K1162" t="s" s="10">
        <v>6079</v>
      </c>
      <c r="L1162" s="16">
        <f>HYPERLINK("http://www.wingspan.app", "www.wingspan.app")</f>
      </c>
      <c r="M1162" s="16">
        <f>HYPERLINK("https://my.pitchbook.com?c=399211-84", "View Company Online")</f>
      </c>
    </row>
    <row r="1163">
      <c r="A1163" t="s" s="11">
        <v>6081</v>
      </c>
      <c r="B1163" t="s" s="11">
        <v>6082</v>
      </c>
      <c r="C1163" t="s" s="11">
        <v>114</v>
      </c>
      <c r="D1163" t="s" s="11">
        <v>136</v>
      </c>
      <c r="E1163" t="s" s="11">
        <v>623</v>
      </c>
      <c r="F1163" s="28">
        <v>45356</v>
      </c>
      <c r="G1163" t="s" s="11">
        <v>31</v>
      </c>
      <c r="H1163" s="43">
        <v>60.27</v>
      </c>
      <c r="I1163" s="43">
        <v>74.72</v>
      </c>
      <c r="J1163" t="s" s="11">
        <v>6083</v>
      </c>
      <c r="K1163" t="s" s="11">
        <v>6084</v>
      </c>
      <c r="L1163" s="17">
        <f>HYPERLINK("http://www.mpokket.in", "www.mpokket.in")</f>
      </c>
      <c r="M1163" s="17">
        <f>HYPERLINK("https://my.pitchbook.com?c=223602-40", "View Company Online")</f>
      </c>
    </row>
    <row r="1164">
      <c r="A1164" t="s" s="10">
        <v>6086</v>
      </c>
      <c r="B1164" t="s" s="10">
        <v>6087</v>
      </c>
      <c r="C1164" t="s" s="10">
        <v>46</v>
      </c>
      <c r="D1164" t="s" s="10">
        <v>47</v>
      </c>
      <c r="E1164" t="s" s="10">
        <v>193</v>
      </c>
      <c r="F1164" s="27">
        <v>45930</v>
      </c>
      <c r="G1164" t="s" s="10">
        <v>40</v>
      </c>
      <c r="H1164" s="42">
        <v>32.3</v>
      </c>
      <c r="I1164" s="42">
        <v>74.42</v>
      </c>
      <c r="J1164" t="s" s="10">
        <v>6088</v>
      </c>
      <c r="K1164" t="s" s="10">
        <v>6089</v>
      </c>
      <c r="L1164" s="16">
        <f>HYPERLINK("http://www.volopa.com", "www.volopa.com")</f>
      </c>
      <c r="M1164" s="16">
        <f>HYPERLINK("https://my.pitchbook.com?c=470051-56", "View Company Online")</f>
      </c>
    </row>
    <row r="1165">
      <c r="A1165" t="s" s="11">
        <v>6091</v>
      </c>
      <c r="B1165" t="s" s="11">
        <v>6092</v>
      </c>
      <c r="C1165" t="s" s="11">
        <v>60</v>
      </c>
      <c r="D1165" t="s" s="11">
        <v>192</v>
      </c>
      <c r="E1165" t="s" s="11">
        <v>859</v>
      </c>
      <c r="F1165" s="28">
        <v>45174</v>
      </c>
      <c r="G1165" t="s" s="11">
        <v>40</v>
      </c>
      <c r="H1165" s="43">
        <v>15</v>
      </c>
      <c r="I1165" s="43">
        <v>74.4</v>
      </c>
      <c r="J1165" t="s" s="11">
        <v>6093</v>
      </c>
      <c r="K1165" t="s" s="11">
        <v>6094</v>
      </c>
      <c r="L1165" s="17">
        <f>HYPERLINK("http://www.gentwo.com", "www.gentwo.com")</f>
      </c>
      <c r="M1165" s="17">
        <f>HYPERLINK("https://my.pitchbook.com?c=491718-07", "View Company Online")</f>
      </c>
    </row>
    <row r="1166">
      <c r="A1166" t="s" s="10">
        <v>6096</v>
      </c>
      <c r="B1166" t="s" s="10">
        <v>6097</v>
      </c>
      <c r="C1166" t="s" s="10">
        <v>222</v>
      </c>
      <c r="D1166" t="s" s="10">
        <v>223</v>
      </c>
      <c r="E1166" t="s" s="10">
        <v>137</v>
      </c>
      <c r="F1166" s="27">
        <v>45855</v>
      </c>
      <c r="G1166" t="s" s="10">
        <v>146</v>
      </c>
      <c r="H1166" s="42">
        <v>22.06</v>
      </c>
      <c r="I1166" s="42">
        <v>74.34</v>
      </c>
      <c r="J1166" t="s" s="10">
        <v>6098</v>
      </c>
      <c r="K1166" t="s" s="10">
        <v>6099</v>
      </c>
      <c r="L1166" s="16">
        <f>HYPERLINK("http://www.spiko.io", "www.spiko.io")</f>
      </c>
      <c r="M1166" s="16">
        <f>HYPERLINK("https://my.pitchbook.com?c=539192-08", "View Company Online")</f>
      </c>
    </row>
    <row r="1167">
      <c r="A1167" t="s" s="11">
        <v>6101</v>
      </c>
      <c r="B1167" t="s" s="11">
        <v>6102</v>
      </c>
      <c r="C1167" t="s" s="11">
        <v>164</v>
      </c>
      <c r="D1167" t="s" s="11">
        <v>206</v>
      </c>
      <c r="E1167" t="s" s="11">
        <v>253</v>
      </c>
      <c r="F1167" s="28">
        <v>45540</v>
      </c>
      <c r="G1167" t="s" s="11">
        <v>146</v>
      </c>
      <c r="H1167" s="43">
        <v>15.39</v>
      </c>
      <c r="I1167" s="43">
        <v>74.03</v>
      </c>
      <c r="J1167" t="s" s="11">
        <v>6103</v>
      </c>
      <c r="K1167" t="s" s="11">
        <v>6104</v>
      </c>
      <c r="L1167" s="17">
        <f>HYPERLINK("http://www.optty.com", "www.optty.com")</f>
      </c>
      <c r="M1167" s="17">
        <f>HYPERLINK("https://my.pitchbook.com?c=493271-92", "View Company Online")</f>
      </c>
    </row>
    <row r="1168">
      <c r="A1168" t="s" s="10">
        <v>6106</v>
      </c>
      <c r="B1168" t="s" s="10">
        <v>6107</v>
      </c>
      <c r="C1168" t="s" s="10">
        <v>60</v>
      </c>
      <c r="D1168" t="s" s="10">
        <v>420</v>
      </c>
      <c r="E1168" t="s" s="10">
        <v>6108</v>
      </c>
      <c r="F1168" s="27">
        <v>45057</v>
      </c>
      <c r="G1168" t="s" s="10">
        <v>40</v>
      </c>
      <c r="H1168" s="42">
        <v>0.88</v>
      </c>
      <c r="I1168" s="42">
        <v>73.51</v>
      </c>
      <c r="J1168" t="s" s="10">
        <v>6109</v>
      </c>
      <c r="K1168" t="s" s="10">
        <v>6110</v>
      </c>
      <c r="L1168" s="16">
        <f>HYPERLINK("http://www.afilio.de", "www.afilio.de")</f>
      </c>
      <c r="M1168" s="16">
        <f>HYPERLINK("https://my.pitchbook.com?c=307789-48", "View Company Online")</f>
      </c>
    </row>
    <row r="1169">
      <c r="A1169" t="s" s="11">
        <v>6112</v>
      </c>
      <c r="B1169" t="s" s="11">
        <v>6113</v>
      </c>
      <c r="C1169" t="s" s="11">
        <v>46</v>
      </c>
      <c r="D1169" t="s" s="11">
        <v>47</v>
      </c>
      <c r="E1169" t="s" s="11">
        <v>253</v>
      </c>
      <c r="F1169" s="28">
        <v>44656</v>
      </c>
      <c r="G1169" t="s" s="11">
        <v>40</v>
      </c>
      <c r="H1169" s="43">
        <v>9</v>
      </c>
      <c r="I1169" s="43">
        <v>73.25</v>
      </c>
      <c r="J1169" t="s" s="11">
        <v>6114</v>
      </c>
      <c r="K1169" t="s" s="11">
        <v>6115</v>
      </c>
      <c r="L1169" s="17">
        <f>HYPERLINK("http://www.gaviti.com", "www.gaviti.com")</f>
      </c>
      <c r="M1169" s="17">
        <f>HYPERLINK("https://my.pitchbook.com?c=277121-80", "View Company Online")</f>
      </c>
    </row>
    <row r="1170">
      <c r="A1170" t="s" s="10">
        <v>6117</v>
      </c>
      <c r="B1170" t="s" s="10">
        <v>6118</v>
      </c>
      <c r="C1170" t="s" s="10">
        <v>60</v>
      </c>
      <c r="D1170" t="s" s="10">
        <v>420</v>
      </c>
      <c r="E1170" t="s" s="10">
        <v>30</v>
      </c>
      <c r="F1170" s="27">
        <v>45708</v>
      </c>
      <c r="G1170" t="s" s="10">
        <v>40</v>
      </c>
      <c r="H1170" s="42">
        <v>18.01</v>
      </c>
      <c r="I1170" s="42">
        <v>73.22</v>
      </c>
      <c r="J1170" t="s" s="10">
        <v>6119</v>
      </c>
      <c r="K1170" t="s" s="10">
        <v>6120</v>
      </c>
      <c r="L1170" s="16">
        <f>HYPERLINK("http://www.waterfieldadvisors.com", "www.waterfieldadvisors.com")</f>
      </c>
      <c r="M1170" s="16">
        <f>HYPERLINK("https://my.pitchbook.com?c=62131-69", "View Company Online")</f>
      </c>
    </row>
    <row r="1171">
      <c r="A1171" t="s" s="11">
        <v>6122</v>
      </c>
      <c r="B1171" t="s" s="11">
        <v>6123</v>
      </c>
      <c r="C1171" t="s" s="11">
        <v>46</v>
      </c>
      <c r="D1171" t="s" s="11">
        <v>47</v>
      </c>
      <c r="E1171" t="s" s="11">
        <v>1964</v>
      </c>
      <c r="F1171" s="28">
        <v>44210</v>
      </c>
      <c r="G1171" t="s" s="11">
        <v>40</v>
      </c>
      <c r="H1171" s="43">
        <v>13.19</v>
      </c>
      <c r="I1171" s="43">
        <v>73.19</v>
      </c>
      <c r="J1171" t="s" s="11">
        <v>6124</v>
      </c>
      <c r="K1171" t="s" s="11">
        <v>6125</v>
      </c>
      <c r="L1171" s="17">
        <f>HYPERLINK("http://www.recvue.com", "www.recvue.com")</f>
      </c>
      <c r="M1171" s="17">
        <f>HYPERLINK("https://my.pitchbook.com?c=185371-39", "View Company Online")</f>
      </c>
    </row>
    <row r="1172">
      <c r="A1172" t="s" s="10">
        <v>6127</v>
      </c>
      <c r="B1172" t="s" s="10">
        <v>6128</v>
      </c>
      <c r="C1172" t="s" s="10">
        <v>27</v>
      </c>
      <c r="D1172" t="s" s="10">
        <v>28</v>
      </c>
      <c r="E1172" t="s" s="10">
        <v>1800</v>
      </c>
      <c r="F1172" s="27">
        <v>45841</v>
      </c>
      <c r="G1172" t="s" s="10">
        <v>40</v>
      </c>
      <c r="H1172" s="42">
        <v>11.93</v>
      </c>
      <c r="I1172" s="42">
        <v>73.18</v>
      </c>
      <c r="J1172" t="s" s="10">
        <v>6129</v>
      </c>
      <c r="K1172" t="s" s="10">
        <v>6130</v>
      </c>
      <c r="L1172" s="16">
        <f>HYPERLINK("http://www.yaspa.com", "www.yaspa.com")</f>
      </c>
      <c r="M1172" s="16">
        <f>HYPERLINK("https://my.pitchbook.com?c=184651-84", "View Company Online")</f>
      </c>
    </row>
    <row r="1173">
      <c r="A1173" t="s" s="11">
        <v>6132</v>
      </c>
      <c r="B1173" t="s" s="11">
        <v>6133</v>
      </c>
      <c r="C1173" t="s" s="11">
        <v>46</v>
      </c>
      <c r="D1173" t="s" s="11">
        <v>915</v>
      </c>
      <c r="E1173" t="s" s="11">
        <v>5647</v>
      </c>
      <c r="F1173" s="28">
        <v>46099</v>
      </c>
      <c r="G1173" t="s" s="11">
        <v>40</v>
      </c>
      <c r="H1173" s="43">
        <v>24</v>
      </c>
      <c r="I1173" s="43">
        <v>73</v>
      </c>
      <c r="J1173" t="s" s="11">
        <v>6134</v>
      </c>
      <c r="K1173" t="s" s="11">
        <v>6135</v>
      </c>
      <c r="L1173" s="17">
        <f>HYPERLINK("http://www.condorsoftware.com", "www.condorsoftware.com")</f>
      </c>
      <c r="M1173" s="17">
        <f>HYPERLINK("https://my.pitchbook.com?c=468049-78", "View Company Online")</f>
      </c>
    </row>
    <row r="1174">
      <c r="A1174" t="s" s="10">
        <v>6137</v>
      </c>
      <c r="B1174" t="s" s="10">
        <v>6138</v>
      </c>
      <c r="C1174" t="s" s="10">
        <v>46</v>
      </c>
      <c r="D1174" t="s" s="10">
        <v>78</v>
      </c>
      <c r="E1174" t="s" s="10">
        <v>390</v>
      </c>
      <c r="F1174" s="27">
        <v>45769</v>
      </c>
      <c r="G1174" t="s" s="10">
        <v>146</v>
      </c>
      <c r="H1174" s="42">
        <v>20</v>
      </c>
      <c r="I1174" s="42">
        <v>73</v>
      </c>
      <c r="J1174" t="s" s="10">
        <v>6139</v>
      </c>
      <c r="K1174" t="s" s="10">
        <v>6140</v>
      </c>
      <c r="L1174" s="16">
        <f>HYPERLINK("http://www.salsa.dev", "www.salsa.dev")</f>
      </c>
      <c r="M1174" s="16">
        <f>HYPERLINK("https://my.pitchbook.com?c=493161-22", "View Company Online")</f>
      </c>
    </row>
    <row r="1175">
      <c r="A1175" t="s" s="11">
        <v>6142</v>
      </c>
      <c r="B1175" t="s" s="11">
        <v>6143</v>
      </c>
      <c r="C1175" t="s" s="11">
        <v>27</v>
      </c>
      <c r="D1175" t="s" s="11">
        <v>70</v>
      </c>
      <c r="E1175" t="s" s="11">
        <v>259</v>
      </c>
      <c r="F1175" s="28">
        <v>45548</v>
      </c>
      <c r="G1175" t="s" s="11">
        <v>40</v>
      </c>
      <c r="H1175" s="43">
        <v>15.7</v>
      </c>
      <c r="I1175" s="43">
        <v>72.88</v>
      </c>
      <c r="J1175" t="s" s="11">
        <v>6144</v>
      </c>
      <c r="K1175" t="s" s="11">
        <v>6145</v>
      </c>
      <c r="L1175" s="17">
        <f>HYPERLINK("http://www.paper.id", "www.paper.id")</f>
      </c>
      <c r="M1175" s="17">
        <f>HYPERLINK("https://my.pitchbook.com?c=234879-67", "View Company Online")</f>
      </c>
    </row>
    <row r="1176">
      <c r="A1176" t="s" s="10">
        <v>6147</v>
      </c>
      <c r="B1176" t="s" s="10">
        <v>6148</v>
      </c>
      <c r="C1176" t="s" s="10">
        <v>46</v>
      </c>
      <c r="D1176" t="s" s="10">
        <v>78</v>
      </c>
      <c r="E1176" t="s" s="10">
        <v>253</v>
      </c>
      <c r="F1176" s="27">
        <v>45901</v>
      </c>
      <c r="G1176" t="s" s="10">
        <v>40</v>
      </c>
      <c r="H1176" s="42">
        <v>20</v>
      </c>
      <c r="I1176" s="42">
        <v>72.68</v>
      </c>
      <c r="J1176" t="s" s="10">
        <v>6149</v>
      </c>
      <c r="K1176" t="s" s="10">
        <v>6150</v>
      </c>
      <c r="L1176" s="16">
        <f>HYPERLINK("http://www.paywatchglobal.com", "www.paywatchglobal.com")</f>
      </c>
      <c r="M1176" s="16">
        <f>HYPERLINK("https://my.pitchbook.com?c=464235-76", "View Company Online")</f>
      </c>
    </row>
    <row r="1177">
      <c r="A1177" t="s" s="11">
        <v>6152</v>
      </c>
      <c r="B1177" t="s" s="11">
        <v>6153</v>
      </c>
      <c r="C1177" t="s" s="11">
        <v>37</v>
      </c>
      <c r="D1177" t="s" s="11">
        <v>304</v>
      </c>
      <c r="E1177" t="s" s="11">
        <v>193</v>
      </c>
      <c r="F1177" s="28">
        <v>45699</v>
      </c>
      <c r="G1177" t="s" s="11">
        <v>40</v>
      </c>
      <c r="H1177" t="s" s="43">
        <v>30</v>
      </c>
      <c r="I1177" s="43">
        <v>72.61</v>
      </c>
      <c r="J1177" t="s" s="11">
        <v>6154</v>
      </c>
      <c r="K1177" t="s" s="11">
        <v>6155</v>
      </c>
      <c r="L1177" s="17">
        <f>HYPERLINK("http://www.cashe.co.in", "www.cashe.co.in")</f>
      </c>
      <c r="M1177" s="17">
        <f>HYPERLINK("https://my.pitchbook.com?c=179355-52", "View Company Online")</f>
      </c>
    </row>
    <row r="1178">
      <c r="A1178" t="s" s="10">
        <v>6157</v>
      </c>
      <c r="B1178" t="s" s="10">
        <v>6158</v>
      </c>
      <c r="C1178" t="s" s="10">
        <v>114</v>
      </c>
      <c r="D1178" t="s" s="10">
        <v>852</v>
      </c>
      <c r="E1178" t="s" s="10">
        <v>6159</v>
      </c>
      <c r="F1178" s="27">
        <v>45098</v>
      </c>
      <c r="G1178" t="s" s="10">
        <v>40</v>
      </c>
      <c r="H1178" s="42">
        <v>18.06</v>
      </c>
      <c r="I1178" s="42">
        <v>72.47</v>
      </c>
      <c r="J1178" t="s" s="10">
        <v>6160</v>
      </c>
      <c r="K1178" t="s" s="10">
        <v>6161</v>
      </c>
      <c r="L1178" s="16">
        <f>HYPERLINK("http://corp.olta.co.jp", "corp.olta.co.jp")</f>
      </c>
      <c r="M1178" s="16">
        <f>HYPERLINK("https://my.pitchbook.com?c=399446-29", "View Company Online")</f>
      </c>
    </row>
    <row r="1179">
      <c r="A1179" t="s" s="11">
        <v>6163</v>
      </c>
      <c r="B1179" t="s" s="11">
        <v>6164</v>
      </c>
      <c r="C1179" t="s" s="11">
        <v>46</v>
      </c>
      <c r="D1179" t="s" s="11">
        <v>47</v>
      </c>
      <c r="E1179" t="s" s="11">
        <v>4087</v>
      </c>
      <c r="F1179" s="28">
        <v>45631</v>
      </c>
      <c r="G1179" t="s" s="11">
        <v>146</v>
      </c>
      <c r="H1179" s="43">
        <v>15</v>
      </c>
      <c r="I1179" s="43">
        <v>72</v>
      </c>
      <c r="J1179" t="s" s="11">
        <v>6165</v>
      </c>
      <c r="K1179" t="s" s="11">
        <v>6166</v>
      </c>
      <c r="L1179" s="17">
        <f>HYPERLINK("http://www.brm.ai", "www.brm.ai")</f>
      </c>
      <c r="M1179" s="17">
        <f>HYPERLINK("https://my.pitchbook.com?c=530493-31", "View Company Online")</f>
      </c>
    </row>
    <row r="1180">
      <c r="A1180" t="s" s="10">
        <v>6168</v>
      </c>
      <c r="B1180" t="s" s="10">
        <v>6169</v>
      </c>
      <c r="C1180" t="s" s="10">
        <v>114</v>
      </c>
      <c r="D1180" t="s" s="10">
        <v>136</v>
      </c>
      <c r="E1180" t="s" s="10">
        <v>373</v>
      </c>
      <c r="F1180" s="27">
        <v>46097</v>
      </c>
      <c r="G1180" t="s" s="10">
        <v>40</v>
      </c>
      <c r="H1180" s="42">
        <v>25</v>
      </c>
      <c r="I1180" s="42">
        <v>72</v>
      </c>
      <c r="J1180" t="s" s="10">
        <v>6170</v>
      </c>
      <c r="K1180" t="s" s="10">
        <v>6171</v>
      </c>
      <c r="L1180" s="16">
        <f>HYPERLINK("http://www.fusefinance.com", "www.fusefinance.com")</f>
      </c>
      <c r="M1180" s="16">
        <f>HYPERLINK("https://my.pitchbook.com?c=464005-54", "View Company Online")</f>
      </c>
    </row>
    <row r="1181">
      <c r="A1181" t="s" s="11">
        <v>6173</v>
      </c>
      <c r="B1181" t="s" s="11">
        <v>6174</v>
      </c>
      <c r="C1181" t="s" s="11">
        <v>164</v>
      </c>
      <c r="D1181" t="s" s="11">
        <v>165</v>
      </c>
      <c r="E1181" t="s" s="11">
        <v>253</v>
      </c>
      <c r="F1181" s="28">
        <v>45985</v>
      </c>
      <c r="G1181" t="s" s="11">
        <v>40</v>
      </c>
      <c r="H1181" t="s" s="43">
        <v>30</v>
      </c>
      <c r="I1181" s="43">
        <v>72</v>
      </c>
      <c r="J1181" t="s" s="11">
        <v>6175</v>
      </c>
      <c r="K1181" t="s" s="11">
        <v>6176</v>
      </c>
      <c r="L1181" s="17">
        <f>HYPERLINK("http://www.kingfieldcorp.com", "www.kingfieldcorp.com")</f>
      </c>
      <c r="M1181" s="17">
        <f>HYPERLINK("https://my.pitchbook.com?c=228068-11", "View Company Online")</f>
      </c>
    </row>
    <row r="1182">
      <c r="A1182" t="s" s="10">
        <v>6178</v>
      </c>
      <c r="B1182" t="s" s="10">
        <v>6179</v>
      </c>
      <c r="C1182" t="s" s="10">
        <v>114</v>
      </c>
      <c r="D1182" t="s" s="10">
        <v>136</v>
      </c>
      <c r="E1182" t="s" s="10">
        <v>253</v>
      </c>
      <c r="F1182" s="27">
        <v>43705</v>
      </c>
      <c r="G1182" t="s" s="10">
        <v>40</v>
      </c>
      <c r="H1182" s="42">
        <v>6.68</v>
      </c>
      <c r="I1182" s="42">
        <v>71.86</v>
      </c>
      <c r="J1182" t="s" s="10">
        <v>6180</v>
      </c>
      <c r="K1182" t="s" s="10">
        <v>6181</v>
      </c>
      <c r="L1182" s="16">
        <f>HYPERLINK("http://www.crxmarkets.com", "www.crxmarkets.com")</f>
      </c>
      <c r="M1182" s="16">
        <f>HYPERLINK("https://my.pitchbook.com?c=115493-32", "View Company Online")</f>
      </c>
    </row>
    <row r="1183">
      <c r="A1183" t="s" s="11">
        <v>6183</v>
      </c>
      <c r="B1183" t="s" s="11">
        <v>6184</v>
      </c>
      <c r="C1183" t="s" s="11">
        <v>37</v>
      </c>
      <c r="D1183" t="s" s="11">
        <v>38</v>
      </c>
      <c r="E1183" t="s" s="11">
        <v>29</v>
      </c>
      <c r="F1183" s="28">
        <v>44649</v>
      </c>
      <c r="G1183" t="s" s="11">
        <v>40</v>
      </c>
      <c r="H1183" s="43">
        <v>9.91</v>
      </c>
      <c r="I1183" s="43">
        <v>71.46</v>
      </c>
      <c r="J1183" t="s" s="11">
        <v>6185</v>
      </c>
      <c r="K1183" t="s" s="11">
        <v>6186</v>
      </c>
      <c r="L1183" s="17">
        <f>HYPERLINK("http://www.bnext.es", "www.bnext.es")</f>
      </c>
      <c r="M1183" s="17">
        <f>HYPERLINK("https://my.pitchbook.com?c=178444-54", "View Company Online")</f>
      </c>
    </row>
    <row r="1184">
      <c r="A1184" t="s" s="10">
        <v>6188</v>
      </c>
      <c r="B1184" t="s" s="10">
        <v>6189</v>
      </c>
      <c r="C1184" t="s" s="10">
        <v>27</v>
      </c>
      <c r="D1184" t="s" s="10">
        <v>70</v>
      </c>
      <c r="E1184" t="s" s="10">
        <v>1859</v>
      </c>
      <c r="F1184" s="27">
        <v>45719</v>
      </c>
      <c r="G1184" t="s" s="10">
        <v>40</v>
      </c>
      <c r="H1184" s="42">
        <v>146</v>
      </c>
      <c r="I1184" s="42">
        <v>71.38</v>
      </c>
      <c r="J1184" t="s" s="10">
        <v>6190</v>
      </c>
      <c r="K1184" t="s" s="10">
        <v>6191</v>
      </c>
      <c r="L1184" s="16">
        <f>HYPERLINK("http://www.rupifi.com", "www.rupifi.com")</f>
      </c>
      <c r="M1184" s="16">
        <f>HYPERLINK("https://my.pitchbook.com?c=433675-00", "View Company Online")</f>
      </c>
    </row>
    <row r="1185">
      <c r="A1185" t="s" s="11">
        <v>6193</v>
      </c>
      <c r="B1185" t="s" s="11">
        <v>6194</v>
      </c>
      <c r="C1185" t="s" s="11">
        <v>60</v>
      </c>
      <c r="D1185" t="s" s="11">
        <v>727</v>
      </c>
      <c r="E1185" t="s" s="11">
        <v>130</v>
      </c>
      <c r="F1185" t="s" s="28">
        <v>30</v>
      </c>
      <c r="G1185" t="s" s="11">
        <v>48</v>
      </c>
      <c r="H1185" t="s" s="43">
        <v>30</v>
      </c>
      <c r="I1185" s="43">
        <v>71.3</v>
      </c>
      <c r="J1185" t="s" s="11">
        <v>6195</v>
      </c>
      <c r="K1185" t="s" s="11">
        <v>6196</v>
      </c>
      <c r="L1185" s="17">
        <f>HYPERLINK("http://www.tellusapp.com", "www.tellusapp.com")</f>
      </c>
      <c r="M1185" s="17">
        <f>HYPERLINK("https://my.pitchbook.com?c=264599-65", "View Company Online")</f>
      </c>
    </row>
    <row r="1186">
      <c r="A1186" t="s" s="10">
        <v>6198</v>
      </c>
      <c r="B1186" t="s" s="10">
        <v>6199</v>
      </c>
      <c r="C1186" t="s" s="10">
        <v>172</v>
      </c>
      <c r="D1186" t="s" s="10">
        <v>173</v>
      </c>
      <c r="E1186" t="s" s="10">
        <v>6200</v>
      </c>
      <c r="F1186" s="27">
        <v>45505</v>
      </c>
      <c r="G1186" t="s" s="10">
        <v>40</v>
      </c>
      <c r="H1186" t="s" s="42">
        <v>30</v>
      </c>
      <c r="I1186" s="42">
        <v>71.29</v>
      </c>
      <c r="J1186" t="s" s="10">
        <v>6201</v>
      </c>
      <c r="K1186" t="s" s="10">
        <v>6202</v>
      </c>
      <c r="L1186" s="16">
        <f>HYPERLINK("http://www.shieldpay.com", "www.shieldpay.com")</f>
      </c>
      <c r="M1186" s="16">
        <f>HYPERLINK("https://my.pitchbook.com?c=172620-91", "View Company Online")</f>
      </c>
    </row>
    <row r="1187">
      <c r="A1187" t="s" s="11">
        <v>6204</v>
      </c>
      <c r="B1187" t="s" s="11">
        <v>6205</v>
      </c>
      <c r="C1187" t="s" s="11">
        <v>37</v>
      </c>
      <c r="D1187" t="s" s="11">
        <v>38</v>
      </c>
      <c r="E1187" t="s" s="11">
        <v>137</v>
      </c>
      <c r="F1187" s="28">
        <v>45752</v>
      </c>
      <c r="G1187" t="s" s="11">
        <v>40</v>
      </c>
      <c r="H1187" s="43">
        <v>75.89</v>
      </c>
      <c r="I1187" s="43">
        <v>71.11</v>
      </c>
      <c r="J1187" t="s" s="11">
        <v>6206</v>
      </c>
      <c r="K1187" t="s" s="11">
        <v>6207</v>
      </c>
      <c r="L1187" s="17">
        <f>HYPERLINK("http://www.jai-kisan.com", "www.jai-kisan.com")</f>
      </c>
      <c r="M1187" s="17">
        <f>HYPERLINK("https://my.pitchbook.com?c=266140-18", "View Company Online")</f>
      </c>
    </row>
    <row r="1188">
      <c r="A1188" t="s" s="10">
        <v>6209</v>
      </c>
      <c r="B1188" t="s" s="10">
        <v>6210</v>
      </c>
      <c r="C1188" t="s" s="10">
        <v>37</v>
      </c>
      <c r="D1188" t="s" s="10">
        <v>304</v>
      </c>
      <c r="E1188" t="s" s="10">
        <v>253</v>
      </c>
      <c r="F1188" s="27">
        <v>45771</v>
      </c>
      <c r="G1188" t="s" s="10">
        <v>146</v>
      </c>
      <c r="H1188" s="42">
        <v>16.6</v>
      </c>
      <c r="I1188" s="42">
        <v>71.1</v>
      </c>
      <c r="J1188" t="s" s="10">
        <v>6211</v>
      </c>
      <c r="K1188" t="s" s="10">
        <v>6212</v>
      </c>
      <c r="L1188" s="16">
        <f>HYPERLINK("http://affiniti.com", "affiniti.com")</f>
      </c>
      <c r="M1188" s="16">
        <f>HYPERLINK("https://my.pitchbook.com?c=515995-30", "View Company Online")</f>
      </c>
    </row>
    <row r="1189">
      <c r="A1189" t="s" s="11">
        <v>6214</v>
      </c>
      <c r="B1189" t="s" s="11">
        <v>6215</v>
      </c>
      <c r="C1189" t="s" s="11">
        <v>27</v>
      </c>
      <c r="D1189" t="s" s="11">
        <v>28</v>
      </c>
      <c r="E1189" t="s" s="11">
        <v>759</v>
      </c>
      <c r="F1189" s="28">
        <v>46245</v>
      </c>
      <c r="G1189" t="s" s="11">
        <v>391</v>
      </c>
      <c r="H1189" t="s" s="43">
        <v>30</v>
      </c>
      <c r="I1189" s="43">
        <v>71</v>
      </c>
      <c r="J1189" t="s" s="11">
        <v>6216</v>
      </c>
      <c r="K1189" t="s" s="11">
        <v>30</v>
      </c>
      <c r="L1189" s="17">
        <f>HYPERLINK("http://www.ansa.dev", "www.ansa.dev")</f>
      </c>
      <c r="M1189" s="17">
        <f>HYPERLINK("https://my.pitchbook.com?c=493530-49", "View Company Online")</f>
      </c>
    </row>
    <row r="1190">
      <c r="A1190" t="s" s="10">
        <v>6218</v>
      </c>
      <c r="B1190" t="s" s="10">
        <v>6219</v>
      </c>
      <c r="C1190" t="s" s="10">
        <v>46</v>
      </c>
      <c r="D1190" t="s" s="10">
        <v>47</v>
      </c>
      <c r="E1190" t="s" s="10">
        <v>108</v>
      </c>
      <c r="F1190" s="27">
        <v>46245</v>
      </c>
      <c r="G1190" t="s" s="10">
        <v>146</v>
      </c>
      <c r="H1190" s="42">
        <v>17</v>
      </c>
      <c r="I1190" s="42">
        <v>71</v>
      </c>
      <c r="J1190" t="s" s="10">
        <v>6220</v>
      </c>
      <c r="K1190" t="s" s="10">
        <v>6221</v>
      </c>
      <c r="L1190" s="16">
        <f>HYPERLINK("http://www.fazeshift.com", "www.fazeshift.com")</f>
      </c>
      <c r="M1190" s="16">
        <f>HYPERLINK("https://my.pitchbook.com?c=499877-74", "View Company Online")</f>
      </c>
    </row>
    <row r="1191">
      <c r="A1191" t="s" s="11">
        <v>6223</v>
      </c>
      <c r="B1191" t="s" s="11">
        <v>6224</v>
      </c>
      <c r="C1191" t="s" s="11">
        <v>46</v>
      </c>
      <c r="D1191" t="s" s="11">
        <v>47</v>
      </c>
      <c r="E1191" t="s" s="11">
        <v>253</v>
      </c>
      <c r="F1191" s="28">
        <v>45917</v>
      </c>
      <c r="G1191" t="s" s="11">
        <v>146</v>
      </c>
      <c r="H1191" s="43">
        <v>0.5</v>
      </c>
      <c r="I1191" s="43">
        <v>71</v>
      </c>
      <c r="J1191" t="s" s="11">
        <v>6225</v>
      </c>
      <c r="K1191" t="s" s="11">
        <v>6226</v>
      </c>
      <c r="L1191" s="17">
        <f>HYPERLINK("http://www.joinmesa.com", "www.joinmesa.com")</f>
      </c>
      <c r="M1191" s="17">
        <f>HYPERLINK("https://my.pitchbook.com?c=521435-17", "View Company Online")</f>
      </c>
    </row>
    <row r="1192">
      <c r="A1192" t="s" s="10">
        <v>6228</v>
      </c>
      <c r="B1192" t="s" s="10">
        <v>6229</v>
      </c>
      <c r="C1192" t="s" s="10">
        <v>60</v>
      </c>
      <c r="D1192" t="s" s="10">
        <v>246</v>
      </c>
      <c r="E1192" t="s" s="10">
        <v>137</v>
      </c>
      <c r="F1192" s="27">
        <v>44768</v>
      </c>
      <c r="G1192" t="s" s="10">
        <v>40</v>
      </c>
      <c r="H1192" t="s" s="42">
        <v>30</v>
      </c>
      <c r="I1192" s="42">
        <v>70.57</v>
      </c>
      <c r="J1192" t="s" s="10">
        <v>6230</v>
      </c>
      <c r="K1192" t="s" s="10">
        <v>6231</v>
      </c>
      <c r="L1192" s="16">
        <f>HYPERLINK("http://www.yingmi.cn", "www.yingmi.cn")</f>
      </c>
      <c r="M1192" s="16">
        <f>HYPERLINK("https://my.pitchbook.com?c=436576-51", "View Company Online")</f>
      </c>
    </row>
    <row r="1193">
      <c r="A1193" t="s" s="11">
        <v>6233</v>
      </c>
      <c r="B1193" t="s" s="11">
        <v>6234</v>
      </c>
      <c r="C1193" t="s" s="11">
        <v>60</v>
      </c>
      <c r="D1193" t="s" s="11">
        <v>61</v>
      </c>
      <c r="E1193" t="s" s="11">
        <v>270</v>
      </c>
      <c r="F1193" s="28">
        <v>45688</v>
      </c>
      <c r="G1193" t="s" s="11">
        <v>40</v>
      </c>
      <c r="H1193" s="43">
        <v>13.58</v>
      </c>
      <c r="I1193" s="43">
        <v>70.4</v>
      </c>
      <c r="J1193" t="s" s="11">
        <v>6235</v>
      </c>
      <c r="K1193" t="s" s="11">
        <v>6236</v>
      </c>
      <c r="L1193" s="17">
        <f>HYPERLINK("http://www.investengine.com", "www.investengine.com")</f>
      </c>
      <c r="M1193" s="17">
        <f>HYPERLINK("https://my.pitchbook.com?c=494435-62", "View Company Online")</f>
      </c>
    </row>
    <row r="1194">
      <c r="A1194" t="s" s="10">
        <v>6238</v>
      </c>
      <c r="B1194" t="s" s="10">
        <v>6239</v>
      </c>
      <c r="C1194" t="s" s="10">
        <v>114</v>
      </c>
      <c r="D1194" t="s" s="10">
        <v>870</v>
      </c>
      <c r="E1194" t="s" s="10">
        <v>6240</v>
      </c>
      <c r="F1194" s="27">
        <v>45461</v>
      </c>
      <c r="G1194" t="s" s="10">
        <v>5274</v>
      </c>
      <c r="H1194" t="s" s="42">
        <v>30</v>
      </c>
      <c r="I1194" s="42">
        <v>70.24</v>
      </c>
      <c r="J1194" t="s" s="10">
        <v>6241</v>
      </c>
      <c r="K1194" t="s" s="10">
        <v>6242</v>
      </c>
      <c r="L1194" s="16">
        <f>HYPERLINK("http://www.leo1.in", "www.leo1.in")</f>
      </c>
      <c r="M1194" s="16">
        <f>HYPERLINK("https://my.pitchbook.com?c=279391-69", "View Company Online")</f>
      </c>
    </row>
    <row r="1195">
      <c r="A1195" t="s" s="11">
        <v>6244</v>
      </c>
      <c r="B1195" t="s" s="11">
        <v>6245</v>
      </c>
      <c r="C1195" t="s" s="11">
        <v>46</v>
      </c>
      <c r="D1195" t="s" s="11">
        <v>397</v>
      </c>
      <c r="E1195" t="s" s="11">
        <v>29</v>
      </c>
      <c r="F1195" s="28">
        <v>46023</v>
      </c>
      <c r="G1195" t="s" s="11">
        <v>607</v>
      </c>
      <c r="H1195" s="43">
        <v>0.03</v>
      </c>
      <c r="I1195" s="43">
        <v>70</v>
      </c>
      <c r="J1195" t="s" s="11">
        <v>6246</v>
      </c>
      <c r="K1195" t="s" s="11">
        <v>6247</v>
      </c>
      <c r="L1195" s="17">
        <f>HYPERLINK("http://www.adaptive.build", "www.adaptive.build")</f>
      </c>
      <c r="M1195" s="17">
        <f>HYPERLINK("https://my.pitchbook.com?c=494246-62", "View Company Online")</f>
      </c>
    </row>
    <row r="1196">
      <c r="A1196" t="s" s="10">
        <v>6249</v>
      </c>
      <c r="B1196" t="s" s="10">
        <v>6250</v>
      </c>
      <c r="C1196" t="s" s="10">
        <v>27</v>
      </c>
      <c r="D1196" t="s" s="10">
        <v>28</v>
      </c>
      <c r="E1196" t="s" s="10">
        <v>2695</v>
      </c>
      <c r="F1196" s="27">
        <v>45643</v>
      </c>
      <c r="G1196" t="s" s="10">
        <v>146</v>
      </c>
      <c r="H1196" s="42">
        <v>19</v>
      </c>
      <c r="I1196" s="42">
        <v>70</v>
      </c>
      <c r="J1196" t="s" s="10">
        <v>6251</v>
      </c>
      <c r="K1196" t="s" s="10">
        <v>6252</v>
      </c>
      <c r="L1196" s="16">
        <f>HYPERLINK("http://www.anatomy.com", "www.anatomy.com")</f>
      </c>
      <c r="M1196" s="16">
        <f>HYPERLINK("https://my.pitchbook.com?c=533354-14", "View Company Online")</f>
      </c>
    </row>
    <row r="1197">
      <c r="A1197" t="s" s="11">
        <v>6254</v>
      </c>
      <c r="B1197" t="s" s="11">
        <v>6255</v>
      </c>
      <c r="C1197" t="s" s="11">
        <v>60</v>
      </c>
      <c r="D1197" t="s" s="11">
        <v>432</v>
      </c>
      <c r="E1197" t="s" s="11">
        <v>634</v>
      </c>
      <c r="F1197" s="28">
        <v>45379</v>
      </c>
      <c r="G1197" t="s" s="11">
        <v>4267</v>
      </c>
      <c r="H1197" s="43">
        <v>10</v>
      </c>
      <c r="I1197" s="43">
        <v>70</v>
      </c>
      <c r="J1197" t="s" s="11">
        <v>6256</v>
      </c>
      <c r="K1197" t="s" s="11">
        <v>6257</v>
      </c>
      <c r="L1197" s="17">
        <f>HYPERLINK("http://www.copiawealthstudios.com", "www.copiawealthstudios.com")</f>
      </c>
      <c r="M1197" s="17">
        <f>HYPERLINK("https://my.pitchbook.com?c=496519-57", "View Company Online")</f>
      </c>
    </row>
    <row r="1198">
      <c r="A1198" t="s" s="10">
        <v>6259</v>
      </c>
      <c r="B1198" t="s" s="10">
        <v>6260</v>
      </c>
      <c r="C1198" t="s" s="10">
        <v>46</v>
      </c>
      <c r="D1198" t="s" s="10">
        <v>47</v>
      </c>
      <c r="E1198" t="s" s="10">
        <v>373</v>
      </c>
      <c r="F1198" s="27">
        <v>45895</v>
      </c>
      <c r="G1198" t="s" s="10">
        <v>6261</v>
      </c>
      <c r="H1198" s="42">
        <v>115</v>
      </c>
      <c r="I1198" s="42">
        <v>70</v>
      </c>
      <c r="J1198" t="s" s="10">
        <v>6262</v>
      </c>
      <c r="K1198" t="s" s="10">
        <v>6263</v>
      </c>
      <c r="L1198" s="16">
        <f>HYPERLINK("http://www.eltropy.com", "www.eltropy.com")</f>
      </c>
      <c r="M1198" s="16">
        <f>HYPERLINK("https://my.pitchbook.com?c=151068-34", "View Company Online")</f>
      </c>
    </row>
    <row r="1199">
      <c r="A1199" t="s" s="11">
        <v>6265</v>
      </c>
      <c r="B1199" t="s" s="11">
        <v>6266</v>
      </c>
      <c r="C1199" t="s" s="11">
        <v>27</v>
      </c>
      <c r="D1199" t="s" s="11">
        <v>122</v>
      </c>
      <c r="E1199" t="s" s="11">
        <v>3825</v>
      </c>
      <c r="F1199" t="s" s="28">
        <v>30</v>
      </c>
      <c r="G1199" t="s" s="11">
        <v>607</v>
      </c>
      <c r="H1199" t="s" s="43">
        <v>30</v>
      </c>
      <c r="I1199" s="43">
        <v>70</v>
      </c>
      <c r="J1199" t="s" s="11">
        <v>6267</v>
      </c>
      <c r="K1199" t="s" s="11">
        <v>6268</v>
      </c>
      <c r="L1199" s="17">
        <f>HYPERLINK("http://www.emtech.com", "www.emtech.com")</f>
      </c>
      <c r="M1199" s="17">
        <f>HYPERLINK("https://my.pitchbook.com?c=458627-59", "View Company Online")</f>
      </c>
    </row>
    <row r="1200">
      <c r="A1200" t="s" s="10">
        <v>6270</v>
      </c>
      <c r="B1200" t="s" s="10">
        <v>6271</v>
      </c>
      <c r="C1200" t="s" s="10">
        <v>164</v>
      </c>
      <c r="D1200" t="s" s="10">
        <v>206</v>
      </c>
      <c r="E1200" t="s" s="10">
        <v>137</v>
      </c>
      <c r="F1200" s="27">
        <v>45434</v>
      </c>
      <c r="G1200" t="s" s="10">
        <v>607</v>
      </c>
      <c r="H1200" t="s" s="42">
        <v>30</v>
      </c>
      <c r="I1200" s="42">
        <v>70</v>
      </c>
      <c r="J1200" t="s" s="10">
        <v>6272</v>
      </c>
      <c r="K1200" t="s" s="10">
        <v>6273</v>
      </c>
      <c r="L1200" s="16">
        <f>HYPERLINK("http://www.highline.co", "www.highline.co")</f>
      </c>
      <c r="M1200" s="16">
        <f>HYPERLINK("https://my.pitchbook.com?c=482742-73", "View Company Online")</f>
      </c>
    </row>
    <row r="1201">
      <c r="A1201" t="s" s="11">
        <v>6275</v>
      </c>
      <c r="B1201" t="s" s="11">
        <v>6276</v>
      </c>
      <c r="C1201" t="s" s="11">
        <v>114</v>
      </c>
      <c r="D1201" t="s" s="11">
        <v>1386</v>
      </c>
      <c r="E1201" t="s" s="11">
        <v>193</v>
      </c>
      <c r="F1201" s="28">
        <v>45868</v>
      </c>
      <c r="G1201" t="s" s="11">
        <v>40</v>
      </c>
      <c r="H1201" s="43">
        <v>11.5</v>
      </c>
      <c r="I1201" s="43">
        <v>70</v>
      </c>
      <c r="J1201" t="s" s="11">
        <v>6277</v>
      </c>
      <c r="K1201" t="s" s="11">
        <v>6278</v>
      </c>
      <c r="L1201" s="17">
        <f>HYPERLINK("http://www.juvo.com", "www.juvo.com")</f>
      </c>
      <c r="M1201" s="17">
        <f>HYPERLINK("https://my.pitchbook.com?c=117083-26", "View Company Online")</f>
      </c>
    </row>
    <row r="1202">
      <c r="A1202" t="s" s="10">
        <v>6280</v>
      </c>
      <c r="B1202" t="s" s="10">
        <v>6281</v>
      </c>
      <c r="C1202" t="s" s="10">
        <v>60</v>
      </c>
      <c r="D1202" t="s" s="10">
        <v>727</v>
      </c>
      <c r="E1202" t="s" s="10">
        <v>2782</v>
      </c>
      <c r="F1202" s="27">
        <v>46000</v>
      </c>
      <c r="G1202" t="s" s="10">
        <v>40</v>
      </c>
      <c r="H1202" s="42">
        <v>10</v>
      </c>
      <c r="I1202" s="42">
        <v>70</v>
      </c>
      <c r="J1202" t="s" s="10">
        <v>6282</v>
      </c>
      <c r="K1202" t="s" s="10">
        <v>6283</v>
      </c>
      <c r="L1202" s="16">
        <f>HYPERLINK("http://www.realvantage.co", "www.realvantage.co")</f>
      </c>
      <c r="M1202" s="16">
        <f>HYPERLINK("https://my.pitchbook.com?c=463172-05", "View Company Online")</f>
      </c>
    </row>
    <row r="1203">
      <c r="A1203" t="s" s="11">
        <v>6285</v>
      </c>
      <c r="B1203" t="s" s="11">
        <v>6286</v>
      </c>
      <c r="C1203" t="s" s="11">
        <v>46</v>
      </c>
      <c r="D1203" t="s" s="11">
        <v>78</v>
      </c>
      <c r="E1203" t="s" s="11">
        <v>116</v>
      </c>
      <c r="F1203" s="28">
        <v>46162</v>
      </c>
      <c r="G1203" t="s" s="11">
        <v>2051</v>
      </c>
      <c r="H1203" t="s" s="43">
        <v>30</v>
      </c>
      <c r="I1203" s="43">
        <v>70</v>
      </c>
      <c r="J1203" t="s" s="11">
        <v>6287</v>
      </c>
      <c r="K1203" t="s" s="11">
        <v>30</v>
      </c>
      <c r="L1203" s="17">
        <f>HYPERLINK("http://www.getsorbet.com", "www.getsorbet.com")</f>
      </c>
      <c r="M1203" s="17">
        <f>HYPERLINK("https://my.pitchbook.com?c=443266-75", "View Company Online")</f>
      </c>
    </row>
    <row r="1204">
      <c r="A1204" t="s" s="10">
        <v>6289</v>
      </c>
      <c r="B1204" t="s" s="10">
        <v>6290</v>
      </c>
      <c r="C1204" t="s" s="10">
        <v>114</v>
      </c>
      <c r="D1204" t="s" s="10">
        <v>136</v>
      </c>
      <c r="E1204" t="s" s="10">
        <v>6291</v>
      </c>
      <c r="F1204" s="27">
        <v>46143</v>
      </c>
      <c r="G1204" t="s" s="10">
        <v>40</v>
      </c>
      <c r="H1204" t="s" s="42">
        <v>30</v>
      </c>
      <c r="I1204" s="42">
        <v>70</v>
      </c>
      <c r="J1204" t="s" s="10">
        <v>6292</v>
      </c>
      <c r="K1204" t="s" s="10">
        <v>6293</v>
      </c>
      <c r="L1204" s="16">
        <f>HYPERLINK("http://www.traive.com.br", "www.traive.com.br")</f>
      </c>
      <c r="M1204" s="16">
        <f>HYPERLINK("https://my.pitchbook.com?c=232067-98", "View Company Online")</f>
      </c>
    </row>
    <row r="1205">
      <c r="A1205" t="s" s="11">
        <v>6295</v>
      </c>
      <c r="B1205" t="s" s="11">
        <v>6296</v>
      </c>
      <c r="C1205" t="s" s="11">
        <v>172</v>
      </c>
      <c r="D1205" t="s" s="11">
        <v>173</v>
      </c>
      <c r="E1205" t="s" s="11">
        <v>373</v>
      </c>
      <c r="F1205" s="28">
        <v>45525</v>
      </c>
      <c r="G1205" t="s" s="11">
        <v>146</v>
      </c>
      <c r="H1205" s="43">
        <v>13</v>
      </c>
      <c r="I1205" s="43">
        <v>70</v>
      </c>
      <c r="J1205" t="s" s="11">
        <v>6297</v>
      </c>
      <c r="K1205" t="s" s="11">
        <v>6298</v>
      </c>
      <c r="L1205" s="17">
        <f>HYPERLINK("http://twodots.com", "twodots.com")</f>
      </c>
      <c r="M1205" s="17">
        <f>HYPERLINK("https://my.pitchbook.com?c=498043-99", "View Company Online")</f>
      </c>
    </row>
    <row r="1206">
      <c r="A1206" t="s" s="10">
        <v>6300</v>
      </c>
      <c r="B1206" t="s" s="10">
        <v>6301</v>
      </c>
      <c r="C1206" t="s" s="10">
        <v>222</v>
      </c>
      <c r="D1206" t="s" s="10">
        <v>235</v>
      </c>
      <c r="E1206" t="s" s="10">
        <v>859</v>
      </c>
      <c r="F1206" t="s" s="27">
        <v>30</v>
      </c>
      <c r="G1206" t="s" s="10">
        <v>146</v>
      </c>
      <c r="H1206" t="s" s="42">
        <v>30</v>
      </c>
      <c r="I1206" s="42">
        <v>69.84</v>
      </c>
      <c r="J1206" t="s" s="10">
        <v>6302</v>
      </c>
      <c r="K1206" t="s" s="10">
        <v>6303</v>
      </c>
      <c r="L1206" s="16">
        <f>HYPERLINK("http://www.penguinsecurities.sg", "www.penguinsecurities.sg")</f>
      </c>
      <c r="M1206" s="16">
        <f>HYPERLINK("https://my.pitchbook.com?c=591529-33", "View Company Online")</f>
      </c>
    </row>
    <row r="1207">
      <c r="A1207" t="s" s="11">
        <v>6305</v>
      </c>
      <c r="B1207" t="s" s="11">
        <v>6306</v>
      </c>
      <c r="C1207" t="s" s="11">
        <v>114</v>
      </c>
      <c r="D1207" t="s" s="11">
        <v>115</v>
      </c>
      <c r="E1207" t="s" s="11">
        <v>3433</v>
      </c>
      <c r="F1207" s="28">
        <v>46197</v>
      </c>
      <c r="G1207" t="s" s="11">
        <v>146</v>
      </c>
      <c r="H1207" s="43">
        <v>8.4</v>
      </c>
      <c r="I1207" s="43">
        <v>69.8</v>
      </c>
      <c r="J1207" t="s" s="11">
        <v>6307</v>
      </c>
      <c r="K1207" t="s" s="11">
        <v>6308</v>
      </c>
      <c r="L1207" s="17">
        <f>HYPERLINK("http://www.ambak.com", "www.ambak.com")</f>
      </c>
      <c r="M1207" s="17">
        <f>HYPERLINK("https://my.pitchbook.com?c=607977-01", "View Company Online")</f>
      </c>
    </row>
    <row r="1208">
      <c r="A1208" t="s" s="10">
        <v>6310</v>
      </c>
      <c r="B1208" t="s" s="10">
        <v>6311</v>
      </c>
      <c r="C1208" t="s" s="10">
        <v>164</v>
      </c>
      <c r="D1208" t="s" s="10">
        <v>206</v>
      </c>
      <c r="E1208" t="s" s="10">
        <v>259</v>
      </c>
      <c r="F1208" s="27">
        <v>46058</v>
      </c>
      <c r="G1208" t="s" s="10">
        <v>40</v>
      </c>
      <c r="H1208" s="42">
        <v>10</v>
      </c>
      <c r="I1208" s="42">
        <v>69.6</v>
      </c>
      <c r="J1208" t="s" s="10">
        <v>6312</v>
      </c>
      <c r="K1208" t="s" s="10">
        <v>6313</v>
      </c>
      <c r="L1208" s="16">
        <f>HYPERLINK("http://www.apexx.global", "www.apexx.global")</f>
      </c>
      <c r="M1208" s="16">
        <f>HYPERLINK("https://my.pitchbook.com?c=222621-40", "View Company Online")</f>
      </c>
    </row>
    <row r="1209">
      <c r="A1209" t="s" s="11">
        <v>6315</v>
      </c>
      <c r="B1209" t="s" s="11">
        <v>6316</v>
      </c>
      <c r="C1209" t="s" s="11">
        <v>128</v>
      </c>
      <c r="D1209" t="s" s="11">
        <v>199</v>
      </c>
      <c r="E1209" t="s" s="11">
        <v>6317</v>
      </c>
      <c r="F1209" s="28">
        <v>46204</v>
      </c>
      <c r="G1209" t="s" s="11">
        <v>31</v>
      </c>
      <c r="H1209" s="43">
        <v>970</v>
      </c>
      <c r="I1209" s="43">
        <v>69.32</v>
      </c>
      <c r="J1209" t="s" s="11">
        <v>6318</v>
      </c>
      <c r="K1209" t="s" s="11">
        <v>6319</v>
      </c>
      <c r="L1209" s="17">
        <f>HYPERLINK("http://www.inkind.com", "www.inkind.com")</f>
      </c>
      <c r="M1209" s="17">
        <f>HYPERLINK("https://my.pitchbook.com?c=98979-85", "View Company Online")</f>
      </c>
    </row>
    <row r="1210">
      <c r="A1210" t="s" s="10">
        <v>6321</v>
      </c>
      <c r="B1210" t="s" s="10">
        <v>6322</v>
      </c>
      <c r="C1210" t="s" s="10">
        <v>164</v>
      </c>
      <c r="D1210" t="s" s="10">
        <v>206</v>
      </c>
      <c r="E1210" t="s" s="10">
        <v>623</v>
      </c>
      <c r="F1210" s="27">
        <v>44927</v>
      </c>
      <c r="G1210" t="s" s="10">
        <v>607</v>
      </c>
      <c r="H1210" t="s" s="42">
        <v>30</v>
      </c>
      <c r="I1210" s="42">
        <v>69.01</v>
      </c>
      <c r="J1210" t="s" s="10">
        <v>6323</v>
      </c>
      <c r="K1210" t="s" s="10">
        <v>6324</v>
      </c>
      <c r="L1210" s="16">
        <f>HYPERLINK("http://www.brankas.com", "www.brankas.com")</f>
      </c>
      <c r="M1210" s="16">
        <f>HYPERLINK("https://my.pitchbook.com?c=223003-81", "View Company Online")</f>
      </c>
    </row>
    <row r="1211">
      <c r="A1211" t="s" s="11">
        <v>6326</v>
      </c>
      <c r="B1211" t="s" s="11">
        <v>6327</v>
      </c>
      <c r="C1211" t="s" s="11">
        <v>128</v>
      </c>
      <c r="D1211" t="s" s="11">
        <v>276</v>
      </c>
      <c r="E1211" t="s" s="11">
        <v>62</v>
      </c>
      <c r="F1211" s="28">
        <v>46023</v>
      </c>
      <c r="G1211" t="s" s="11">
        <v>40</v>
      </c>
      <c r="H1211" t="s" s="43">
        <v>30</v>
      </c>
      <c r="I1211" s="43">
        <v>69</v>
      </c>
      <c r="J1211" t="s" s="11">
        <v>6328</v>
      </c>
      <c r="K1211" t="s" s="11">
        <v>6329</v>
      </c>
      <c r="L1211" s="17">
        <f>HYPERLINK("http://www.libertyx.com", "www.libertyx.com")</f>
      </c>
      <c r="M1211" s="17">
        <f>HYPERLINK("https://my.pitchbook.com?c=108438-94", "View Company Online")</f>
      </c>
    </row>
    <row r="1212">
      <c r="A1212" t="s" s="10">
        <v>6331</v>
      </c>
      <c r="B1212" t="s" s="10">
        <v>6332</v>
      </c>
      <c r="C1212" t="s" s="10">
        <v>60</v>
      </c>
      <c r="D1212" t="s" s="10">
        <v>420</v>
      </c>
      <c r="E1212" t="s" s="10">
        <v>270</v>
      </c>
      <c r="F1212" s="27">
        <v>45729</v>
      </c>
      <c r="G1212" t="s" s="10">
        <v>40</v>
      </c>
      <c r="H1212" s="42">
        <v>4.94</v>
      </c>
      <c r="I1212" s="42">
        <v>68.97</v>
      </c>
      <c r="J1212" t="s" s="10">
        <v>6333</v>
      </c>
      <c r="K1212" t="s" s="10">
        <v>6334</v>
      </c>
      <c r="L1212" s="16">
        <f>HYPERLINK("http://www.getpenfold.com", "www.getpenfold.com")</f>
      </c>
      <c r="M1212" s="16">
        <f>HYPERLINK("https://my.pitchbook.com?c=279656-74", "View Company Online")</f>
      </c>
    </row>
    <row r="1213">
      <c r="A1213" t="s" s="11">
        <v>6336</v>
      </c>
      <c r="B1213" t="s" s="11">
        <v>6337</v>
      </c>
      <c r="C1213" t="s" s="11">
        <v>144</v>
      </c>
      <c r="D1213" t="s" s="11">
        <v>297</v>
      </c>
      <c r="E1213" t="s" s="11">
        <v>259</v>
      </c>
      <c r="F1213" s="28">
        <v>45797</v>
      </c>
      <c r="G1213" t="s" s="11">
        <v>40</v>
      </c>
      <c r="H1213" s="43">
        <v>5.65</v>
      </c>
      <c r="I1213" s="43">
        <v>68.87</v>
      </c>
      <c r="J1213" t="s" s="11">
        <v>6338</v>
      </c>
      <c r="K1213" t="s" s="11">
        <v>6339</v>
      </c>
      <c r="L1213" s="17">
        <f>HYPERLINK("http://www.treyd.io", "www.treyd.io")</f>
      </c>
      <c r="M1213" s="17">
        <f>HYPERLINK("https://my.pitchbook.com?c=432450-19", "View Company Online")</f>
      </c>
    </row>
    <row r="1214">
      <c r="A1214" t="s" s="10">
        <v>6341</v>
      </c>
      <c r="B1214" t="s" s="10">
        <v>6342</v>
      </c>
      <c r="C1214" t="s" s="10">
        <v>164</v>
      </c>
      <c r="D1214" t="s" s="10">
        <v>206</v>
      </c>
      <c r="E1214" t="s" s="10">
        <v>373</v>
      </c>
      <c r="F1214" s="27">
        <v>45643</v>
      </c>
      <c r="G1214" t="s" s="10">
        <v>4267</v>
      </c>
      <c r="H1214" s="42">
        <v>3.5</v>
      </c>
      <c r="I1214" s="42">
        <v>68.5</v>
      </c>
      <c r="J1214" t="s" s="10">
        <v>6343</v>
      </c>
      <c r="K1214" t="s" s="10">
        <v>6344</v>
      </c>
      <c r="L1214" s="16">
        <f>HYPERLINK("http://www.leapfinancial.com", "www.leapfinancial.com")</f>
      </c>
      <c r="M1214" s="16">
        <f>HYPERLINK("https://my.pitchbook.com?c=520606-36", "View Company Online")</f>
      </c>
    </row>
    <row r="1215">
      <c r="A1215" t="s" s="11">
        <v>6346</v>
      </c>
      <c r="B1215" t="s" s="11">
        <v>6347</v>
      </c>
      <c r="C1215" t="s" s="11">
        <v>222</v>
      </c>
      <c r="D1215" t="s" s="11">
        <v>537</v>
      </c>
      <c r="E1215" t="s" s="11">
        <v>414</v>
      </c>
      <c r="F1215" s="28">
        <v>46174</v>
      </c>
      <c r="G1215" t="s" s="11">
        <v>40</v>
      </c>
      <c r="H1215" s="43">
        <v>11.4</v>
      </c>
      <c r="I1215" s="43">
        <v>68.5</v>
      </c>
      <c r="J1215" t="s" s="11">
        <v>6348</v>
      </c>
      <c r="K1215" t="s" s="11">
        <v>6349</v>
      </c>
      <c r="L1215" s="17">
        <f>HYPERLINK("http://www.prooftrading.com", "www.prooftrading.com")</f>
      </c>
      <c r="M1215" s="17">
        <f>HYPERLINK("https://my.pitchbook.com?c=279548-38", "View Company Online")</f>
      </c>
    </row>
    <row r="1216">
      <c r="A1216" t="s" s="10">
        <v>6351</v>
      </c>
      <c r="B1216" t="s" s="10">
        <v>6352</v>
      </c>
      <c r="C1216" t="s" s="10">
        <v>114</v>
      </c>
      <c r="D1216" t="s" s="10">
        <v>852</v>
      </c>
      <c r="E1216" t="s" s="10">
        <v>137</v>
      </c>
      <c r="F1216" t="s" s="27">
        <v>30</v>
      </c>
      <c r="G1216" t="s" s="10">
        <v>40</v>
      </c>
      <c r="H1216" t="s" s="42">
        <v>30</v>
      </c>
      <c r="I1216" s="42">
        <v>68.27</v>
      </c>
      <c r="J1216" t="s" s="10">
        <v>6353</v>
      </c>
      <c r="K1216" t="s" s="10">
        <v>6354</v>
      </c>
      <c r="L1216" s="16">
        <f>HYPERLINK("http://www.electronicafinance.com", "www.electronicafinance.com")</f>
      </c>
      <c r="M1216" s="16">
        <f>HYPERLINK("https://my.pitchbook.com?c=221959-90", "View Company Online")</f>
      </c>
    </row>
    <row r="1217">
      <c r="A1217" t="s" s="11">
        <v>6356</v>
      </c>
      <c r="B1217" t="s" s="11">
        <v>6357</v>
      </c>
      <c r="C1217" t="s" s="11">
        <v>114</v>
      </c>
      <c r="D1217" t="s" s="11">
        <v>136</v>
      </c>
      <c r="E1217" t="s" s="11">
        <v>759</v>
      </c>
      <c r="F1217" s="28">
        <v>45832</v>
      </c>
      <c r="G1217" t="s" s="11">
        <v>31</v>
      </c>
      <c r="H1217" s="43">
        <v>2.38</v>
      </c>
      <c r="I1217" s="43">
        <v>68.13</v>
      </c>
      <c r="J1217" t="s" s="11">
        <v>6358</v>
      </c>
      <c r="K1217" t="s" s="11">
        <v>6359</v>
      </c>
      <c r="L1217" s="17">
        <f>HYPERLINK("http://www.bikebazaar.com", "www.bikebazaar.com")</f>
      </c>
      <c r="M1217" s="17">
        <f>HYPERLINK("https://my.pitchbook.com?c=179341-12", "View Company Online")</f>
      </c>
    </row>
    <row r="1218">
      <c r="A1218" t="s" s="10">
        <v>6361</v>
      </c>
      <c r="B1218" t="s" s="10">
        <v>6362</v>
      </c>
      <c r="C1218" t="s" s="10">
        <v>27</v>
      </c>
      <c r="D1218" t="s" s="10">
        <v>28</v>
      </c>
      <c r="E1218" t="s" s="10">
        <v>259</v>
      </c>
      <c r="F1218" s="27">
        <v>45673</v>
      </c>
      <c r="G1218" t="s" s="10">
        <v>146</v>
      </c>
      <c r="H1218" s="42">
        <v>10.06</v>
      </c>
      <c r="I1218" s="42">
        <v>68.1</v>
      </c>
      <c r="J1218" t="s" s="10">
        <v>6363</v>
      </c>
      <c r="K1218" t="s" s="10">
        <v>6364</v>
      </c>
      <c r="L1218" s="16">
        <f>HYPERLINK("http://www.hyperline.co", "www.hyperline.co")</f>
      </c>
      <c r="M1218" s="16">
        <f>HYPERLINK("https://my.pitchbook.com?c=521726-86", "View Company Online")</f>
      </c>
    </row>
    <row r="1219">
      <c r="A1219" t="s" s="11">
        <v>6366</v>
      </c>
      <c r="B1219" t="s" s="11">
        <v>6367</v>
      </c>
      <c r="C1219" t="s" s="11">
        <v>114</v>
      </c>
      <c r="D1219" t="s" s="11">
        <v>136</v>
      </c>
      <c r="E1219" t="s" s="11">
        <v>759</v>
      </c>
      <c r="F1219" s="28">
        <v>45282</v>
      </c>
      <c r="G1219" t="s" s="11">
        <v>40</v>
      </c>
      <c r="H1219" s="43">
        <v>5.5</v>
      </c>
      <c r="I1219" s="43">
        <v>68.07</v>
      </c>
      <c r="J1219" t="s" s="11">
        <v>6368</v>
      </c>
      <c r="K1219" t="s" s="11">
        <v>6369</v>
      </c>
      <c r="L1219" s="17">
        <f>HYPERLINK("http://www.komunalgroup.com", "www.komunalgroup.com")</f>
      </c>
      <c r="M1219" s="17">
        <f>HYPERLINK("https://my.pitchbook.com?c=343484-47", "View Company Online")</f>
      </c>
    </row>
    <row r="1220">
      <c r="A1220" t="s" s="10">
        <v>6371</v>
      </c>
      <c r="B1220" t="s" s="10">
        <v>6372</v>
      </c>
      <c r="C1220" t="s" s="10">
        <v>222</v>
      </c>
      <c r="D1220" t="s" s="10">
        <v>252</v>
      </c>
      <c r="E1220" t="s" s="10">
        <v>253</v>
      </c>
      <c r="F1220" s="27">
        <v>46133</v>
      </c>
      <c r="G1220" t="s" s="10">
        <v>40</v>
      </c>
      <c r="H1220" t="s" s="42">
        <v>30</v>
      </c>
      <c r="I1220" s="42">
        <v>68.02</v>
      </c>
      <c r="J1220" t="s" s="10">
        <v>6373</v>
      </c>
      <c r="K1220" t="s" s="10">
        <v>6374</v>
      </c>
      <c r="L1220" s="16">
        <f>HYPERLINK("http://www.hqla-x.com", "www.hqla-x.com")</f>
      </c>
      <c r="M1220" s="16">
        <f>HYPERLINK("https://my.pitchbook.com?c=232312-87", "View Company Online")</f>
      </c>
    </row>
    <row r="1221">
      <c r="A1221" t="s" s="11">
        <v>6376</v>
      </c>
      <c r="B1221" t="s" s="11">
        <v>6377</v>
      </c>
      <c r="C1221" t="s" s="11">
        <v>60</v>
      </c>
      <c r="D1221" t="s" s="11">
        <v>246</v>
      </c>
      <c r="E1221" t="s" s="11">
        <v>270</v>
      </c>
      <c r="F1221" t="s" s="28">
        <v>30</v>
      </c>
      <c r="G1221" t="s" s="11">
        <v>607</v>
      </c>
      <c r="H1221" t="s" s="43">
        <v>30</v>
      </c>
      <c r="I1221" s="43">
        <v>68</v>
      </c>
      <c r="J1221" t="s" s="11">
        <v>6378</v>
      </c>
      <c r="K1221" t="s" s="11">
        <v>6379</v>
      </c>
      <c r="L1221" s="17">
        <f>HYPERLINK("http://www.goalsetter.co", "www.goalsetter.co")</f>
      </c>
      <c r="M1221" s="17">
        <f>HYPERLINK("https://my.pitchbook.com?c=226161-19", "View Company Online")</f>
      </c>
    </row>
    <row r="1222">
      <c r="A1222" t="s" s="10">
        <v>6381</v>
      </c>
      <c r="B1222" t="s" s="10">
        <v>6382</v>
      </c>
      <c r="C1222" t="s" s="10">
        <v>46</v>
      </c>
      <c r="D1222" t="s" s="10">
        <v>78</v>
      </c>
      <c r="E1222" t="s" s="10">
        <v>152</v>
      </c>
      <c r="F1222" s="27">
        <v>44679</v>
      </c>
      <c r="G1222" t="s" s="10">
        <v>146</v>
      </c>
      <c r="H1222" s="42">
        <v>18.5</v>
      </c>
      <c r="I1222" s="42">
        <v>68</v>
      </c>
      <c r="J1222" t="s" s="10">
        <v>6383</v>
      </c>
      <c r="K1222" t="s" s="10">
        <v>6384</v>
      </c>
      <c r="L1222" s="16">
        <f>HYPERLINK("http://www.symmetrical.ai", "www.symmetrical.ai")</f>
      </c>
      <c r="M1222" s="16">
        <f>HYPERLINK("https://my.pitchbook.com?c=267757-48", "View Company Online")</f>
      </c>
    </row>
    <row r="1223">
      <c r="A1223" t="s" s="11">
        <v>6386</v>
      </c>
      <c r="B1223" t="s" s="11">
        <v>6387</v>
      </c>
      <c r="C1223" t="s" s="11">
        <v>60</v>
      </c>
      <c r="D1223" t="s" s="11">
        <v>246</v>
      </c>
      <c r="E1223" t="s" s="11">
        <v>193</v>
      </c>
      <c r="F1223" t="s" s="28">
        <v>30</v>
      </c>
      <c r="G1223" t="s" s="11">
        <v>48</v>
      </c>
      <c r="H1223" t="s" s="43">
        <v>30</v>
      </c>
      <c r="I1223" s="43">
        <v>67.88</v>
      </c>
      <c r="J1223" t="s" s="11">
        <v>6388</v>
      </c>
      <c r="K1223" t="s" s="11">
        <v>6389</v>
      </c>
      <c r="L1223" s="17">
        <f>HYPERLINK("http://altro.vercel.app", "altro.vercel.app")</f>
      </c>
      <c r="M1223" s="17">
        <f>HYPERLINK("https://my.pitchbook.com?c=439434-55", "View Company Online")</f>
      </c>
    </row>
    <row r="1224">
      <c r="A1224" t="s" s="10">
        <v>6391</v>
      </c>
      <c r="B1224" t="s" s="10">
        <v>6392</v>
      </c>
      <c r="C1224" t="s" s="10">
        <v>172</v>
      </c>
      <c r="D1224" t="s" s="10">
        <v>1454</v>
      </c>
      <c r="E1224" t="s" s="10">
        <v>1826</v>
      </c>
      <c r="F1224" s="27">
        <v>43892</v>
      </c>
      <c r="G1224" t="s" s="10">
        <v>146</v>
      </c>
      <c r="H1224" s="42">
        <v>14.29</v>
      </c>
      <c r="I1224" s="42">
        <v>67.66</v>
      </c>
      <c r="J1224" t="s" s="10">
        <v>6393</v>
      </c>
      <c r="K1224" t="s" s="10">
        <v>6394</v>
      </c>
      <c r="L1224" s="16">
        <f>HYPERLINK("http://www.knowlegene.com", "www.knowlegene.com")</f>
      </c>
      <c r="M1224" s="16">
        <f>HYPERLINK("https://my.pitchbook.com?c=184286-26", "View Company Online")</f>
      </c>
    </row>
    <row r="1225">
      <c r="A1225" t="s" s="11">
        <v>6396</v>
      </c>
      <c r="B1225" t="s" s="11">
        <v>6397</v>
      </c>
      <c r="C1225" t="s" s="11">
        <v>27</v>
      </c>
      <c r="D1225" t="s" s="11">
        <v>28</v>
      </c>
      <c r="E1225" t="s" s="11">
        <v>6398</v>
      </c>
      <c r="F1225" s="28">
        <v>44715</v>
      </c>
      <c r="G1225" t="s" s="11">
        <v>40</v>
      </c>
      <c r="H1225" s="43">
        <v>2.65</v>
      </c>
      <c r="I1225" s="43">
        <v>67.65</v>
      </c>
      <c r="J1225" t="s" s="11">
        <v>6399</v>
      </c>
      <c r="K1225" t="s" s="11">
        <v>6400</v>
      </c>
      <c r="L1225" s="17">
        <f>HYPERLINK("http://www.swipesum.com", "www.swipesum.com")</f>
      </c>
      <c r="M1225" s="17">
        <f>HYPERLINK("https://my.pitchbook.com?c=187684-84", "View Company Online")</f>
      </c>
    </row>
    <row r="1226">
      <c r="A1226" t="s" s="10">
        <v>6402</v>
      </c>
      <c r="B1226" t="s" s="10">
        <v>6403</v>
      </c>
      <c r="C1226" t="s" s="10">
        <v>114</v>
      </c>
      <c r="D1226" t="s" s="10">
        <v>870</v>
      </c>
      <c r="E1226" t="s" s="10">
        <v>137</v>
      </c>
      <c r="F1226" s="27">
        <v>45849</v>
      </c>
      <c r="G1226" t="s" s="10">
        <v>40</v>
      </c>
      <c r="H1226" s="42">
        <v>30</v>
      </c>
      <c r="I1226" s="42">
        <v>67.41</v>
      </c>
      <c r="J1226" t="s" s="10">
        <v>6404</v>
      </c>
      <c r="K1226" t="s" s="10">
        <v>6405</v>
      </c>
      <c r="L1226" s="16">
        <f>HYPERLINK("http://www.propelld.com", "www.propelld.com")</f>
      </c>
      <c r="M1226" s="16">
        <f>HYPERLINK("https://my.pitchbook.com?c=183029-86", "View Company Online")</f>
      </c>
    </row>
    <row r="1227">
      <c r="A1227" t="s" s="11">
        <v>6407</v>
      </c>
      <c r="B1227" t="s" s="11">
        <v>6408</v>
      </c>
      <c r="C1227" t="s" s="11">
        <v>114</v>
      </c>
      <c r="D1227" t="s" s="11">
        <v>852</v>
      </c>
      <c r="E1227" t="s" s="11">
        <v>137</v>
      </c>
      <c r="F1227" s="28">
        <v>44468</v>
      </c>
      <c r="G1227" t="s" s="11">
        <v>40</v>
      </c>
      <c r="H1227" s="43">
        <v>6.52</v>
      </c>
      <c r="I1227" s="43">
        <v>67.12</v>
      </c>
      <c r="J1227" t="s" s="11">
        <v>6409</v>
      </c>
      <c r="K1227" t="s" s="11">
        <v>6410</v>
      </c>
      <c r="L1227" s="17">
        <f>HYPERLINK("http://www.applepiecapital.com", "www.applepiecapital.com")</f>
      </c>
      <c r="M1227" s="17">
        <f>HYPERLINK("https://my.pitchbook.com?c=62590-96", "View Company Online")</f>
      </c>
    </row>
    <row r="1228">
      <c r="A1228" t="s" s="10">
        <v>6412</v>
      </c>
      <c r="B1228" t="s" s="10">
        <v>6413</v>
      </c>
      <c r="C1228" t="s" s="10">
        <v>114</v>
      </c>
      <c r="D1228" t="s" s="10">
        <v>136</v>
      </c>
      <c r="E1228" t="s" s="10">
        <v>253</v>
      </c>
      <c r="F1228" s="27">
        <v>45761</v>
      </c>
      <c r="G1228" t="s" s="10">
        <v>40</v>
      </c>
      <c r="H1228" s="42">
        <v>13.34</v>
      </c>
      <c r="I1228" s="42">
        <v>67.01</v>
      </c>
      <c r="J1228" t="s" s="10">
        <v>6414</v>
      </c>
      <c r="K1228" t="s" s="10">
        <v>6415</v>
      </c>
      <c r="L1228" s="16">
        <f>HYPERLINK("http://www.strikeacceptance.com", "www.strikeacceptance.com")</f>
      </c>
      <c r="M1228" s="16">
        <f>HYPERLINK("https://my.pitchbook.com?c=416511-19", "View Company Online")</f>
      </c>
    </row>
    <row r="1229">
      <c r="A1229" t="s" s="11">
        <v>6417</v>
      </c>
      <c r="B1229" t="s" s="11">
        <v>6418</v>
      </c>
      <c r="C1229" t="s" s="11">
        <v>222</v>
      </c>
      <c r="D1229" t="s" s="11">
        <v>537</v>
      </c>
      <c r="E1229" t="s" s="11">
        <v>137</v>
      </c>
      <c r="F1229" t="s" s="28">
        <v>30</v>
      </c>
      <c r="G1229" t="s" s="11">
        <v>48</v>
      </c>
      <c r="H1229" t="s" s="43">
        <v>30</v>
      </c>
      <c r="I1229" s="43">
        <v>67</v>
      </c>
      <c r="J1229" t="s" s="11">
        <v>6419</v>
      </c>
      <c r="K1229" t="s" s="11">
        <v>30</v>
      </c>
      <c r="L1229" s="17">
        <f>HYPERLINK("http://graniteshares.com", "graniteshares.com")</f>
      </c>
      <c r="M1229" s="17">
        <f>HYPERLINK("https://my.pitchbook.com?c=181297-99", "View Company Online")</f>
      </c>
    </row>
    <row r="1230">
      <c r="A1230" t="s" s="10">
        <v>6421</v>
      </c>
      <c r="B1230" t="s" s="10">
        <v>6422</v>
      </c>
      <c r="C1230" t="s" s="10">
        <v>27</v>
      </c>
      <c r="D1230" t="s" s="10">
        <v>70</v>
      </c>
      <c r="E1230" t="s" s="10">
        <v>629</v>
      </c>
      <c r="F1230" s="27">
        <v>46007</v>
      </c>
      <c r="G1230" t="s" s="10">
        <v>4267</v>
      </c>
      <c r="H1230" s="42">
        <v>8</v>
      </c>
      <c r="I1230" s="42">
        <v>67</v>
      </c>
      <c r="J1230" t="s" s="10">
        <v>6423</v>
      </c>
      <c r="K1230" t="s" s="10">
        <v>6424</v>
      </c>
      <c r="L1230" s="16">
        <f>HYPERLINK("http://www.tryspeed.com", "www.tryspeed.com")</f>
      </c>
      <c r="M1230" s="16">
        <f>HYPERLINK("https://my.pitchbook.com?c=1168919-83", "View Company Online")</f>
      </c>
    </row>
    <row r="1231">
      <c r="A1231" t="s" s="11">
        <v>6426</v>
      </c>
      <c r="B1231" t="s" s="11">
        <v>6427</v>
      </c>
      <c r="C1231" t="s" s="11">
        <v>222</v>
      </c>
      <c r="D1231" t="s" s="11">
        <v>235</v>
      </c>
      <c r="E1231" t="s" s="11">
        <v>137</v>
      </c>
      <c r="F1231" s="28">
        <v>44635</v>
      </c>
      <c r="G1231" t="s" s="11">
        <v>40</v>
      </c>
      <c r="H1231" t="s" s="43">
        <v>30</v>
      </c>
      <c r="I1231" s="43">
        <v>66.85</v>
      </c>
      <c r="J1231" t="s" s="11">
        <v>6428</v>
      </c>
      <c r="K1231" t="s" s="11">
        <v>6429</v>
      </c>
      <c r="L1231" s="17">
        <f>HYPERLINK("http://www.aescuvest.vc", "www.aescuvest.vc")</f>
      </c>
      <c r="M1231" s="17">
        <f>HYPERLINK("https://my.pitchbook.com?c=115557-22", "View Company Online")</f>
      </c>
    </row>
    <row r="1232">
      <c r="A1232" t="s" s="10">
        <v>6431</v>
      </c>
      <c r="B1232" t="s" s="10">
        <v>6432</v>
      </c>
      <c r="C1232" t="s" s="10">
        <v>60</v>
      </c>
      <c r="D1232" t="s" s="10">
        <v>727</v>
      </c>
      <c r="E1232" t="s" s="10">
        <v>270</v>
      </c>
      <c r="F1232" s="27">
        <v>45964</v>
      </c>
      <c r="G1232" t="s" s="10">
        <v>40</v>
      </c>
      <c r="H1232" s="42">
        <v>7.31</v>
      </c>
      <c r="I1232" s="42">
        <v>66.7</v>
      </c>
      <c r="J1232" t="s" s="10">
        <v>6433</v>
      </c>
      <c r="K1232" t="s" s="10">
        <v>6434</v>
      </c>
      <c r="L1232" s="16">
        <f>HYPERLINK("http://www.wefunder.com", "www.wefunder.com")</f>
      </c>
      <c r="M1232" s="16">
        <f>HYPERLINK("https://my.pitchbook.com?c=55684-81", "View Company Online")</f>
      </c>
    </row>
    <row r="1233">
      <c r="A1233" t="s" s="11">
        <v>6436</v>
      </c>
      <c r="B1233" t="s" s="11">
        <v>6437</v>
      </c>
      <c r="C1233" t="s" s="11">
        <v>164</v>
      </c>
      <c r="D1233" t="s" s="11">
        <v>165</v>
      </c>
      <c r="E1233" t="s" s="11">
        <v>6438</v>
      </c>
      <c r="F1233" s="28">
        <v>45645</v>
      </c>
      <c r="G1233" t="s" s="11">
        <v>40</v>
      </c>
      <c r="H1233" s="43">
        <v>6.33</v>
      </c>
      <c r="I1233" s="43">
        <v>66.41</v>
      </c>
      <c r="J1233" t="s" s="11">
        <v>6439</v>
      </c>
      <c r="K1233" t="s" s="11">
        <v>6440</v>
      </c>
      <c r="L1233" s="17">
        <f>HYPERLINK("http://www.smartr365.com", "www.smartr365.com")</f>
      </c>
      <c r="M1233" s="17">
        <f>HYPERLINK("https://my.pitchbook.com?c=231601-78", "View Company Online")</f>
      </c>
    </row>
    <row r="1234">
      <c r="A1234" t="s" s="10">
        <v>6442</v>
      </c>
      <c r="B1234" t="s" s="10">
        <v>6443</v>
      </c>
      <c r="C1234" t="s" s="10">
        <v>60</v>
      </c>
      <c r="D1234" t="s" s="10">
        <v>61</v>
      </c>
      <c r="E1234" t="s" s="10">
        <v>859</v>
      </c>
      <c r="F1234" s="27">
        <v>46002</v>
      </c>
      <c r="G1234" t="s" s="10">
        <v>391</v>
      </c>
      <c r="H1234" t="s" s="42">
        <v>30</v>
      </c>
      <c r="I1234" s="42">
        <v>66.34</v>
      </c>
      <c r="J1234" t="s" s="10">
        <v>6444</v>
      </c>
      <c r="K1234" t="s" s="10">
        <v>30</v>
      </c>
      <c r="L1234" s="16">
        <f>HYPERLINK("http://www.buenbit.com", "www.buenbit.com")</f>
      </c>
      <c r="M1234" s="16">
        <f>HYPERLINK("https://my.pitchbook.com?c=469852-75", "View Company Online")</f>
      </c>
    </row>
    <row r="1235">
      <c r="A1235" t="s" s="11">
        <v>6446</v>
      </c>
      <c r="B1235" t="s" s="11">
        <v>6447</v>
      </c>
      <c r="C1235" t="s" s="11">
        <v>128</v>
      </c>
      <c r="D1235" t="s" s="11">
        <v>276</v>
      </c>
      <c r="E1235" t="s" s="11">
        <v>158</v>
      </c>
      <c r="F1235" t="s" s="28">
        <v>30</v>
      </c>
      <c r="G1235" t="s" s="11">
        <v>31</v>
      </c>
      <c r="H1235" t="s" s="43">
        <v>30</v>
      </c>
      <c r="I1235" s="43">
        <v>66.16</v>
      </c>
      <c r="J1235" t="s" s="11">
        <v>6448</v>
      </c>
      <c r="K1235" t="s" s="11">
        <v>6449</v>
      </c>
      <c r="L1235" s="17">
        <f>HYPERLINK("http://www.neon-free.ch", "www.neon-free.ch")</f>
      </c>
      <c r="M1235" s="17">
        <f>HYPERLINK("https://my.pitchbook.com?c=228052-72", "View Company Online")</f>
      </c>
    </row>
    <row r="1236">
      <c r="A1236" t="s" s="10">
        <v>6451</v>
      </c>
      <c r="B1236" t="s" s="10">
        <v>6452</v>
      </c>
      <c r="C1236" t="s" s="10">
        <v>60</v>
      </c>
      <c r="D1236" t="s" s="10">
        <v>192</v>
      </c>
      <c r="E1236" t="s" s="10">
        <v>193</v>
      </c>
      <c r="F1236" s="27">
        <v>45649</v>
      </c>
      <c r="G1236" t="s" s="10">
        <v>146</v>
      </c>
      <c r="H1236" s="42">
        <v>10.71</v>
      </c>
      <c r="I1236" s="42">
        <v>66.11</v>
      </c>
      <c r="J1236" t="s" s="10">
        <v>6453</v>
      </c>
      <c r="K1236" t="s" s="10">
        <v>6454</v>
      </c>
      <c r="L1236" s="16">
        <f>HYPERLINK("http://www.univest.in", "www.univest.in")</f>
      </c>
      <c r="M1236" s="16">
        <f>HYPERLINK("https://my.pitchbook.com?c=509267-71", "View Company Online")</f>
      </c>
    </row>
    <row r="1237">
      <c r="A1237" t="s" s="11">
        <v>6456</v>
      </c>
      <c r="B1237" t="s" s="11">
        <v>6457</v>
      </c>
      <c r="C1237" t="s" s="11">
        <v>46</v>
      </c>
      <c r="D1237" t="s" s="11">
        <v>397</v>
      </c>
      <c r="E1237" t="s" s="11">
        <v>253</v>
      </c>
      <c r="F1237" s="28">
        <v>45618</v>
      </c>
      <c r="G1237" t="s" s="11">
        <v>40</v>
      </c>
      <c r="H1237" s="43">
        <v>7</v>
      </c>
      <c r="I1237" s="43">
        <v>66</v>
      </c>
      <c r="J1237" t="s" s="11">
        <v>6458</v>
      </c>
      <c r="K1237" t="s" s="11">
        <v>6459</v>
      </c>
      <c r="L1237" s="17">
        <f>HYPERLINK("http://www.fondo.com", "www.fondo.com")</f>
      </c>
      <c r="M1237" s="17">
        <f>HYPERLINK("https://my.pitchbook.com?c=466045-66", "View Company Online")</f>
      </c>
    </row>
    <row r="1238">
      <c r="A1238" t="s" s="10">
        <v>6461</v>
      </c>
      <c r="B1238" t="s" s="10">
        <v>6462</v>
      </c>
      <c r="C1238" t="s" s="10">
        <v>114</v>
      </c>
      <c r="D1238" t="s" s="10">
        <v>870</v>
      </c>
      <c r="E1238" t="s" s="10">
        <v>137</v>
      </c>
      <c r="F1238" s="27">
        <v>45901</v>
      </c>
      <c r="G1238" t="s" s="10">
        <v>40</v>
      </c>
      <c r="H1238" t="s" s="42">
        <v>30</v>
      </c>
      <c r="I1238" s="42">
        <v>66</v>
      </c>
      <c r="J1238" t="s" s="10">
        <v>6463</v>
      </c>
      <c r="K1238" t="s" s="10">
        <v>6464</v>
      </c>
      <c r="L1238" s="16">
        <f>HYPERLINK("http://www.getpesto.com", "www.getpesto.com")</f>
      </c>
      <c r="M1238" s="16">
        <f>HYPERLINK("https://my.pitchbook.com?c=458665-30", "View Company Online")</f>
      </c>
    </row>
    <row r="1239">
      <c r="A1239" t="s" s="11">
        <v>6466</v>
      </c>
      <c r="B1239" t="s" s="11">
        <v>6467</v>
      </c>
      <c r="C1239" t="s" s="11">
        <v>114</v>
      </c>
      <c r="D1239" t="s" s="11">
        <v>1386</v>
      </c>
      <c r="E1239" t="s" s="11">
        <v>634</v>
      </c>
      <c r="F1239" s="28">
        <v>45978</v>
      </c>
      <c r="G1239" t="s" s="11">
        <v>4267</v>
      </c>
      <c r="H1239" s="43">
        <v>10.9</v>
      </c>
      <c r="I1239" s="43">
        <v>66</v>
      </c>
      <c r="J1239" t="s" s="11">
        <v>6468</v>
      </c>
      <c r="K1239" t="s" s="11">
        <v>6469</v>
      </c>
      <c r="L1239" s="17">
        <f>HYPERLINK("http://www.prismdata.com", "www.prismdata.com")</f>
      </c>
      <c r="M1239" s="17">
        <f>HYPERLINK("https://my.pitchbook.com?c=489781-00", "View Company Online")</f>
      </c>
    </row>
    <row r="1240">
      <c r="A1240" t="s" s="10">
        <v>6471</v>
      </c>
      <c r="B1240" t="s" s="10">
        <v>6472</v>
      </c>
      <c r="C1240" t="s" s="10">
        <v>114</v>
      </c>
      <c r="D1240" t="s" s="10">
        <v>1386</v>
      </c>
      <c r="E1240" t="s" s="10">
        <v>5386</v>
      </c>
      <c r="F1240" s="27">
        <v>45510</v>
      </c>
      <c r="G1240" t="s" s="10">
        <v>40</v>
      </c>
      <c r="H1240" s="42">
        <v>37</v>
      </c>
      <c r="I1240" s="42">
        <v>66</v>
      </c>
      <c r="J1240" t="s" s="10">
        <v>6473</v>
      </c>
      <c r="K1240" t="s" s="10">
        <v>6474</v>
      </c>
      <c r="L1240" s="16">
        <f>HYPERLINK("http://www.rdc.ai", "www.rdc.ai")</f>
      </c>
      <c r="M1240" s="16">
        <f>HYPERLINK("https://my.pitchbook.com?c=466451-29", "View Company Online")</f>
      </c>
    </row>
    <row r="1241">
      <c r="A1241" t="s" s="11">
        <v>6476</v>
      </c>
      <c r="B1241" t="s" s="11">
        <v>6477</v>
      </c>
      <c r="C1241" t="s" s="11">
        <v>144</v>
      </c>
      <c r="D1241" t="s" s="11">
        <v>297</v>
      </c>
      <c r="E1241" t="s" s="11">
        <v>137</v>
      </c>
      <c r="F1241" s="28">
        <v>45932</v>
      </c>
      <c r="G1241" t="s" s="11">
        <v>40</v>
      </c>
      <c r="H1241" s="43">
        <v>175.98</v>
      </c>
      <c r="I1241" s="43">
        <v>65.89</v>
      </c>
      <c r="J1241" t="s" s="11">
        <v>6478</v>
      </c>
      <c r="K1241" t="s" s="11">
        <v>6479</v>
      </c>
      <c r="L1241" s="17">
        <f>HYPERLINK("http://www.teylor.com", "www.teylor.com")</f>
      </c>
      <c r="M1241" s="17">
        <f>HYPERLINK("https://my.pitchbook.com?c=267161-23", "View Company Online")</f>
      </c>
    </row>
    <row r="1242">
      <c r="A1242" t="s" s="10">
        <v>6481</v>
      </c>
      <c r="B1242" t="s" s="10">
        <v>6482</v>
      </c>
      <c r="C1242" t="s" s="10">
        <v>114</v>
      </c>
      <c r="D1242" t="s" s="10">
        <v>136</v>
      </c>
      <c r="E1242" t="s" s="10">
        <v>137</v>
      </c>
      <c r="F1242" s="27">
        <v>46097</v>
      </c>
      <c r="G1242" t="s" s="10">
        <v>40</v>
      </c>
      <c r="H1242" s="42">
        <v>2.64</v>
      </c>
      <c r="I1242" s="42">
        <v>65.09</v>
      </c>
      <c r="J1242" t="s" s="10">
        <v>6483</v>
      </c>
      <c r="K1242" t="s" s="10">
        <v>6484</v>
      </c>
      <c r="L1242" s="16">
        <f>HYPERLINK("http://www.driva.com.au", "www.driva.com.au")</f>
      </c>
      <c r="M1242" s="16">
        <f>HYPERLINK("https://my.pitchbook.com?c=465600-97", "View Company Online")</f>
      </c>
    </row>
    <row r="1243">
      <c r="A1243" t="s" s="11">
        <v>6486</v>
      </c>
      <c r="B1243" t="s" s="11">
        <v>6487</v>
      </c>
      <c r="C1243" t="s" s="11">
        <v>27</v>
      </c>
      <c r="D1243" t="s" s="11">
        <v>70</v>
      </c>
      <c r="E1243" t="s" s="11">
        <v>2788</v>
      </c>
      <c r="F1243" s="28">
        <v>46175</v>
      </c>
      <c r="G1243" t="s" s="11">
        <v>146</v>
      </c>
      <c r="H1243" s="43">
        <v>15</v>
      </c>
      <c r="I1243" s="43">
        <v>65</v>
      </c>
      <c r="J1243" t="s" s="11">
        <v>6488</v>
      </c>
      <c r="K1243" t="s" s="11">
        <v>6489</v>
      </c>
      <c r="L1243" s="17">
        <f>HYPERLINK("http://www.audd.digital", "www.audd.digital")</f>
      </c>
      <c r="M1243" s="17">
        <f>HYPERLINK("https://my.pitchbook.com?c=557128-90", "View Company Online")</f>
      </c>
    </row>
    <row r="1244">
      <c r="A1244" t="s" s="10">
        <v>6491</v>
      </c>
      <c r="B1244" t="s" s="10">
        <v>6492</v>
      </c>
      <c r="C1244" t="s" s="10">
        <v>222</v>
      </c>
      <c r="D1244" t="s" s="10">
        <v>537</v>
      </c>
      <c r="E1244" t="s" s="10">
        <v>137</v>
      </c>
      <c r="F1244" s="27">
        <v>45910</v>
      </c>
      <c r="G1244" t="s" s="10">
        <v>146</v>
      </c>
      <c r="H1244" s="42">
        <v>12</v>
      </c>
      <c r="I1244" s="42">
        <v>65</v>
      </c>
      <c r="J1244" t="s" s="10">
        <v>6493</v>
      </c>
      <c r="K1244" t="s" s="10">
        <v>6494</v>
      </c>
      <c r="L1244" s="16">
        <f>HYPERLINK("http://www.augment.market", "www.augment.market")</f>
      </c>
      <c r="M1244" s="16">
        <f>HYPERLINK("https://my.pitchbook.com?c=492766-12", "View Company Online")</f>
      </c>
    </row>
    <row r="1245">
      <c r="A1245" t="s" s="11">
        <v>6496</v>
      </c>
      <c r="B1245" t="s" s="11">
        <v>6497</v>
      </c>
      <c r="C1245" t="s" s="11">
        <v>164</v>
      </c>
      <c r="D1245" t="s" s="11">
        <v>206</v>
      </c>
      <c r="E1245" t="s" s="11">
        <v>1964</v>
      </c>
      <c r="F1245" t="s" s="28">
        <v>30</v>
      </c>
      <c r="G1245" t="s" s="11">
        <v>48</v>
      </c>
      <c r="H1245" t="s" s="43">
        <v>30</v>
      </c>
      <c r="I1245" s="43">
        <v>65</v>
      </c>
      <c r="J1245" t="s" s="11">
        <v>6498</v>
      </c>
      <c r="K1245" t="s" s="11">
        <v>6499</v>
      </c>
      <c r="L1245" s="17">
        <f>HYPERLINK("http://www.filld.org", "www.filld.org")</f>
      </c>
      <c r="M1245" s="17">
        <f>HYPERLINK("https://my.pitchbook.com?c=117287-56", "View Company Online")</f>
      </c>
    </row>
    <row r="1246">
      <c r="A1246" t="s" s="10">
        <v>6501</v>
      </c>
      <c r="B1246" t="s" s="10">
        <v>6502</v>
      </c>
      <c r="C1246" t="s" s="10">
        <v>60</v>
      </c>
      <c r="D1246" t="s" s="10">
        <v>432</v>
      </c>
      <c r="E1246" t="s" s="10">
        <v>1207</v>
      </c>
      <c r="F1246" t="s" s="27">
        <v>30</v>
      </c>
      <c r="G1246" t="s" s="10">
        <v>48</v>
      </c>
      <c r="H1246" t="s" s="42">
        <v>30</v>
      </c>
      <c r="I1246" s="42">
        <v>65</v>
      </c>
      <c r="J1246" t="s" s="10">
        <v>6503</v>
      </c>
      <c r="K1246" t="s" s="10">
        <v>6504</v>
      </c>
      <c r="L1246" s="16">
        <f>HYPERLINK("http://www.jacobistrategies.com", "www.jacobistrategies.com")</f>
      </c>
      <c r="M1246" s="16">
        <f>HYPERLINK("https://my.pitchbook.com?c=169830-46", "View Company Online")</f>
      </c>
    </row>
    <row r="1247">
      <c r="A1247" t="s" s="11">
        <v>6506</v>
      </c>
      <c r="B1247" t="s" s="11">
        <v>6507</v>
      </c>
      <c r="C1247" t="s" s="11">
        <v>27</v>
      </c>
      <c r="D1247" t="s" s="11">
        <v>122</v>
      </c>
      <c r="E1247" t="s" s="11">
        <v>259</v>
      </c>
      <c r="F1247" s="28">
        <v>45847</v>
      </c>
      <c r="G1247" t="s" s="11">
        <v>40</v>
      </c>
      <c r="H1247" s="43">
        <v>18.95</v>
      </c>
      <c r="I1247" s="43">
        <v>65</v>
      </c>
      <c r="J1247" t="s" s="11">
        <v>6508</v>
      </c>
      <c r="K1247" t="s" s="11">
        <v>6509</v>
      </c>
      <c r="L1247" s="17">
        <f>HYPERLINK("http://www.koverly.com", "www.koverly.com")</f>
      </c>
      <c r="M1247" s="17">
        <f>HYPERLINK("https://my.pitchbook.com?c=489030-76", "View Company Online")</f>
      </c>
    </row>
    <row r="1248">
      <c r="A1248" t="s" s="10">
        <v>6511</v>
      </c>
      <c r="B1248" t="s" s="10">
        <v>6512</v>
      </c>
      <c r="C1248" t="s" s="10">
        <v>60</v>
      </c>
      <c r="D1248" t="s" s="10">
        <v>246</v>
      </c>
      <c r="E1248" t="s" s="10">
        <v>4075</v>
      </c>
      <c r="F1248" s="27">
        <v>45496</v>
      </c>
      <c r="G1248" t="s" s="10">
        <v>40</v>
      </c>
      <c r="H1248" s="42">
        <v>7.1</v>
      </c>
      <c r="I1248" s="42">
        <v>65</v>
      </c>
      <c r="J1248" t="s" s="10">
        <v>6513</v>
      </c>
      <c r="K1248" t="s" s="10">
        <v>6514</v>
      </c>
      <c r="L1248" s="16">
        <f>HYPERLINK("http://www.learnlux.com", "www.learnlux.com")</f>
      </c>
      <c r="M1248" s="16">
        <f>HYPERLINK("https://my.pitchbook.com?c=117387-82", "View Company Online")</f>
      </c>
    </row>
    <row r="1249">
      <c r="A1249" t="s" s="11">
        <v>6516</v>
      </c>
      <c r="B1249" t="s" s="11">
        <v>6517</v>
      </c>
      <c r="C1249" t="s" s="11">
        <v>222</v>
      </c>
      <c r="D1249" t="s" s="11">
        <v>235</v>
      </c>
      <c r="E1249" t="s" s="11">
        <v>137</v>
      </c>
      <c r="F1249" t="s" s="28">
        <v>30</v>
      </c>
      <c r="G1249" t="s" s="11">
        <v>31</v>
      </c>
      <c r="H1249" s="43">
        <v>100</v>
      </c>
      <c r="I1249" s="43">
        <v>65</v>
      </c>
      <c r="J1249" t="s" s="11">
        <v>6518</v>
      </c>
      <c r="K1249" t="s" s="11">
        <v>6519</v>
      </c>
      <c r="L1249" s="17">
        <f>HYPERLINK("http://www.lenderwize.com", "www.lenderwize.com")</f>
      </c>
      <c r="M1249" s="17">
        <f>HYPERLINK("https://my.pitchbook.com?c=231497-38", "View Company Online")</f>
      </c>
    </row>
    <row r="1250">
      <c r="A1250" t="s" s="10">
        <v>6521</v>
      </c>
      <c r="B1250" t="s" s="10">
        <v>6522</v>
      </c>
      <c r="C1250" t="s" s="10">
        <v>144</v>
      </c>
      <c r="D1250" t="s" s="10">
        <v>38</v>
      </c>
      <c r="E1250" t="s" s="10">
        <v>6523</v>
      </c>
      <c r="F1250" t="s" s="27">
        <v>30</v>
      </c>
      <c r="G1250" t="s" s="10">
        <v>607</v>
      </c>
      <c r="H1250" t="s" s="42">
        <v>30</v>
      </c>
      <c r="I1250" s="42">
        <v>65</v>
      </c>
      <c r="J1250" t="s" s="10">
        <v>6524</v>
      </c>
      <c r="K1250" t="s" s="10">
        <v>6525</v>
      </c>
      <c r="L1250" s="16">
        <f>HYPERLINK("http://www.omniretail.africa", "www.omniretail.africa")</f>
      </c>
      <c r="M1250" s="16">
        <f>HYPERLINK("https://my.pitchbook.com?c=469107-19", "View Company Online")</f>
      </c>
    </row>
    <row r="1251">
      <c r="A1251" t="s" s="11">
        <v>6527</v>
      </c>
      <c r="B1251" t="s" s="11">
        <v>6528</v>
      </c>
      <c r="C1251" t="s" s="11">
        <v>46</v>
      </c>
      <c r="D1251" t="s" s="11">
        <v>47</v>
      </c>
      <c r="E1251" t="s" s="11">
        <v>3055</v>
      </c>
      <c r="F1251" s="28">
        <v>44616</v>
      </c>
      <c r="G1251" t="s" s="11">
        <v>146</v>
      </c>
      <c r="H1251" s="43">
        <v>15</v>
      </c>
      <c r="I1251" s="43">
        <v>65</v>
      </c>
      <c r="J1251" t="s" s="11">
        <v>6529</v>
      </c>
      <c r="K1251" t="s" s="11">
        <v>6530</v>
      </c>
      <c r="L1251" s="17">
        <f>HYPERLINK("http://www.siteline.com", "www.siteline.com")</f>
      </c>
      <c r="M1251" s="17">
        <f>HYPERLINK("https://my.pitchbook.com?c=416650-51", "View Company Online")</f>
      </c>
    </row>
    <row r="1252">
      <c r="A1252" t="s" s="10">
        <v>6532</v>
      </c>
      <c r="B1252" t="s" s="10">
        <v>6533</v>
      </c>
      <c r="C1252" t="s" s="10">
        <v>37</v>
      </c>
      <c r="D1252" t="s" s="10">
        <v>304</v>
      </c>
      <c r="E1252" t="s" s="10">
        <v>1207</v>
      </c>
      <c r="F1252" s="27">
        <v>43801</v>
      </c>
      <c r="G1252" t="s" s="10">
        <v>146</v>
      </c>
      <c r="H1252" s="42">
        <v>1</v>
      </c>
      <c r="I1252" s="42">
        <v>65</v>
      </c>
      <c r="J1252" t="s" s="10">
        <v>6534</v>
      </c>
      <c r="K1252" t="s" s="10">
        <v>6535</v>
      </c>
      <c r="L1252" s="16">
        <f>HYPERLINK("http://www.volafinance.com", "www.volafinance.com")</f>
      </c>
      <c r="M1252" s="16">
        <f>HYPERLINK("https://my.pitchbook.com?c=228919-33", "View Company Online")</f>
      </c>
    </row>
    <row r="1253">
      <c r="A1253" t="s" s="11">
        <v>6537</v>
      </c>
      <c r="B1253" t="s" s="11">
        <v>6538</v>
      </c>
      <c r="C1253" t="s" s="11">
        <v>222</v>
      </c>
      <c r="D1253" t="s" s="11">
        <v>252</v>
      </c>
      <c r="E1253" t="s" s="11">
        <v>253</v>
      </c>
      <c r="F1253" s="28">
        <v>45924</v>
      </c>
      <c r="G1253" t="s" s="11">
        <v>607</v>
      </c>
      <c r="H1253" t="s" s="43">
        <v>30</v>
      </c>
      <c r="I1253" s="43">
        <v>64.8</v>
      </c>
      <c r="J1253" t="s" s="11">
        <v>6539</v>
      </c>
      <c r="K1253" t="s" s="11">
        <v>6540</v>
      </c>
      <c r="L1253" s="17">
        <f>HYPERLINK("http://www.vega-alts.com", "www.vega-alts.com")</f>
      </c>
      <c r="M1253" s="17">
        <f>HYPERLINK("https://my.pitchbook.com?c=537050-26", "View Company Online")</f>
      </c>
    </row>
    <row r="1254">
      <c r="A1254" t="s" s="10">
        <v>6542</v>
      </c>
      <c r="B1254" t="s" s="10">
        <v>6543</v>
      </c>
      <c r="C1254" t="s" s="10">
        <v>37</v>
      </c>
      <c r="D1254" t="s" s="10">
        <v>38</v>
      </c>
      <c r="E1254" t="s" s="10">
        <v>6544</v>
      </c>
      <c r="F1254" s="27">
        <v>45931</v>
      </c>
      <c r="G1254" t="s" s="10">
        <v>31</v>
      </c>
      <c r="H1254" t="s" s="42">
        <v>30</v>
      </c>
      <c r="I1254" s="42">
        <v>64.76</v>
      </c>
      <c r="J1254" t="s" s="10">
        <v>6545</v>
      </c>
      <c r="K1254" t="s" s="10">
        <v>6546</v>
      </c>
      <c r="L1254" s="16">
        <f>HYPERLINK("http://www.alex.bank", "www.alex.bank")</f>
      </c>
      <c r="M1254" s="16">
        <f>HYPERLINK("https://my.pitchbook.com?c=438808-42", "View Company Online")</f>
      </c>
    </row>
    <row r="1255">
      <c r="A1255" t="s" s="11">
        <v>6548</v>
      </c>
      <c r="B1255" t="s" s="11">
        <v>6549</v>
      </c>
      <c r="C1255" t="s" s="11">
        <v>222</v>
      </c>
      <c r="D1255" t="s" s="11">
        <v>252</v>
      </c>
      <c r="E1255" t="s" s="11">
        <v>253</v>
      </c>
      <c r="F1255" s="28">
        <v>44453</v>
      </c>
      <c r="G1255" t="s" s="11">
        <v>40</v>
      </c>
      <c r="H1255" s="43">
        <v>28.37</v>
      </c>
      <c r="I1255" s="43">
        <v>64.73</v>
      </c>
      <c r="J1255" t="s" s="11">
        <v>6550</v>
      </c>
      <c r="K1255" t="s" s="11">
        <v>6551</v>
      </c>
      <c r="L1255" s="17">
        <f>HYPERLINK("http://www.cloudmargin.com", "www.cloudmargin.com")</f>
      </c>
      <c r="M1255" s="17">
        <f>HYPERLINK("https://my.pitchbook.com?c=109385-74", "View Company Online")</f>
      </c>
    </row>
    <row r="1256">
      <c r="A1256" t="s" s="10">
        <v>6553</v>
      </c>
      <c r="B1256" t="s" s="10">
        <v>6554</v>
      </c>
      <c r="C1256" t="s" s="10">
        <v>222</v>
      </c>
      <c r="D1256" t="s" s="10">
        <v>223</v>
      </c>
      <c r="E1256" t="s" s="10">
        <v>367</v>
      </c>
      <c r="F1256" s="27">
        <v>45992</v>
      </c>
      <c r="G1256" t="s" s="10">
        <v>40</v>
      </c>
      <c r="H1256" t="s" s="42">
        <v>30</v>
      </c>
      <c r="I1256" s="42">
        <v>64.27</v>
      </c>
      <c r="J1256" t="s" s="10">
        <v>6555</v>
      </c>
      <c r="K1256" t="s" s="10">
        <v>6556</v>
      </c>
      <c r="L1256" s="16">
        <f>HYPERLINK("http://www.ravenpack.com", "www.ravenpack.com")</f>
      </c>
      <c r="M1256" s="16">
        <f>HYPERLINK("https://my.pitchbook.com?c=88772-59", "View Company Online")</f>
      </c>
    </row>
    <row r="1257">
      <c r="A1257" t="s" s="11">
        <v>6558</v>
      </c>
      <c r="B1257" t="s" s="11">
        <v>6559</v>
      </c>
      <c r="C1257" t="s" s="11">
        <v>60</v>
      </c>
      <c r="D1257" t="s" s="11">
        <v>61</v>
      </c>
      <c r="E1257" t="s" s="11">
        <v>270</v>
      </c>
      <c r="F1257" s="28">
        <v>45034</v>
      </c>
      <c r="G1257" t="s" s="11">
        <v>40</v>
      </c>
      <c r="H1257" t="s" s="43">
        <v>30</v>
      </c>
      <c r="I1257" s="43">
        <v>64.01</v>
      </c>
      <c r="J1257" t="s" s="11">
        <v>6560</v>
      </c>
      <c r="K1257" t="s" s="11">
        <v>6561</v>
      </c>
      <c r="L1257" s="17">
        <f>HYPERLINK("http://www.nextmarkets.com", "www.nextmarkets.com")</f>
      </c>
      <c r="M1257" s="17">
        <f>HYPERLINK("https://my.pitchbook.com?c=163211-23", "View Company Online")</f>
      </c>
    </row>
    <row r="1258">
      <c r="A1258" t="s" s="10">
        <v>6563</v>
      </c>
      <c r="B1258" t="s" s="10">
        <v>6564</v>
      </c>
      <c r="C1258" t="s" s="10">
        <v>172</v>
      </c>
      <c r="D1258" t="s" s="10">
        <v>173</v>
      </c>
      <c r="E1258" t="s" s="10">
        <v>414</v>
      </c>
      <c r="F1258" s="27">
        <v>45938</v>
      </c>
      <c r="G1258" t="s" s="10">
        <v>146</v>
      </c>
      <c r="H1258" s="42">
        <v>12.5</v>
      </c>
      <c r="I1258" s="42">
        <v>64</v>
      </c>
      <c r="J1258" t="s" s="10">
        <v>6565</v>
      </c>
      <c r="K1258" t="s" s="10">
        <v>6566</v>
      </c>
      <c r="L1258" s="16">
        <f>HYPERLINK("http://www.aiprise.com", "www.aiprise.com")</f>
      </c>
      <c r="M1258" s="16">
        <f>HYPERLINK("https://my.pitchbook.com?c=501489-19", "View Company Online")</f>
      </c>
    </row>
    <row r="1259">
      <c r="A1259" t="s" s="11">
        <v>6568</v>
      </c>
      <c r="B1259" t="s" s="11">
        <v>6569</v>
      </c>
      <c r="C1259" t="s" s="11">
        <v>27</v>
      </c>
      <c r="D1259" t="s" s="11">
        <v>70</v>
      </c>
      <c r="E1259" t="s" s="11">
        <v>1859</v>
      </c>
      <c r="F1259" s="28">
        <v>45870</v>
      </c>
      <c r="G1259" t="s" s="11">
        <v>40</v>
      </c>
      <c r="H1259" s="43">
        <v>7.48</v>
      </c>
      <c r="I1259" s="43">
        <v>64</v>
      </c>
      <c r="J1259" t="s" s="11">
        <v>6570</v>
      </c>
      <c r="K1259" t="s" s="11">
        <v>6571</v>
      </c>
      <c r="L1259" s="17">
        <f>HYPERLINK("http://www.billd.com", "www.billd.com")</f>
      </c>
      <c r="M1259" s="17">
        <f>HYPERLINK("https://my.pitchbook.com?c=234730-45", "View Company Online")</f>
      </c>
    </row>
    <row r="1260">
      <c r="A1260" t="s" s="10">
        <v>6573</v>
      </c>
      <c r="B1260" t="s" s="10">
        <v>6574</v>
      </c>
      <c r="C1260" t="s" s="10">
        <v>164</v>
      </c>
      <c r="D1260" t="s" s="10">
        <v>206</v>
      </c>
      <c r="E1260" t="s" s="10">
        <v>1093</v>
      </c>
      <c r="F1260" s="27">
        <v>44651</v>
      </c>
      <c r="G1260" t="s" s="10">
        <v>40</v>
      </c>
      <c r="H1260" s="42">
        <v>15</v>
      </c>
      <c r="I1260" s="42">
        <v>64</v>
      </c>
      <c r="J1260" t="s" s="10">
        <v>6575</v>
      </c>
      <c r="K1260" t="s" s="10">
        <v>30</v>
      </c>
      <c r="L1260" s="16">
        <f>HYPERLINK("http://www.iserveu.in", "www.iserveu.in")</f>
      </c>
      <c r="M1260" s="16">
        <f>HYPERLINK("https://my.pitchbook.com?c=438678-10", "View Company Online")</f>
      </c>
    </row>
    <row r="1261">
      <c r="A1261" t="s" s="11">
        <v>6577</v>
      </c>
      <c r="B1261" t="s" s="11">
        <v>6578</v>
      </c>
      <c r="C1261" t="s" s="11">
        <v>164</v>
      </c>
      <c r="D1261" t="s" s="11">
        <v>206</v>
      </c>
      <c r="E1261" t="s" s="11">
        <v>414</v>
      </c>
      <c r="F1261" s="28">
        <v>45847</v>
      </c>
      <c r="G1261" t="s" s="11">
        <v>146</v>
      </c>
      <c r="H1261" s="43">
        <v>20</v>
      </c>
      <c r="I1261" s="43">
        <v>64</v>
      </c>
      <c r="J1261" t="s" s="11">
        <v>6579</v>
      </c>
      <c r="K1261" t="s" s="11">
        <v>6580</v>
      </c>
      <c r="L1261" s="17">
        <f>HYPERLINK("http://www.nominal.so", "www.nominal.so")</f>
      </c>
      <c r="M1261" s="17">
        <f>HYPERLINK("https://my.pitchbook.com?c=528822-55", "View Company Online")</f>
      </c>
    </row>
    <row r="1262">
      <c r="A1262" t="s" s="10">
        <v>6582</v>
      </c>
      <c r="B1262" t="s" s="10">
        <v>6583</v>
      </c>
      <c r="C1262" t="s" s="10">
        <v>46</v>
      </c>
      <c r="D1262" t="s" s="10">
        <v>397</v>
      </c>
      <c r="E1262" t="s" s="10">
        <v>6584</v>
      </c>
      <c r="F1262" s="27">
        <v>45818</v>
      </c>
      <c r="G1262" t="s" s="10">
        <v>40</v>
      </c>
      <c r="H1262" s="42">
        <v>23</v>
      </c>
      <c r="I1262" s="42">
        <v>63.91</v>
      </c>
      <c r="J1262" t="s" s="10">
        <v>6585</v>
      </c>
      <c r="K1262" t="s" s="10">
        <v>6586</v>
      </c>
      <c r="L1262" s="16">
        <f>HYPERLINK("http://www.sleek.com", "www.sleek.com")</f>
      </c>
      <c r="M1262" s="16">
        <f>HYPERLINK("https://my.pitchbook.com?c=267861-97", "View Company Online")</f>
      </c>
    </row>
    <row r="1263">
      <c r="A1263" t="s" s="11">
        <v>6588</v>
      </c>
      <c r="B1263" t="s" s="11">
        <v>6589</v>
      </c>
      <c r="C1263" t="s" s="11">
        <v>114</v>
      </c>
      <c r="D1263" t="s" s="11">
        <v>115</v>
      </c>
      <c r="E1263" t="s" s="11">
        <v>2782</v>
      </c>
      <c r="F1263" t="s" s="28">
        <v>30</v>
      </c>
      <c r="G1263" t="s" s="11">
        <v>48</v>
      </c>
      <c r="H1263" t="s" s="43">
        <v>30</v>
      </c>
      <c r="I1263" s="43">
        <v>63.75</v>
      </c>
      <c r="J1263" t="s" s="11">
        <v>6590</v>
      </c>
      <c r="K1263" t="s" s="11">
        <v>6591</v>
      </c>
      <c r="L1263" s="17">
        <f>HYPERLINK("http://www.haus.com", "www.haus.com")</f>
      </c>
      <c r="M1263" s="17">
        <f>HYPERLINK("https://my.pitchbook.com?c=185190-13", "View Company Online")</f>
      </c>
    </row>
    <row r="1264">
      <c r="A1264" t="s" s="10">
        <v>6593</v>
      </c>
      <c r="B1264" t="s" s="10">
        <v>6594</v>
      </c>
      <c r="C1264" t="s" s="10">
        <v>60</v>
      </c>
      <c r="D1264" t="s" s="10">
        <v>727</v>
      </c>
      <c r="E1264" t="s" s="10">
        <v>6595</v>
      </c>
      <c r="F1264" s="27">
        <v>45425</v>
      </c>
      <c r="G1264" t="s" s="10">
        <v>4267</v>
      </c>
      <c r="H1264" s="42">
        <v>2</v>
      </c>
      <c r="I1264" s="42">
        <v>63.5</v>
      </c>
      <c r="J1264" t="s" s="10">
        <v>6596</v>
      </c>
      <c r="K1264" t="s" s="10">
        <v>6597</v>
      </c>
      <c r="L1264" s="16">
        <f>HYPERLINK("http://www.redswan.io", "www.redswan.io")</f>
      </c>
      <c r="M1264" s="16">
        <f>HYPERLINK("https://my.pitchbook.com?c=466625-08", "View Company Online")</f>
      </c>
    </row>
    <row r="1265">
      <c r="A1265" t="s" s="11">
        <v>6599</v>
      </c>
      <c r="B1265" t="s" s="11">
        <v>6600</v>
      </c>
      <c r="C1265" t="s" s="11">
        <v>114</v>
      </c>
      <c r="D1265" t="s" s="11">
        <v>136</v>
      </c>
      <c r="E1265" t="s" s="11">
        <v>414</v>
      </c>
      <c r="F1265" s="28">
        <v>46177</v>
      </c>
      <c r="G1265" t="s" s="11">
        <v>40</v>
      </c>
      <c r="H1265" s="43">
        <v>7</v>
      </c>
      <c r="I1265" s="43">
        <v>63.23</v>
      </c>
      <c r="J1265" t="s" s="11">
        <v>6601</v>
      </c>
      <c r="K1265" t="s" s="11">
        <v>6602</v>
      </c>
      <c r="L1265" s="17">
        <f>HYPERLINK("http://www.werize.com", "www.werize.com")</f>
      </c>
      <c r="M1265" s="17">
        <f>HYPERLINK("https://my.pitchbook.com?c=264990-25", "View Company Online")</f>
      </c>
    </row>
    <row r="1266">
      <c r="A1266" t="s" s="10">
        <v>6604</v>
      </c>
      <c r="B1266" t="s" s="10">
        <v>6605</v>
      </c>
      <c r="C1266" t="s" s="10">
        <v>60</v>
      </c>
      <c r="D1266" t="s" s="10">
        <v>432</v>
      </c>
      <c r="E1266" t="s" s="10">
        <v>253</v>
      </c>
      <c r="F1266" s="27">
        <v>45974</v>
      </c>
      <c r="G1266" t="s" s="10">
        <v>146</v>
      </c>
      <c r="H1266" s="42">
        <v>0.17</v>
      </c>
      <c r="I1266" s="42">
        <v>63</v>
      </c>
      <c r="J1266" t="s" s="10">
        <v>6606</v>
      </c>
      <c r="K1266" t="s" s="10">
        <v>30</v>
      </c>
      <c r="L1266" s="16">
        <f>HYPERLINK("http://www.altafid.com", "www.altafid.com")</f>
      </c>
      <c r="M1266" s="16">
        <f>HYPERLINK("https://my.pitchbook.com?c=137746-36", "View Company Online")</f>
      </c>
    </row>
    <row r="1267">
      <c r="A1267" t="s" s="11">
        <v>6608</v>
      </c>
      <c r="B1267" t="s" s="11">
        <v>6609</v>
      </c>
      <c r="C1267" t="s" s="11">
        <v>222</v>
      </c>
      <c r="D1267" t="s" s="11">
        <v>252</v>
      </c>
      <c r="E1267" t="s" s="11">
        <v>137</v>
      </c>
      <c r="F1267" s="28">
        <v>46012</v>
      </c>
      <c r="G1267" t="s" s="11">
        <v>391</v>
      </c>
      <c r="H1267" t="s" s="43">
        <v>30</v>
      </c>
      <c r="I1267" s="43">
        <v>63</v>
      </c>
      <c r="J1267" t="s" s="11">
        <v>6610</v>
      </c>
      <c r="K1267" t="s" s="11">
        <v>6611</v>
      </c>
      <c r="L1267" s="17">
        <f>HYPERLINK("http://www.clearing.co", "www.clearing.co")</f>
      </c>
      <c r="M1267" s="17">
        <f>HYPERLINK("https://my.pitchbook.com?c=897220-09", "View Company Online")</f>
      </c>
    </row>
    <row r="1268">
      <c r="A1268" t="s" s="10">
        <v>6613</v>
      </c>
      <c r="B1268" t="s" s="10">
        <v>6614</v>
      </c>
      <c r="C1268" t="s" s="10">
        <v>27</v>
      </c>
      <c r="D1268" t="s" s="10">
        <v>28</v>
      </c>
      <c r="E1268" t="s" s="10">
        <v>270</v>
      </c>
      <c r="F1268" s="27">
        <v>45953</v>
      </c>
      <c r="G1268" t="s" s="10">
        <v>146</v>
      </c>
      <c r="H1268" s="42">
        <v>21</v>
      </c>
      <c r="I1268" s="42">
        <v>63</v>
      </c>
      <c r="J1268" t="s" s="10">
        <v>6615</v>
      </c>
      <c r="K1268" t="s" s="10">
        <v>6616</v>
      </c>
      <c r="L1268" s="16">
        <f>HYPERLINK("http://www.clerq.io", "www.clerq.io")</f>
      </c>
      <c r="M1268" s="16">
        <f>HYPERLINK("https://my.pitchbook.com?c=516132-46", "View Company Online")</f>
      </c>
    </row>
    <row r="1269">
      <c r="A1269" t="s" s="11">
        <v>6618</v>
      </c>
      <c r="B1269" t="s" s="11">
        <v>6619</v>
      </c>
      <c r="C1269" t="s" s="11">
        <v>27</v>
      </c>
      <c r="D1269" t="s" s="11">
        <v>28</v>
      </c>
      <c r="E1269" t="s" s="11">
        <v>1859</v>
      </c>
      <c r="F1269" s="28">
        <v>45832</v>
      </c>
      <c r="G1269" t="s" s="11">
        <v>4267</v>
      </c>
      <c r="H1269" s="43">
        <v>8.57</v>
      </c>
      <c r="I1269" s="43">
        <v>63</v>
      </c>
      <c r="J1269" t="s" s="11">
        <v>6620</v>
      </c>
      <c r="K1269" t="s" s="11">
        <v>6621</v>
      </c>
      <c r="L1269" s="17">
        <f>HYPERLINK("http://www.payamigo.com", "www.payamigo.com")</f>
      </c>
      <c r="M1269" s="17">
        <f>HYPERLINK("https://my.pitchbook.com?c=529067-62", "View Company Online")</f>
      </c>
    </row>
    <row r="1270">
      <c r="A1270" t="s" s="10">
        <v>6623</v>
      </c>
      <c r="B1270" t="s" s="10">
        <v>6624</v>
      </c>
      <c r="C1270" t="s" s="10">
        <v>128</v>
      </c>
      <c r="D1270" t="s" s="10">
        <v>276</v>
      </c>
      <c r="E1270" t="s" s="10">
        <v>859</v>
      </c>
      <c r="F1270" s="27">
        <v>46007</v>
      </c>
      <c r="G1270" t="s" s="10">
        <v>146</v>
      </c>
      <c r="H1270" s="42">
        <v>107</v>
      </c>
      <c r="I1270" s="42">
        <v>63</v>
      </c>
      <c r="J1270" t="s" s="10">
        <v>6625</v>
      </c>
      <c r="K1270" t="s" s="10">
        <v>6626</v>
      </c>
      <c r="L1270" s="16">
        <f>HYPERLINK("http://www.redotpay.com", "www.redotpay.com")</f>
      </c>
      <c r="M1270" s="16">
        <f>HYPERLINK("https://my.pitchbook.com?c=720594-91", "View Company Online")</f>
      </c>
    </row>
    <row r="1271">
      <c r="A1271" t="s" s="11">
        <v>6628</v>
      </c>
      <c r="B1271" t="s" s="11">
        <v>6629</v>
      </c>
      <c r="C1271" t="s" s="11">
        <v>37</v>
      </c>
      <c r="D1271" t="s" s="11">
        <v>38</v>
      </c>
      <c r="E1271" t="s" s="11">
        <v>193</v>
      </c>
      <c r="F1271" s="28">
        <v>44224</v>
      </c>
      <c r="G1271" t="s" s="11">
        <v>146</v>
      </c>
      <c r="H1271" s="43">
        <v>17.79</v>
      </c>
      <c r="I1271" s="43">
        <v>63</v>
      </c>
      <c r="J1271" t="s" s="11">
        <v>6630</v>
      </c>
      <c r="K1271" t="s" s="11">
        <v>6631</v>
      </c>
      <c r="L1271" s="17">
        <f>HYPERLINK("http://www.withyotta.com", "www.withyotta.com")</f>
      </c>
      <c r="M1271" s="17">
        <f>HYPERLINK("https://my.pitchbook.com?c=438224-59", "View Company Online")</f>
      </c>
    </row>
    <row r="1272">
      <c r="A1272" t="s" s="10">
        <v>6633</v>
      </c>
      <c r="B1272" t="s" s="10">
        <v>6634</v>
      </c>
      <c r="C1272" t="s" s="10">
        <v>164</v>
      </c>
      <c r="D1272" t="s" s="10">
        <v>165</v>
      </c>
      <c r="E1272" t="s" s="10">
        <v>270</v>
      </c>
      <c r="F1272" s="27">
        <v>45761</v>
      </c>
      <c r="G1272" t="s" s="10">
        <v>146</v>
      </c>
      <c r="H1272" s="42">
        <v>36.11</v>
      </c>
      <c r="I1272" s="42">
        <v>62.94</v>
      </c>
      <c r="J1272" t="s" s="10">
        <v>6635</v>
      </c>
      <c r="K1272" t="s" s="10">
        <v>6636</v>
      </c>
      <c r="L1272" s="16">
        <f>HYPERLINK("http://www.bkn301.com", "www.bkn301.com")</f>
      </c>
      <c r="M1272" s="16">
        <f>HYPERLINK("https://my.pitchbook.com?c=489884-95", "View Company Online")</f>
      </c>
    </row>
    <row r="1273">
      <c r="A1273" t="s" s="11">
        <v>6638</v>
      </c>
      <c r="B1273" t="s" s="11">
        <v>6639</v>
      </c>
      <c r="C1273" t="s" s="11">
        <v>222</v>
      </c>
      <c r="D1273" t="s" s="11">
        <v>223</v>
      </c>
      <c r="E1273" t="s" s="11">
        <v>6640</v>
      </c>
      <c r="F1273" s="28">
        <v>46219</v>
      </c>
      <c r="G1273" t="s" s="11">
        <v>146</v>
      </c>
      <c r="H1273" s="43">
        <v>10</v>
      </c>
      <c r="I1273" s="43">
        <v>62.5</v>
      </c>
      <c r="J1273" t="s" s="11">
        <v>6641</v>
      </c>
      <c r="K1273" t="s" s="11">
        <v>6642</v>
      </c>
      <c r="L1273" s="17">
        <f>HYPERLINK("http://www.farsight-ai.com", "www.farsight-ai.com")</f>
      </c>
      <c r="M1273" s="17">
        <f>HYPERLINK("https://my.pitchbook.com?c=590829-22", "View Company Online")</f>
      </c>
    </row>
    <row r="1274">
      <c r="A1274" t="s" s="10">
        <v>6644</v>
      </c>
      <c r="B1274" t="s" s="10">
        <v>6645</v>
      </c>
      <c r="C1274" t="s" s="10">
        <v>128</v>
      </c>
      <c r="D1274" t="s" s="10">
        <v>199</v>
      </c>
      <c r="E1274" t="s" s="10">
        <v>193</v>
      </c>
      <c r="F1274" t="s" s="27">
        <v>30</v>
      </c>
      <c r="G1274" t="s" s="10">
        <v>48</v>
      </c>
      <c r="H1274" t="s" s="42">
        <v>30</v>
      </c>
      <c r="I1274" s="42">
        <v>62.5</v>
      </c>
      <c r="J1274" t="s" s="10">
        <v>6646</v>
      </c>
      <c r="K1274" t="s" s="10">
        <v>6647</v>
      </c>
      <c r="L1274" s="16">
        <f>HYPERLINK("http://www.macellan.app", "www.macellan.app")</f>
      </c>
      <c r="M1274" s="16">
        <f>HYPERLINK("https://my.pitchbook.com?c=512955-91", "View Company Online")</f>
      </c>
    </row>
    <row r="1275">
      <c r="A1275" t="s" s="11">
        <v>6649</v>
      </c>
      <c r="B1275" t="s" s="11">
        <v>6650</v>
      </c>
      <c r="C1275" t="s" s="11">
        <v>164</v>
      </c>
      <c r="D1275" t="s" s="11">
        <v>206</v>
      </c>
      <c r="E1275" t="s" s="11">
        <v>152</v>
      </c>
      <c r="F1275" s="28">
        <v>45575</v>
      </c>
      <c r="G1275" t="s" s="11">
        <v>40</v>
      </c>
      <c r="H1275" s="43">
        <v>14.5</v>
      </c>
      <c r="I1275" s="43">
        <v>62.5</v>
      </c>
      <c r="J1275" t="s" s="11">
        <v>6651</v>
      </c>
      <c r="K1275" t="s" s="11">
        <v>6652</v>
      </c>
      <c r="L1275" s="17">
        <f>HYPERLINK("http://www.zeal.com", "www.zeal.com")</f>
      </c>
      <c r="M1275" s="17">
        <f>HYPERLINK("https://my.pitchbook.com?c=279628-66", "View Company Online")</f>
      </c>
    </row>
    <row r="1276">
      <c r="A1276" t="s" s="10">
        <v>6654</v>
      </c>
      <c r="B1276" t="s" s="10">
        <v>6655</v>
      </c>
      <c r="C1276" t="s" s="10">
        <v>27</v>
      </c>
      <c r="D1276" t="s" s="10">
        <v>28</v>
      </c>
      <c r="E1276" t="s" s="10">
        <v>253</v>
      </c>
      <c r="F1276" s="27">
        <v>44788</v>
      </c>
      <c r="G1276" t="s" s="10">
        <v>146</v>
      </c>
      <c r="H1276" s="42">
        <v>10</v>
      </c>
      <c r="I1276" s="42">
        <v>62.42</v>
      </c>
      <c r="J1276" t="s" s="10">
        <v>6656</v>
      </c>
      <c r="K1276" t="s" s="10">
        <v>6657</v>
      </c>
      <c r="L1276" s="16">
        <f>HYPERLINK("http://www.majoo.id", "www.majoo.id")</f>
      </c>
      <c r="M1276" s="16">
        <f>HYPERLINK("https://my.pitchbook.com?c=470561-59", "View Company Online")</f>
      </c>
    </row>
    <row r="1277">
      <c r="A1277" t="s" s="11">
        <v>6659</v>
      </c>
      <c r="B1277" t="s" s="11">
        <v>6660</v>
      </c>
      <c r="C1277" t="s" s="11">
        <v>46</v>
      </c>
      <c r="D1277" t="s" s="11">
        <v>47</v>
      </c>
      <c r="E1277" t="s" s="11">
        <v>6661</v>
      </c>
      <c r="F1277" s="28">
        <v>45833</v>
      </c>
      <c r="G1277" t="s" s="11">
        <v>40</v>
      </c>
      <c r="H1277" s="43">
        <v>3</v>
      </c>
      <c r="I1277" s="43">
        <v>62</v>
      </c>
      <c r="J1277" t="s" s="11">
        <v>6662</v>
      </c>
      <c r="K1277" t="s" s="11">
        <v>6663</v>
      </c>
      <c r="L1277" s="17">
        <f>HYPERLINK("http://www.openenvoy.com", "www.openenvoy.com")</f>
      </c>
      <c r="M1277" s="17">
        <f>HYPERLINK("https://my.pitchbook.com?c=459998-74", "View Company Online")</f>
      </c>
    </row>
    <row r="1278">
      <c r="A1278" t="s" s="10">
        <v>6665</v>
      </c>
      <c r="B1278" t="s" s="10">
        <v>6666</v>
      </c>
      <c r="C1278" t="s" s="10">
        <v>164</v>
      </c>
      <c r="D1278" t="s" s="10">
        <v>206</v>
      </c>
      <c r="E1278" t="s" s="10">
        <v>137</v>
      </c>
      <c r="F1278" s="27">
        <v>45939</v>
      </c>
      <c r="G1278" t="s" s="10">
        <v>40</v>
      </c>
      <c r="H1278" s="42">
        <v>26.5</v>
      </c>
      <c r="I1278" s="42">
        <v>62</v>
      </c>
      <c r="J1278" t="s" s="10">
        <v>6667</v>
      </c>
      <c r="K1278" t="s" s="10">
        <v>6668</v>
      </c>
      <c r="L1278" s="16">
        <f>HYPERLINK("http://www.routefusion.com", "www.routefusion.com")</f>
      </c>
      <c r="M1278" s="16">
        <f>HYPERLINK("https://my.pitchbook.com?c=357421-78", "View Company Online")</f>
      </c>
    </row>
    <row r="1279">
      <c r="A1279" t="s" s="11">
        <v>6670</v>
      </c>
      <c r="B1279" t="s" s="11">
        <v>6671</v>
      </c>
      <c r="C1279" t="s" s="11">
        <v>46</v>
      </c>
      <c r="D1279" t="s" s="11">
        <v>47</v>
      </c>
      <c r="E1279" t="s" s="11">
        <v>137</v>
      </c>
      <c r="F1279" s="28">
        <v>45790</v>
      </c>
      <c r="G1279" t="s" s="11">
        <v>146</v>
      </c>
      <c r="H1279" s="43">
        <v>12</v>
      </c>
      <c r="I1279" s="43">
        <v>62</v>
      </c>
      <c r="J1279" t="s" s="11">
        <v>6672</v>
      </c>
      <c r="K1279" t="s" s="11">
        <v>6673</v>
      </c>
      <c r="L1279" s="17">
        <f>HYPERLINK("http://www.sunbound.ai", "www.sunbound.ai")</f>
      </c>
      <c r="M1279" s="17">
        <f>HYPERLINK("https://my.pitchbook.com?c=501689-89", "View Company Online")</f>
      </c>
    </row>
    <row r="1280">
      <c r="A1280" t="s" s="10">
        <v>6675</v>
      </c>
      <c r="B1280" t="s" s="10">
        <v>6676</v>
      </c>
      <c r="C1280" t="s" s="10">
        <v>60</v>
      </c>
      <c r="D1280" t="s" s="10">
        <v>246</v>
      </c>
      <c r="E1280" t="s" s="10">
        <v>6677</v>
      </c>
      <c r="F1280" s="27">
        <v>43705</v>
      </c>
      <c r="G1280" t="s" s="10">
        <v>146</v>
      </c>
      <c r="H1280" t="s" s="42">
        <v>30</v>
      </c>
      <c r="I1280" s="42">
        <v>61.85</v>
      </c>
      <c r="J1280" t="s" s="10">
        <v>6678</v>
      </c>
      <c r="K1280" t="s" s="10">
        <v>6679</v>
      </c>
      <c r="L1280" s="16">
        <f>HYPERLINK("http://www.dengtacj.com", "www.dengtacj.com")</f>
      </c>
      <c r="M1280" s="16">
        <f>HYPERLINK("https://my.pitchbook.com?c=435271-60", "View Company Online")</f>
      </c>
    </row>
    <row r="1281">
      <c r="A1281" t="s" s="11">
        <v>6681</v>
      </c>
      <c r="B1281" t="s" s="11">
        <v>6682</v>
      </c>
      <c r="C1281" t="s" s="11">
        <v>60</v>
      </c>
      <c r="D1281" t="s" s="11">
        <v>432</v>
      </c>
      <c r="E1281" t="s" s="11">
        <v>1093</v>
      </c>
      <c r="F1281" s="28">
        <v>45440</v>
      </c>
      <c r="G1281" t="s" s="11">
        <v>40</v>
      </c>
      <c r="H1281" t="s" s="43">
        <v>30</v>
      </c>
      <c r="I1281" s="43">
        <v>61.81</v>
      </c>
      <c r="J1281" t="s" s="11">
        <v>6683</v>
      </c>
      <c r="K1281" t="s" s="11">
        <v>6684</v>
      </c>
      <c r="L1281" s="17">
        <f>HYPERLINK("http://www.akinova.com", "www.akinova.com")</f>
      </c>
      <c r="M1281" s="17">
        <f>HYPERLINK("https://my.pitchbook.com?c=233541-46", "View Company Online")</f>
      </c>
    </row>
    <row r="1282">
      <c r="A1282" t="s" s="10">
        <v>6686</v>
      </c>
      <c r="B1282" t="s" s="10">
        <v>6687</v>
      </c>
      <c r="C1282" t="s" s="10">
        <v>164</v>
      </c>
      <c r="D1282" t="s" s="10">
        <v>206</v>
      </c>
      <c r="E1282" t="s" s="10">
        <v>193</v>
      </c>
      <c r="F1282" s="27">
        <v>45273</v>
      </c>
      <c r="G1282" t="s" s="10">
        <v>40</v>
      </c>
      <c r="H1282" s="42">
        <v>15.79</v>
      </c>
      <c r="I1282" s="42">
        <v>61.63</v>
      </c>
      <c r="J1282" t="s" s="10">
        <v>6688</v>
      </c>
      <c r="K1282" t="s" s="10">
        <v>6689</v>
      </c>
      <c r="L1282" s="16">
        <f>HYPERLINK("http://www.meniga.com", "www.meniga.com")</f>
      </c>
      <c r="M1282" s="16">
        <f>HYPERLINK("https://my.pitchbook.com?c=57932-65", "View Company Online")</f>
      </c>
    </row>
    <row r="1283">
      <c r="A1283" t="s" s="11">
        <v>6691</v>
      </c>
      <c r="B1283" t="s" s="11">
        <v>6692</v>
      </c>
      <c r="C1283" t="s" s="11">
        <v>114</v>
      </c>
      <c r="D1283" t="s" s="11">
        <v>136</v>
      </c>
      <c r="E1283" t="s" s="11">
        <v>2782</v>
      </c>
      <c r="F1283" s="28">
        <v>45608</v>
      </c>
      <c r="G1283" t="s" s="11">
        <v>40</v>
      </c>
      <c r="H1283" s="43">
        <v>5.45</v>
      </c>
      <c r="I1283" s="43">
        <v>61.45</v>
      </c>
      <c r="J1283" t="s" s="11">
        <v>6693</v>
      </c>
      <c r="K1283" t="s" s="11">
        <v>6694</v>
      </c>
      <c r="L1283" s="17">
        <f>HYPERLINK("http://www.easecapital.com", "www.easecapital.com")</f>
      </c>
      <c r="M1283" s="17">
        <f>HYPERLINK("https://my.pitchbook.com?c=512821-81", "View Company Online")</f>
      </c>
    </row>
    <row r="1284">
      <c r="A1284" t="s" s="10">
        <v>6696</v>
      </c>
      <c r="B1284" t="s" s="10">
        <v>6697</v>
      </c>
      <c r="C1284" t="s" s="10">
        <v>27</v>
      </c>
      <c r="D1284" t="s" s="10">
        <v>70</v>
      </c>
      <c r="E1284" t="s" s="10">
        <v>859</v>
      </c>
      <c r="F1284" s="27">
        <v>46072</v>
      </c>
      <c r="G1284" t="s" s="10">
        <v>146</v>
      </c>
      <c r="H1284" t="s" s="42">
        <v>30</v>
      </c>
      <c r="I1284" s="42">
        <v>61</v>
      </c>
      <c r="J1284" t="s" s="10">
        <v>6698</v>
      </c>
      <c r="K1284" t="s" s="10">
        <v>6699</v>
      </c>
      <c r="L1284" s="16">
        <f>HYPERLINK("http://www.ubyx.xyz", "www.ubyx.xyz")</f>
      </c>
      <c r="M1284" s="16">
        <f>HYPERLINK("https://my.pitchbook.com?c=865679-14", "View Company Online")</f>
      </c>
    </row>
    <row r="1285">
      <c r="A1285" t="s" s="11">
        <v>6701</v>
      </c>
      <c r="B1285" t="s" s="11">
        <v>6702</v>
      </c>
      <c r="C1285" t="s" s="11">
        <v>164</v>
      </c>
      <c r="D1285" t="s" s="11">
        <v>206</v>
      </c>
      <c r="E1285" t="s" s="11">
        <v>634</v>
      </c>
      <c r="F1285" s="28">
        <v>46006</v>
      </c>
      <c r="G1285" t="s" s="11">
        <v>31</v>
      </c>
      <c r="H1285" s="43">
        <v>1.02</v>
      </c>
      <c r="I1285" s="43">
        <v>60.8</v>
      </c>
      <c r="J1285" t="s" s="11">
        <v>6703</v>
      </c>
      <c r="K1285" t="s" s="11">
        <v>6704</v>
      </c>
      <c r="L1285" s="17">
        <f>HYPERLINK("http://www.lendflow.com", "www.lendflow.com")</f>
      </c>
      <c r="M1285" s="17">
        <f>HYPERLINK("https://my.pitchbook.com?c=454278-52", "View Company Online")</f>
      </c>
    </row>
    <row r="1286">
      <c r="A1286" t="s" s="10">
        <v>6706</v>
      </c>
      <c r="B1286" t="s" s="10">
        <v>6707</v>
      </c>
      <c r="C1286" t="s" s="10">
        <v>144</v>
      </c>
      <c r="D1286" t="s" s="10">
        <v>297</v>
      </c>
      <c r="E1286" t="s" s="10">
        <v>137</v>
      </c>
      <c r="F1286" s="27">
        <v>44474</v>
      </c>
      <c r="G1286" t="s" s="10">
        <v>31</v>
      </c>
      <c r="H1286" t="s" s="42">
        <v>30</v>
      </c>
      <c r="I1286" s="42">
        <v>60.69</v>
      </c>
      <c r="J1286" t="s" s="10">
        <v>6708</v>
      </c>
      <c r="K1286" t="s" s="10">
        <v>6709</v>
      </c>
      <c r="L1286" s="16">
        <f>HYPERLINK("http://www.incomlend.com", "www.incomlend.com")</f>
      </c>
      <c r="M1286" s="16">
        <f>HYPERLINK("https://my.pitchbook.com?c=226680-67", "View Company Online")</f>
      </c>
    </row>
    <row r="1287">
      <c r="A1287" t="s" s="11">
        <v>6711</v>
      </c>
      <c r="B1287" t="s" s="11">
        <v>6712</v>
      </c>
      <c r="C1287" t="s" s="11">
        <v>114</v>
      </c>
      <c r="D1287" t="s" s="11">
        <v>852</v>
      </c>
      <c r="E1287" t="s" s="11">
        <v>2824</v>
      </c>
      <c r="F1287" s="28">
        <v>46082</v>
      </c>
      <c r="G1287" t="s" s="11">
        <v>5274</v>
      </c>
      <c r="H1287" t="s" s="43">
        <v>30</v>
      </c>
      <c r="I1287" s="43">
        <v>60.61</v>
      </c>
      <c r="J1287" t="s" s="11">
        <v>6713</v>
      </c>
      <c r="K1287" t="s" s="11">
        <v>6714</v>
      </c>
      <c r="L1287" s="17">
        <f>HYPERLINK("http://www.finanex.io", "www.finanex.io")</f>
      </c>
      <c r="M1287" s="17">
        <f>HYPERLINK("https://my.pitchbook.com?c=500906-53", "View Company Online")</f>
      </c>
    </row>
    <row r="1288">
      <c r="A1288" t="s" s="10">
        <v>6716</v>
      </c>
      <c r="B1288" t="s" s="10">
        <v>6717</v>
      </c>
      <c r="C1288" t="s" s="10">
        <v>37</v>
      </c>
      <c r="D1288" t="s" s="10">
        <v>304</v>
      </c>
      <c r="E1288" t="s" s="10">
        <v>1054</v>
      </c>
      <c r="F1288" s="27">
        <v>45962</v>
      </c>
      <c r="G1288" t="s" s="10">
        <v>48</v>
      </c>
      <c r="H1288" t="s" s="42">
        <v>30</v>
      </c>
      <c r="I1288" s="42">
        <v>60.5</v>
      </c>
      <c r="J1288" t="s" s="10">
        <v>6718</v>
      </c>
      <c r="K1288" t="s" s="10">
        <v>6719</v>
      </c>
      <c r="L1288" s="16">
        <f>HYPERLINK("http://www.perpay.com", "www.perpay.com")</f>
      </c>
      <c r="M1288" s="16">
        <f>HYPERLINK("https://my.pitchbook.com?c=118147-15", "View Company Online")</f>
      </c>
    </row>
    <row r="1289">
      <c r="A1289" t="s" s="11">
        <v>6721</v>
      </c>
      <c r="B1289" t="s" s="11">
        <v>6722</v>
      </c>
      <c r="C1289" t="s" s="11">
        <v>60</v>
      </c>
      <c r="D1289" t="s" s="11">
        <v>727</v>
      </c>
      <c r="E1289" t="s" s="11">
        <v>2782</v>
      </c>
      <c r="F1289" s="28">
        <v>45721</v>
      </c>
      <c r="G1289" t="s" s="11">
        <v>271</v>
      </c>
      <c r="H1289" s="43">
        <v>5.42</v>
      </c>
      <c r="I1289" s="43">
        <v>60.38</v>
      </c>
      <c r="J1289" t="s" s="11">
        <v>6723</v>
      </c>
      <c r="K1289" t="s" s="11">
        <v>6724</v>
      </c>
      <c r="L1289" s="17">
        <f>HYPERLINK("http://www.doorvest.com", "www.doorvest.com")</f>
      </c>
      <c r="M1289" s="17">
        <f>HYPERLINK("https://my.pitchbook.com?c=437037-58", "View Company Online")</f>
      </c>
    </row>
    <row r="1290">
      <c r="A1290" t="s" s="10">
        <v>6726</v>
      </c>
      <c r="B1290" t="s" s="10">
        <v>6727</v>
      </c>
      <c r="C1290" t="s" s="10">
        <v>46</v>
      </c>
      <c r="D1290" t="s" s="10">
        <v>397</v>
      </c>
      <c r="E1290" t="s" s="10">
        <v>373</v>
      </c>
      <c r="F1290" s="27">
        <v>45509</v>
      </c>
      <c r="G1290" t="s" s="10">
        <v>40</v>
      </c>
      <c r="H1290" s="42">
        <v>42</v>
      </c>
      <c r="I1290" s="42">
        <v>60.38</v>
      </c>
      <c r="J1290" t="s" s="10">
        <v>6728</v>
      </c>
      <c r="K1290" t="s" s="10">
        <v>6729</v>
      </c>
      <c r="L1290" s="16">
        <f>HYPERLINK("http://www.osome.com", "www.osome.com")</f>
      </c>
      <c r="M1290" s="16">
        <f>HYPERLINK("https://my.pitchbook.com?c=235241-38", "View Company Online")</f>
      </c>
    </row>
    <row r="1291">
      <c r="A1291" t="s" s="11">
        <v>6731</v>
      </c>
      <c r="B1291" t="s" s="11">
        <v>6732</v>
      </c>
      <c r="C1291" t="s" s="11">
        <v>114</v>
      </c>
      <c r="D1291" t="s" s="11">
        <v>852</v>
      </c>
      <c r="E1291" t="s" s="11">
        <v>2886</v>
      </c>
      <c r="F1291" s="28">
        <v>43360</v>
      </c>
      <c r="G1291" t="s" s="11">
        <v>146</v>
      </c>
      <c r="H1291" t="s" s="43">
        <v>30</v>
      </c>
      <c r="I1291" s="43">
        <v>60.35</v>
      </c>
      <c r="J1291" t="s" s="11">
        <v>6733</v>
      </c>
      <c r="K1291" t="s" s="11">
        <v>6734</v>
      </c>
      <c r="L1291" s="17">
        <f>HYPERLINK("http://www.xmebank.com", "www.xmebank.com")</f>
      </c>
      <c r="M1291" s="17">
        <f>HYPERLINK("https://my.pitchbook.com?c=222818-77", "View Company Online")</f>
      </c>
    </row>
    <row r="1292">
      <c r="A1292" t="s" s="10">
        <v>6736</v>
      </c>
      <c r="B1292" t="s" s="10">
        <v>6737</v>
      </c>
      <c r="C1292" t="s" s="10">
        <v>27</v>
      </c>
      <c r="D1292" t="s" s="10">
        <v>28</v>
      </c>
      <c r="E1292" t="s" s="10">
        <v>193</v>
      </c>
      <c r="F1292" s="27">
        <v>45904</v>
      </c>
      <c r="G1292" t="s" s="10">
        <v>40</v>
      </c>
      <c r="H1292" s="42">
        <v>4.6</v>
      </c>
      <c r="I1292" s="42">
        <v>60.14</v>
      </c>
      <c r="J1292" t="s" s="10">
        <v>6738</v>
      </c>
      <c r="K1292" t="s" s="10">
        <v>6739</v>
      </c>
      <c r="L1292" s="16">
        <f>HYPERLINK("http://www.mypinpad.com", "www.mypinpad.com")</f>
      </c>
      <c r="M1292" s="16">
        <f>HYPERLINK("https://my.pitchbook.com?c=146932-84", "View Company Online")</f>
      </c>
    </row>
    <row r="1293">
      <c r="A1293" t="s" s="11">
        <v>6741</v>
      </c>
      <c r="B1293" t="s" s="11">
        <v>6742</v>
      </c>
      <c r="C1293" t="s" s="11">
        <v>114</v>
      </c>
      <c r="D1293" t="s" s="11">
        <v>136</v>
      </c>
      <c r="E1293" t="s" s="11">
        <v>137</v>
      </c>
      <c r="F1293" s="28">
        <v>45678</v>
      </c>
      <c r="G1293" t="s" s="11">
        <v>40</v>
      </c>
      <c r="H1293" t="s" s="43">
        <v>30</v>
      </c>
      <c r="I1293" s="43">
        <v>60.12</v>
      </c>
      <c r="J1293" t="s" s="11">
        <v>6743</v>
      </c>
      <c r="K1293" t="s" s="11">
        <v>6744</v>
      </c>
      <c r="L1293" s="17">
        <f>HYPERLINK("http://www.climbcredit.com", "www.climbcredit.com")</f>
      </c>
      <c r="M1293" s="17">
        <f>HYPERLINK("https://my.pitchbook.com?c=113290-84", "View Company Online")</f>
      </c>
    </row>
    <row r="1294">
      <c r="A1294" t="s" s="10">
        <v>6746</v>
      </c>
      <c r="B1294" t="s" s="10">
        <v>6747</v>
      </c>
      <c r="C1294" t="s" s="10">
        <v>172</v>
      </c>
      <c r="D1294" t="s" s="10">
        <v>173</v>
      </c>
      <c r="E1294" t="s" s="10">
        <v>270</v>
      </c>
      <c r="F1294" s="27">
        <v>45946</v>
      </c>
      <c r="G1294" t="s" s="10">
        <v>64</v>
      </c>
      <c r="H1294" t="s" s="42">
        <v>30</v>
      </c>
      <c r="I1294" s="42">
        <v>60.12</v>
      </c>
      <c r="J1294" t="s" s="10">
        <v>6748</v>
      </c>
      <c r="K1294" t="s" s="10">
        <v>6749</v>
      </c>
      <c r="L1294" s="16">
        <f>HYPERLINK("http://www.qcc.com", "www.qcc.com")</f>
      </c>
      <c r="M1294" s="16">
        <f>HYPERLINK("https://my.pitchbook.com?c=183671-29", "View Company Online")</f>
      </c>
    </row>
    <row r="1295">
      <c r="A1295" t="s" s="11">
        <v>6751</v>
      </c>
      <c r="B1295" t="s" s="11">
        <v>6752</v>
      </c>
      <c r="C1295" t="s" s="11">
        <v>37</v>
      </c>
      <c r="D1295" t="s" s="11">
        <v>304</v>
      </c>
      <c r="E1295" t="s" s="11">
        <v>137</v>
      </c>
      <c r="F1295" s="28">
        <v>46204</v>
      </c>
      <c r="G1295" t="s" s="11">
        <v>40</v>
      </c>
      <c r="H1295" s="43">
        <v>9.2</v>
      </c>
      <c r="I1295" s="43">
        <v>60.05</v>
      </c>
      <c r="J1295" t="s" s="11">
        <v>6753</v>
      </c>
      <c r="K1295" t="s" s="11">
        <v>6754</v>
      </c>
      <c r="L1295" s="17">
        <f>HYPERLINK("http://www.nudge.works", "www.nudge.works")</f>
      </c>
      <c r="M1295" s="17">
        <f>HYPERLINK("https://my.pitchbook.com?c=460207-45", "View Company Online")</f>
      </c>
    </row>
    <row r="1296">
      <c r="A1296" t="s" s="10">
        <v>6756</v>
      </c>
      <c r="B1296" t="s" s="10">
        <v>6757</v>
      </c>
      <c r="C1296" t="s" s="10">
        <v>222</v>
      </c>
      <c r="D1296" t="s" s="10">
        <v>252</v>
      </c>
      <c r="E1296" t="s" s="10">
        <v>253</v>
      </c>
      <c r="F1296" s="27">
        <v>45328</v>
      </c>
      <c r="G1296" t="s" s="10">
        <v>40</v>
      </c>
      <c r="H1296" s="42">
        <v>15</v>
      </c>
      <c r="I1296" s="42">
        <v>60</v>
      </c>
      <c r="J1296" t="s" s="10">
        <v>6758</v>
      </c>
      <c r="K1296" t="s" s="10">
        <v>6759</v>
      </c>
      <c r="L1296" s="16">
        <f>HYPERLINK("http://www.adroit-tt.com", "www.adroit-tt.com")</f>
      </c>
      <c r="M1296" s="16">
        <f>HYPERLINK("https://my.pitchbook.com?c=157441-51", "View Company Online")</f>
      </c>
    </row>
    <row r="1297">
      <c r="A1297" t="s" s="11">
        <v>6761</v>
      </c>
      <c r="B1297" t="s" s="11">
        <v>6762</v>
      </c>
      <c r="C1297" t="s" s="11">
        <v>128</v>
      </c>
      <c r="D1297" t="s" s="11">
        <v>276</v>
      </c>
      <c r="E1297" t="s" s="11">
        <v>253</v>
      </c>
      <c r="F1297" s="28">
        <v>46143</v>
      </c>
      <c r="G1297" t="s" s="11">
        <v>40</v>
      </c>
      <c r="H1297" t="s" s="43">
        <v>30</v>
      </c>
      <c r="I1297" s="43">
        <v>60</v>
      </c>
      <c r="J1297" t="s" s="11">
        <v>6763</v>
      </c>
      <c r="K1297" t="s" s="11">
        <v>6764</v>
      </c>
      <c r="L1297" s="17">
        <f>HYPERLINK("http://www.afriex.com", "www.afriex.com")</f>
      </c>
      <c r="M1297" s="17">
        <f>HYPERLINK("https://my.pitchbook.com?c=438219-10", "View Company Online")</f>
      </c>
    </row>
    <row r="1298">
      <c r="A1298" t="s" s="10">
        <v>6766</v>
      </c>
      <c r="B1298" t="s" s="10">
        <v>6767</v>
      </c>
      <c r="C1298" t="s" s="10">
        <v>164</v>
      </c>
      <c r="D1298" t="s" s="10">
        <v>165</v>
      </c>
      <c r="E1298" t="s" s="10">
        <v>3911</v>
      </c>
      <c r="F1298" t="s" s="27">
        <v>30</v>
      </c>
      <c r="G1298" t="s" s="10">
        <v>31</v>
      </c>
      <c r="H1298" t="s" s="42">
        <v>30</v>
      </c>
      <c r="I1298" s="42">
        <v>60</v>
      </c>
      <c r="J1298" t="s" s="10">
        <v>6768</v>
      </c>
      <c r="K1298" t="s" s="10">
        <v>6769</v>
      </c>
      <c r="L1298" s="16">
        <f>HYPERLINK("http://www.agentiq.com", "www.agentiq.com")</f>
      </c>
      <c r="M1298" s="16">
        <f>HYPERLINK("https://my.pitchbook.com?c=170019-10", "View Company Online")</f>
      </c>
    </row>
    <row r="1299">
      <c r="A1299" t="s" s="11">
        <v>6771</v>
      </c>
      <c r="B1299" t="s" s="11">
        <v>6772</v>
      </c>
      <c r="C1299" t="s" s="11">
        <v>27</v>
      </c>
      <c r="D1299" t="s" s="11">
        <v>28</v>
      </c>
      <c r="E1299" t="s" s="11">
        <v>253</v>
      </c>
      <c r="F1299" t="s" s="28">
        <v>30</v>
      </c>
      <c r="G1299" t="s" s="11">
        <v>31</v>
      </c>
      <c r="H1299" t="s" s="43">
        <v>30</v>
      </c>
      <c r="I1299" s="43">
        <v>60</v>
      </c>
      <c r="J1299" t="s" s="11">
        <v>6773</v>
      </c>
      <c r="K1299" t="s" s="11">
        <v>6774</v>
      </c>
      <c r="L1299" s="17">
        <f>HYPERLINK("http://www.aliaswire.com", "www.aliaswire.com")</f>
      </c>
      <c r="M1299" s="17">
        <f>HYPERLINK("https://my.pitchbook.com?c=139725-10", "View Company Online")</f>
      </c>
    </row>
    <row r="1300">
      <c r="A1300" t="s" s="10">
        <v>6776</v>
      </c>
      <c r="B1300" t="s" s="10">
        <v>6777</v>
      </c>
      <c r="C1300" t="s" s="10">
        <v>114</v>
      </c>
      <c r="D1300" t="s" s="10">
        <v>136</v>
      </c>
      <c r="E1300" t="s" s="10">
        <v>116</v>
      </c>
      <c r="F1300" s="27">
        <v>45721</v>
      </c>
      <c r="G1300" t="s" s="10">
        <v>40</v>
      </c>
      <c r="H1300" s="42">
        <v>20</v>
      </c>
      <c r="I1300" s="42">
        <v>60</v>
      </c>
      <c r="J1300" t="s" s="10">
        <v>6778</v>
      </c>
      <c r="K1300" t="s" s="10">
        <v>6779</v>
      </c>
      <c r="L1300" s="16">
        <f>HYPERLINK("http://www.bankuish.com", "www.bankuish.com")</f>
      </c>
      <c r="M1300" s="16">
        <f>HYPERLINK("https://my.pitchbook.com?c=468973-09", "View Company Online")</f>
      </c>
    </row>
    <row r="1301">
      <c r="A1301" t="s" s="11">
        <v>6781</v>
      </c>
      <c r="B1301" t="s" s="11">
        <v>6782</v>
      </c>
      <c r="C1301" t="s" s="11">
        <v>37</v>
      </c>
      <c r="D1301" t="s" s="11">
        <v>38</v>
      </c>
      <c r="E1301" t="s" s="11">
        <v>6783</v>
      </c>
      <c r="F1301" s="28">
        <v>45112</v>
      </c>
      <c r="G1301" t="s" s="11">
        <v>40</v>
      </c>
      <c r="H1301" s="43">
        <v>12.28</v>
      </c>
      <c r="I1301" s="43">
        <v>60</v>
      </c>
      <c r="J1301" t="s" s="11">
        <v>6784</v>
      </c>
      <c r="K1301" t="s" s="11">
        <v>6785</v>
      </c>
      <c r="L1301" s="17">
        <f>HYPERLINK("http://www.getmbi.com", "www.getmbi.com")</f>
      </c>
      <c r="M1301" s="17">
        <f>HYPERLINK("https://my.pitchbook.com?c=266565-79", "View Company Online")</f>
      </c>
    </row>
    <row r="1302">
      <c r="A1302" t="s" s="10">
        <v>6787</v>
      </c>
      <c r="B1302" t="s" s="10">
        <v>6788</v>
      </c>
      <c r="C1302" t="s" s="10">
        <v>114</v>
      </c>
      <c r="D1302" t="s" s="10">
        <v>115</v>
      </c>
      <c r="E1302" t="s" s="10">
        <v>2293</v>
      </c>
      <c r="F1302" s="27">
        <v>44774</v>
      </c>
      <c r="G1302" t="s" s="10">
        <v>40</v>
      </c>
      <c r="H1302" t="s" s="42">
        <v>30</v>
      </c>
      <c r="I1302" s="42">
        <v>60</v>
      </c>
      <c r="J1302" t="s" s="10">
        <v>6789</v>
      </c>
      <c r="K1302" t="s" s="10">
        <v>6790</v>
      </c>
      <c r="L1302" s="16">
        <f>HYPERLINK("http://www.plumlending.com", "www.plumlending.com")</f>
      </c>
      <c r="M1302" s="16">
        <f>HYPERLINK("https://my.pitchbook.com?c=109037-53", "View Company Online")</f>
      </c>
    </row>
    <row r="1303">
      <c r="A1303" t="s" s="11">
        <v>6792</v>
      </c>
      <c r="B1303" t="s" s="11">
        <v>6793</v>
      </c>
      <c r="C1303" t="s" s="11">
        <v>172</v>
      </c>
      <c r="D1303" t="s" s="11">
        <v>338</v>
      </c>
      <c r="E1303" t="s" s="11">
        <v>601</v>
      </c>
      <c r="F1303" s="28">
        <v>44312</v>
      </c>
      <c r="G1303" t="s" s="11">
        <v>146</v>
      </c>
      <c r="H1303" s="43">
        <v>16</v>
      </c>
      <c r="I1303" s="43">
        <v>60</v>
      </c>
      <c r="J1303" t="s" s="11">
        <v>6794</v>
      </c>
      <c r="K1303" t="s" s="11">
        <v>6795</v>
      </c>
      <c r="L1303" s="17">
        <f>HYPERLINK("http://www.productfy.io", "www.productfy.io")</f>
      </c>
      <c r="M1303" s="17">
        <f>HYPERLINK("https://my.pitchbook.com?c=235216-63", "View Company Online")</f>
      </c>
    </row>
    <row r="1304">
      <c r="A1304" t="s" s="10">
        <v>6797</v>
      </c>
      <c r="B1304" t="s" s="10">
        <v>6798</v>
      </c>
      <c r="C1304" t="s" s="10">
        <v>164</v>
      </c>
      <c r="D1304" t="s" s="10">
        <v>206</v>
      </c>
      <c r="E1304" t="s" s="10">
        <v>137</v>
      </c>
      <c r="F1304" s="27">
        <v>45861</v>
      </c>
      <c r="G1304" t="s" s="10">
        <v>146</v>
      </c>
      <c r="H1304" s="42">
        <v>4</v>
      </c>
      <c r="I1304" s="42">
        <v>60</v>
      </c>
      <c r="J1304" t="s" s="10">
        <v>6799</v>
      </c>
      <c r="K1304" t="s" s="10">
        <v>6800</v>
      </c>
      <c r="L1304" s="16">
        <f>HYPERLINK("http://www.synervest.group", "www.synervest.group")</f>
      </c>
      <c r="M1304" s="16">
        <f>HYPERLINK("https://my.pitchbook.com?c=897309-73", "View Company Online")</f>
      </c>
    </row>
    <row r="1305">
      <c r="A1305" t="s" s="11">
        <v>6802</v>
      </c>
      <c r="B1305" t="s" s="11">
        <v>6803</v>
      </c>
      <c r="C1305" t="s" s="11">
        <v>164</v>
      </c>
      <c r="D1305" t="s" s="11">
        <v>206</v>
      </c>
      <c r="E1305" t="s" s="11">
        <v>253</v>
      </c>
      <c r="F1305" s="28">
        <v>45917</v>
      </c>
      <c r="G1305" t="s" s="11">
        <v>48</v>
      </c>
      <c r="H1305" s="43">
        <v>5</v>
      </c>
      <c r="I1305" s="43">
        <v>59.71</v>
      </c>
      <c r="J1305" t="s" s="11">
        <v>6804</v>
      </c>
      <c r="K1305" t="s" s="11">
        <v>6805</v>
      </c>
      <c r="L1305" s="17">
        <f>HYPERLINK("http://www.finbox.in", "www.finbox.in")</f>
      </c>
      <c r="M1305" s="17">
        <f>HYPERLINK("https://my.pitchbook.com?c=185956-30", "View Company Online")</f>
      </c>
    </row>
    <row r="1306">
      <c r="A1306" t="s" s="10">
        <v>6807</v>
      </c>
      <c r="B1306" t="s" s="10">
        <v>6808</v>
      </c>
      <c r="C1306" t="s" s="10">
        <v>144</v>
      </c>
      <c r="D1306" t="s" s="10">
        <v>297</v>
      </c>
      <c r="E1306" t="s" s="10">
        <v>6809</v>
      </c>
      <c r="F1306" s="27">
        <v>45020</v>
      </c>
      <c r="G1306" t="s" s="10">
        <v>146</v>
      </c>
      <c r="H1306" s="42">
        <v>1.6</v>
      </c>
      <c r="I1306" s="42">
        <v>59.6</v>
      </c>
      <c r="J1306" t="s" s="10">
        <v>6810</v>
      </c>
      <c r="K1306" t="s" s="10">
        <v>6811</v>
      </c>
      <c r="L1306" s="16">
        <f>HYPERLINK("http://www.bluextrade.com", "www.bluextrade.com")</f>
      </c>
      <c r="M1306" s="16">
        <f>HYPERLINK("https://my.pitchbook.com?c=268163-38", "View Company Online")</f>
      </c>
    </row>
    <row r="1307">
      <c r="A1307" t="s" s="11">
        <v>6813</v>
      </c>
      <c r="B1307" t="s" s="11">
        <v>6814</v>
      </c>
      <c r="C1307" t="s" s="11">
        <v>37</v>
      </c>
      <c r="D1307" t="s" s="11">
        <v>304</v>
      </c>
      <c r="E1307" t="s" s="11">
        <v>137</v>
      </c>
      <c r="F1307" s="28">
        <v>46030</v>
      </c>
      <c r="G1307" t="s" s="11">
        <v>31</v>
      </c>
      <c r="H1307" t="s" s="43">
        <v>30</v>
      </c>
      <c r="I1307" s="43">
        <v>59.6</v>
      </c>
      <c r="J1307" t="s" s="11">
        <v>6815</v>
      </c>
      <c r="K1307" t="s" s="11">
        <v>6816</v>
      </c>
      <c r="L1307" s="17">
        <f>HYPERLINK("http://www.dvarakgfs.com", "www.dvarakgfs.com")</f>
      </c>
      <c r="M1307" s="17">
        <f>HYPERLINK("https://my.pitchbook.com?c=267221-08", "View Company Online")</f>
      </c>
    </row>
    <row r="1308">
      <c r="A1308" t="s" s="10">
        <v>6818</v>
      </c>
      <c r="B1308" t="s" s="10">
        <v>6819</v>
      </c>
      <c r="C1308" t="s" s="10">
        <v>60</v>
      </c>
      <c r="D1308" t="s" s="10">
        <v>246</v>
      </c>
      <c r="E1308" t="s" s="10">
        <v>253</v>
      </c>
      <c r="F1308" s="27">
        <v>45460</v>
      </c>
      <c r="G1308" t="s" s="10">
        <v>40</v>
      </c>
      <c r="H1308" s="42">
        <v>10.88</v>
      </c>
      <c r="I1308" s="42">
        <v>59.36</v>
      </c>
      <c r="J1308" t="s" s="10">
        <v>6820</v>
      </c>
      <c r="K1308" t="s" s="10">
        <v>6821</v>
      </c>
      <c r="L1308" s="16">
        <f>HYPERLINK("http://www.monthio.com", "www.monthio.com")</f>
      </c>
      <c r="M1308" s="16">
        <f>HYPERLINK("https://my.pitchbook.com?c=268313-05", "View Company Online")</f>
      </c>
    </row>
    <row r="1309">
      <c r="A1309" t="s" s="11">
        <v>6823</v>
      </c>
      <c r="B1309" t="s" s="11">
        <v>6824</v>
      </c>
      <c r="C1309" t="s" s="11">
        <v>114</v>
      </c>
      <c r="D1309" t="s" s="11">
        <v>870</v>
      </c>
      <c r="E1309" t="s" s="11">
        <v>253</v>
      </c>
      <c r="F1309" t="s" s="28">
        <v>30</v>
      </c>
      <c r="G1309" t="s" s="11">
        <v>48</v>
      </c>
      <c r="H1309" t="s" s="43">
        <v>30</v>
      </c>
      <c r="I1309" s="43">
        <v>59.24</v>
      </c>
      <c r="J1309" t="s" s="11">
        <v>6825</v>
      </c>
      <c r="K1309" t="s" s="11">
        <v>6826</v>
      </c>
      <c r="L1309" s="17">
        <f>HYPERLINK("http://www.pawnhero.ph", "www.pawnhero.ph")</f>
      </c>
      <c r="M1309" s="17">
        <f>HYPERLINK("https://my.pitchbook.com?c=117466-93", "View Company Online")</f>
      </c>
    </row>
    <row r="1310">
      <c r="A1310" t="s" s="10">
        <v>6828</v>
      </c>
      <c r="B1310" t="s" s="10">
        <v>6829</v>
      </c>
      <c r="C1310" t="s" s="10">
        <v>164</v>
      </c>
      <c r="D1310" t="s" s="10">
        <v>165</v>
      </c>
      <c r="E1310" t="s" s="10">
        <v>137</v>
      </c>
      <c r="F1310" s="27">
        <v>45492</v>
      </c>
      <c r="G1310" t="s" s="10">
        <v>40</v>
      </c>
      <c r="H1310" s="42">
        <v>4.13</v>
      </c>
      <c r="I1310" s="42">
        <v>59.21</v>
      </c>
      <c r="J1310" t="s" s="10">
        <v>6830</v>
      </c>
      <c r="K1310" t="s" s="10">
        <v>6831</v>
      </c>
      <c r="L1310" s="16">
        <f>HYPERLINK("http://www.murongtech.com", "www.murongtech.com")</f>
      </c>
      <c r="M1310" s="16">
        <f>HYPERLINK("https://my.pitchbook.com?c=510459-58", "View Company Online")</f>
      </c>
    </row>
    <row r="1311">
      <c r="A1311" t="s" s="11">
        <v>6833</v>
      </c>
      <c r="B1311" t="s" s="11">
        <v>6834</v>
      </c>
      <c r="C1311" t="s" s="11">
        <v>46</v>
      </c>
      <c r="D1311" t="s" s="11">
        <v>47</v>
      </c>
      <c r="E1311" t="s" s="11">
        <v>259</v>
      </c>
      <c r="F1311" s="28">
        <v>45791</v>
      </c>
      <c r="G1311" t="s" s="11">
        <v>607</v>
      </c>
      <c r="H1311" t="s" s="43">
        <v>30</v>
      </c>
      <c r="I1311" s="43">
        <v>59</v>
      </c>
      <c r="J1311" t="s" s="11">
        <v>6835</v>
      </c>
      <c r="K1311" t="s" s="11">
        <v>6836</v>
      </c>
      <c r="L1311" s="17">
        <f>HYPERLINK("http://www.sayanchor.com", "www.sayanchor.com")</f>
      </c>
      <c r="M1311" s="17">
        <f>HYPERLINK("https://my.pitchbook.com?c=484529-77", "View Company Online")</f>
      </c>
    </row>
    <row r="1312">
      <c r="A1312" t="s" s="10">
        <v>6838</v>
      </c>
      <c r="B1312" t="s" s="10">
        <v>6839</v>
      </c>
      <c r="C1312" t="s" s="10">
        <v>60</v>
      </c>
      <c r="D1312" t="s" s="10">
        <v>192</v>
      </c>
      <c r="E1312" t="s" s="10">
        <v>2293</v>
      </c>
      <c r="F1312" s="27">
        <v>45695</v>
      </c>
      <c r="G1312" t="s" s="10">
        <v>40</v>
      </c>
      <c r="H1312" s="42">
        <v>15</v>
      </c>
      <c r="I1312" s="42">
        <v>59</v>
      </c>
      <c r="J1312" t="s" s="10">
        <v>6840</v>
      </c>
      <c r="K1312" t="s" s="10">
        <v>6841</v>
      </c>
      <c r="L1312" s="16">
        <f>HYPERLINK("http://www.investnext.com", "www.investnext.com")</f>
      </c>
      <c r="M1312" s="16">
        <f>HYPERLINK("https://my.pitchbook.com?c=323049-07", "View Company Online")</f>
      </c>
    </row>
    <row r="1313">
      <c r="A1313" t="s" s="11">
        <v>6843</v>
      </c>
      <c r="B1313" t="s" s="11">
        <v>6844</v>
      </c>
      <c r="C1313" t="s" s="11">
        <v>114</v>
      </c>
      <c r="D1313" t="s" s="11">
        <v>852</v>
      </c>
      <c r="E1313" t="s" s="11">
        <v>137</v>
      </c>
      <c r="F1313" s="28">
        <v>45327</v>
      </c>
      <c r="G1313" t="s" s="11">
        <v>40</v>
      </c>
      <c r="H1313" s="43">
        <v>17.54</v>
      </c>
      <c r="I1313" s="43">
        <v>59</v>
      </c>
      <c r="J1313" t="s" s="11">
        <v>6845</v>
      </c>
      <c r="K1313" t="s" s="11">
        <v>6846</v>
      </c>
      <c r="L1313" s="17">
        <f>HYPERLINK("http://www.marcofi.com", "www.marcofi.com")</f>
      </c>
      <c r="M1313" s="17">
        <f>HYPERLINK("https://my.pitchbook.com?c=438545-80", "View Company Online")</f>
      </c>
    </row>
    <row r="1314">
      <c r="A1314" t="s" s="10">
        <v>6848</v>
      </c>
      <c r="B1314" t="s" s="10">
        <v>6849</v>
      </c>
      <c r="C1314" t="s" s="10">
        <v>164</v>
      </c>
      <c r="D1314" t="s" s="10">
        <v>206</v>
      </c>
      <c r="E1314" t="s" s="10">
        <v>3320</v>
      </c>
      <c r="F1314" s="27">
        <v>46223</v>
      </c>
      <c r="G1314" t="s" s="10">
        <v>391</v>
      </c>
      <c r="H1314" t="s" s="42">
        <v>30</v>
      </c>
      <c r="I1314" s="42">
        <v>58.89</v>
      </c>
      <c r="J1314" t="s" s="10">
        <v>6850</v>
      </c>
      <c r="K1314" t="s" s="10">
        <v>30</v>
      </c>
      <c r="L1314" s="16">
        <f>HYPERLINK("http://www.tallied.io", "www.tallied.io")</f>
      </c>
      <c r="M1314" s="16">
        <f>HYPERLINK("https://my.pitchbook.com?c=507236-50", "View Company Online")</f>
      </c>
    </row>
    <row r="1315">
      <c r="A1315" t="s" s="11">
        <v>6852</v>
      </c>
      <c r="B1315" t="s" s="11">
        <v>6853</v>
      </c>
      <c r="C1315" t="s" s="11">
        <v>222</v>
      </c>
      <c r="D1315" t="s" s="11">
        <v>235</v>
      </c>
      <c r="E1315" t="s" s="11">
        <v>137</v>
      </c>
      <c r="F1315" s="28">
        <v>44754</v>
      </c>
      <c r="G1315" t="s" s="11">
        <v>146</v>
      </c>
      <c r="H1315" s="43">
        <v>15.47</v>
      </c>
      <c r="I1315" s="43">
        <v>58.73</v>
      </c>
      <c r="J1315" t="s" s="11">
        <v>6854</v>
      </c>
      <c r="K1315" t="s" s="11">
        <v>6855</v>
      </c>
      <c r="L1315" s="17">
        <f>HYPERLINK("http://www.stableton.com", "www.stableton.com")</f>
      </c>
      <c r="M1315" s="17">
        <f>HYPERLINK("https://my.pitchbook.com?c=277310-44", "View Company Online")</f>
      </c>
    </row>
    <row r="1316">
      <c r="A1316" t="s" s="10">
        <v>6857</v>
      </c>
      <c r="B1316" t="s" s="10">
        <v>6858</v>
      </c>
      <c r="C1316" t="s" s="10">
        <v>27</v>
      </c>
      <c r="D1316" t="s" s="10">
        <v>70</v>
      </c>
      <c r="E1316" t="s" s="10">
        <v>373</v>
      </c>
      <c r="F1316" s="27">
        <v>46091</v>
      </c>
      <c r="G1316" t="s" s="10">
        <v>146</v>
      </c>
      <c r="H1316" s="42">
        <v>20.09</v>
      </c>
      <c r="I1316" s="42">
        <v>58.69</v>
      </c>
      <c r="J1316" t="s" s="10">
        <v>6859</v>
      </c>
      <c r="K1316" t="s" s="10">
        <v>6860</v>
      </c>
      <c r="L1316" s="16">
        <f>HYPERLINK("http://www.outpost.ai", "www.outpost.ai")</f>
      </c>
      <c r="M1316" s="16">
        <f>HYPERLINK("https://my.pitchbook.com?c=740591-20", "View Company Online")</f>
      </c>
    </row>
    <row r="1317">
      <c r="A1317" t="s" s="11">
        <v>6862</v>
      </c>
      <c r="B1317" t="s" s="11">
        <v>6863</v>
      </c>
      <c r="C1317" t="s" s="11">
        <v>46</v>
      </c>
      <c r="D1317" t="s" s="11">
        <v>397</v>
      </c>
      <c r="E1317" t="s" s="11">
        <v>373</v>
      </c>
      <c r="F1317" s="28">
        <v>45875</v>
      </c>
      <c r="G1317" t="s" s="11">
        <v>40</v>
      </c>
      <c r="H1317" s="43">
        <v>12</v>
      </c>
      <c r="I1317" s="43">
        <v>58.5</v>
      </c>
      <c r="J1317" t="s" s="11">
        <v>6864</v>
      </c>
      <c r="K1317" t="s" s="11">
        <v>6865</v>
      </c>
      <c r="L1317" s="17">
        <f>HYPERLINK("http://www.docyt.com", "www.docyt.com")</f>
      </c>
      <c r="M1317" s="17">
        <f>HYPERLINK("https://my.pitchbook.com?c=233773-30", "View Company Online")</f>
      </c>
    </row>
    <row r="1318">
      <c r="A1318" t="s" s="10">
        <v>6867</v>
      </c>
      <c r="B1318" t="s" s="10">
        <v>6868</v>
      </c>
      <c r="C1318" t="s" s="10">
        <v>46</v>
      </c>
      <c r="D1318" t="s" s="10">
        <v>397</v>
      </c>
      <c r="E1318" t="s" s="10">
        <v>634</v>
      </c>
      <c r="F1318" s="27">
        <v>46064</v>
      </c>
      <c r="G1318" t="s" s="10">
        <v>146</v>
      </c>
      <c r="H1318" s="42">
        <v>14.5</v>
      </c>
      <c r="I1318" s="42">
        <v>58.5</v>
      </c>
      <c r="J1318" t="s" s="10">
        <v>6869</v>
      </c>
      <c r="K1318" t="s" s="10">
        <v>6870</v>
      </c>
      <c r="L1318" s="16">
        <f>HYPERLINK("http://www.inscopehq.com", "www.inscopehq.com")</f>
      </c>
      <c r="M1318" s="16">
        <f>HYPERLINK("https://my.pitchbook.com?c=539588-98", "View Company Online")</f>
      </c>
    </row>
    <row r="1319">
      <c r="A1319" t="s" s="11">
        <v>6872</v>
      </c>
      <c r="B1319" t="s" s="11">
        <v>6873</v>
      </c>
      <c r="C1319" t="s" s="11">
        <v>27</v>
      </c>
      <c r="D1319" t="s" s="11">
        <v>70</v>
      </c>
      <c r="E1319" t="s" s="11">
        <v>1859</v>
      </c>
      <c r="F1319" t="s" s="28">
        <v>30</v>
      </c>
      <c r="G1319" t="s" s="11">
        <v>48</v>
      </c>
      <c r="H1319" t="s" s="43">
        <v>30</v>
      </c>
      <c r="I1319" s="43">
        <v>58.35</v>
      </c>
      <c r="J1319" t="s" s="11">
        <v>6874</v>
      </c>
      <c r="K1319" t="s" s="11">
        <v>6875</v>
      </c>
      <c r="L1319" s="17">
        <f>HYPERLINK("http://www.kortvaluta.com", "www.kortvaluta.com")</f>
      </c>
      <c r="M1319" s="17">
        <f>HYPERLINK("https://my.pitchbook.com?c=529674-04", "View Company Online")</f>
      </c>
    </row>
    <row r="1320">
      <c r="A1320" t="s" s="10">
        <v>6877</v>
      </c>
      <c r="B1320" t="s" s="10">
        <v>6878</v>
      </c>
      <c r="C1320" t="s" s="10">
        <v>60</v>
      </c>
      <c r="D1320" t="s" s="10">
        <v>192</v>
      </c>
      <c r="E1320" t="s" s="10">
        <v>137</v>
      </c>
      <c r="F1320" s="27">
        <v>45170</v>
      </c>
      <c r="G1320" t="s" s="10">
        <v>40</v>
      </c>
      <c r="H1320" t="s" s="42">
        <v>30</v>
      </c>
      <c r="I1320" s="42">
        <v>58.27</v>
      </c>
      <c r="J1320" t="s" s="10">
        <v>6879</v>
      </c>
      <c r="K1320" t="s" s="10">
        <v>6880</v>
      </c>
      <c r="L1320" s="16">
        <f>HYPERLINK("http://www.picturewealth.com", "www.picturewealth.com")</f>
      </c>
      <c r="M1320" s="16">
        <f>HYPERLINK("https://my.pitchbook.com?c=185840-29", "View Company Online")</f>
      </c>
    </row>
    <row r="1321">
      <c r="A1321" t="s" s="11">
        <v>6882</v>
      </c>
      <c r="B1321" t="s" s="11">
        <v>6883</v>
      </c>
      <c r="C1321" t="s" s="11">
        <v>222</v>
      </c>
      <c r="D1321" t="s" s="11">
        <v>223</v>
      </c>
      <c r="E1321" t="s" s="11">
        <v>137</v>
      </c>
      <c r="F1321" s="28">
        <v>44826</v>
      </c>
      <c r="G1321" t="s" s="11">
        <v>40</v>
      </c>
      <c r="H1321" s="43">
        <v>3.51</v>
      </c>
      <c r="I1321" s="43">
        <v>58.26</v>
      </c>
      <c r="J1321" t="s" s="11">
        <v>6884</v>
      </c>
      <c r="K1321" t="s" s="11">
        <v>6885</v>
      </c>
      <c r="L1321" s="17">
        <f>HYPERLINK("http://www.thinknum.com", "www.thinknum.com")</f>
      </c>
      <c r="M1321" s="17">
        <f>HYPERLINK("https://my.pitchbook.com?c=65300-23", "View Company Online")</f>
      </c>
    </row>
    <row r="1322">
      <c r="A1322" t="s" s="10">
        <v>6887</v>
      </c>
      <c r="B1322" t="s" s="10">
        <v>6888</v>
      </c>
      <c r="C1322" t="s" s="10">
        <v>60</v>
      </c>
      <c r="D1322" t="s" s="10">
        <v>246</v>
      </c>
      <c r="E1322" t="s" s="10">
        <v>137</v>
      </c>
      <c r="F1322" s="27">
        <v>44657</v>
      </c>
      <c r="G1322" t="s" s="10">
        <v>146</v>
      </c>
      <c r="H1322" s="42">
        <v>3.51</v>
      </c>
      <c r="I1322" s="42">
        <v>58.07</v>
      </c>
      <c r="J1322" t="s" s="10">
        <v>6889</v>
      </c>
      <c r="K1322" t="s" s="10">
        <v>6890</v>
      </c>
      <c r="L1322" s="16">
        <f>HYPERLINK("http://www.verify4.com", "www.verify4.com")</f>
      </c>
      <c r="M1322" s="16">
        <f>HYPERLINK("https://my.pitchbook.com?c=439807-78", "View Company Online")</f>
      </c>
    </row>
    <row r="1323">
      <c r="A1323" t="s" s="11">
        <v>6892</v>
      </c>
      <c r="B1323" t="s" s="11">
        <v>6893</v>
      </c>
      <c r="C1323" t="s" s="11">
        <v>164</v>
      </c>
      <c r="D1323" t="s" s="11">
        <v>165</v>
      </c>
      <c r="E1323" t="s" s="11">
        <v>6894</v>
      </c>
      <c r="F1323" s="28">
        <v>45689</v>
      </c>
      <c r="G1323" t="s" s="11">
        <v>607</v>
      </c>
      <c r="H1323" t="s" s="43">
        <v>30</v>
      </c>
      <c r="I1323" s="43">
        <v>58</v>
      </c>
      <c r="J1323" t="s" s="11">
        <v>6895</v>
      </c>
      <c r="K1323" t="s" s="11">
        <v>6896</v>
      </c>
      <c r="L1323" s="17">
        <f>HYPERLINK("http://www.fairplay.ai", "www.fairplay.ai")</f>
      </c>
      <c r="M1323" s="17">
        <f>HYPERLINK("https://my.pitchbook.com?c=467179-84", "View Company Online")</f>
      </c>
    </row>
    <row r="1324">
      <c r="A1324" t="s" s="10">
        <v>6898</v>
      </c>
      <c r="B1324" t="s" s="10">
        <v>6899</v>
      </c>
      <c r="C1324" t="s" s="10">
        <v>128</v>
      </c>
      <c r="D1324" t="s" s="10">
        <v>276</v>
      </c>
      <c r="E1324" t="s" s="10">
        <v>193</v>
      </c>
      <c r="F1324" t="s" s="27">
        <v>30</v>
      </c>
      <c r="G1324" t="s" s="10">
        <v>48</v>
      </c>
      <c r="H1324" t="s" s="42">
        <v>30</v>
      </c>
      <c r="I1324" s="42">
        <v>58</v>
      </c>
      <c r="J1324" t="s" s="10">
        <v>6900</v>
      </c>
      <c r="K1324" t="s" s="10">
        <v>6901</v>
      </c>
      <c r="L1324" s="16">
        <f>HYPERLINK("http://www.usemine.com", "www.usemine.com")</f>
      </c>
      <c r="M1324" s="16">
        <f>HYPERLINK("https://my.pitchbook.com?c=471756-43", "View Company Online")</f>
      </c>
    </row>
    <row r="1325">
      <c r="A1325" t="s" s="11">
        <v>6903</v>
      </c>
      <c r="B1325" t="s" s="11">
        <v>6904</v>
      </c>
      <c r="C1325" t="s" s="11">
        <v>46</v>
      </c>
      <c r="D1325" t="s" s="11">
        <v>78</v>
      </c>
      <c r="E1325" t="s" s="11">
        <v>137</v>
      </c>
      <c r="F1325" s="28">
        <v>46170</v>
      </c>
      <c r="G1325" t="s" s="11">
        <v>40</v>
      </c>
      <c r="H1325" t="s" s="43">
        <v>30</v>
      </c>
      <c r="I1325" s="43">
        <v>58</v>
      </c>
      <c r="J1325" t="s" s="11">
        <v>6905</v>
      </c>
      <c r="K1325" t="s" s="11">
        <v>6906</v>
      </c>
      <c r="L1325" s="17">
        <f>HYPERLINK("http://www.payslip.com", "www.payslip.com")</f>
      </c>
      <c r="M1325" s="17">
        <f>HYPERLINK("https://my.pitchbook.com?c=227650-60", "View Company Online")</f>
      </c>
    </row>
    <row r="1326">
      <c r="A1326" t="s" s="10">
        <v>6908</v>
      </c>
      <c r="B1326" t="s" s="10">
        <v>6909</v>
      </c>
      <c r="C1326" t="s" s="10">
        <v>27</v>
      </c>
      <c r="D1326" t="s" s="10">
        <v>28</v>
      </c>
      <c r="E1326" t="s" s="10">
        <v>102</v>
      </c>
      <c r="F1326" s="27">
        <v>45750</v>
      </c>
      <c r="G1326" t="s" s="10">
        <v>607</v>
      </c>
      <c r="H1326" t="s" s="42">
        <v>30</v>
      </c>
      <c r="I1326" s="42">
        <v>57.97</v>
      </c>
      <c r="J1326" t="s" s="10">
        <v>6910</v>
      </c>
      <c r="K1326" t="s" s="10">
        <v>6911</v>
      </c>
      <c r="L1326" s="16">
        <f>HYPERLINK("http://www.softpay.io", "www.softpay.io")</f>
      </c>
      <c r="M1326" s="16">
        <f>HYPERLINK("https://my.pitchbook.com?c=454651-57", "View Company Online")</f>
      </c>
    </row>
    <row r="1327">
      <c r="A1327" t="s" s="11">
        <v>6913</v>
      </c>
      <c r="B1327" t="s" s="11">
        <v>6914</v>
      </c>
      <c r="C1327" t="s" s="11">
        <v>60</v>
      </c>
      <c r="D1327" t="s" s="11">
        <v>727</v>
      </c>
      <c r="E1327" t="s" s="11">
        <v>1032</v>
      </c>
      <c r="F1327" s="28">
        <v>45009</v>
      </c>
      <c r="G1327" t="s" s="11">
        <v>40</v>
      </c>
      <c r="H1327" t="s" s="43">
        <v>30</v>
      </c>
      <c r="I1327" s="43">
        <v>57.64</v>
      </c>
      <c r="J1327" t="s" s="11">
        <v>6915</v>
      </c>
      <c r="K1327" t="s" s="11">
        <v>6916</v>
      </c>
      <c r="L1327" s="17">
        <f>HYPERLINK("http://www.estateguru.co", "www.estateguru.co")</f>
      </c>
      <c r="M1327" s="17">
        <f>HYPERLINK("https://my.pitchbook.com?c=123800-14", "View Company Online")</f>
      </c>
    </row>
    <row r="1328">
      <c r="A1328" t="s" s="10">
        <v>6918</v>
      </c>
      <c r="B1328" t="s" s="10">
        <v>6919</v>
      </c>
      <c r="C1328" t="s" s="10">
        <v>46</v>
      </c>
      <c r="D1328" t="s" s="10">
        <v>47</v>
      </c>
      <c r="E1328" t="s" s="10">
        <v>6920</v>
      </c>
      <c r="F1328" s="27">
        <v>46082</v>
      </c>
      <c r="G1328" t="s" s="10">
        <v>40</v>
      </c>
      <c r="H1328" t="s" s="42">
        <v>30</v>
      </c>
      <c r="I1328" s="42">
        <v>57.59</v>
      </c>
      <c r="J1328" t="s" s="10">
        <v>6921</v>
      </c>
      <c r="K1328" t="s" s="10">
        <v>6922</v>
      </c>
      <c r="L1328" s="16">
        <f>HYPERLINK("http://www.paywholesail.com", "www.paywholesail.com")</f>
      </c>
      <c r="M1328" s="16">
        <f>HYPERLINK("https://my.pitchbook.com?c=431380-00", "View Company Online")</f>
      </c>
    </row>
    <row r="1329">
      <c r="A1329" t="s" s="11">
        <v>6924</v>
      </c>
      <c r="B1329" t="s" s="11">
        <v>6925</v>
      </c>
      <c r="C1329" t="s" s="11">
        <v>128</v>
      </c>
      <c r="D1329" t="s" s="11">
        <v>276</v>
      </c>
      <c r="E1329" t="s" s="11">
        <v>253</v>
      </c>
      <c r="F1329" s="28">
        <v>46023</v>
      </c>
      <c r="G1329" t="s" s="11">
        <v>607</v>
      </c>
      <c r="H1329" t="s" s="43">
        <v>30</v>
      </c>
      <c r="I1329" s="43">
        <v>57.56</v>
      </c>
      <c r="J1329" t="s" s="11">
        <v>6926</v>
      </c>
      <c r="K1329" t="s" s="11">
        <v>6927</v>
      </c>
      <c r="L1329" s="17">
        <f>HYPERLINK("http://www.crossenf.com", "www.crossenf.com")</f>
      </c>
      <c r="M1329" s="17">
        <f>HYPERLINK("https://my.pitchbook.com?c=469921-51", "View Company Online")</f>
      </c>
    </row>
    <row r="1330">
      <c r="A1330" t="s" s="10">
        <v>6929</v>
      </c>
      <c r="B1330" t="s" s="10">
        <v>6930</v>
      </c>
      <c r="C1330" t="s" s="10">
        <v>46</v>
      </c>
      <c r="D1330" t="s" s="10">
        <v>397</v>
      </c>
      <c r="E1330" t="s" s="10">
        <v>414</v>
      </c>
      <c r="F1330" s="27">
        <v>45881</v>
      </c>
      <c r="G1330" t="s" s="10">
        <v>40</v>
      </c>
      <c r="H1330" s="42">
        <v>7.2</v>
      </c>
      <c r="I1330" s="42">
        <v>57.5</v>
      </c>
      <c r="J1330" t="s" s="10">
        <v>6931</v>
      </c>
      <c r="K1330" t="s" s="10">
        <v>6932</v>
      </c>
      <c r="L1330" s="16">
        <f>HYPERLINK("http://www.soraban.com", "www.soraban.com")</f>
      </c>
      <c r="M1330" s="16">
        <f>HYPERLINK("https://my.pitchbook.com?c=437665-42", "View Company Online")</f>
      </c>
    </row>
    <row r="1331">
      <c r="A1331" t="s" s="11">
        <v>6934</v>
      </c>
      <c r="B1331" t="s" s="11">
        <v>6935</v>
      </c>
      <c r="C1331" t="s" s="11">
        <v>164</v>
      </c>
      <c r="D1331" t="s" s="11">
        <v>206</v>
      </c>
      <c r="E1331" t="s" s="11">
        <v>373</v>
      </c>
      <c r="F1331" s="28">
        <v>46232</v>
      </c>
      <c r="G1331" t="s" s="11">
        <v>40</v>
      </c>
      <c r="H1331" s="43">
        <v>26.75</v>
      </c>
      <c r="I1331" s="43">
        <v>57.41</v>
      </c>
      <c r="J1331" t="s" s="11">
        <v>6936</v>
      </c>
      <c r="K1331" t="s" s="11">
        <v>6937</v>
      </c>
      <c r="L1331" s="17">
        <f>HYPERLINK("http://www.lemonedge.com", "www.lemonedge.com")</f>
      </c>
      <c r="M1331" s="17">
        <f>HYPERLINK("https://my.pitchbook.com?c=438943-06", "View Company Online")</f>
      </c>
    </row>
    <row r="1332">
      <c r="A1332" t="s" s="10">
        <v>6939</v>
      </c>
      <c r="B1332" t="s" s="10">
        <v>6940</v>
      </c>
      <c r="C1332" t="s" s="10">
        <v>46</v>
      </c>
      <c r="D1332" t="s" s="10">
        <v>397</v>
      </c>
      <c r="E1332" t="s" s="10">
        <v>253</v>
      </c>
      <c r="F1332" s="27">
        <v>45764</v>
      </c>
      <c r="G1332" t="s" s="10">
        <v>40</v>
      </c>
      <c r="H1332" s="42">
        <v>5</v>
      </c>
      <c r="I1332" s="42">
        <v>57.41</v>
      </c>
      <c r="J1332" t="s" s="10">
        <v>6941</v>
      </c>
      <c r="K1332" t="s" s="10">
        <v>6942</v>
      </c>
      <c r="L1332" s="16">
        <f>HYPERLINK("http://www.online-pajak.com", "www.online-pajak.com")</f>
      </c>
      <c r="M1332" s="16">
        <f>HYPERLINK("https://my.pitchbook.com?c=181901-08", "View Company Online")</f>
      </c>
    </row>
    <row r="1333">
      <c r="A1333" t="s" s="11">
        <v>6944</v>
      </c>
      <c r="B1333" t="s" s="11">
        <v>6945</v>
      </c>
      <c r="C1333" t="s" s="11">
        <v>114</v>
      </c>
      <c r="D1333" t="s" s="11">
        <v>115</v>
      </c>
      <c r="E1333" t="s" s="11">
        <v>137</v>
      </c>
      <c r="F1333" t="s" s="28">
        <v>30</v>
      </c>
      <c r="G1333" t="s" s="11">
        <v>146</v>
      </c>
      <c r="H1333" t="s" s="43">
        <v>30</v>
      </c>
      <c r="I1333" s="43">
        <v>57.37</v>
      </c>
      <c r="J1333" t="s" s="11">
        <v>6946</v>
      </c>
      <c r="K1333" t="s" s="11">
        <v>6947</v>
      </c>
      <c r="L1333" s="17">
        <f>HYPERLINK("http://www.unicohousingfinance.com", "www.unicohousingfinance.com")</f>
      </c>
      <c r="M1333" s="17">
        <f>HYPERLINK("https://my.pitchbook.com?c=646989-13", "View Company Online")</f>
      </c>
    </row>
    <row r="1334">
      <c r="A1334" t="s" s="10">
        <v>6949</v>
      </c>
      <c r="B1334" t="s" s="10">
        <v>6950</v>
      </c>
      <c r="C1334" t="s" s="10">
        <v>114</v>
      </c>
      <c r="D1334" t="s" s="10">
        <v>870</v>
      </c>
      <c r="E1334" t="s" s="10">
        <v>200</v>
      </c>
      <c r="F1334" s="27">
        <v>45638</v>
      </c>
      <c r="G1334" t="s" s="10">
        <v>31</v>
      </c>
      <c r="H1334" s="42">
        <v>60</v>
      </c>
      <c r="I1334" s="42">
        <v>57.35</v>
      </c>
      <c r="J1334" t="s" s="10">
        <v>6951</v>
      </c>
      <c r="K1334" t="s" s="10">
        <v>6952</v>
      </c>
      <c r="L1334" s="16">
        <f>HYPERLINK("http://www.awantunai.co.id", "www.awantunai.co.id")</f>
      </c>
      <c r="M1334" s="16">
        <f>HYPERLINK("https://my.pitchbook.com?c=234533-17", "View Company Online")</f>
      </c>
    </row>
    <row r="1335">
      <c r="A1335" t="s" s="11">
        <v>6954</v>
      </c>
      <c r="B1335" t="s" s="11">
        <v>6955</v>
      </c>
      <c r="C1335" t="s" s="11">
        <v>37</v>
      </c>
      <c r="D1335" t="s" s="11">
        <v>304</v>
      </c>
      <c r="E1335" t="s" s="11">
        <v>2411</v>
      </c>
      <c r="F1335" s="28">
        <v>45961</v>
      </c>
      <c r="G1335" t="s" s="11">
        <v>40</v>
      </c>
      <c r="H1335" s="43">
        <v>125</v>
      </c>
      <c r="I1335" s="43">
        <v>57.15</v>
      </c>
      <c r="J1335" t="s" s="11">
        <v>6956</v>
      </c>
      <c r="K1335" t="s" s="11">
        <v>6957</v>
      </c>
      <c r="L1335" s="17">
        <f>HYPERLINK("http://www.snapmint.com", "www.snapmint.com")</f>
      </c>
      <c r="M1335" s="17">
        <f>HYPERLINK("https://my.pitchbook.com?c=267943-33", "View Company Online")</f>
      </c>
    </row>
    <row r="1336">
      <c r="A1336" t="s" s="10">
        <v>6959</v>
      </c>
      <c r="B1336" t="s" s="10">
        <v>6960</v>
      </c>
      <c r="C1336" t="s" s="10">
        <v>46</v>
      </c>
      <c r="D1336" t="s" s="10">
        <v>915</v>
      </c>
      <c r="E1336" t="s" s="10">
        <v>253</v>
      </c>
      <c r="F1336" s="27">
        <v>45345</v>
      </c>
      <c r="G1336" t="s" s="10">
        <v>146</v>
      </c>
      <c r="H1336" s="42">
        <v>10</v>
      </c>
      <c r="I1336" s="42">
        <v>57</v>
      </c>
      <c r="J1336" t="s" s="10">
        <v>6961</v>
      </c>
      <c r="K1336" t="s" s="10">
        <v>6962</v>
      </c>
      <c r="L1336" s="16">
        <f>HYPERLINK("http://www.auxilius.co", "www.auxilius.co")</f>
      </c>
      <c r="M1336" s="16">
        <f>HYPERLINK("https://my.pitchbook.com?c=434424-52", "View Company Online")</f>
      </c>
    </row>
    <row r="1337">
      <c r="A1337" t="s" s="11">
        <v>6964</v>
      </c>
      <c r="B1337" t="s" s="11">
        <v>6965</v>
      </c>
      <c r="C1337" t="s" s="11">
        <v>60</v>
      </c>
      <c r="D1337" t="s" s="11">
        <v>192</v>
      </c>
      <c r="E1337" t="s" s="11">
        <v>137</v>
      </c>
      <c r="F1337" s="28">
        <v>45778</v>
      </c>
      <c r="G1337" t="s" s="11">
        <v>146</v>
      </c>
      <c r="H1337" s="43">
        <v>30</v>
      </c>
      <c r="I1337" s="43">
        <v>57</v>
      </c>
      <c r="J1337" t="s" s="11">
        <v>6966</v>
      </c>
      <c r="K1337" t="s" s="11">
        <v>6967</v>
      </c>
      <c r="L1337" s="17">
        <f>HYPERLINK("http://www.dubapp.com", "www.dubapp.com")</f>
      </c>
      <c r="M1337" s="17">
        <f>HYPERLINK("https://my.pitchbook.com?c=481711-33", "View Company Online")</f>
      </c>
    </row>
    <row r="1338">
      <c r="A1338" t="s" s="10">
        <v>6969</v>
      </c>
      <c r="B1338" t="s" s="10">
        <v>6970</v>
      </c>
      <c r="C1338" t="s" s="10">
        <v>46</v>
      </c>
      <c r="D1338" t="s" s="10">
        <v>397</v>
      </c>
      <c r="E1338" t="s" s="10">
        <v>367</v>
      </c>
      <c r="F1338" s="27">
        <v>46070</v>
      </c>
      <c r="G1338" t="s" s="10">
        <v>40</v>
      </c>
      <c r="H1338" s="42">
        <v>31</v>
      </c>
      <c r="I1338" s="42">
        <v>57</v>
      </c>
      <c r="J1338" t="s" s="10">
        <v>6971</v>
      </c>
      <c r="K1338" t="s" s="10">
        <v>6972</v>
      </c>
      <c r="L1338" s="16">
        <f>HYPERLINK("http://www.onshore.com", "www.onshore.com")</f>
      </c>
      <c r="M1338" s="16">
        <f>HYPERLINK("https://my.pitchbook.com?c=515846-08", "View Company Online")</f>
      </c>
    </row>
    <row r="1339">
      <c r="A1339" t="s" s="11">
        <v>6974</v>
      </c>
      <c r="B1339" t="s" s="11">
        <v>6975</v>
      </c>
      <c r="C1339" t="s" s="11">
        <v>60</v>
      </c>
      <c r="D1339" t="s" s="11">
        <v>432</v>
      </c>
      <c r="E1339" t="s" s="11">
        <v>253</v>
      </c>
      <c r="F1339" s="28">
        <v>45699</v>
      </c>
      <c r="G1339" t="s" s="11">
        <v>40</v>
      </c>
      <c r="H1339" s="43">
        <v>14.53</v>
      </c>
      <c r="I1339" s="43">
        <v>57</v>
      </c>
      <c r="J1339" t="s" s="11">
        <v>6976</v>
      </c>
      <c r="K1339" t="s" s="11">
        <v>6977</v>
      </c>
      <c r="L1339" s="17">
        <f>HYPERLINK("http://tifingive.com", "tifingive.com")</f>
      </c>
      <c r="M1339" s="17">
        <f>HYPERLINK("https://my.pitchbook.com?c=458191-90", "View Company Online")</f>
      </c>
    </row>
    <row r="1340">
      <c r="A1340" t="s" s="10">
        <v>6979</v>
      </c>
      <c r="B1340" t="s" s="10">
        <v>6980</v>
      </c>
      <c r="C1340" t="s" s="10">
        <v>222</v>
      </c>
      <c r="D1340" t="s" s="10">
        <v>252</v>
      </c>
      <c r="E1340" t="s" s="10">
        <v>6981</v>
      </c>
      <c r="F1340" t="s" s="27">
        <v>30</v>
      </c>
      <c r="G1340" t="s" s="10">
        <v>146</v>
      </c>
      <c r="H1340" t="s" s="42">
        <v>30</v>
      </c>
      <c r="I1340" s="42">
        <v>56.84</v>
      </c>
      <c r="J1340" t="s" s="10">
        <v>6982</v>
      </c>
      <c r="K1340" t="s" s="10">
        <v>6983</v>
      </c>
      <c r="L1340" s="16">
        <f>HYPERLINK("http://www.tokenovate.com", "www.tokenovate.com")</f>
      </c>
      <c r="M1340" s="16">
        <f>HYPERLINK("https://my.pitchbook.com?c=518002-48", "View Company Online")</f>
      </c>
    </row>
    <row r="1341">
      <c r="A1341" t="s" s="11">
        <v>6985</v>
      </c>
      <c r="B1341" t="s" s="11">
        <v>6986</v>
      </c>
      <c r="C1341" t="s" s="11">
        <v>114</v>
      </c>
      <c r="D1341" t="s" s="11">
        <v>136</v>
      </c>
      <c r="E1341" t="s" s="11">
        <v>253</v>
      </c>
      <c r="F1341" s="28">
        <v>45545</v>
      </c>
      <c r="G1341" t="s" s="11">
        <v>607</v>
      </c>
      <c r="H1341" t="s" s="43">
        <v>30</v>
      </c>
      <c r="I1341" s="43">
        <v>56.59</v>
      </c>
      <c r="J1341" t="s" s="11">
        <v>6987</v>
      </c>
      <c r="K1341" t="s" s="11">
        <v>6988</v>
      </c>
      <c r="L1341" s="17">
        <f>HYPERLINK("http://www.fundingxchange.co.uk", "www.fundingxchange.co.uk")</f>
      </c>
      <c r="M1341" s="17">
        <f>HYPERLINK("https://my.pitchbook.com?c=158922-55", "View Company Online")</f>
      </c>
    </row>
    <row r="1342">
      <c r="A1342" t="s" s="10">
        <v>6990</v>
      </c>
      <c r="B1342" t="s" s="10">
        <v>6991</v>
      </c>
      <c r="C1342" t="s" s="10">
        <v>114</v>
      </c>
      <c r="D1342" t="s" s="10">
        <v>115</v>
      </c>
      <c r="E1342" t="s" s="10">
        <v>1032</v>
      </c>
      <c r="F1342" s="27">
        <v>45545</v>
      </c>
      <c r="G1342" t="s" s="10">
        <v>607</v>
      </c>
      <c r="H1342" t="s" s="42">
        <v>30</v>
      </c>
      <c r="I1342" s="42">
        <v>56.59</v>
      </c>
      <c r="J1342" t="s" s="10">
        <v>6992</v>
      </c>
      <c r="K1342" t="s" s="10">
        <v>6993</v>
      </c>
      <c r="L1342" s="16">
        <f>HYPERLINK("http://www.generationhome.com", "www.generationhome.com")</f>
      </c>
      <c r="M1342" s="16">
        <f>HYPERLINK("https://my.pitchbook.com?c=268363-63", "View Company Online")</f>
      </c>
    </row>
    <row r="1343">
      <c r="A1343" t="s" s="11">
        <v>6995</v>
      </c>
      <c r="B1343" t="s" s="11">
        <v>6996</v>
      </c>
      <c r="C1343" t="s" s="11">
        <v>164</v>
      </c>
      <c r="D1343" t="s" s="11">
        <v>206</v>
      </c>
      <c r="E1343" t="s" s="11">
        <v>137</v>
      </c>
      <c r="F1343" s="28">
        <v>45811</v>
      </c>
      <c r="G1343" t="s" s="11">
        <v>40</v>
      </c>
      <c r="H1343" s="43">
        <v>11.28</v>
      </c>
      <c r="I1343" s="43">
        <v>56.58</v>
      </c>
      <c r="J1343" t="s" s="11">
        <v>6997</v>
      </c>
      <c r="K1343" t="s" s="11">
        <v>6998</v>
      </c>
      <c r="L1343" s="17">
        <f>HYPERLINK("http://www.banxware.com", "www.banxware.com")</f>
      </c>
      <c r="M1343" s="17">
        <f>HYPERLINK("https://my.pitchbook.com?c=454975-21", "View Company Online")</f>
      </c>
    </row>
    <row r="1344">
      <c r="A1344" t="s" s="10">
        <v>7000</v>
      </c>
      <c r="B1344" t="s" s="10">
        <v>7001</v>
      </c>
      <c r="C1344" t="s" s="10">
        <v>114</v>
      </c>
      <c r="D1344" t="s" s="10">
        <v>870</v>
      </c>
      <c r="E1344" t="s" s="10">
        <v>137</v>
      </c>
      <c r="F1344" s="27">
        <v>46099</v>
      </c>
      <c r="G1344" t="s" s="10">
        <v>31</v>
      </c>
      <c r="H1344" s="42">
        <v>10.91</v>
      </c>
      <c r="I1344" s="42">
        <v>56.57</v>
      </c>
      <c r="J1344" t="s" s="10">
        <v>7002</v>
      </c>
      <c r="K1344" t="s" s="10">
        <v>7003</v>
      </c>
      <c r="L1344" s="16">
        <f>HYPERLINK("http://www.optimocapital.in", "www.optimocapital.in")</f>
      </c>
      <c r="M1344" s="16">
        <f>HYPERLINK("https://my.pitchbook.com?c=590720-95", "View Company Online")</f>
      </c>
    </row>
    <row r="1345">
      <c r="A1345" t="s" s="11">
        <v>7005</v>
      </c>
      <c r="B1345" t="s" s="11">
        <v>7006</v>
      </c>
      <c r="C1345" t="s" s="11">
        <v>60</v>
      </c>
      <c r="D1345" t="s" s="11">
        <v>246</v>
      </c>
      <c r="E1345" t="s" s="11">
        <v>7007</v>
      </c>
      <c r="F1345" t="s" s="28">
        <v>30</v>
      </c>
      <c r="G1345" t="s" s="11">
        <v>48</v>
      </c>
      <c r="H1345" t="s" s="43">
        <v>30</v>
      </c>
      <c r="I1345" s="43">
        <v>56.57</v>
      </c>
      <c r="J1345" t="s" s="11">
        <v>7008</v>
      </c>
      <c r="K1345" t="s" s="11">
        <v>7009</v>
      </c>
      <c r="L1345" s="17">
        <f>HYPERLINK("http://www.scratch.fi", "www.scratch.fi")</f>
      </c>
      <c r="M1345" s="17">
        <f>HYPERLINK("https://my.pitchbook.com?c=179846-02", "View Company Online")</f>
      </c>
    </row>
    <row r="1346">
      <c r="A1346" t="s" s="10">
        <v>7011</v>
      </c>
      <c r="B1346" t="s" s="10">
        <v>7012</v>
      </c>
      <c r="C1346" t="s" s="10">
        <v>222</v>
      </c>
      <c r="D1346" t="s" s="10">
        <v>235</v>
      </c>
      <c r="E1346" t="s" s="10">
        <v>759</v>
      </c>
      <c r="F1346" s="27">
        <v>44892</v>
      </c>
      <c r="G1346" t="s" s="10">
        <v>40</v>
      </c>
      <c r="H1346" s="42">
        <v>20.25</v>
      </c>
      <c r="I1346" s="42">
        <v>56.54</v>
      </c>
      <c r="J1346" t="s" s="10">
        <v>7013</v>
      </c>
      <c r="K1346" t="s" s="10">
        <v>7014</v>
      </c>
      <c r="L1346" s="16">
        <f>HYPERLINK("http://www.helloasso.com", "www.helloasso.com")</f>
      </c>
      <c r="M1346" s="16">
        <f>HYPERLINK("https://my.pitchbook.com?c=89636-77", "View Company Online")</f>
      </c>
    </row>
    <row r="1347">
      <c r="A1347" t="s" s="11">
        <v>7016</v>
      </c>
      <c r="B1347" t="s" s="11">
        <v>7017</v>
      </c>
      <c r="C1347" t="s" s="11">
        <v>128</v>
      </c>
      <c r="D1347" t="s" s="11">
        <v>129</v>
      </c>
      <c r="E1347" t="s" s="11">
        <v>1065</v>
      </c>
      <c r="F1347" t="s" s="28">
        <v>30</v>
      </c>
      <c r="G1347" t="s" s="11">
        <v>48</v>
      </c>
      <c r="H1347" t="s" s="43">
        <v>30</v>
      </c>
      <c r="I1347" s="43">
        <v>56.52</v>
      </c>
      <c r="J1347" t="s" s="11">
        <v>7018</v>
      </c>
      <c r="K1347" t="s" s="11">
        <v>7019</v>
      </c>
      <c r="L1347" s="17">
        <f>HYPERLINK("http://www.moocho.com", "www.moocho.com")</f>
      </c>
      <c r="M1347" s="17">
        <f>HYPERLINK("https://my.pitchbook.com?c=87783-13", "View Company Online")</f>
      </c>
    </row>
    <row r="1348">
      <c r="A1348" t="s" s="10">
        <v>7021</v>
      </c>
      <c r="B1348" t="s" s="10">
        <v>7022</v>
      </c>
      <c r="C1348" t="s" s="10">
        <v>46</v>
      </c>
      <c r="D1348" t="s" s="10">
        <v>397</v>
      </c>
      <c r="E1348" t="s" s="10">
        <v>253</v>
      </c>
      <c r="F1348" s="27">
        <v>45772</v>
      </c>
      <c r="G1348" t="s" s="10">
        <v>40</v>
      </c>
      <c r="H1348" s="42">
        <v>8.69</v>
      </c>
      <c r="I1348" s="42">
        <v>56.26</v>
      </c>
      <c r="J1348" t="s" s="10">
        <v>7023</v>
      </c>
      <c r="K1348" t="s" s="10">
        <v>7024</v>
      </c>
      <c r="L1348" s="16">
        <f>HYPERLINK("http://www.accountable.eu", "www.accountable.eu")</f>
      </c>
      <c r="M1348" s="16">
        <f>HYPERLINK("https://my.pitchbook.com?c=235255-33", "View Company Online")</f>
      </c>
    </row>
    <row r="1349">
      <c r="A1349" t="s" s="11">
        <v>7026</v>
      </c>
      <c r="B1349" t="s" s="11">
        <v>7027</v>
      </c>
      <c r="C1349" t="s" s="11">
        <v>27</v>
      </c>
      <c r="D1349" t="s" s="11">
        <v>70</v>
      </c>
      <c r="E1349" t="s" s="11">
        <v>259</v>
      </c>
      <c r="F1349" s="28">
        <v>45790</v>
      </c>
      <c r="G1349" t="s" s="11">
        <v>146</v>
      </c>
      <c r="H1349" s="43">
        <v>17.2</v>
      </c>
      <c r="I1349" s="43">
        <v>56.2</v>
      </c>
      <c r="J1349" t="s" s="11">
        <v>7028</v>
      </c>
      <c r="K1349" t="s" s="11">
        <v>7029</v>
      </c>
      <c r="L1349" s="17">
        <f>HYPERLINK("http://www.getflexpoint.com", "www.getflexpoint.com")</f>
      </c>
      <c r="M1349" s="17">
        <f>HYPERLINK("https://my.pitchbook.com?c=489966-58", "View Company Online")</f>
      </c>
    </row>
    <row r="1350">
      <c r="A1350" t="s" s="10">
        <v>7031</v>
      </c>
      <c r="B1350" t="s" s="10">
        <v>7032</v>
      </c>
      <c r="C1350" t="s" s="10">
        <v>164</v>
      </c>
      <c r="D1350" t="s" s="10">
        <v>206</v>
      </c>
      <c r="E1350" t="s" s="10">
        <v>629</v>
      </c>
      <c r="F1350" s="27">
        <v>45301</v>
      </c>
      <c r="G1350" t="s" s="10">
        <v>146</v>
      </c>
      <c r="H1350" s="42">
        <v>13.16</v>
      </c>
      <c r="I1350" s="42">
        <v>56.15</v>
      </c>
      <c r="J1350" t="s" s="10">
        <v>7033</v>
      </c>
      <c r="K1350" t="s" s="10">
        <v>7034</v>
      </c>
      <c r="L1350" s="16">
        <f>HYPERLINK("http://www.unboxuniverse.com", "www.unboxuniverse.com")</f>
      </c>
      <c r="M1350" s="16">
        <f>HYPERLINK("https://my.pitchbook.com?c=492688-27", "View Company Online")</f>
      </c>
    </row>
    <row r="1351">
      <c r="A1351" t="s" s="11">
        <v>7036</v>
      </c>
      <c r="B1351" t="s" s="11">
        <v>7037</v>
      </c>
      <c r="C1351" t="s" s="11">
        <v>222</v>
      </c>
      <c r="D1351" t="s" s="11">
        <v>537</v>
      </c>
      <c r="E1351" t="s" s="11">
        <v>253</v>
      </c>
      <c r="F1351" s="28">
        <v>45931</v>
      </c>
      <c r="G1351" t="s" s="11">
        <v>40</v>
      </c>
      <c r="H1351" t="s" s="43">
        <v>30</v>
      </c>
      <c r="I1351" s="43">
        <v>56.04</v>
      </c>
      <c r="J1351" t="s" s="11">
        <v>7038</v>
      </c>
      <c r="K1351" t="s" s="11">
        <v>7039</v>
      </c>
      <c r="L1351" s="17">
        <f>HYPERLINK("http://www.bondblox.com", "www.bondblox.com")</f>
      </c>
      <c r="M1351" s="17">
        <f>HYPERLINK("https://my.pitchbook.com?c=167100-58", "View Company Online")</f>
      </c>
    </row>
    <row r="1352">
      <c r="A1352" t="s" s="10">
        <v>7041</v>
      </c>
      <c r="B1352" t="s" s="10">
        <v>7042</v>
      </c>
      <c r="C1352" t="s" s="10">
        <v>46</v>
      </c>
      <c r="D1352" t="s" s="10">
        <v>915</v>
      </c>
      <c r="E1352" t="s" s="10">
        <v>1207</v>
      </c>
      <c r="F1352" t="s" s="27">
        <v>30</v>
      </c>
      <c r="G1352" t="s" s="10">
        <v>48</v>
      </c>
      <c r="H1352" t="s" s="42">
        <v>30</v>
      </c>
      <c r="I1352" s="42">
        <v>56</v>
      </c>
      <c r="J1352" t="s" s="10">
        <v>7043</v>
      </c>
      <c r="K1352" t="s" s="10">
        <v>7044</v>
      </c>
      <c r="L1352" s="16">
        <f>HYPERLINK("http://www.jirav.com", "www.jirav.com")</f>
      </c>
      <c r="M1352" s="16">
        <f>HYPERLINK("https://my.pitchbook.com?c=169881-31", "View Company Online")</f>
      </c>
    </row>
    <row r="1353">
      <c r="A1353" t="s" s="11">
        <v>7046</v>
      </c>
      <c r="B1353" t="s" s="11">
        <v>7047</v>
      </c>
      <c r="C1353" t="s" s="11">
        <v>114</v>
      </c>
      <c r="D1353" t="s" s="11">
        <v>1386</v>
      </c>
      <c r="E1353" t="s" s="11">
        <v>414</v>
      </c>
      <c r="F1353" s="28">
        <v>45994</v>
      </c>
      <c r="G1353" t="s" s="11">
        <v>40</v>
      </c>
      <c r="H1353" s="43">
        <v>10</v>
      </c>
      <c r="I1353" s="43">
        <v>56</v>
      </c>
      <c r="J1353" t="s" s="11">
        <v>7048</v>
      </c>
      <c r="K1353" t="s" s="11">
        <v>7049</v>
      </c>
      <c r="L1353" s="17">
        <f>HYPERLINK("http://www.karus.ai", "www.karus.ai")</f>
      </c>
      <c r="M1353" s="17">
        <f>HYPERLINK("https://my.pitchbook.com?c=458427-07", "View Company Online")</f>
      </c>
    </row>
    <row r="1354">
      <c r="A1354" t="s" s="10">
        <v>7051</v>
      </c>
      <c r="B1354" t="s" s="10">
        <v>7052</v>
      </c>
      <c r="C1354" t="s" s="10">
        <v>60</v>
      </c>
      <c r="D1354" t="s" s="10">
        <v>192</v>
      </c>
      <c r="E1354" t="s" s="10">
        <v>311</v>
      </c>
      <c r="F1354" s="27">
        <v>45245</v>
      </c>
      <c r="G1354" t="s" s="10">
        <v>4267</v>
      </c>
      <c r="H1354" s="42">
        <v>15</v>
      </c>
      <c r="I1354" s="42">
        <v>56</v>
      </c>
      <c r="J1354" t="s" s="10">
        <v>7053</v>
      </c>
      <c r="K1354" t="s" s="10">
        <v>30</v>
      </c>
      <c r="L1354" s="16">
        <f>HYPERLINK("http://www.konzortiacapital.com", "www.konzortiacapital.com")</f>
      </c>
      <c r="M1354" s="16">
        <f>HYPERLINK("https://my.pitchbook.com?c=459039-34", "View Company Online")</f>
      </c>
    </row>
    <row r="1355">
      <c r="A1355" t="s" s="11">
        <v>7055</v>
      </c>
      <c r="B1355" t="s" s="11">
        <v>7056</v>
      </c>
      <c r="C1355" t="s" s="11">
        <v>27</v>
      </c>
      <c r="D1355" t="s" s="11">
        <v>28</v>
      </c>
      <c r="E1355" t="s" s="11">
        <v>7057</v>
      </c>
      <c r="F1355" s="28">
        <v>46216</v>
      </c>
      <c r="G1355" t="s" s="11">
        <v>146</v>
      </c>
      <c r="H1355" s="43">
        <v>8</v>
      </c>
      <c r="I1355" s="43">
        <v>56</v>
      </c>
      <c r="J1355" t="s" s="11">
        <v>7058</v>
      </c>
      <c r="K1355" t="s" s="11">
        <v>7059</v>
      </c>
      <c r="L1355" s="17">
        <f>HYPERLINK("http://www.phoenixtechnologies.io", "www.phoenixtechnologies.io")</f>
      </c>
      <c r="M1355" s="17">
        <f>HYPERLINK("https://my.pitchbook.com?c=742421-44", "View Company Online")</f>
      </c>
    </row>
    <row r="1356">
      <c r="A1356" t="s" s="10">
        <v>7061</v>
      </c>
      <c r="B1356" t="s" s="10">
        <v>7062</v>
      </c>
      <c r="C1356" t="s" s="10">
        <v>164</v>
      </c>
      <c r="D1356" t="s" s="10">
        <v>206</v>
      </c>
      <c r="E1356" t="s" s="10">
        <v>253</v>
      </c>
      <c r="F1356" t="s" s="27">
        <v>30</v>
      </c>
      <c r="G1356" t="s" s="10">
        <v>40</v>
      </c>
      <c r="H1356" t="s" s="42">
        <v>30</v>
      </c>
      <c r="I1356" s="42">
        <v>56</v>
      </c>
      <c r="J1356" t="s" s="10">
        <v>7063</v>
      </c>
      <c r="K1356" t="s" s="10">
        <v>7064</v>
      </c>
      <c r="L1356" s="16">
        <f>HYPERLINK("http://www.rightfoot.com", "www.rightfoot.com")</f>
      </c>
      <c r="M1356" s="16">
        <f>HYPERLINK("https://my.pitchbook.com?c=268099-12", "View Company Online")</f>
      </c>
    </row>
    <row r="1357">
      <c r="A1357" t="s" s="11">
        <v>7066</v>
      </c>
      <c r="B1357" t="s" s="11">
        <v>7067</v>
      </c>
      <c r="C1357" t="s" s="11">
        <v>172</v>
      </c>
      <c r="D1357" t="s" s="11">
        <v>173</v>
      </c>
      <c r="E1357" t="s" s="11">
        <v>7068</v>
      </c>
      <c r="F1357" s="28">
        <v>44610</v>
      </c>
      <c r="G1357" t="s" s="11">
        <v>146</v>
      </c>
      <c r="H1357" s="43">
        <v>2.05</v>
      </c>
      <c r="I1357" s="43">
        <v>55.77</v>
      </c>
      <c r="J1357" t="s" s="11">
        <v>7069</v>
      </c>
      <c r="K1357" t="s" s="11">
        <v>7070</v>
      </c>
      <c r="L1357" s="17">
        <f>HYPERLINK("http://www.acuminor.com", "www.acuminor.com")</f>
      </c>
      <c r="M1357" s="17">
        <f>HYPERLINK("https://my.pitchbook.com?c=268727-59", "View Company Online")</f>
      </c>
    </row>
    <row r="1358">
      <c r="A1358" t="s" s="10">
        <v>7072</v>
      </c>
      <c r="B1358" t="s" s="10">
        <v>7073</v>
      </c>
      <c r="C1358" t="s" s="10">
        <v>60</v>
      </c>
      <c r="D1358" t="s" s="10">
        <v>192</v>
      </c>
      <c r="E1358" t="s" s="10">
        <v>7074</v>
      </c>
      <c r="F1358" s="27">
        <v>44685</v>
      </c>
      <c r="G1358" t="s" s="10">
        <v>271</v>
      </c>
      <c r="H1358" s="42">
        <v>7.46</v>
      </c>
      <c r="I1358" s="42">
        <v>55.76</v>
      </c>
      <c r="J1358" t="s" s="10">
        <v>7075</v>
      </c>
      <c r="K1358" t="s" s="10">
        <v>7076</v>
      </c>
      <c r="L1358" s="16">
        <f>HYPERLINK("http://www.inyova.ch", "www.inyova.ch")</f>
      </c>
      <c r="M1358" s="16">
        <f>HYPERLINK("https://my.pitchbook.com?c=186236-56", "View Company Online")</f>
      </c>
    </row>
    <row r="1359">
      <c r="A1359" t="s" s="11">
        <v>7078</v>
      </c>
      <c r="B1359" t="s" s="11">
        <v>7079</v>
      </c>
      <c r="C1359" t="s" s="11">
        <v>222</v>
      </c>
      <c r="D1359" t="s" s="11">
        <v>223</v>
      </c>
      <c r="E1359" t="s" s="11">
        <v>7080</v>
      </c>
      <c r="F1359" s="28">
        <v>46140</v>
      </c>
      <c r="G1359" t="s" s="11">
        <v>31</v>
      </c>
      <c r="H1359" s="43">
        <v>4.69</v>
      </c>
      <c r="I1359" s="43">
        <v>55.66</v>
      </c>
      <c r="J1359" t="s" s="11">
        <v>7081</v>
      </c>
      <c r="K1359" t="s" s="11">
        <v>7082</v>
      </c>
      <c r="L1359" s="17">
        <f>HYPERLINK("http://www.general-index.com", "www.general-index.com")</f>
      </c>
      <c r="M1359" s="17">
        <f>HYPERLINK("https://my.pitchbook.com?c=483743-98", "View Company Online")</f>
      </c>
    </row>
    <row r="1360">
      <c r="A1360" t="s" s="10">
        <v>7084</v>
      </c>
      <c r="B1360" t="s" s="10">
        <v>7085</v>
      </c>
      <c r="C1360" t="s" s="10">
        <v>27</v>
      </c>
      <c r="D1360" t="s" s="10">
        <v>28</v>
      </c>
      <c r="E1360" t="s" s="10">
        <v>7086</v>
      </c>
      <c r="F1360" s="27">
        <v>46035</v>
      </c>
      <c r="G1360" t="s" s="10">
        <v>146</v>
      </c>
      <c r="H1360" s="42">
        <v>4.41</v>
      </c>
      <c r="I1360" s="42">
        <v>55.42</v>
      </c>
      <c r="J1360" t="s" s="10">
        <v>7087</v>
      </c>
      <c r="K1360" t="s" s="10">
        <v>7088</v>
      </c>
      <c r="L1360" s="16">
        <f>HYPERLINK("http://www.nammayatri.in", "www.nammayatri.in")</f>
      </c>
      <c r="M1360" s="16">
        <f>HYPERLINK("https://my.pitchbook.com?c=154444-42", "View Company Online")</f>
      </c>
    </row>
    <row r="1361">
      <c r="A1361" t="s" s="11">
        <v>7090</v>
      </c>
      <c r="B1361" t="s" s="11">
        <v>7091</v>
      </c>
      <c r="C1361" t="s" s="11">
        <v>60</v>
      </c>
      <c r="D1361" t="s" s="11">
        <v>192</v>
      </c>
      <c r="E1361" t="s" s="11">
        <v>1652</v>
      </c>
      <c r="F1361" s="28">
        <v>45441</v>
      </c>
      <c r="G1361" t="s" s="11">
        <v>31</v>
      </c>
      <c r="H1361" s="43">
        <v>6.31</v>
      </c>
      <c r="I1361" s="43">
        <v>55.27</v>
      </c>
      <c r="J1361" t="s" s="11">
        <v>7092</v>
      </c>
      <c r="K1361" t="s" s="11">
        <v>7093</v>
      </c>
      <c r="L1361" s="17">
        <f>HYPERLINK("http://www.landytech.com", "www.landytech.com")</f>
      </c>
      <c r="M1361" s="17">
        <f>HYPERLINK("https://my.pitchbook.com?c=431309-62", "View Company Online")</f>
      </c>
    </row>
    <row r="1362">
      <c r="A1362" t="s" s="10">
        <v>7095</v>
      </c>
      <c r="B1362" t="s" s="10">
        <v>7096</v>
      </c>
      <c r="C1362" t="s" s="10">
        <v>27</v>
      </c>
      <c r="D1362" t="s" s="10">
        <v>28</v>
      </c>
      <c r="E1362" t="s" s="10">
        <v>7097</v>
      </c>
      <c r="F1362" s="27">
        <v>45260</v>
      </c>
      <c r="G1362" t="s" s="10">
        <v>40</v>
      </c>
      <c r="H1362" s="42">
        <v>57.83</v>
      </c>
      <c r="I1362" s="42">
        <v>55.25</v>
      </c>
      <c r="J1362" t="s" s="10">
        <v>7098</v>
      </c>
      <c r="K1362" t="s" s="10">
        <v>7099</v>
      </c>
      <c r="L1362" s="16">
        <f>HYPERLINK("http://www.enfuce.com", "www.enfuce.com")</f>
      </c>
      <c r="M1362" s="16">
        <f>HYPERLINK("https://my.pitchbook.com?c=235032-85", "View Company Online")</f>
      </c>
    </row>
    <row r="1363">
      <c r="A1363" t="s" s="11">
        <v>7101</v>
      </c>
      <c r="B1363" t="s" s="11">
        <v>7102</v>
      </c>
      <c r="C1363" t="s" s="11">
        <v>60</v>
      </c>
      <c r="D1363" t="s" s="11">
        <v>246</v>
      </c>
      <c r="E1363" t="s" s="11">
        <v>7103</v>
      </c>
      <c r="F1363" s="28">
        <v>46093</v>
      </c>
      <c r="G1363" t="s" s="11">
        <v>40</v>
      </c>
      <c r="H1363" s="43">
        <v>60</v>
      </c>
      <c r="I1363" s="43">
        <v>55</v>
      </c>
      <c r="J1363" t="s" s="11">
        <v>7104</v>
      </c>
      <c r="K1363" t="s" s="11">
        <v>7105</v>
      </c>
      <c r="L1363" s="17">
        <f>HYPERLINK("http://www.cultivo.land", "www.cultivo.land")</f>
      </c>
      <c r="M1363" s="17">
        <f>HYPERLINK("https://my.pitchbook.com?c=434832-58", "View Company Online")</f>
      </c>
    </row>
    <row r="1364">
      <c r="A1364" t="s" s="10">
        <v>7107</v>
      </c>
      <c r="B1364" t="s" s="10">
        <v>7108</v>
      </c>
      <c r="C1364" t="s" s="10">
        <v>114</v>
      </c>
      <c r="D1364" t="s" s="10">
        <v>115</v>
      </c>
      <c r="E1364" t="s" s="10">
        <v>1032</v>
      </c>
      <c r="F1364" s="27">
        <v>44866</v>
      </c>
      <c r="G1364" t="s" s="10">
        <v>146</v>
      </c>
      <c r="H1364" s="42">
        <v>25</v>
      </c>
      <c r="I1364" s="42">
        <v>55</v>
      </c>
      <c r="J1364" t="s" s="10">
        <v>7109</v>
      </c>
      <c r="K1364" t="s" s="10">
        <v>7110</v>
      </c>
      <c r="L1364" s="16">
        <f>HYPERLINK("http://www.homeoptions.com", "www.homeoptions.com")</f>
      </c>
      <c r="M1364" s="16">
        <f>HYPERLINK("https://my.pitchbook.com?c=489154-87", "View Company Online")</f>
      </c>
    </row>
    <row r="1365">
      <c r="A1365" t="s" s="11">
        <v>7112</v>
      </c>
      <c r="B1365" t="s" s="11">
        <v>7113</v>
      </c>
      <c r="C1365" t="s" s="11">
        <v>37</v>
      </c>
      <c r="D1365" t="s" s="11">
        <v>38</v>
      </c>
      <c r="E1365" t="s" s="11">
        <v>253</v>
      </c>
      <c r="F1365" s="28">
        <v>46070</v>
      </c>
      <c r="G1365" t="s" s="11">
        <v>391</v>
      </c>
      <c r="H1365" t="s" s="43">
        <v>30</v>
      </c>
      <c r="I1365" s="43">
        <v>55</v>
      </c>
      <c r="J1365" t="s" s="11">
        <v>7114</v>
      </c>
      <c r="K1365" t="s" s="11">
        <v>7115</v>
      </c>
      <c r="L1365" s="17">
        <f>HYPERLINK("http://www.kubofinanciero.com", "www.kubofinanciero.com")</f>
      </c>
      <c r="M1365" s="17">
        <f>HYPERLINK("https://my.pitchbook.com?c=57037-42", "View Company Online")</f>
      </c>
    </row>
    <row r="1366">
      <c r="A1366" t="s" s="10">
        <v>7117</v>
      </c>
      <c r="B1366" t="s" s="10">
        <v>7118</v>
      </c>
      <c r="C1366" t="s" s="10">
        <v>46</v>
      </c>
      <c r="D1366" t="s" s="10">
        <v>397</v>
      </c>
      <c r="E1366" t="s" s="10">
        <v>253</v>
      </c>
      <c r="F1366" s="27">
        <v>45520</v>
      </c>
      <c r="G1366" t="s" s="10">
        <v>146</v>
      </c>
      <c r="H1366" s="42">
        <v>13.5</v>
      </c>
      <c r="I1366" s="42">
        <v>55</v>
      </c>
      <c r="J1366" t="s" s="10">
        <v>7119</v>
      </c>
      <c r="K1366" t="s" s="10">
        <v>7120</v>
      </c>
      <c r="L1366" s="16">
        <f>HYPERLINK("http://www.liveflow.com", "www.liveflow.com")</f>
      </c>
      <c r="M1366" s="16">
        <f>HYPERLINK("https://my.pitchbook.com?c=454519-00", "View Company Online")</f>
      </c>
    </row>
    <row r="1367">
      <c r="A1367" t="s" s="11">
        <v>7122</v>
      </c>
      <c r="B1367" t="s" s="11">
        <v>7123</v>
      </c>
      <c r="C1367" t="s" s="11">
        <v>27</v>
      </c>
      <c r="D1367" t="s" s="11">
        <v>70</v>
      </c>
      <c r="E1367" t="s" s="11">
        <v>253</v>
      </c>
      <c r="F1367" s="28">
        <v>45852</v>
      </c>
      <c r="G1367" t="s" s="11">
        <v>40</v>
      </c>
      <c r="H1367" s="43">
        <v>4</v>
      </c>
      <c r="I1367" s="43">
        <v>55</v>
      </c>
      <c r="J1367" t="s" s="11">
        <v>7124</v>
      </c>
      <c r="K1367" t="s" s="11">
        <v>7125</v>
      </c>
      <c r="L1367" s="17">
        <f>HYPERLINK("http://www.torpago.com", "www.torpago.com")</f>
      </c>
      <c r="M1367" s="17">
        <f>HYPERLINK("https://my.pitchbook.com?c=432495-64", "View Company Online")</f>
      </c>
    </row>
    <row r="1368">
      <c r="A1368" t="s" s="10">
        <v>7127</v>
      </c>
      <c r="B1368" t="s" s="10">
        <v>7128</v>
      </c>
      <c r="C1368" t="s" s="10">
        <v>60</v>
      </c>
      <c r="D1368" t="s" s="10">
        <v>192</v>
      </c>
      <c r="E1368" t="s" s="10">
        <v>1964</v>
      </c>
      <c r="F1368" s="27">
        <v>45141</v>
      </c>
      <c r="G1368" t="s" s="10">
        <v>40</v>
      </c>
      <c r="H1368" s="42">
        <v>12.76</v>
      </c>
      <c r="I1368" s="42">
        <v>54.8</v>
      </c>
      <c r="J1368" t="s" s="10">
        <v>7129</v>
      </c>
      <c r="K1368" t="s" s="10">
        <v>7130</v>
      </c>
      <c r="L1368" s="16">
        <f>HYPERLINK("http://www.timeline.co", "www.timeline.co")</f>
      </c>
      <c r="M1368" s="16">
        <f>HYPERLINK("https://my.pitchbook.com?c=338521-78", "View Company Online")</f>
      </c>
    </row>
    <row r="1369">
      <c r="A1369" t="s" s="11">
        <v>7132</v>
      </c>
      <c r="B1369" t="s" s="11">
        <v>7133</v>
      </c>
      <c r="C1369" t="s" s="11">
        <v>37</v>
      </c>
      <c r="D1369" t="s" s="11">
        <v>304</v>
      </c>
      <c r="E1369" t="s" s="11">
        <v>270</v>
      </c>
      <c r="F1369" s="28">
        <v>44705</v>
      </c>
      <c r="G1369" t="s" s="11">
        <v>146</v>
      </c>
      <c r="H1369" s="43">
        <v>7.01</v>
      </c>
      <c r="I1369" s="43">
        <v>54.75</v>
      </c>
      <c r="J1369" t="s" s="11">
        <v>7134</v>
      </c>
      <c r="K1369" t="s" s="11">
        <v>7135</v>
      </c>
      <c r="L1369" s="17">
        <f>HYPERLINK("http://www.getshopse.com", "www.getshopse.com")</f>
      </c>
      <c r="M1369" s="17">
        <f>HYPERLINK("https://my.pitchbook.com?c=464113-99", "View Company Online")</f>
      </c>
    </row>
    <row r="1370">
      <c r="A1370" t="s" s="10">
        <v>7137</v>
      </c>
      <c r="B1370" t="s" s="10">
        <v>7138</v>
      </c>
      <c r="C1370" t="s" s="10">
        <v>60</v>
      </c>
      <c r="D1370" t="s" s="10">
        <v>246</v>
      </c>
      <c r="E1370" t="s" s="10">
        <v>253</v>
      </c>
      <c r="F1370" s="27">
        <v>45467</v>
      </c>
      <c r="G1370" t="s" s="10">
        <v>4267</v>
      </c>
      <c r="H1370" s="42">
        <v>16.76</v>
      </c>
      <c r="I1370" s="42">
        <v>54.6</v>
      </c>
      <c r="J1370" t="s" s="10">
        <v>7139</v>
      </c>
      <c r="K1370" t="s" s="10">
        <v>7140</v>
      </c>
      <c r="L1370" s="16">
        <f>HYPERLINK("http://www.cheq.one", "www.cheq.one")</f>
      </c>
      <c r="M1370" s="16">
        <f>HYPERLINK("https://my.pitchbook.com?c=500764-24", "View Company Online")</f>
      </c>
    </row>
    <row r="1371">
      <c r="A1371" t="s" s="11">
        <v>7142</v>
      </c>
      <c r="B1371" t="s" s="11">
        <v>7143</v>
      </c>
      <c r="C1371" t="s" s="11">
        <v>144</v>
      </c>
      <c r="D1371" t="s" s="11">
        <v>297</v>
      </c>
      <c r="E1371" t="s" s="11">
        <v>137</v>
      </c>
      <c r="F1371" s="28">
        <v>45292</v>
      </c>
      <c r="G1371" t="s" s="11">
        <v>607</v>
      </c>
      <c r="H1371" t="s" s="43">
        <v>30</v>
      </c>
      <c r="I1371" s="43">
        <v>54.4</v>
      </c>
      <c r="J1371" t="s" s="11">
        <v>7144</v>
      </c>
      <c r="K1371" t="s" s="11">
        <v>7145</v>
      </c>
      <c r="L1371" s="17">
        <f>HYPERLINK("http://www.fundingpartner.no", "www.fundingpartner.no")</f>
      </c>
      <c r="M1371" s="17">
        <f>HYPERLINK("https://my.pitchbook.com?c=223766-11", "View Company Online")</f>
      </c>
    </row>
    <row r="1372">
      <c r="A1372" t="s" s="10">
        <v>7147</v>
      </c>
      <c r="B1372" t="s" s="10">
        <v>7148</v>
      </c>
      <c r="C1372" t="s" s="10">
        <v>60</v>
      </c>
      <c r="D1372" t="s" s="10">
        <v>192</v>
      </c>
      <c r="E1372" t="s" s="10">
        <v>367</v>
      </c>
      <c r="F1372" t="s" s="27">
        <v>30</v>
      </c>
      <c r="G1372" t="s" s="10">
        <v>48</v>
      </c>
      <c r="H1372" t="s" s="42">
        <v>30</v>
      </c>
      <c r="I1372" s="42">
        <v>54.25</v>
      </c>
      <c r="J1372" t="s" s="10">
        <v>7149</v>
      </c>
      <c r="K1372" t="s" s="10">
        <v>7150</v>
      </c>
      <c r="L1372" s="16">
        <f>HYPERLINK("http://www.stockviva.com", "www.stockviva.com")</f>
      </c>
      <c r="M1372" s="16">
        <f>HYPERLINK("https://my.pitchbook.com?c=265089-52", "View Company Online")</f>
      </c>
    </row>
    <row r="1373">
      <c r="A1373" t="s" s="11">
        <v>7152</v>
      </c>
      <c r="B1373" t="s" s="11">
        <v>7153</v>
      </c>
      <c r="C1373" t="s" s="11">
        <v>222</v>
      </c>
      <c r="D1373" t="s" s="11">
        <v>235</v>
      </c>
      <c r="E1373" t="s" s="11">
        <v>137</v>
      </c>
      <c r="F1373" s="28">
        <v>45967</v>
      </c>
      <c r="G1373" t="s" s="11">
        <v>146</v>
      </c>
      <c r="H1373" s="43">
        <v>100</v>
      </c>
      <c r="I1373" s="43">
        <v>54.11</v>
      </c>
      <c r="J1373" t="s" s="11">
        <v>7154</v>
      </c>
      <c r="K1373" t="s" s="11">
        <v>7155</v>
      </c>
      <c r="L1373" s="17">
        <f>HYPERLINK("http://www.credix.finance", "www.credix.finance")</f>
      </c>
      <c r="M1373" s="17">
        <f>HYPERLINK("https://my.pitchbook.com?c=489353-59", "View Company Online")</f>
      </c>
    </row>
    <row r="1374">
      <c r="A1374" t="s" s="10">
        <v>7157</v>
      </c>
      <c r="B1374" t="s" s="10">
        <v>7158</v>
      </c>
      <c r="C1374" t="s" s="10">
        <v>27</v>
      </c>
      <c r="D1374" t="s" s="10">
        <v>28</v>
      </c>
      <c r="E1374" t="s" s="10">
        <v>259</v>
      </c>
      <c r="F1374" s="27">
        <v>46023</v>
      </c>
      <c r="G1374" t="s" s="10">
        <v>607</v>
      </c>
      <c r="H1374" t="s" s="42">
        <v>30</v>
      </c>
      <c r="I1374" s="42">
        <v>54.07</v>
      </c>
      <c r="J1374" t="s" s="10">
        <v>7159</v>
      </c>
      <c r="K1374" t="s" s="10">
        <v>7160</v>
      </c>
      <c r="L1374" s="16">
        <f>HYPERLINK("http://www.monei.com", "www.monei.com")</f>
      </c>
      <c r="M1374" s="16">
        <f>HYPERLINK("https://my.pitchbook.com?c=490898-71", "View Company Online")</f>
      </c>
    </row>
    <row r="1375">
      <c r="A1375" t="s" s="11">
        <v>7162</v>
      </c>
      <c r="B1375" t="s" s="11">
        <v>7163</v>
      </c>
      <c r="C1375" t="s" s="11">
        <v>222</v>
      </c>
      <c r="D1375" t="s" s="11">
        <v>223</v>
      </c>
      <c r="E1375" t="s" s="11">
        <v>373</v>
      </c>
      <c r="F1375" s="28">
        <v>45708</v>
      </c>
      <c r="G1375" t="s" s="11">
        <v>146</v>
      </c>
      <c r="H1375" s="43">
        <v>16</v>
      </c>
      <c r="I1375" s="43">
        <v>54</v>
      </c>
      <c r="J1375" t="s" s="11">
        <v>7164</v>
      </c>
      <c r="K1375" t="s" s="11">
        <v>7165</v>
      </c>
      <c r="L1375" s="17">
        <f>HYPERLINK("http://www.credcore.com", "www.credcore.com")</f>
      </c>
      <c r="M1375" s="17">
        <f>HYPERLINK("https://my.pitchbook.com?c=531370-72", "View Company Online")</f>
      </c>
    </row>
    <row r="1376">
      <c r="A1376" t="s" s="10">
        <v>7167</v>
      </c>
      <c r="B1376" t="s" s="10">
        <v>7168</v>
      </c>
      <c r="C1376" t="s" s="10">
        <v>27</v>
      </c>
      <c r="D1376" t="s" s="10">
        <v>28</v>
      </c>
      <c r="E1376" t="s" s="10">
        <v>253</v>
      </c>
      <c r="F1376" s="27">
        <v>45953</v>
      </c>
      <c r="G1376" t="s" s="10">
        <v>146</v>
      </c>
      <c r="H1376" s="42">
        <v>14.74</v>
      </c>
      <c r="I1376" s="42">
        <v>54</v>
      </c>
      <c r="J1376" t="s" s="10">
        <v>7169</v>
      </c>
      <c r="K1376" t="s" s="10">
        <v>7170</v>
      </c>
      <c r="L1376" s="16">
        <f>HYPERLINK("http://www.nickel.com", "www.nickel.com")</f>
      </c>
      <c r="M1376" s="16">
        <f>HYPERLINK("https://my.pitchbook.com?c=500841-10", "View Company Online")</f>
      </c>
    </row>
    <row r="1377">
      <c r="A1377" t="s" s="11">
        <v>7172</v>
      </c>
      <c r="B1377" t="s" s="11">
        <v>7173</v>
      </c>
      <c r="C1377" t="s" s="11">
        <v>128</v>
      </c>
      <c r="D1377" t="s" s="11">
        <v>129</v>
      </c>
      <c r="E1377" t="s" s="11">
        <v>130</v>
      </c>
      <c r="F1377" s="28">
        <v>46092</v>
      </c>
      <c r="G1377" t="s" s="11">
        <v>40</v>
      </c>
      <c r="H1377" s="43">
        <v>8</v>
      </c>
      <c r="I1377" s="43">
        <v>54</v>
      </c>
      <c r="J1377" t="s" s="11">
        <v>7174</v>
      </c>
      <c r="K1377" t="s" s="11">
        <v>7175</v>
      </c>
      <c r="L1377" s="17">
        <f>HYPERLINK("http://www.getyourstake.com", "www.getyourstake.com")</f>
      </c>
      <c r="M1377" s="17">
        <f>HYPERLINK("https://my.pitchbook.com?c=268811-20", "View Company Online")</f>
      </c>
    </row>
    <row r="1378">
      <c r="A1378" t="s" s="10">
        <v>7177</v>
      </c>
      <c r="B1378" t="s" s="10">
        <v>7178</v>
      </c>
      <c r="C1378" t="s" s="10">
        <v>60</v>
      </c>
      <c r="D1378" t="s" s="10">
        <v>727</v>
      </c>
      <c r="E1378" t="s" s="10">
        <v>2782</v>
      </c>
      <c r="F1378" s="27">
        <v>45482</v>
      </c>
      <c r="G1378" t="s" s="10">
        <v>31</v>
      </c>
      <c r="H1378" s="42">
        <v>38.11</v>
      </c>
      <c r="I1378" s="42">
        <v>53.98</v>
      </c>
      <c r="J1378" t="s" s="10">
        <v>7179</v>
      </c>
      <c r="K1378" t="s" s="10">
        <v>7180</v>
      </c>
      <c r="L1378" s="16">
        <f>HYPERLINK("http://www.capitalrise.com", "www.capitalrise.com")</f>
      </c>
      <c r="M1378" s="16">
        <f>HYPERLINK("https://my.pitchbook.com?c=181273-87", "View Company Online")</f>
      </c>
    </row>
    <row r="1379">
      <c r="A1379" t="s" s="11">
        <v>7182</v>
      </c>
      <c r="B1379" t="s" s="11">
        <v>7183</v>
      </c>
      <c r="C1379" t="s" s="11">
        <v>27</v>
      </c>
      <c r="D1379" t="s" s="11">
        <v>70</v>
      </c>
      <c r="E1379" t="s" s="11">
        <v>253</v>
      </c>
      <c r="F1379" s="28">
        <v>45763</v>
      </c>
      <c r="G1379" t="s" s="11">
        <v>48</v>
      </c>
      <c r="H1379" t="s" s="43">
        <v>30</v>
      </c>
      <c r="I1379" s="43">
        <v>53.97</v>
      </c>
      <c r="J1379" t="s" s="11">
        <v>7184</v>
      </c>
      <c r="K1379" t="s" s="11">
        <v>7185</v>
      </c>
      <c r="L1379" s="17">
        <f>HYPERLINK("http://www.nativeteams.com", "www.nativeteams.com")</f>
      </c>
      <c r="M1379" s="17">
        <f>HYPERLINK("https://my.pitchbook.com?c=495456-67", "View Company Online")</f>
      </c>
    </row>
    <row r="1380">
      <c r="A1380" t="s" s="10">
        <v>7187</v>
      </c>
      <c r="B1380" t="s" s="10">
        <v>7188</v>
      </c>
      <c r="C1380" t="s" s="10">
        <v>46</v>
      </c>
      <c r="D1380" t="s" s="10">
        <v>47</v>
      </c>
      <c r="E1380" t="s" s="10">
        <v>200</v>
      </c>
      <c r="F1380" t="s" s="27">
        <v>30</v>
      </c>
      <c r="G1380" t="s" s="10">
        <v>48</v>
      </c>
      <c r="H1380" t="s" s="42">
        <v>30</v>
      </c>
      <c r="I1380" s="42">
        <v>53.92</v>
      </c>
      <c r="J1380" t="s" s="10">
        <v>7189</v>
      </c>
      <c r="K1380" t="s" s="10">
        <v>7190</v>
      </c>
      <c r="L1380" s="16">
        <f>HYPERLINK("http://www.letsweel.com", "www.letsweel.com")</f>
      </c>
      <c r="M1380" s="16">
        <f>HYPERLINK("https://my.pitchbook.com?c=179868-16", "View Company Online")</f>
      </c>
    </row>
    <row r="1381">
      <c r="A1381" t="s" s="11">
        <v>7192</v>
      </c>
      <c r="B1381" t="s" s="11">
        <v>7193</v>
      </c>
      <c r="C1381" t="s" s="11">
        <v>37</v>
      </c>
      <c r="D1381" t="s" s="11">
        <v>38</v>
      </c>
      <c r="E1381" t="s" s="11">
        <v>270</v>
      </c>
      <c r="F1381" s="28">
        <v>45292</v>
      </c>
      <c r="G1381" t="s" s="11">
        <v>607</v>
      </c>
      <c r="H1381" t="s" s="43">
        <v>30</v>
      </c>
      <c r="I1381" s="43">
        <v>53.85</v>
      </c>
      <c r="J1381" t="s" s="11">
        <v>7194</v>
      </c>
      <c r="K1381" t="s" s="11">
        <v>7195</v>
      </c>
      <c r="L1381" s="17">
        <f>HYPERLINK("http://www.getneema.com", "www.getneema.com")</f>
      </c>
      <c r="M1381" s="17">
        <f>HYPERLINK("https://my.pitchbook.com?c=66014-38", "View Company Online")</f>
      </c>
    </row>
    <row r="1382">
      <c r="A1382" t="s" s="10">
        <v>7197</v>
      </c>
      <c r="B1382" t="s" s="10">
        <v>7198</v>
      </c>
      <c r="C1382" t="s" s="10">
        <v>46</v>
      </c>
      <c r="D1382" t="s" s="10">
        <v>47</v>
      </c>
      <c r="E1382" t="s" s="10">
        <v>253</v>
      </c>
      <c r="F1382" s="27">
        <v>44409</v>
      </c>
      <c r="G1382" t="s" s="10">
        <v>48</v>
      </c>
      <c r="H1382" t="s" s="42">
        <v>30</v>
      </c>
      <c r="I1382" s="42">
        <v>53.69</v>
      </c>
      <c r="J1382" t="s" s="10">
        <v>7199</v>
      </c>
      <c r="K1382" t="s" s="10">
        <v>7200</v>
      </c>
      <c r="L1382" s="16">
        <f>HYPERLINK("http://www.soldo.com", "www.soldo.com")</f>
      </c>
      <c r="M1382" s="16">
        <f>HYPERLINK("https://my.pitchbook.com?c=168373-90", "View Company Online")</f>
      </c>
    </row>
    <row r="1383">
      <c r="A1383" t="s" s="11">
        <v>7202</v>
      </c>
      <c r="B1383" t="s" s="11">
        <v>7203</v>
      </c>
      <c r="C1383" t="s" s="11">
        <v>222</v>
      </c>
      <c r="D1383" t="s" s="11">
        <v>252</v>
      </c>
      <c r="E1383" t="s" s="11">
        <v>1207</v>
      </c>
      <c r="F1383" s="28">
        <v>43784</v>
      </c>
      <c r="G1383" t="s" s="11">
        <v>146</v>
      </c>
      <c r="H1383" s="43">
        <v>18.26</v>
      </c>
      <c r="I1383" s="43">
        <v>53.5</v>
      </c>
      <c r="J1383" t="s" s="11">
        <v>7204</v>
      </c>
      <c r="K1383" t="s" s="11">
        <v>7205</v>
      </c>
      <c r="L1383" s="17">
        <f>HYPERLINK("http://www.batonsystems.com", "www.batonsystems.com")</f>
      </c>
      <c r="M1383" s="17">
        <f>HYPERLINK("https://my.pitchbook.com?c=182051-02", "View Company Online")</f>
      </c>
    </row>
    <row r="1384">
      <c r="A1384" t="s" s="10">
        <v>7207</v>
      </c>
      <c r="B1384" t="s" s="10">
        <v>7208</v>
      </c>
      <c r="C1384" t="s" s="10">
        <v>60</v>
      </c>
      <c r="D1384" t="s" s="10">
        <v>420</v>
      </c>
      <c r="E1384" t="s" s="10">
        <v>137</v>
      </c>
      <c r="F1384" s="27">
        <v>45518</v>
      </c>
      <c r="G1384" t="s" s="10">
        <v>146</v>
      </c>
      <c r="H1384" s="42">
        <v>19</v>
      </c>
      <c r="I1384" s="42">
        <v>53.5</v>
      </c>
      <c r="J1384" t="s" s="10">
        <v>7209</v>
      </c>
      <c r="K1384" t="s" s="10">
        <v>7210</v>
      </c>
      <c r="L1384" s="16">
        <f>HYPERLINK("http://www.hicapitalize.com", "www.hicapitalize.com")</f>
      </c>
      <c r="M1384" s="16">
        <f>HYPERLINK("https://my.pitchbook.com?c=433883-26", "View Company Online")</f>
      </c>
    </row>
    <row r="1385">
      <c r="A1385" t="s" s="11">
        <v>7212</v>
      </c>
      <c r="B1385" t="s" s="11">
        <v>7213</v>
      </c>
      <c r="C1385" t="s" s="11">
        <v>128</v>
      </c>
      <c r="D1385" t="s" s="11">
        <v>276</v>
      </c>
      <c r="E1385" t="s" s="11">
        <v>62</v>
      </c>
      <c r="F1385" s="28">
        <v>45958</v>
      </c>
      <c r="G1385" t="s" s="11">
        <v>4267</v>
      </c>
      <c r="H1385" s="43">
        <v>9</v>
      </c>
      <c r="I1385" s="43">
        <v>53.5</v>
      </c>
      <c r="J1385" t="s" s="11">
        <v>7214</v>
      </c>
      <c r="K1385" t="s" s="11">
        <v>7215</v>
      </c>
      <c r="L1385" s="17">
        <f>HYPERLINK("http://www.uno.global", "www.uno.global")</f>
      </c>
      <c r="M1385" s="17">
        <f>HYPERLINK("https://my.pitchbook.com?c=1157666-59", "View Company Online")</f>
      </c>
    </row>
    <row r="1386">
      <c r="A1386" t="s" s="10">
        <v>7217</v>
      </c>
      <c r="B1386" t="s" s="10">
        <v>7218</v>
      </c>
      <c r="C1386" t="s" s="10">
        <v>114</v>
      </c>
      <c r="D1386" t="s" s="10">
        <v>136</v>
      </c>
      <c r="E1386" t="s" s="10">
        <v>270</v>
      </c>
      <c r="F1386" s="27">
        <v>45813</v>
      </c>
      <c r="G1386" t="s" s="10">
        <v>40</v>
      </c>
      <c r="H1386" s="42">
        <v>6.2</v>
      </c>
      <c r="I1386" s="42">
        <v>53.28</v>
      </c>
      <c r="J1386" t="s" s="10">
        <v>7219</v>
      </c>
      <c r="K1386" t="s" s="10">
        <v>7220</v>
      </c>
      <c r="L1386" s="16">
        <f>HYPERLINK("http://www.loantap.in", "www.loantap.in")</f>
      </c>
      <c r="M1386" s="16">
        <f>HYPERLINK("https://my.pitchbook.com?c=165911-05", "View Company Online")</f>
      </c>
    </row>
    <row r="1387">
      <c r="A1387" t="s" s="11">
        <v>7222</v>
      </c>
      <c r="B1387" t="s" s="11">
        <v>7223</v>
      </c>
      <c r="C1387" t="s" s="11">
        <v>27</v>
      </c>
      <c r="D1387" t="s" s="11">
        <v>28</v>
      </c>
      <c r="E1387" t="s" s="11">
        <v>2824</v>
      </c>
      <c r="F1387" s="28">
        <v>45584</v>
      </c>
      <c r="G1387" t="s" s="11">
        <v>40</v>
      </c>
      <c r="H1387" s="43">
        <v>13.25</v>
      </c>
      <c r="I1387" s="43">
        <v>53.25</v>
      </c>
      <c r="J1387" t="s" s="11">
        <v>7224</v>
      </c>
      <c r="K1387" t="s" s="11">
        <v>7225</v>
      </c>
      <c r="L1387" s="17">
        <f>HYPERLINK("http://iink.com", "iink.com")</f>
      </c>
      <c r="M1387" s="17">
        <f>HYPERLINK("https://my.pitchbook.com?c=459708-22", "View Company Online")</f>
      </c>
    </row>
    <row r="1388">
      <c r="A1388" t="s" s="10">
        <v>7227</v>
      </c>
      <c r="B1388" t="s" s="10">
        <v>7228</v>
      </c>
      <c r="C1388" t="s" s="10">
        <v>27</v>
      </c>
      <c r="D1388" t="s" s="10">
        <v>28</v>
      </c>
      <c r="E1388" t="s" s="10">
        <v>7229</v>
      </c>
      <c r="F1388" s="27">
        <v>45497</v>
      </c>
      <c r="G1388" t="s" s="10">
        <v>4267</v>
      </c>
      <c r="H1388" t="s" s="42">
        <v>30</v>
      </c>
      <c r="I1388" s="42">
        <v>53</v>
      </c>
      <c r="J1388" t="s" s="10">
        <v>7230</v>
      </c>
      <c r="K1388" t="s" s="10">
        <v>7231</v>
      </c>
      <c r="L1388" s="16">
        <f>HYPERLINK("http://www.billfold.tech", "www.billfold.tech")</f>
      </c>
      <c r="M1388" s="16">
        <f>HYPERLINK("https://my.pitchbook.com?c=490001-68", "View Company Online")</f>
      </c>
    </row>
    <row r="1389">
      <c r="A1389" t="s" s="11">
        <v>7233</v>
      </c>
      <c r="B1389" t="s" s="11">
        <v>7234</v>
      </c>
      <c r="C1389" t="s" s="11">
        <v>46</v>
      </c>
      <c r="D1389" t="s" s="11">
        <v>397</v>
      </c>
      <c r="E1389" t="s" s="11">
        <v>29</v>
      </c>
      <c r="F1389" s="28">
        <v>45916</v>
      </c>
      <c r="G1389" t="s" s="11">
        <v>40</v>
      </c>
      <c r="H1389" s="43">
        <v>13.01</v>
      </c>
      <c r="I1389" s="43">
        <v>53</v>
      </c>
      <c r="J1389" t="s" s="11">
        <v>7235</v>
      </c>
      <c r="K1389" t="s" s="11">
        <v>7236</v>
      </c>
      <c r="L1389" s="17">
        <f>HYPERLINK("http://www.joingelt.com", "www.joingelt.com")</f>
      </c>
      <c r="M1389" s="17">
        <f>HYPERLINK("https://my.pitchbook.com?c=503679-16", "View Company Online")</f>
      </c>
    </row>
    <row r="1390">
      <c r="A1390" t="s" s="10">
        <v>7238</v>
      </c>
      <c r="B1390" t="s" s="10">
        <v>7239</v>
      </c>
      <c r="C1390" t="s" s="10">
        <v>164</v>
      </c>
      <c r="D1390" t="s" s="10">
        <v>206</v>
      </c>
      <c r="E1390" t="s" s="10">
        <v>193</v>
      </c>
      <c r="F1390" s="27">
        <v>45565</v>
      </c>
      <c r="G1390" t="s" s="10">
        <v>146</v>
      </c>
      <c r="H1390" s="42">
        <v>4.1</v>
      </c>
      <c r="I1390" s="42">
        <v>53</v>
      </c>
      <c r="J1390" t="s" s="10">
        <v>7240</v>
      </c>
      <c r="K1390" t="s" s="10">
        <v>7241</v>
      </c>
      <c r="L1390" s="16">
        <f>HYPERLINK("http://www.runviably.com", "www.runviably.com")</f>
      </c>
      <c r="M1390" s="16">
        <f>HYPERLINK("https://my.pitchbook.com?c=494187-22", "View Company Online")</f>
      </c>
    </row>
    <row r="1391">
      <c r="A1391" t="s" s="11">
        <v>7243</v>
      </c>
      <c r="B1391" t="s" s="11">
        <v>7244</v>
      </c>
      <c r="C1391" t="s" s="11">
        <v>60</v>
      </c>
      <c r="D1391" t="s" s="11">
        <v>192</v>
      </c>
      <c r="E1391" t="s" s="11">
        <v>373</v>
      </c>
      <c r="F1391" s="28">
        <v>46191</v>
      </c>
      <c r="G1391" t="s" s="11">
        <v>4267</v>
      </c>
      <c r="H1391" s="43">
        <v>11.6</v>
      </c>
      <c r="I1391" s="43">
        <v>52.97</v>
      </c>
      <c r="J1391" t="s" s="11">
        <v>7245</v>
      </c>
      <c r="K1391" t="s" s="11">
        <v>7246</v>
      </c>
      <c r="L1391" s="17">
        <f>HYPERLINK("http://www.warren.eu", "www.warren.eu")</f>
      </c>
      <c r="M1391" s="17">
        <f>HYPERLINK("https://my.pitchbook.com?c=762920-20", "View Company Online")</f>
      </c>
    </row>
    <row r="1392">
      <c r="A1392" t="s" s="10">
        <v>7248</v>
      </c>
      <c r="B1392" t="s" s="10">
        <v>7249</v>
      </c>
      <c r="C1392" t="s" s="10">
        <v>222</v>
      </c>
      <c r="D1392" t="s" s="10">
        <v>235</v>
      </c>
      <c r="E1392" t="s" s="10">
        <v>253</v>
      </c>
      <c r="F1392" s="27">
        <v>45688</v>
      </c>
      <c r="G1392" t="s" s="10">
        <v>146</v>
      </c>
      <c r="H1392" s="42">
        <v>0.9</v>
      </c>
      <c r="I1392" s="42">
        <v>52.5</v>
      </c>
      <c r="J1392" t="s" s="10">
        <v>7250</v>
      </c>
      <c r="K1392" t="s" s="10">
        <v>7251</v>
      </c>
      <c r="L1392" s="16">
        <f>HYPERLINK("http://www.collectiveliquidity.com", "www.collectiveliquidity.com")</f>
      </c>
      <c r="M1392" s="16">
        <f>HYPERLINK("https://my.pitchbook.com?c=616083-31", "View Company Online")</f>
      </c>
    </row>
    <row r="1393">
      <c r="A1393" t="s" s="11">
        <v>7253</v>
      </c>
      <c r="B1393" t="s" s="11">
        <v>7254</v>
      </c>
      <c r="C1393" t="s" s="11">
        <v>27</v>
      </c>
      <c r="D1393" t="s" s="11">
        <v>28</v>
      </c>
      <c r="E1393" t="s" s="11">
        <v>7255</v>
      </c>
      <c r="F1393" s="28">
        <v>45594</v>
      </c>
      <c r="G1393" t="s" s="11">
        <v>40</v>
      </c>
      <c r="H1393" s="43">
        <v>6.55</v>
      </c>
      <c r="I1393" s="43">
        <v>52.39</v>
      </c>
      <c r="J1393" t="s" s="11">
        <v>7256</v>
      </c>
      <c r="K1393" t="s" s="11">
        <v>7257</v>
      </c>
      <c r="L1393" s="17">
        <f>HYPERLINK("http://www.hozah.com", "www.hozah.com")</f>
      </c>
      <c r="M1393" s="17">
        <f>HYPERLINK("https://my.pitchbook.com?c=465325-93", "View Company Online")</f>
      </c>
    </row>
    <row r="1394">
      <c r="A1394" t="s" s="10">
        <v>7259</v>
      </c>
      <c r="B1394" t="s" s="10">
        <v>7260</v>
      </c>
      <c r="C1394" t="s" s="10">
        <v>60</v>
      </c>
      <c r="D1394" t="s" s="10">
        <v>432</v>
      </c>
      <c r="E1394" t="s" s="10">
        <v>253</v>
      </c>
      <c r="F1394" s="27">
        <v>45718</v>
      </c>
      <c r="G1394" t="s" s="10">
        <v>40</v>
      </c>
      <c r="H1394" s="42">
        <v>17.49</v>
      </c>
      <c r="I1394" s="42">
        <v>52.13</v>
      </c>
      <c r="J1394" t="s" s="10">
        <v>7261</v>
      </c>
      <c r="K1394" t="s" s="10">
        <v>7262</v>
      </c>
      <c r="L1394" s="16">
        <f>HYPERLINK("http://www.dash.com.au", "www.dash.com.au")</f>
      </c>
      <c r="M1394" s="16">
        <f>HYPERLINK("https://my.pitchbook.com?c=510759-46", "View Company Online")</f>
      </c>
    </row>
    <row r="1395">
      <c r="A1395" t="s" s="11">
        <v>7264</v>
      </c>
      <c r="B1395" t="s" s="11">
        <v>7265</v>
      </c>
      <c r="C1395" t="s" s="11">
        <v>60</v>
      </c>
      <c r="D1395" t="s" s="11">
        <v>727</v>
      </c>
      <c r="E1395" t="s" s="11">
        <v>1054</v>
      </c>
      <c r="F1395" s="28">
        <v>45996</v>
      </c>
      <c r="G1395" t="s" s="11">
        <v>271</v>
      </c>
      <c r="H1395" s="43">
        <v>0.25</v>
      </c>
      <c r="I1395" s="43">
        <v>52.12</v>
      </c>
      <c r="J1395" t="s" s="11">
        <v>7266</v>
      </c>
      <c r="K1395" t="s" s="11">
        <v>7267</v>
      </c>
      <c r="L1395" s="17">
        <f>HYPERLINK("http://www.wisealpha.com", "www.wisealpha.com")</f>
      </c>
      <c r="M1395" s="17">
        <f>HYPERLINK("https://my.pitchbook.com?c=160808-32", "View Company Online")</f>
      </c>
    </row>
    <row r="1396">
      <c r="A1396" t="s" s="10">
        <v>7269</v>
      </c>
      <c r="B1396" t="s" s="10">
        <v>7270</v>
      </c>
      <c r="C1396" t="s" s="10">
        <v>46</v>
      </c>
      <c r="D1396" t="s" s="10">
        <v>47</v>
      </c>
      <c r="E1396" t="s" s="10">
        <v>108</v>
      </c>
      <c r="F1396" s="27">
        <v>46171</v>
      </c>
      <c r="G1396" t="s" s="10">
        <v>40</v>
      </c>
      <c r="H1396" s="42">
        <v>30.93</v>
      </c>
      <c r="I1396" s="42">
        <v>52</v>
      </c>
      <c r="J1396" t="s" s="10">
        <v>7271</v>
      </c>
      <c r="K1396" t="s" s="10">
        <v>7272</v>
      </c>
      <c r="L1396" s="16">
        <f>HYPERLINK("http://www.earlytrade.com", "www.earlytrade.com")</f>
      </c>
      <c r="M1396" s="16">
        <f>HYPERLINK("https://my.pitchbook.com?c=229667-86", "View Company Online")</f>
      </c>
    </row>
    <row r="1397">
      <c r="A1397" t="s" s="11">
        <v>7274</v>
      </c>
      <c r="B1397" t="s" s="11">
        <v>7275</v>
      </c>
      <c r="C1397" t="s" s="11">
        <v>27</v>
      </c>
      <c r="D1397" t="s" s="11">
        <v>28</v>
      </c>
      <c r="E1397" t="s" s="11">
        <v>5072</v>
      </c>
      <c r="F1397" s="28">
        <v>44818</v>
      </c>
      <c r="G1397" t="s" s="11">
        <v>146</v>
      </c>
      <c r="H1397" s="43">
        <v>11.34</v>
      </c>
      <c r="I1397" s="43">
        <v>52</v>
      </c>
      <c r="J1397" t="s" s="11">
        <v>7276</v>
      </c>
      <c r="K1397" t="s" s="11">
        <v>7277</v>
      </c>
      <c r="L1397" s="17">
        <f>HYPERLINK("http://www.rallyon.com", "www.rallyon.com")</f>
      </c>
      <c r="M1397" s="17">
        <f>HYPERLINK("https://my.pitchbook.com?c=470569-78", "View Company Online")</f>
      </c>
    </row>
    <row r="1398">
      <c r="A1398" t="s" s="10">
        <v>7279</v>
      </c>
      <c r="B1398" t="s" s="10">
        <v>7280</v>
      </c>
      <c r="C1398" t="s" s="10">
        <v>164</v>
      </c>
      <c r="D1398" t="s" s="10">
        <v>165</v>
      </c>
      <c r="E1398" t="s" s="10">
        <v>253</v>
      </c>
      <c r="F1398" t="s" s="27">
        <v>30</v>
      </c>
      <c r="G1398" t="s" s="10">
        <v>607</v>
      </c>
      <c r="H1398" t="s" s="42">
        <v>30</v>
      </c>
      <c r="I1398" s="42">
        <v>51.81</v>
      </c>
      <c r="J1398" t="s" s="10">
        <v>7281</v>
      </c>
      <c r="K1398" t="s" s="10">
        <v>7282</v>
      </c>
      <c r="L1398" s="16">
        <f>HYPERLINK("http://www.vestr.com", "www.vestr.com")</f>
      </c>
      <c r="M1398" s="16">
        <f>HYPERLINK("https://my.pitchbook.com?c=228786-76", "View Company Online")</f>
      </c>
    </row>
    <row r="1399">
      <c r="A1399" t="s" s="11">
        <v>7284</v>
      </c>
      <c r="B1399" t="s" s="11">
        <v>7285</v>
      </c>
      <c r="C1399" t="s" s="11">
        <v>172</v>
      </c>
      <c r="D1399" t="s" s="11">
        <v>1454</v>
      </c>
      <c r="E1399" t="s" s="11">
        <v>1349</v>
      </c>
      <c r="F1399" s="28">
        <v>45448</v>
      </c>
      <c r="G1399" t="s" s="11">
        <v>40</v>
      </c>
      <c r="H1399" s="43">
        <v>2.82</v>
      </c>
      <c r="I1399" s="43">
        <v>51.71</v>
      </c>
      <c r="J1399" t="s" s="11">
        <v>7286</v>
      </c>
      <c r="K1399" t="s" s="11">
        <v>7287</v>
      </c>
      <c r="L1399" s="17">
        <f>HYPERLINK("http://www.opensee.io", "www.opensee.io")</f>
      </c>
      <c r="M1399" s="17">
        <f>HYPERLINK("https://my.pitchbook.com?c=466216-75", "View Company Online")</f>
      </c>
    </row>
    <row r="1400">
      <c r="A1400" t="s" s="10">
        <v>7289</v>
      </c>
      <c r="B1400" t="s" s="10">
        <v>7290</v>
      </c>
      <c r="C1400" t="s" s="10">
        <v>164</v>
      </c>
      <c r="D1400" t="s" s="10">
        <v>206</v>
      </c>
      <c r="E1400" t="s" s="10">
        <v>253</v>
      </c>
      <c r="F1400" s="27">
        <v>44686</v>
      </c>
      <c r="G1400" t="s" s="10">
        <v>146</v>
      </c>
      <c r="H1400" s="42">
        <v>11.6</v>
      </c>
      <c r="I1400" s="42">
        <v>51.6</v>
      </c>
      <c r="J1400" t="s" s="10">
        <v>7291</v>
      </c>
      <c r="K1400" t="s" s="10">
        <v>7292</v>
      </c>
      <c r="L1400" s="16">
        <f>HYPERLINK("http://www.payengine.co", "www.payengine.co")</f>
      </c>
      <c r="M1400" s="16">
        <f>HYPERLINK("https://my.pitchbook.com?c=471667-60", "View Company Online")</f>
      </c>
    </row>
    <row r="1401">
      <c r="A1401" t="s" s="11">
        <v>7294</v>
      </c>
      <c r="B1401" t="s" s="11">
        <v>7295</v>
      </c>
      <c r="C1401" t="s" s="11">
        <v>46</v>
      </c>
      <c r="D1401" t="s" s="11">
        <v>47</v>
      </c>
      <c r="E1401" t="s" s="11">
        <v>253</v>
      </c>
      <c r="F1401" s="28">
        <v>44663</v>
      </c>
      <c r="G1401" t="s" s="11">
        <v>146</v>
      </c>
      <c r="H1401" s="43">
        <v>16.49</v>
      </c>
      <c r="I1401" s="43">
        <v>51.55</v>
      </c>
      <c r="J1401" t="s" s="11">
        <v>7296</v>
      </c>
      <c r="K1401" t="s" s="11">
        <v>7297</v>
      </c>
      <c r="L1401" s="17">
        <f>HYPERLINK("http://www.zevoy.com", "www.zevoy.com")</f>
      </c>
      <c r="M1401" s="17">
        <f>HYPERLINK("https://my.pitchbook.com?c=472336-12", "View Company Online")</f>
      </c>
    </row>
    <row r="1402">
      <c r="A1402" t="s" s="10">
        <v>7299</v>
      </c>
      <c r="B1402" t="s" s="10">
        <v>7300</v>
      </c>
      <c r="C1402" t="s" s="10">
        <v>60</v>
      </c>
      <c r="D1402" t="s" s="10">
        <v>727</v>
      </c>
      <c r="E1402" t="s" s="10">
        <v>1032</v>
      </c>
      <c r="F1402" s="27">
        <v>45323</v>
      </c>
      <c r="G1402" t="s" s="10">
        <v>40</v>
      </c>
      <c r="H1402" s="42">
        <v>3.79</v>
      </c>
      <c r="I1402" s="42">
        <v>51.54</v>
      </c>
      <c r="J1402" t="s" s="10">
        <v>7301</v>
      </c>
      <c r="K1402" t="s" s="10">
        <v>7302</v>
      </c>
      <c r="L1402" s="16">
        <f>HYPERLINK("http://www.crowdproperty.com", "www.crowdproperty.com")</f>
      </c>
      <c r="M1402" s="16">
        <f>HYPERLINK("https://my.pitchbook.com?c=229134-97", "View Company Online")</f>
      </c>
    </row>
    <row r="1403">
      <c r="A1403" t="s" s="11">
        <v>7304</v>
      </c>
      <c r="B1403" t="s" s="11">
        <v>7305</v>
      </c>
      <c r="C1403" t="s" s="11">
        <v>27</v>
      </c>
      <c r="D1403" t="s" s="11">
        <v>28</v>
      </c>
      <c r="E1403" t="s" s="11">
        <v>30</v>
      </c>
      <c r="F1403" s="28">
        <v>46041</v>
      </c>
      <c r="G1403" t="s" s="11">
        <v>40</v>
      </c>
      <c r="H1403" s="43">
        <v>12.8</v>
      </c>
      <c r="I1403" s="43">
        <v>51.51</v>
      </c>
      <c r="J1403" t="s" s="11">
        <v>7306</v>
      </c>
      <c r="K1403" t="s" s="11">
        <v>7307</v>
      </c>
      <c r="L1403" s="17">
        <f>HYPERLINK("http://www.teamfeepay.com", "www.teamfeepay.com")</f>
      </c>
      <c r="M1403" s="17">
        <f>HYPERLINK("https://my.pitchbook.com?c=459382-60", "View Company Online")</f>
      </c>
    </row>
    <row r="1404">
      <c r="A1404" t="s" s="10">
        <v>7309</v>
      </c>
      <c r="B1404" t="s" s="10">
        <v>7310</v>
      </c>
      <c r="C1404" t="s" s="10">
        <v>27</v>
      </c>
      <c r="D1404" t="s" s="10">
        <v>28</v>
      </c>
      <c r="E1404" t="s" s="10">
        <v>253</v>
      </c>
      <c r="F1404" s="27">
        <v>45384</v>
      </c>
      <c r="G1404" t="s" s="10">
        <v>40</v>
      </c>
      <c r="H1404" s="42">
        <v>6.67</v>
      </c>
      <c r="I1404" s="42">
        <v>51.16</v>
      </c>
      <c r="J1404" t="s" s="10">
        <v>7311</v>
      </c>
      <c r="K1404" t="s" s="10">
        <v>7312</v>
      </c>
      <c r="L1404" s="16">
        <f>HYPERLINK("http://www.elestyle.jp", "www.elestyle.jp")</f>
      </c>
      <c r="M1404" s="16">
        <f>HYPERLINK("https://my.pitchbook.com?c=522755-92", "View Company Online")</f>
      </c>
    </row>
    <row r="1405">
      <c r="A1405" t="s" s="11">
        <v>7314</v>
      </c>
      <c r="B1405" t="s" s="11">
        <v>7315</v>
      </c>
      <c r="C1405" t="s" s="11">
        <v>27</v>
      </c>
      <c r="D1405" t="s" s="11">
        <v>28</v>
      </c>
      <c r="E1405" t="s" s="11">
        <v>7316</v>
      </c>
      <c r="F1405" s="28">
        <v>45811</v>
      </c>
      <c r="G1405" t="s" s="11">
        <v>40</v>
      </c>
      <c r="H1405" s="43">
        <v>26.76</v>
      </c>
      <c r="I1405" s="43">
        <v>51.11</v>
      </c>
      <c r="J1405" t="s" s="11">
        <v>7317</v>
      </c>
      <c r="K1405" t="s" s="11">
        <v>7318</v>
      </c>
      <c r="L1405" s="17">
        <f>HYPERLINK("http://www.labrys.tech", "www.labrys.tech")</f>
      </c>
      <c r="M1405" s="17">
        <f>HYPERLINK("https://my.pitchbook.com?c=497460-34", "View Company Online")</f>
      </c>
    </row>
    <row r="1406">
      <c r="A1406" t="s" s="10">
        <v>7320</v>
      </c>
      <c r="B1406" t="s" s="10">
        <v>7321</v>
      </c>
      <c r="C1406" t="s" s="10">
        <v>172</v>
      </c>
      <c r="D1406" t="s" s="10">
        <v>338</v>
      </c>
      <c r="E1406" t="s" s="10">
        <v>646</v>
      </c>
      <c r="F1406" t="s" s="27">
        <v>30</v>
      </c>
      <c r="G1406" t="s" s="10">
        <v>271</v>
      </c>
      <c r="H1406" t="s" s="42">
        <v>30</v>
      </c>
      <c r="I1406" s="42">
        <v>51.06</v>
      </c>
      <c r="J1406" t="s" s="10">
        <v>7322</v>
      </c>
      <c r="K1406" t="s" s="10">
        <v>7323</v>
      </c>
      <c r="L1406" s="16">
        <f>HYPERLINK("http://www.ondato.com", "www.ondato.com")</f>
      </c>
      <c r="M1406" s="16">
        <f>HYPERLINK("https://my.pitchbook.com?c=234258-04", "View Company Online")</f>
      </c>
    </row>
    <row r="1407">
      <c r="A1407" t="s" s="11">
        <v>7325</v>
      </c>
      <c r="B1407" t="s" s="11">
        <v>7326</v>
      </c>
      <c r="C1407" t="s" s="11">
        <v>60</v>
      </c>
      <c r="D1407" t="s" s="11">
        <v>61</v>
      </c>
      <c r="E1407" t="s" s="11">
        <v>193</v>
      </c>
      <c r="F1407" s="28">
        <v>46057</v>
      </c>
      <c r="G1407" t="s" s="11">
        <v>3139</v>
      </c>
      <c r="H1407" s="43">
        <v>22.5</v>
      </c>
      <c r="I1407" s="43">
        <v>51</v>
      </c>
      <c r="J1407" t="s" s="11">
        <v>7327</v>
      </c>
      <c r="K1407" t="s" s="11">
        <v>7328</v>
      </c>
      <c r="L1407" s="17">
        <f>HYPERLINK("http://www.alinea-invest.com", "www.alinea-invest.com")</f>
      </c>
      <c r="M1407" s="17">
        <f>HYPERLINK("https://my.pitchbook.com?c=343267-48", "View Company Online")</f>
      </c>
    </row>
    <row r="1408">
      <c r="A1408" t="s" s="10">
        <v>7330</v>
      </c>
      <c r="B1408" t="s" s="10">
        <v>7331</v>
      </c>
      <c r="C1408" t="s" s="10">
        <v>27</v>
      </c>
      <c r="D1408" t="s" s="10">
        <v>70</v>
      </c>
      <c r="E1408" t="s" s="10">
        <v>259</v>
      </c>
      <c r="F1408" s="27">
        <v>45771</v>
      </c>
      <c r="G1408" t="s" s="10">
        <v>146</v>
      </c>
      <c r="H1408" s="42">
        <v>22</v>
      </c>
      <c r="I1408" s="42">
        <v>51</v>
      </c>
      <c r="J1408" t="s" s="10">
        <v>7332</v>
      </c>
      <c r="K1408" t="s" s="10">
        <v>7333</v>
      </c>
      <c r="L1408" s="16">
        <f>HYPERLINK("http://www.alternativepayments.io", "www.alternativepayments.io")</f>
      </c>
      <c r="M1408" s="16">
        <f>HYPERLINK("https://my.pitchbook.com?c=494207-74", "View Company Online")</f>
      </c>
    </row>
    <row r="1409">
      <c r="A1409" t="s" s="11">
        <v>7335</v>
      </c>
      <c r="B1409" t="s" s="11">
        <v>7336</v>
      </c>
      <c r="C1409" t="s" s="11">
        <v>222</v>
      </c>
      <c r="D1409" t="s" s="11">
        <v>223</v>
      </c>
      <c r="E1409" t="s" s="11">
        <v>373</v>
      </c>
      <c r="F1409" s="28">
        <v>46126</v>
      </c>
      <c r="G1409" t="s" s="11">
        <v>146</v>
      </c>
      <c r="H1409" s="43">
        <v>26.5</v>
      </c>
      <c r="I1409" s="43">
        <v>51</v>
      </c>
      <c r="J1409" t="s" s="11">
        <v>7337</v>
      </c>
      <c r="K1409" t="s" s="11">
        <v>7338</v>
      </c>
      <c r="L1409" s="17">
        <f>HYPERLINK("http://www.finster.ai", "www.finster.ai")</f>
      </c>
      <c r="M1409" s="17">
        <f>HYPERLINK("https://my.pitchbook.com?c=547947-55", "View Company Online")</f>
      </c>
    </row>
    <row r="1410">
      <c r="A1410" t="s" s="10">
        <v>7340</v>
      </c>
      <c r="B1410" t="s" s="10">
        <v>7341</v>
      </c>
      <c r="C1410" t="s" s="10">
        <v>128</v>
      </c>
      <c r="D1410" t="s" s="10">
        <v>129</v>
      </c>
      <c r="E1410" t="s" s="10">
        <v>7342</v>
      </c>
      <c r="F1410" s="27">
        <v>46209</v>
      </c>
      <c r="G1410" t="s" s="10">
        <v>2051</v>
      </c>
      <c r="H1410" t="s" s="42">
        <v>30</v>
      </c>
      <c r="I1410" s="42">
        <v>51</v>
      </c>
      <c r="J1410" t="s" s="10">
        <v>7343</v>
      </c>
      <c r="K1410" t="s" s="10">
        <v>30</v>
      </c>
      <c r="L1410" s="16">
        <f>HYPERLINK("http://www.future.green", "www.future.green")</f>
      </c>
      <c r="M1410" s="16">
        <f>HYPERLINK("https://my.pitchbook.com?c=484526-26", "View Company Online")</f>
      </c>
    </row>
    <row r="1411">
      <c r="A1411" t="s" s="11">
        <v>7345</v>
      </c>
      <c r="B1411" t="s" s="11">
        <v>7346</v>
      </c>
      <c r="C1411" t="s" s="11">
        <v>46</v>
      </c>
      <c r="D1411" t="s" s="11">
        <v>78</v>
      </c>
      <c r="E1411" t="s" s="11">
        <v>116</v>
      </c>
      <c r="F1411" s="28">
        <v>46181</v>
      </c>
      <c r="G1411" t="s" s="11">
        <v>40</v>
      </c>
      <c r="H1411" s="43">
        <v>8</v>
      </c>
      <c r="I1411" s="43">
        <v>51</v>
      </c>
      <c r="J1411" t="s" s="11">
        <v>7347</v>
      </c>
      <c r="K1411" t="s" s="11">
        <v>7348</v>
      </c>
      <c r="L1411" s="17">
        <f>HYPERLINK("http://www.joinimmediate.com", "www.joinimmediate.com")</f>
      </c>
      <c r="M1411" s="17">
        <f>HYPERLINK("https://my.pitchbook.com?c=432567-10", "View Company Online")</f>
      </c>
    </row>
    <row r="1412">
      <c r="A1412" t="s" s="10">
        <v>7350</v>
      </c>
      <c r="B1412" t="s" s="10">
        <v>7351</v>
      </c>
      <c r="C1412" t="s" s="10">
        <v>164</v>
      </c>
      <c r="D1412" t="s" s="10">
        <v>206</v>
      </c>
      <c r="E1412" t="s" s="10">
        <v>414</v>
      </c>
      <c r="F1412" s="27">
        <v>46036</v>
      </c>
      <c r="G1412" t="s" s="10">
        <v>146</v>
      </c>
      <c r="H1412" s="42">
        <v>12</v>
      </c>
      <c r="I1412" s="42">
        <v>51</v>
      </c>
      <c r="J1412" t="s" s="10">
        <v>7352</v>
      </c>
      <c r="K1412" t="s" s="10">
        <v>7353</v>
      </c>
      <c r="L1412" s="16">
        <f>HYPERLINK("http://www.monnai.com", "www.monnai.com")</f>
      </c>
      <c r="M1412" s="16">
        <f>HYPERLINK("https://my.pitchbook.com?c=484708-24", "View Company Online")</f>
      </c>
    </row>
    <row r="1413">
      <c r="A1413" t="s" s="11">
        <v>7355</v>
      </c>
      <c r="B1413" t="s" s="11">
        <v>7356</v>
      </c>
      <c r="C1413" t="s" s="11">
        <v>60</v>
      </c>
      <c r="D1413" t="s" s="11">
        <v>246</v>
      </c>
      <c r="E1413" t="s" s="11">
        <v>373</v>
      </c>
      <c r="F1413" t="s" s="28">
        <v>30</v>
      </c>
      <c r="G1413" t="s" s="11">
        <v>40</v>
      </c>
      <c r="H1413" t="s" s="43">
        <v>30</v>
      </c>
      <c r="I1413" s="43">
        <v>50.81</v>
      </c>
      <c r="J1413" t="s" s="11">
        <v>7357</v>
      </c>
      <c r="K1413" t="s" s="11">
        <v>7358</v>
      </c>
      <c r="L1413" s="17">
        <f>HYPERLINK("http://www.copilot.money", "www.copilot.money")</f>
      </c>
      <c r="M1413" s="17">
        <f>HYPERLINK("https://my.pitchbook.com?c=434852-11", "View Company Online")</f>
      </c>
    </row>
    <row r="1414">
      <c r="A1414" t="s" s="10">
        <v>7360</v>
      </c>
      <c r="B1414" t="s" s="10">
        <v>7361</v>
      </c>
      <c r="C1414" t="s" s="10">
        <v>60</v>
      </c>
      <c r="D1414" t="s" s="10">
        <v>192</v>
      </c>
      <c r="E1414" t="s" s="10">
        <v>137</v>
      </c>
      <c r="F1414" s="27">
        <v>44650</v>
      </c>
      <c r="G1414" t="s" s="10">
        <v>40</v>
      </c>
      <c r="H1414" s="42">
        <v>10.22</v>
      </c>
      <c r="I1414" s="42">
        <v>50.8</v>
      </c>
      <c r="J1414" t="s" s="10">
        <v>7362</v>
      </c>
      <c r="K1414" t="s" s="10">
        <v>7363</v>
      </c>
      <c r="L1414" s="16">
        <f>HYPERLINK("http://www.abcash.co.jp", "www.abcash.co.jp")</f>
      </c>
      <c r="M1414" s="16">
        <f>HYPERLINK("https://my.pitchbook.com?c=268039-27", "View Company Online")</f>
      </c>
    </row>
    <row r="1415">
      <c r="A1415" t="s" s="11">
        <v>7365</v>
      </c>
      <c r="B1415" t="s" s="11">
        <v>7366</v>
      </c>
      <c r="C1415" t="s" s="11">
        <v>60</v>
      </c>
      <c r="D1415" t="s" s="11">
        <v>192</v>
      </c>
      <c r="E1415" t="s" s="11">
        <v>1266</v>
      </c>
      <c r="F1415" s="28">
        <v>44558</v>
      </c>
      <c r="G1415" t="s" s="11">
        <v>40</v>
      </c>
      <c r="H1415" t="s" s="43">
        <v>30</v>
      </c>
      <c r="I1415" s="43">
        <v>50.6</v>
      </c>
      <c r="J1415" t="s" s="11">
        <v>7367</v>
      </c>
      <c r="K1415" t="s" s="11">
        <v>7368</v>
      </c>
      <c r="L1415" s="17">
        <f>HYPERLINK("http://www.123.com.cn", "www.123.com.cn")</f>
      </c>
      <c r="M1415" s="17">
        <f>HYPERLINK("https://my.pitchbook.com?c=489591-19", "View Company Online")</f>
      </c>
    </row>
    <row r="1416">
      <c r="A1416" t="s" s="10">
        <v>7370</v>
      </c>
      <c r="B1416" t="s" s="10">
        <v>7371</v>
      </c>
      <c r="C1416" t="s" s="10">
        <v>46</v>
      </c>
      <c r="D1416" t="s" s="10">
        <v>78</v>
      </c>
      <c r="E1416" t="s" s="10">
        <v>193</v>
      </c>
      <c r="F1416" s="27">
        <v>45391</v>
      </c>
      <c r="G1416" t="s" s="10">
        <v>146</v>
      </c>
      <c r="H1416" s="42">
        <v>23</v>
      </c>
      <c r="I1416" s="42">
        <v>50.51</v>
      </c>
      <c r="J1416" t="s" s="10">
        <v>7372</v>
      </c>
      <c r="K1416" t="s" s="10">
        <v>7373</v>
      </c>
      <c r="L1416" s="16">
        <f>HYPERLINK("http://www.wagely.app", "www.wagely.app")</f>
      </c>
      <c r="M1416" s="16">
        <f>HYPERLINK("https://my.pitchbook.com?c=439194-97", "View Company Online")</f>
      </c>
    </row>
    <row r="1417">
      <c r="A1417" t="s" s="11">
        <v>7375</v>
      </c>
      <c r="B1417" t="s" s="11">
        <v>7376</v>
      </c>
      <c r="C1417" t="s" s="11">
        <v>27</v>
      </c>
      <c r="D1417" t="s" s="11">
        <v>28</v>
      </c>
      <c r="E1417" t="s" s="11">
        <v>253</v>
      </c>
      <c r="F1417" s="28">
        <v>45250</v>
      </c>
      <c r="G1417" t="s" s="11">
        <v>40</v>
      </c>
      <c r="H1417" s="43">
        <v>9</v>
      </c>
      <c r="I1417" s="43">
        <v>50.5</v>
      </c>
      <c r="J1417" t="s" s="11">
        <v>7377</v>
      </c>
      <c r="K1417" t="s" s="11">
        <v>7378</v>
      </c>
      <c r="L1417" s="17">
        <f>HYPERLINK("http://www.appbrilliance.com", "www.appbrilliance.com")</f>
      </c>
      <c r="M1417" s="17">
        <f>HYPERLINK("https://my.pitchbook.com?c=338607-82", "View Company Online")</f>
      </c>
    </row>
    <row r="1418">
      <c r="A1418" t="s" s="10">
        <v>7380</v>
      </c>
      <c r="B1418" t="s" s="10">
        <v>7381</v>
      </c>
      <c r="C1418" t="s" s="10">
        <v>164</v>
      </c>
      <c r="D1418" t="s" s="10">
        <v>165</v>
      </c>
      <c r="E1418" t="s" s="10">
        <v>253</v>
      </c>
      <c r="F1418" s="27">
        <v>45147</v>
      </c>
      <c r="G1418" t="s" s="10">
        <v>146</v>
      </c>
      <c r="H1418" s="42">
        <v>16.5</v>
      </c>
      <c r="I1418" s="42">
        <v>50.5</v>
      </c>
      <c r="J1418" t="s" s="10">
        <v>7382</v>
      </c>
      <c r="K1418" t="s" s="10">
        <v>7383</v>
      </c>
      <c r="L1418" s="16">
        <f>HYPERLINK("http://www.canopyservicing.com", "www.canopyservicing.com")</f>
      </c>
      <c r="M1418" s="16">
        <f>HYPERLINK("https://my.pitchbook.com?c=436328-29", "View Company Online")</f>
      </c>
    </row>
    <row r="1419">
      <c r="A1419" t="s" s="11">
        <v>7385</v>
      </c>
      <c r="B1419" t="s" s="11">
        <v>7386</v>
      </c>
      <c r="C1419" t="s" s="11">
        <v>60</v>
      </c>
      <c r="D1419" t="s" s="11">
        <v>246</v>
      </c>
      <c r="E1419" t="s" s="11">
        <v>270</v>
      </c>
      <c r="F1419" s="28">
        <v>45393</v>
      </c>
      <c r="G1419" t="s" s="11">
        <v>146</v>
      </c>
      <c r="H1419" s="43">
        <v>10</v>
      </c>
      <c r="I1419" s="43">
        <v>50.5</v>
      </c>
      <c r="J1419" t="s" s="11">
        <v>7387</v>
      </c>
      <c r="K1419" t="s" s="11">
        <v>7388</v>
      </c>
      <c r="L1419" s="17">
        <f>HYPERLINK("http://www.stackwellcapital.com", "www.stackwellcapital.com")</f>
      </c>
      <c r="M1419" s="17">
        <f>HYPERLINK("https://my.pitchbook.com?c=483173-29", "View Company Online")</f>
      </c>
    </row>
    <row r="1420">
      <c r="A1420" t="s" s="10">
        <v>7390</v>
      </c>
      <c r="B1420" t="s" s="10">
        <v>7391</v>
      </c>
      <c r="C1420" t="s" s="10">
        <v>27</v>
      </c>
      <c r="D1420" t="s" s="10">
        <v>28</v>
      </c>
      <c r="E1420" t="s" s="10">
        <v>1065</v>
      </c>
      <c r="F1420" s="27">
        <v>45859</v>
      </c>
      <c r="G1420" t="s" s="10">
        <v>40</v>
      </c>
      <c r="H1420" s="42">
        <v>10.81</v>
      </c>
      <c r="I1420" s="42">
        <v>50.46</v>
      </c>
      <c r="J1420" t="s" s="10">
        <v>7392</v>
      </c>
      <c r="K1420" t="s" s="10">
        <v>7393</v>
      </c>
      <c r="L1420" s="16">
        <f>HYPERLINK("http://www.fonepay.com", "www.fonepay.com")</f>
      </c>
      <c r="M1420" s="16">
        <f>HYPERLINK("https://my.pitchbook.com?c=561455-74", "View Company Online")</f>
      </c>
    </row>
    <row r="1421">
      <c r="A1421" t="s" s="11">
        <v>7395</v>
      </c>
      <c r="B1421" t="s" s="11">
        <v>7396</v>
      </c>
      <c r="C1421" t="s" s="11">
        <v>114</v>
      </c>
      <c r="D1421" t="s" s="11">
        <v>852</v>
      </c>
      <c r="E1421" t="s" s="11">
        <v>253</v>
      </c>
      <c r="F1421" s="28">
        <v>45691</v>
      </c>
      <c r="G1421" t="s" s="11">
        <v>271</v>
      </c>
      <c r="H1421" s="43">
        <v>1.62</v>
      </c>
      <c r="I1421" s="43">
        <v>50.04</v>
      </c>
      <c r="J1421" t="s" s="11">
        <v>7397</v>
      </c>
      <c r="K1421" t="s" s="11">
        <v>7398</v>
      </c>
      <c r="L1421" s="17">
        <f>HYPERLINK("http://www.doc2doclending.com", "www.doc2doclending.com")</f>
      </c>
      <c r="M1421" s="17">
        <f>HYPERLINK("https://my.pitchbook.com?c=459756-46", "View Company Online")</f>
      </c>
    </row>
    <row r="1422">
      <c r="A1422" t="s" s="10">
        <v>7400</v>
      </c>
      <c r="B1422" t="s" s="10">
        <v>7401</v>
      </c>
      <c r="C1422" t="s" s="10">
        <v>60</v>
      </c>
      <c r="D1422" t="s" s="10">
        <v>727</v>
      </c>
      <c r="E1422" t="s" s="10">
        <v>253</v>
      </c>
      <c r="F1422" s="27">
        <v>46084</v>
      </c>
      <c r="G1422" t="s" s="10">
        <v>146</v>
      </c>
      <c r="H1422" s="42">
        <v>5.33</v>
      </c>
      <c r="I1422" s="42">
        <v>50.04</v>
      </c>
      <c r="J1422" t="s" s="10">
        <v>7402</v>
      </c>
      <c r="K1422" t="s" s="10">
        <v>7403</v>
      </c>
      <c r="L1422" s="16">
        <f>HYPERLINK("http://www.mcqmarkets.com", "www.mcqmarkets.com")</f>
      </c>
      <c r="M1422" s="16">
        <f>HYPERLINK("https://my.pitchbook.com?c=607753-99", "View Company Online")</f>
      </c>
    </row>
    <row r="1423">
      <c r="A1423" t="s" s="11">
        <v>7405</v>
      </c>
      <c r="B1423" t="s" s="11">
        <v>7406</v>
      </c>
      <c r="C1423" t="s" s="11">
        <v>164</v>
      </c>
      <c r="D1423" t="s" s="11">
        <v>206</v>
      </c>
      <c r="E1423" t="s" s="11">
        <v>4087</v>
      </c>
      <c r="F1423" t="s" s="28">
        <v>30</v>
      </c>
      <c r="G1423" t="s" s="11">
        <v>40</v>
      </c>
      <c r="H1423" t="s" s="43">
        <v>30</v>
      </c>
      <c r="I1423" s="43">
        <v>50</v>
      </c>
      <c r="J1423" t="s" s="11">
        <v>7407</v>
      </c>
      <c r="K1423" t="s" s="11">
        <v>7408</v>
      </c>
      <c r="L1423" s="17">
        <f>HYPERLINK("http://www.alviere.com", "www.alviere.com")</f>
      </c>
      <c r="M1423" s="17">
        <f>HYPERLINK("https://my.pitchbook.com?c=223427-89", "View Company Online")</f>
      </c>
    </row>
    <row r="1424">
      <c r="A1424" t="s" s="10">
        <v>7410</v>
      </c>
      <c r="B1424" t="s" s="10">
        <v>7411</v>
      </c>
      <c r="C1424" t="s" s="10">
        <v>60</v>
      </c>
      <c r="D1424" t="s" s="10">
        <v>192</v>
      </c>
      <c r="E1424" t="s" s="10">
        <v>414</v>
      </c>
      <c r="F1424" t="s" s="27">
        <v>30</v>
      </c>
      <c r="G1424" t="s" s="10">
        <v>48</v>
      </c>
      <c r="H1424" t="s" s="42">
        <v>30</v>
      </c>
      <c r="I1424" s="42">
        <v>50</v>
      </c>
      <c r="J1424" t="s" s="10">
        <v>7412</v>
      </c>
      <c r="K1424" t="s" s="10">
        <v>7413</v>
      </c>
      <c r="L1424" s="16">
        <f>HYPERLINK("http://www.asantefinancegroup.com", "www.asantefinancegroup.com")</f>
      </c>
      <c r="M1424" s="16">
        <f>HYPERLINK("https://my.pitchbook.com?c=471566-44", "View Company Online")</f>
      </c>
    </row>
    <row r="1425">
      <c r="A1425" t="s" s="11">
        <v>7415</v>
      </c>
      <c r="B1425" t="s" s="11">
        <v>7416</v>
      </c>
      <c r="C1425" t="s" s="11">
        <v>60</v>
      </c>
      <c r="D1425" t="s" s="11">
        <v>420</v>
      </c>
      <c r="E1425" t="s" s="11">
        <v>414</v>
      </c>
      <c r="F1425" s="28">
        <v>45378</v>
      </c>
      <c r="G1425" t="s" s="11">
        <v>40</v>
      </c>
      <c r="H1425" s="43">
        <v>20.8</v>
      </c>
      <c r="I1425" s="43">
        <v>50</v>
      </c>
      <c r="J1425" t="s" s="11">
        <v>7417</v>
      </c>
      <c r="K1425" t="s" s="11">
        <v>7418</v>
      </c>
      <c r="L1425" s="17">
        <f>HYPERLINK("http://www.boldin.com", "www.boldin.com")</f>
      </c>
      <c r="M1425" s="17">
        <f>HYPERLINK("https://my.pitchbook.com?c=92788-66", "View Company Online")</f>
      </c>
    </row>
    <row r="1426">
      <c r="A1426" t="s" s="10">
        <v>7420</v>
      </c>
      <c r="B1426" t="s" s="10">
        <v>7421</v>
      </c>
      <c r="C1426" t="s" s="10">
        <v>60</v>
      </c>
      <c r="D1426" t="s" s="10">
        <v>192</v>
      </c>
      <c r="E1426" t="s" s="10">
        <v>373</v>
      </c>
      <c r="F1426" s="27">
        <v>46126</v>
      </c>
      <c r="G1426" t="s" s="10">
        <v>146</v>
      </c>
      <c r="H1426" s="42">
        <v>6.6</v>
      </c>
      <c r="I1426" s="42">
        <v>50</v>
      </c>
      <c r="J1426" t="s" s="10">
        <v>7422</v>
      </c>
      <c r="K1426" t="s" s="10">
        <v>7423</v>
      </c>
      <c r="L1426" s="16">
        <f>HYPERLINK("http://www.getcaruso.com", "www.getcaruso.com")</f>
      </c>
      <c r="M1426" s="16">
        <f>HYPERLINK("https://my.pitchbook.com?c=532822-24", "View Company Online")</f>
      </c>
    </row>
    <row r="1427">
      <c r="A1427" t="s" s="11">
        <v>7425</v>
      </c>
      <c r="B1427" t="s" s="11">
        <v>7426</v>
      </c>
      <c r="C1427" t="s" s="11">
        <v>27</v>
      </c>
      <c r="D1427" t="s" s="11">
        <v>28</v>
      </c>
      <c r="E1427" t="s" s="11">
        <v>253</v>
      </c>
      <c r="F1427" s="28">
        <v>45415</v>
      </c>
      <c r="G1427" t="s" s="11">
        <v>146</v>
      </c>
      <c r="H1427" s="43">
        <v>11</v>
      </c>
      <c r="I1427" s="43">
        <v>50</v>
      </c>
      <c r="J1427" t="s" s="11">
        <v>7427</v>
      </c>
      <c r="K1427" t="s" s="11">
        <v>7428</v>
      </c>
      <c r="L1427" s="17">
        <f>HYPERLINK("http://www.givechariot.com", "www.givechariot.com")</f>
      </c>
      <c r="M1427" s="17">
        <f>HYPERLINK("https://my.pitchbook.com?c=501647-14", "View Company Online")</f>
      </c>
    </row>
    <row r="1428">
      <c r="A1428" t="s" s="10">
        <v>7430</v>
      </c>
      <c r="B1428" t="s" s="10">
        <v>7431</v>
      </c>
      <c r="C1428" t="s" s="10">
        <v>27</v>
      </c>
      <c r="D1428" t="s" s="10">
        <v>28</v>
      </c>
      <c r="E1428" t="s" s="10">
        <v>137</v>
      </c>
      <c r="F1428" s="27">
        <v>45646</v>
      </c>
      <c r="G1428" t="s" s="10">
        <v>4267</v>
      </c>
      <c r="H1428" s="42">
        <v>2</v>
      </c>
      <c r="I1428" s="42">
        <v>50</v>
      </c>
      <c r="J1428" t="s" s="10">
        <v>7432</v>
      </c>
      <c r="K1428" t="s" s="10">
        <v>30</v>
      </c>
      <c r="L1428" s="16">
        <f>HYPERLINK("http://www.connectedps.com", "www.connectedps.com")</f>
      </c>
      <c r="M1428" s="16">
        <f>HYPERLINK("https://my.pitchbook.com?c=442895-59", "View Company Online")</f>
      </c>
    </row>
    <row r="1429">
      <c r="A1429" t="s" s="11">
        <v>7434</v>
      </c>
      <c r="B1429" t="s" s="11">
        <v>7435</v>
      </c>
      <c r="C1429" t="s" s="11">
        <v>164</v>
      </c>
      <c r="D1429" t="s" s="11">
        <v>206</v>
      </c>
      <c r="E1429" t="s" s="11">
        <v>414</v>
      </c>
      <c r="F1429" s="28">
        <v>45785</v>
      </c>
      <c r="G1429" t="s" s="11">
        <v>31</v>
      </c>
      <c r="H1429" s="43">
        <v>25</v>
      </c>
      <c r="I1429" s="43">
        <v>50</v>
      </c>
      <c r="J1429" t="s" s="11">
        <v>7436</v>
      </c>
      <c r="K1429" t="s" s="11">
        <v>7437</v>
      </c>
      <c r="L1429" s="17">
        <f>HYPERLINK("http://www.credilinq.ai", "www.credilinq.ai")</f>
      </c>
      <c r="M1429" s="17">
        <f>HYPERLINK("https://my.pitchbook.com?c=470063-62", "View Company Online")</f>
      </c>
    </row>
    <row r="1430">
      <c r="A1430" t="s" s="10">
        <v>7439</v>
      </c>
      <c r="B1430" t="s" s="10">
        <v>7440</v>
      </c>
      <c r="C1430" t="s" s="10">
        <v>172</v>
      </c>
      <c r="D1430" t="s" s="10">
        <v>1454</v>
      </c>
      <c r="E1430" t="s" s="10">
        <v>137</v>
      </c>
      <c r="F1430" s="27">
        <v>45292</v>
      </c>
      <c r="G1430" t="s" s="10">
        <v>48</v>
      </c>
      <c r="H1430" t="s" s="42">
        <v>30</v>
      </c>
      <c r="I1430" s="42">
        <v>50</v>
      </c>
      <c r="J1430" t="s" s="10">
        <v>7441</v>
      </c>
      <c r="K1430" t="s" s="10">
        <v>7442</v>
      </c>
      <c r="L1430" s="16">
        <f>HYPERLINK("http://www.elucidate.co", "www.elucidate.co")</f>
      </c>
      <c r="M1430" s="16">
        <f>HYPERLINK("https://my.pitchbook.com?c=267736-06", "View Company Online")</f>
      </c>
    </row>
    <row r="1431">
      <c r="A1431" t="s" s="11">
        <v>7444</v>
      </c>
      <c r="B1431" t="s" s="11">
        <v>7445</v>
      </c>
      <c r="C1431" t="s" s="11">
        <v>144</v>
      </c>
      <c r="D1431" t="s" s="11">
        <v>297</v>
      </c>
      <c r="E1431" t="s" s="11">
        <v>973</v>
      </c>
      <c r="F1431" s="28">
        <v>45536</v>
      </c>
      <c r="G1431" t="s" s="11">
        <v>40</v>
      </c>
      <c r="H1431" t="s" s="43">
        <v>30</v>
      </c>
      <c r="I1431" s="43">
        <v>50</v>
      </c>
      <c r="J1431" t="s" s="11">
        <v>7446</v>
      </c>
      <c r="K1431" t="s" s="11">
        <v>7447</v>
      </c>
      <c r="L1431" s="17">
        <f>HYPERLINK("http://figopara.com", "figopara.com")</f>
      </c>
      <c r="M1431" s="17">
        <f>HYPERLINK("https://my.pitchbook.com?c=338532-04", "View Company Online")</f>
      </c>
    </row>
    <row r="1432">
      <c r="A1432" t="s" s="10">
        <v>7449</v>
      </c>
      <c r="B1432" t="s" s="10">
        <v>7450</v>
      </c>
      <c r="C1432" t="s" s="10">
        <v>164</v>
      </c>
      <c r="D1432" t="s" s="10">
        <v>206</v>
      </c>
      <c r="E1432" t="s" s="10">
        <v>253</v>
      </c>
      <c r="F1432" s="27">
        <v>45379</v>
      </c>
      <c r="G1432" t="s" s="10">
        <v>391</v>
      </c>
      <c r="H1432" t="s" s="42">
        <v>30</v>
      </c>
      <c r="I1432" s="42">
        <v>50</v>
      </c>
      <c r="J1432" t="s" s="10">
        <v>7451</v>
      </c>
      <c r="K1432" t="s" s="10">
        <v>7452</v>
      </c>
      <c r="L1432" s="16">
        <f>HYPERLINK("http://www.flexm.com", "www.flexm.com")</f>
      </c>
      <c r="M1432" s="16">
        <f>HYPERLINK("https://my.pitchbook.com?c=168228-28", "View Company Online")</f>
      </c>
    </row>
    <row r="1433">
      <c r="A1433" t="s" s="11">
        <v>7454</v>
      </c>
      <c r="B1433" t="s" s="11">
        <v>7455</v>
      </c>
      <c r="C1433" t="s" s="11">
        <v>60</v>
      </c>
      <c r="D1433" t="s" s="11">
        <v>192</v>
      </c>
      <c r="E1433" t="s" s="11">
        <v>137</v>
      </c>
      <c r="F1433" t="s" s="28">
        <v>30</v>
      </c>
      <c r="G1433" t="s" s="11">
        <v>40</v>
      </c>
      <c r="H1433" s="43">
        <v>1.7</v>
      </c>
      <c r="I1433" s="43">
        <v>50</v>
      </c>
      <c r="J1433" t="s" s="11">
        <v>7456</v>
      </c>
      <c r="K1433" t="s" s="11">
        <v>7457</v>
      </c>
      <c r="L1433" s="17">
        <f>HYPERLINK("http://www.flxnetworks.com", "www.flxnetworks.com")</f>
      </c>
      <c r="M1433" s="17">
        <f>HYPERLINK("https://my.pitchbook.com?c=437342-05", "View Company Online")</f>
      </c>
    </row>
    <row r="1434">
      <c r="A1434" t="s" s="10">
        <v>7459</v>
      </c>
      <c r="B1434" t="s" s="10">
        <v>7460</v>
      </c>
      <c r="C1434" t="s" s="10">
        <v>60</v>
      </c>
      <c r="D1434" t="s" s="10">
        <v>61</v>
      </c>
      <c r="E1434" t="s" s="10">
        <v>270</v>
      </c>
      <c r="F1434" s="27">
        <v>45908</v>
      </c>
      <c r="G1434" t="s" s="10">
        <v>40</v>
      </c>
      <c r="H1434" s="42">
        <v>10</v>
      </c>
      <c r="I1434" s="42">
        <v>50</v>
      </c>
      <c r="J1434" t="s" s="10">
        <v>7461</v>
      </c>
      <c r="K1434" t="s" s="10">
        <v>7462</v>
      </c>
      <c r="L1434" s="16">
        <f>HYPERLINK("http://www.goldtag.org", "www.goldtag.org")</f>
      </c>
      <c r="M1434" s="16">
        <f>HYPERLINK("https://my.pitchbook.com?c=509673-88", "View Company Online")</f>
      </c>
    </row>
    <row r="1435">
      <c r="A1435" t="s" s="11">
        <v>7464</v>
      </c>
      <c r="B1435" t="s" s="11">
        <v>7465</v>
      </c>
      <c r="C1435" t="s" s="11">
        <v>60</v>
      </c>
      <c r="D1435" t="s" s="11">
        <v>61</v>
      </c>
      <c r="E1435" t="s" s="11">
        <v>193</v>
      </c>
      <c r="F1435" s="28">
        <v>45819</v>
      </c>
      <c r="G1435" t="s" s="11">
        <v>40</v>
      </c>
      <c r="H1435" s="43">
        <v>11.75</v>
      </c>
      <c r="I1435" s="43">
        <v>50</v>
      </c>
      <c r="J1435" t="s" s="11">
        <v>7466</v>
      </c>
      <c r="K1435" t="s" s="11">
        <v>7467</v>
      </c>
      <c r="L1435" s="17">
        <f>HYPERLINK("http://www.grifin.com", "www.grifin.com")</f>
      </c>
      <c r="M1435" s="17">
        <f>HYPERLINK("https://my.pitchbook.com?c=319864-96", "View Company Online")</f>
      </c>
    </row>
    <row r="1436">
      <c r="A1436" t="s" s="10">
        <v>7469</v>
      </c>
      <c r="B1436" t="s" s="10">
        <v>7470</v>
      </c>
      <c r="C1436" t="s" s="10">
        <v>37</v>
      </c>
      <c r="D1436" t="s" s="10">
        <v>304</v>
      </c>
      <c r="E1436" t="s" s="10">
        <v>7471</v>
      </c>
      <c r="F1436" s="27">
        <v>44421</v>
      </c>
      <c r="G1436" t="s" s="10">
        <v>146</v>
      </c>
      <c r="H1436" s="42">
        <v>100</v>
      </c>
      <c r="I1436" s="42">
        <v>50</v>
      </c>
      <c r="J1436" t="s" s="10">
        <v>7472</v>
      </c>
      <c r="K1436" t="s" s="10">
        <v>7473</v>
      </c>
      <c r="L1436" s="16">
        <f>HYPERLINK("http://www.happay.cn", "www.happay.cn")</f>
      </c>
      <c r="M1436" s="16">
        <f>HYPERLINK("https://my.pitchbook.com?c=453419-02", "View Company Online")</f>
      </c>
    </row>
    <row r="1437">
      <c r="A1437" t="s" s="11">
        <v>7475</v>
      </c>
      <c r="B1437" t="s" s="11">
        <v>7476</v>
      </c>
      <c r="C1437" t="s" s="11">
        <v>27</v>
      </c>
      <c r="D1437" t="s" s="11">
        <v>70</v>
      </c>
      <c r="E1437" t="s" s="11">
        <v>253</v>
      </c>
      <c r="F1437" s="28">
        <v>45902</v>
      </c>
      <c r="G1437" t="s" s="11">
        <v>607</v>
      </c>
      <c r="H1437" t="s" s="43">
        <v>30</v>
      </c>
      <c r="I1437" s="43">
        <v>50</v>
      </c>
      <c r="J1437" t="s" s="11">
        <v>7477</v>
      </c>
      <c r="K1437" t="s" s="11">
        <v>7478</v>
      </c>
      <c r="L1437" s="17">
        <f>HYPERLINK("http://www.hifi.com", "www.hifi.com")</f>
      </c>
      <c r="M1437" s="17">
        <f>HYPERLINK("https://my.pitchbook.com?c=528924-97", "View Company Online")</f>
      </c>
    </row>
    <row r="1438">
      <c r="A1438" t="s" s="10">
        <v>7480</v>
      </c>
      <c r="B1438" t="s" s="10">
        <v>7481</v>
      </c>
      <c r="C1438" t="s" s="10">
        <v>222</v>
      </c>
      <c r="D1438" t="s" s="10">
        <v>252</v>
      </c>
      <c r="E1438" t="s" s="10">
        <v>859</v>
      </c>
      <c r="F1438" s="27">
        <v>46097</v>
      </c>
      <c r="G1438" t="s" s="10">
        <v>146</v>
      </c>
      <c r="H1438" s="42">
        <v>21</v>
      </c>
      <c r="I1438" s="42">
        <v>50</v>
      </c>
      <c r="J1438" t="s" s="10">
        <v>7482</v>
      </c>
      <c r="K1438" t="s" s="10">
        <v>7483</v>
      </c>
      <c r="L1438" s="16">
        <f>HYPERLINK("http://www.ironlight.io", "www.ironlight.io")</f>
      </c>
      <c r="M1438" s="16">
        <f>HYPERLINK("https://my.pitchbook.com?c=535921-48", "View Company Online")</f>
      </c>
    </row>
    <row r="1439">
      <c r="A1439" t="s" s="11">
        <v>7485</v>
      </c>
      <c r="B1439" t="s" s="11">
        <v>7486</v>
      </c>
      <c r="C1439" t="s" s="11">
        <v>27</v>
      </c>
      <c r="D1439" t="s" s="11">
        <v>28</v>
      </c>
      <c r="E1439" t="s" s="11">
        <v>7487</v>
      </c>
      <c r="F1439" s="28">
        <v>45349</v>
      </c>
      <c r="G1439" t="s" s="11">
        <v>40</v>
      </c>
      <c r="H1439" s="43">
        <v>3</v>
      </c>
      <c r="I1439" s="43">
        <v>50</v>
      </c>
      <c r="J1439" t="s" s="11">
        <v>7488</v>
      </c>
      <c r="K1439" t="s" s="11">
        <v>7489</v>
      </c>
      <c r="L1439" s="17">
        <f>HYPERLINK("http://www.kickfin.com", "www.kickfin.com")</f>
      </c>
      <c r="M1439" s="17">
        <f>HYPERLINK("https://my.pitchbook.com?c=264352-60", "View Company Online")</f>
      </c>
    </row>
    <row r="1440">
      <c r="A1440" t="s" s="10">
        <v>7491</v>
      </c>
      <c r="B1440" t="s" s="10">
        <v>7492</v>
      </c>
      <c r="C1440" t="s" s="10">
        <v>164</v>
      </c>
      <c r="D1440" t="s" s="10">
        <v>206</v>
      </c>
      <c r="E1440" t="s" s="10">
        <v>137</v>
      </c>
      <c r="F1440" s="27">
        <v>45876</v>
      </c>
      <c r="G1440" t="s" s="10">
        <v>4267</v>
      </c>
      <c r="H1440" s="42">
        <v>13</v>
      </c>
      <c r="I1440" s="42">
        <v>50</v>
      </c>
      <c r="J1440" t="s" s="10">
        <v>7493</v>
      </c>
      <c r="K1440" t="s" s="10">
        <v>7494</v>
      </c>
      <c r="L1440" s="16">
        <f>HYPERLINK("http://www.monato.com", "www.monato.com")</f>
      </c>
      <c r="M1440" s="16">
        <f>HYPERLINK("https://my.pitchbook.com?c=862970-77", "View Company Online")</f>
      </c>
    </row>
    <row r="1441">
      <c r="A1441" t="s" s="11">
        <v>7496</v>
      </c>
      <c r="B1441" t="s" s="11">
        <v>7497</v>
      </c>
      <c r="C1441" t="s" s="11">
        <v>27</v>
      </c>
      <c r="D1441" t="s" s="11">
        <v>28</v>
      </c>
      <c r="E1441" t="s" s="11">
        <v>200</v>
      </c>
      <c r="F1441" s="28">
        <v>44515</v>
      </c>
      <c r="G1441" t="s" s="11">
        <v>4267</v>
      </c>
      <c r="H1441" s="43">
        <v>3.45</v>
      </c>
      <c r="I1441" s="43">
        <v>50</v>
      </c>
      <c r="J1441" t="s" s="11">
        <v>7498</v>
      </c>
      <c r="K1441" t="s" s="11">
        <v>7499</v>
      </c>
      <c r="L1441" s="17">
        <f>HYPERLINK("http://www.nomod.com", "www.nomod.com")</f>
      </c>
      <c r="M1441" s="17">
        <f>HYPERLINK("https://my.pitchbook.com?c=482414-86", "View Company Online")</f>
      </c>
    </row>
    <row r="1442">
      <c r="A1442" t="s" s="10">
        <v>7501</v>
      </c>
      <c r="B1442" t="s" s="10">
        <v>7502</v>
      </c>
      <c r="C1442" t="s" s="10">
        <v>27</v>
      </c>
      <c r="D1442" t="s" s="10">
        <v>28</v>
      </c>
      <c r="E1442" t="s" s="10">
        <v>108</v>
      </c>
      <c r="F1442" s="27">
        <v>46148</v>
      </c>
      <c r="G1442" t="s" s="10">
        <v>607</v>
      </c>
      <c r="H1442" t="s" s="42">
        <v>30</v>
      </c>
      <c r="I1442" s="42">
        <v>50</v>
      </c>
      <c r="J1442" t="s" s="10">
        <v>7503</v>
      </c>
      <c r="K1442" t="s" s="10">
        <v>7504</v>
      </c>
      <c r="L1442" s="16">
        <f>HYPERLINK("http://www.paymanai.com", "www.paymanai.com")</f>
      </c>
      <c r="M1442" s="16">
        <f>HYPERLINK("https://my.pitchbook.com?c=606410-20", "View Company Online")</f>
      </c>
    </row>
    <row r="1443">
      <c r="A1443" t="s" s="11">
        <v>7506</v>
      </c>
      <c r="B1443" t="s" s="11">
        <v>7507</v>
      </c>
      <c r="C1443" t="s" s="11">
        <v>172</v>
      </c>
      <c r="D1443" t="s" s="11">
        <v>338</v>
      </c>
      <c r="E1443" t="s" s="11">
        <v>1277</v>
      </c>
      <c r="F1443" s="28">
        <v>44399</v>
      </c>
      <c r="G1443" t="s" s="11">
        <v>146</v>
      </c>
      <c r="H1443" s="43">
        <v>12</v>
      </c>
      <c r="I1443" s="43">
        <v>50</v>
      </c>
      <c r="J1443" t="s" s="11">
        <v>7508</v>
      </c>
      <c r="K1443" t="s" s="11">
        <v>7509</v>
      </c>
      <c r="L1443" s="17">
        <f>HYPERLINK("http://www.prodigaltech.com", "www.prodigaltech.com")</f>
      </c>
      <c r="M1443" s="17">
        <f>HYPERLINK("https://my.pitchbook.com?c=232094-17", "View Company Online")</f>
      </c>
    </row>
    <row r="1444">
      <c r="A1444" t="s" s="10">
        <v>7511</v>
      </c>
      <c r="B1444" t="s" s="10">
        <v>7512</v>
      </c>
      <c r="C1444" t="s" s="10">
        <v>27</v>
      </c>
      <c r="D1444" t="s" s="10">
        <v>28</v>
      </c>
      <c r="E1444" t="s" s="10">
        <v>259</v>
      </c>
      <c r="F1444" s="27">
        <v>46203</v>
      </c>
      <c r="G1444" t="s" s="10">
        <v>40</v>
      </c>
      <c r="H1444" s="42">
        <v>6.13</v>
      </c>
      <c r="I1444" s="42">
        <v>50</v>
      </c>
      <c r="J1444" t="s" s="10">
        <v>7513</v>
      </c>
      <c r="K1444" t="s" s="10">
        <v>7514</v>
      </c>
      <c r="L1444" s="16">
        <f>HYPERLINK("http://qashier.com", "qashier.com")</f>
      </c>
      <c r="M1444" s="16">
        <f>HYPERLINK("https://my.pitchbook.com?c=339855-22", "View Company Online")</f>
      </c>
    </row>
    <row r="1445">
      <c r="A1445" t="s" s="11">
        <v>7516</v>
      </c>
      <c r="B1445" t="s" s="11">
        <v>7517</v>
      </c>
      <c r="C1445" t="s" s="11">
        <v>164</v>
      </c>
      <c r="D1445" t="s" s="11">
        <v>165</v>
      </c>
      <c r="E1445" t="s" s="11">
        <v>367</v>
      </c>
      <c r="F1445" s="28">
        <v>44635</v>
      </c>
      <c r="G1445" t="s" s="11">
        <v>146</v>
      </c>
      <c r="H1445" s="43">
        <v>10</v>
      </c>
      <c r="I1445" s="43">
        <v>50</v>
      </c>
      <c r="J1445" t="s" s="11">
        <v>7518</v>
      </c>
      <c r="K1445" t="s" s="11">
        <v>7519</v>
      </c>
      <c r="L1445" s="17">
        <f>HYPERLINK("http://www.ribbit.ai", "www.ribbit.ai")</f>
      </c>
      <c r="M1445" s="17">
        <f>HYPERLINK("https://my.pitchbook.com?c=467002-90", "View Company Online")</f>
      </c>
    </row>
    <row r="1446">
      <c r="A1446" t="s" s="10">
        <v>7521</v>
      </c>
      <c r="B1446" t="s" s="10">
        <v>7522</v>
      </c>
      <c r="C1446" t="s" s="10">
        <v>27</v>
      </c>
      <c r="D1446" t="s" s="10">
        <v>28</v>
      </c>
      <c r="E1446" t="s" s="10">
        <v>1349</v>
      </c>
      <c r="F1446" s="27">
        <v>45909</v>
      </c>
      <c r="G1446" t="s" s="10">
        <v>40</v>
      </c>
      <c r="H1446" s="42">
        <v>111</v>
      </c>
      <c r="I1446" s="42">
        <v>50</v>
      </c>
      <c r="J1446" t="s" s="10">
        <v>7523</v>
      </c>
      <c r="K1446" t="s" s="10">
        <v>7524</v>
      </c>
      <c r="L1446" s="16">
        <f>HYPERLINK("http://www.speedchain.com", "www.speedchain.com")</f>
      </c>
      <c r="M1446" s="16">
        <f>HYPERLINK("https://my.pitchbook.com?c=443212-12", "View Company Online")</f>
      </c>
    </row>
    <row r="1447">
      <c r="A1447" t="s" s="11">
        <v>7526</v>
      </c>
      <c r="B1447" t="s" s="11">
        <v>7527</v>
      </c>
      <c r="C1447" t="s" s="11">
        <v>46</v>
      </c>
      <c r="D1447" t="s" s="11">
        <v>915</v>
      </c>
      <c r="E1447" t="s" s="11">
        <v>253</v>
      </c>
      <c r="F1447" s="28">
        <v>45181</v>
      </c>
      <c r="G1447" t="s" s="11">
        <v>146</v>
      </c>
      <c r="H1447" s="43">
        <v>20</v>
      </c>
      <c r="I1447" s="43">
        <v>50</v>
      </c>
      <c r="J1447" t="s" s="11">
        <v>7528</v>
      </c>
      <c r="K1447" t="s" s="11">
        <v>7529</v>
      </c>
      <c r="L1447" s="17">
        <f>HYPERLINK("http://www.treasury4.com", "www.treasury4.com")</f>
      </c>
      <c r="M1447" s="17">
        <f>HYPERLINK("https://my.pitchbook.com?c=471236-86", "View Company Online")</f>
      </c>
    </row>
    <row r="1448">
      <c r="A1448" t="s" s="10">
        <v>7531</v>
      </c>
      <c r="B1448" t="s" s="10">
        <v>7532</v>
      </c>
      <c r="C1448" t="s" s="10">
        <v>27</v>
      </c>
      <c r="D1448" t="s" s="10">
        <v>28</v>
      </c>
      <c r="E1448" t="s" s="10">
        <v>253</v>
      </c>
      <c r="F1448" s="27">
        <v>44898</v>
      </c>
      <c r="G1448" t="s" s="10">
        <v>40</v>
      </c>
      <c r="H1448" s="42">
        <v>2.98</v>
      </c>
      <c r="I1448" s="42">
        <v>49.68</v>
      </c>
      <c r="J1448" t="s" s="10">
        <v>7533</v>
      </c>
      <c r="K1448" t="s" s="10">
        <v>7534</v>
      </c>
      <c r="L1448" s="16">
        <f>HYPERLINK("http://www.dintero.com", "www.dintero.com")</f>
      </c>
      <c r="M1448" s="16">
        <f>HYPERLINK("https://my.pitchbook.com?c=267438-16", "View Company Online")</f>
      </c>
    </row>
    <row r="1449">
      <c r="A1449" t="s" s="11">
        <v>7536</v>
      </c>
      <c r="B1449" t="s" s="11">
        <v>7537</v>
      </c>
      <c r="C1449" t="s" s="11">
        <v>128</v>
      </c>
      <c r="D1449" t="s" s="11">
        <v>129</v>
      </c>
      <c r="E1449" t="s" s="11">
        <v>373</v>
      </c>
      <c r="F1449" s="28">
        <v>46175</v>
      </c>
      <c r="G1449" t="s" s="11">
        <v>607</v>
      </c>
      <c r="H1449" t="s" s="43">
        <v>30</v>
      </c>
      <c r="I1449" s="43">
        <v>49.66</v>
      </c>
      <c r="J1449" t="s" s="11">
        <v>7538</v>
      </c>
      <c r="K1449" t="s" s="11">
        <v>7539</v>
      </c>
      <c r="L1449" s="17">
        <f>HYPERLINK("http://www.heymax.ai", "www.heymax.ai")</f>
      </c>
      <c r="M1449" s="17">
        <f>HYPERLINK("https://my.pitchbook.com?c=528314-50", "View Company Online")</f>
      </c>
    </row>
    <row r="1450">
      <c r="A1450" t="s" s="10">
        <v>7541</v>
      </c>
      <c r="B1450" t="s" s="10">
        <v>7542</v>
      </c>
      <c r="C1450" t="s" s="10">
        <v>60</v>
      </c>
      <c r="D1450" t="s" s="10">
        <v>61</v>
      </c>
      <c r="E1450" t="s" s="10">
        <v>629</v>
      </c>
      <c r="F1450" s="27">
        <v>46062</v>
      </c>
      <c r="G1450" t="s" s="10">
        <v>40</v>
      </c>
      <c r="H1450" s="42">
        <v>3.6</v>
      </c>
      <c r="I1450" s="42">
        <v>49.6</v>
      </c>
      <c r="J1450" t="s" s="10">
        <v>7543</v>
      </c>
      <c r="K1450" t="s" s="10">
        <v>7544</v>
      </c>
      <c r="L1450" s="16">
        <f>HYPERLINK("http://www.blockearner.com.au", "www.blockearner.com.au")</f>
      </c>
      <c r="M1450" s="16">
        <f>HYPERLINK("https://my.pitchbook.com?c=484854-67", "View Company Online")</f>
      </c>
    </row>
    <row r="1451">
      <c r="A1451" t="s" s="11">
        <v>7546</v>
      </c>
      <c r="B1451" t="s" s="11">
        <v>7547</v>
      </c>
      <c r="C1451" t="s" s="11">
        <v>60</v>
      </c>
      <c r="D1451" t="s" s="11">
        <v>246</v>
      </c>
      <c r="E1451" t="s" s="11">
        <v>253</v>
      </c>
      <c r="F1451" s="28">
        <v>43244</v>
      </c>
      <c r="G1451" t="s" s="11">
        <v>146</v>
      </c>
      <c r="H1451" s="43">
        <v>12.52</v>
      </c>
      <c r="I1451" s="43">
        <v>49.37</v>
      </c>
      <c r="J1451" t="s" s="11">
        <v>7548</v>
      </c>
      <c r="K1451" t="s" s="11">
        <v>7549</v>
      </c>
      <c r="L1451" s="17">
        <f>HYPERLINK("http://www.weinvest.net", "www.weinvest.net")</f>
      </c>
      <c r="M1451" s="17">
        <f>HYPERLINK("https://my.pitchbook.com?c=222944-14", "View Company Online")</f>
      </c>
    </row>
    <row r="1452">
      <c r="A1452" t="s" s="10">
        <v>7551</v>
      </c>
      <c r="B1452" t="s" s="10">
        <v>7552</v>
      </c>
      <c r="C1452" t="s" s="10">
        <v>46</v>
      </c>
      <c r="D1452" t="s" s="10">
        <v>915</v>
      </c>
      <c r="E1452" t="s" s="10">
        <v>373</v>
      </c>
      <c r="F1452" s="27">
        <v>46084</v>
      </c>
      <c r="G1452" t="s" s="10">
        <v>146</v>
      </c>
      <c r="H1452" s="42">
        <v>9.5</v>
      </c>
      <c r="I1452" s="42">
        <v>49</v>
      </c>
      <c r="J1452" t="s" s="10">
        <v>7553</v>
      </c>
      <c r="K1452" t="s" s="10">
        <v>7554</v>
      </c>
      <c r="L1452" s="16">
        <f>HYPERLINK("http://www.hubifi.com", "www.hubifi.com")</f>
      </c>
      <c r="M1452" s="16">
        <f>HYPERLINK("https://my.pitchbook.com?c=593235-91", "View Company Online")</f>
      </c>
    </row>
    <row r="1453">
      <c r="A1453" t="s" s="11">
        <v>7556</v>
      </c>
      <c r="B1453" t="s" s="11">
        <v>7557</v>
      </c>
      <c r="C1453" t="s" s="11">
        <v>46</v>
      </c>
      <c r="D1453" t="s" s="11">
        <v>78</v>
      </c>
      <c r="E1453" t="s" s="11">
        <v>7558</v>
      </c>
      <c r="F1453" s="28">
        <v>45589</v>
      </c>
      <c r="G1453" t="s" s="11">
        <v>40</v>
      </c>
      <c r="H1453" t="s" s="43">
        <v>30</v>
      </c>
      <c r="I1453" s="43">
        <v>49</v>
      </c>
      <c r="J1453" t="s" s="11">
        <v>7559</v>
      </c>
      <c r="K1453" t="s" s="11">
        <v>7560</v>
      </c>
      <c r="L1453" s="17">
        <f>HYPERLINK("http://www.riseworks.io", "www.riseworks.io")</f>
      </c>
      <c r="M1453" s="17">
        <f>HYPERLINK("https://my.pitchbook.com?c=490803-67", "View Company Online")</f>
      </c>
    </row>
    <row r="1454">
      <c r="A1454" t="s" s="10">
        <v>7562</v>
      </c>
      <c r="B1454" t="s" s="10">
        <v>7563</v>
      </c>
      <c r="C1454" t="s" s="10">
        <v>164</v>
      </c>
      <c r="D1454" t="s" s="10">
        <v>165</v>
      </c>
      <c r="E1454" t="s" s="10">
        <v>859</v>
      </c>
      <c r="F1454" s="27">
        <v>45617</v>
      </c>
      <c r="G1454" t="s" s="10">
        <v>40</v>
      </c>
      <c r="H1454" t="s" s="42">
        <v>30</v>
      </c>
      <c r="I1454" s="42">
        <v>48.9</v>
      </c>
      <c r="J1454" t="s" s="10">
        <v>7564</v>
      </c>
      <c r="K1454" t="s" s="10">
        <v>7565</v>
      </c>
      <c r="L1454" s="16">
        <f>HYPERLINK("http://www.fvbank.us", "www.fvbank.us")</f>
      </c>
      <c r="M1454" s="16">
        <f>HYPERLINK("https://my.pitchbook.com?c=472086-55", "View Company Online")</f>
      </c>
    </row>
    <row r="1455">
      <c r="A1455" t="s" s="11">
        <v>7567</v>
      </c>
      <c r="B1455" t="s" s="11">
        <v>7568</v>
      </c>
      <c r="C1455" t="s" s="11">
        <v>164</v>
      </c>
      <c r="D1455" t="s" s="11">
        <v>206</v>
      </c>
      <c r="E1455" t="s" s="11">
        <v>7569</v>
      </c>
      <c r="F1455" s="28">
        <v>45341</v>
      </c>
      <c r="G1455" t="s" s="11">
        <v>40</v>
      </c>
      <c r="H1455" s="43">
        <v>7.75</v>
      </c>
      <c r="I1455" s="43">
        <v>48.89</v>
      </c>
      <c r="J1455" t="s" s="11">
        <v>7570</v>
      </c>
      <c r="K1455" t="s" s="11">
        <v>7571</v>
      </c>
      <c r="L1455" s="17">
        <f>HYPERLINK("http://www.pulsatehq.com", "www.pulsatehq.com")</f>
      </c>
      <c r="M1455" s="17">
        <f>HYPERLINK("https://my.pitchbook.com?c=94709-44", "View Company Online")</f>
      </c>
    </row>
    <row r="1456">
      <c r="A1456" t="s" s="10">
        <v>7573</v>
      </c>
      <c r="B1456" t="s" s="10">
        <v>7574</v>
      </c>
      <c r="C1456" t="s" s="10">
        <v>46</v>
      </c>
      <c r="D1456" t="s" s="10">
        <v>47</v>
      </c>
      <c r="E1456" t="s" s="10">
        <v>7575</v>
      </c>
      <c r="F1456" s="27">
        <v>45985</v>
      </c>
      <c r="G1456" t="s" s="10">
        <v>40</v>
      </c>
      <c r="H1456" s="42">
        <v>7.4</v>
      </c>
      <c r="I1456" s="42">
        <v>48.82</v>
      </c>
      <c r="J1456" t="s" s="10">
        <v>7576</v>
      </c>
      <c r="K1456" t="s" s="10">
        <v>7577</v>
      </c>
      <c r="L1456" s="16">
        <f>HYPERLINK("http://www.ayekart.com", "www.ayekart.com")</f>
      </c>
      <c r="M1456" s="16">
        <f>HYPERLINK("https://my.pitchbook.com?c=483065-02", "View Company Online")</f>
      </c>
    </row>
    <row r="1457">
      <c r="A1457" t="s" s="11">
        <v>7579</v>
      </c>
      <c r="B1457" t="s" s="11">
        <v>7580</v>
      </c>
      <c r="C1457" t="s" s="11">
        <v>164</v>
      </c>
      <c r="D1457" t="s" s="11">
        <v>206</v>
      </c>
      <c r="E1457" t="s" s="11">
        <v>373</v>
      </c>
      <c r="F1457" s="28">
        <v>45569</v>
      </c>
      <c r="G1457" t="s" s="11">
        <v>4267</v>
      </c>
      <c r="H1457" s="43">
        <v>8.7</v>
      </c>
      <c r="I1457" s="43">
        <v>48.7</v>
      </c>
      <c r="J1457" t="s" s="11">
        <v>7581</v>
      </c>
      <c r="K1457" t="s" s="11">
        <v>7582</v>
      </c>
      <c r="L1457" s="17">
        <f>HYPERLINK("http://www.sapien.ai", "www.sapien.ai")</f>
      </c>
      <c r="M1457" s="17">
        <f>HYPERLINK("https://my.pitchbook.com?c=615893-68", "View Company Online")</f>
      </c>
    </row>
    <row r="1458">
      <c r="A1458" t="s" s="10">
        <v>7584</v>
      </c>
      <c r="B1458" t="s" s="10">
        <v>7585</v>
      </c>
      <c r="C1458" t="s" s="10">
        <v>60</v>
      </c>
      <c r="D1458" t="s" s="10">
        <v>192</v>
      </c>
      <c r="E1458" t="s" s="10">
        <v>1652</v>
      </c>
      <c r="F1458" s="27">
        <v>45533</v>
      </c>
      <c r="G1458" t="s" s="10">
        <v>40</v>
      </c>
      <c r="H1458" s="42">
        <v>7.78</v>
      </c>
      <c r="I1458" s="42">
        <v>48.68</v>
      </c>
      <c r="J1458" t="s" s="10">
        <v>7586</v>
      </c>
      <c r="K1458" t="s" s="10">
        <v>7587</v>
      </c>
      <c r="L1458" s="16">
        <f>HYPERLINK("http://400f.jp", "400f.jp")</f>
      </c>
      <c r="M1458" s="16">
        <f>HYPERLINK("https://my.pitchbook.com?c=459284-86", "View Company Online")</f>
      </c>
    </row>
    <row r="1459">
      <c r="A1459" t="s" s="11">
        <v>7589</v>
      </c>
      <c r="B1459" t="s" s="11">
        <v>7590</v>
      </c>
      <c r="C1459" t="s" s="11">
        <v>164</v>
      </c>
      <c r="D1459" t="s" s="11">
        <v>206</v>
      </c>
      <c r="E1459" t="s" s="11">
        <v>253</v>
      </c>
      <c r="F1459" s="28">
        <v>45820</v>
      </c>
      <c r="G1459" t="s" s="11">
        <v>146</v>
      </c>
      <c r="H1459" s="43">
        <v>15.65</v>
      </c>
      <c r="I1459" s="43">
        <v>48.5</v>
      </c>
      <c r="J1459" t="s" s="11">
        <v>7591</v>
      </c>
      <c r="K1459" t="s" s="11">
        <v>7592</v>
      </c>
      <c r="L1459" s="17">
        <f>HYPERLINK("http://www.infinant.com", "www.infinant.com")</f>
      </c>
      <c r="M1459" s="17">
        <f>HYPERLINK("https://my.pitchbook.com?c=503623-81", "View Company Online")</f>
      </c>
    </row>
    <row r="1460">
      <c r="A1460" t="s" s="10">
        <v>7594</v>
      </c>
      <c r="B1460" t="s" s="10">
        <v>7595</v>
      </c>
      <c r="C1460" t="s" s="10">
        <v>172</v>
      </c>
      <c r="D1460" t="s" s="10">
        <v>173</v>
      </c>
      <c r="E1460" t="s" s="10">
        <v>414</v>
      </c>
      <c r="F1460" s="27">
        <v>43132</v>
      </c>
      <c r="G1460" t="s" s="10">
        <v>146</v>
      </c>
      <c r="H1460" s="42">
        <v>46.75</v>
      </c>
      <c r="I1460" s="42">
        <v>48.46</v>
      </c>
      <c r="J1460" t="s" s="10">
        <v>7596</v>
      </c>
      <c r="K1460" t="s" s="10">
        <v>7597</v>
      </c>
      <c r="L1460" s="16">
        <f>HYPERLINK("http://www.dingxiang-inc.com", "www.dingxiang-inc.com")</f>
      </c>
      <c r="M1460" s="16">
        <f>HYPERLINK("https://my.pitchbook.com?c=434098-00", "View Company Online")</f>
      </c>
    </row>
    <row r="1461">
      <c r="A1461" t="s" s="11">
        <v>7599</v>
      </c>
      <c r="B1461" t="s" s="11">
        <v>7600</v>
      </c>
      <c r="C1461" t="s" s="11">
        <v>27</v>
      </c>
      <c r="D1461" t="s" s="11">
        <v>28</v>
      </c>
      <c r="E1461" t="s" s="11">
        <v>759</v>
      </c>
      <c r="F1461" s="28">
        <v>44102</v>
      </c>
      <c r="G1461" t="s" s="11">
        <v>40</v>
      </c>
      <c r="H1461" s="43">
        <v>40</v>
      </c>
      <c r="I1461" s="43">
        <v>48.28</v>
      </c>
      <c r="J1461" t="s" s="11">
        <v>7601</v>
      </c>
      <c r="K1461" t="s" s="11">
        <v>7602</v>
      </c>
      <c r="L1461" s="17">
        <f>HYPERLINK("http://www.cardinfolink.com", "www.cardinfolink.com")</f>
      </c>
      <c r="M1461" s="17">
        <f>HYPERLINK("https://my.pitchbook.com?c=167575-24", "View Company Online")</f>
      </c>
    </row>
    <row r="1462">
      <c r="A1462" t="s" s="10">
        <v>7604</v>
      </c>
      <c r="B1462" t="s" s="10">
        <v>7605</v>
      </c>
      <c r="C1462" t="s" s="10">
        <v>60</v>
      </c>
      <c r="D1462" t="s" s="10">
        <v>192</v>
      </c>
      <c r="E1462" t="s" s="10">
        <v>253</v>
      </c>
      <c r="F1462" s="27">
        <v>45870</v>
      </c>
      <c r="G1462" t="s" s="10">
        <v>40</v>
      </c>
      <c r="H1462" t="s" s="42">
        <v>30</v>
      </c>
      <c r="I1462" s="42">
        <v>48.08</v>
      </c>
      <c r="J1462" t="s" s="10">
        <v>7606</v>
      </c>
      <c r="K1462" t="s" s="10">
        <v>7607</v>
      </c>
      <c r="L1462" s="16">
        <f>HYPERLINK("http://www.capitalmind.in", "www.capitalmind.in")</f>
      </c>
      <c r="M1462" s="16">
        <f>HYPERLINK("https://my.pitchbook.com?c=110851-66", "View Company Online")</f>
      </c>
    </row>
    <row r="1463">
      <c r="A1463" t="s" s="11">
        <v>7609</v>
      </c>
      <c r="B1463" t="s" s="11">
        <v>7610</v>
      </c>
      <c r="C1463" t="s" s="11">
        <v>222</v>
      </c>
      <c r="D1463" t="s" s="11">
        <v>223</v>
      </c>
      <c r="E1463" t="s" s="11">
        <v>253</v>
      </c>
      <c r="F1463" s="28">
        <v>46023</v>
      </c>
      <c r="G1463" t="s" s="11">
        <v>48</v>
      </c>
      <c r="H1463" t="s" s="43">
        <v>30</v>
      </c>
      <c r="I1463" s="43">
        <v>48.07</v>
      </c>
      <c r="J1463" t="s" s="11">
        <v>7611</v>
      </c>
      <c r="K1463" t="s" s="11">
        <v>7612</v>
      </c>
      <c r="L1463" s="17">
        <f>HYPERLINK("http://www.quant-insight.com", "www.quant-insight.com")</f>
      </c>
      <c r="M1463" s="17">
        <f>HYPERLINK("https://my.pitchbook.com?c=230557-51", "View Company Online")</f>
      </c>
    </row>
    <row r="1464">
      <c r="A1464" t="s" s="10">
        <v>7614</v>
      </c>
      <c r="B1464" t="s" s="10">
        <v>7615</v>
      </c>
      <c r="C1464" t="s" s="10">
        <v>60</v>
      </c>
      <c r="D1464" t="s" s="10">
        <v>727</v>
      </c>
      <c r="E1464" t="s" s="10">
        <v>137</v>
      </c>
      <c r="F1464" s="27">
        <v>44687</v>
      </c>
      <c r="G1464" t="s" s="10">
        <v>146</v>
      </c>
      <c r="H1464" s="42">
        <v>2.13</v>
      </c>
      <c r="I1464" s="42">
        <v>48.04</v>
      </c>
      <c r="J1464" t="s" s="10">
        <v>7616</v>
      </c>
      <c r="K1464" t="s" s="10">
        <v>7617</v>
      </c>
      <c r="L1464" s="16">
        <f>HYPERLINK("http://www.caption.market", "www.caption.market")</f>
      </c>
      <c r="M1464" s="16">
        <f>HYPERLINK("https://my.pitchbook.com?c=462738-79", "View Company Online")</f>
      </c>
    </row>
    <row r="1465">
      <c r="A1465" t="s" s="11">
        <v>7619</v>
      </c>
      <c r="B1465" t="s" s="11">
        <v>7620</v>
      </c>
      <c r="C1465" t="s" s="11">
        <v>114</v>
      </c>
      <c r="D1465" t="s" s="11">
        <v>115</v>
      </c>
      <c r="E1465" t="s" s="11">
        <v>2782</v>
      </c>
      <c r="F1465" s="28">
        <v>46211</v>
      </c>
      <c r="G1465" t="s" s="11">
        <v>40</v>
      </c>
      <c r="H1465" s="43">
        <v>6</v>
      </c>
      <c r="I1465" s="43">
        <v>48</v>
      </c>
      <c r="J1465" t="s" s="11">
        <v>7621</v>
      </c>
      <c r="K1465" t="s" s="11">
        <v>7622</v>
      </c>
      <c r="L1465" s="17">
        <f>HYPERLINK("http://www.notablehome.com", "www.notablehome.com")</f>
      </c>
      <c r="M1465" s="17">
        <f>HYPERLINK("https://my.pitchbook.com?c=435205-63", "View Company Online")</f>
      </c>
    </row>
    <row r="1466">
      <c r="A1466" t="s" s="10">
        <v>7624</v>
      </c>
      <c r="B1466" t="s" s="10">
        <v>7625</v>
      </c>
      <c r="C1466" t="s" s="10">
        <v>222</v>
      </c>
      <c r="D1466" t="s" s="10">
        <v>235</v>
      </c>
      <c r="E1466" t="s" s="10">
        <v>646</v>
      </c>
      <c r="F1466" s="27">
        <v>46001</v>
      </c>
      <c r="G1466" t="s" s="10">
        <v>40</v>
      </c>
      <c r="H1466" s="42">
        <v>15.06</v>
      </c>
      <c r="I1466" s="42">
        <v>48</v>
      </c>
      <c r="J1466" t="s" s="10">
        <v>7626</v>
      </c>
      <c r="K1466" t="s" s="10">
        <v>7627</v>
      </c>
      <c r="L1466" s="16">
        <f>HYPERLINK("http://www.pontoro.com", "www.pontoro.com")</f>
      </c>
      <c r="M1466" s="16">
        <f>HYPERLINK("https://my.pitchbook.com?c=437108-86", "View Company Online")</f>
      </c>
    </row>
    <row r="1467">
      <c r="A1467" t="s" s="11">
        <v>7629</v>
      </c>
      <c r="B1467" t="s" s="11">
        <v>7630</v>
      </c>
      <c r="C1467" t="s" s="11">
        <v>60</v>
      </c>
      <c r="D1467" t="s" s="11">
        <v>727</v>
      </c>
      <c r="E1467" t="s" s="11">
        <v>6058</v>
      </c>
      <c r="F1467" s="28">
        <v>46101</v>
      </c>
      <c r="G1467" t="s" s="11">
        <v>40</v>
      </c>
      <c r="H1467" s="43">
        <v>9.45</v>
      </c>
      <c r="I1467" s="43">
        <v>47.75</v>
      </c>
      <c r="J1467" t="s" s="11">
        <v>7631</v>
      </c>
      <c r="K1467" t="s" s="11">
        <v>7632</v>
      </c>
      <c r="L1467" s="17">
        <f>HYPERLINK("http://www.farmtogether.com", "www.farmtogether.com")</f>
      </c>
      <c r="M1467" s="17">
        <f>HYPERLINK("https://my.pitchbook.com?c=230107-42", "View Company Online")</f>
      </c>
    </row>
    <row r="1468">
      <c r="A1468" t="s" s="10">
        <v>7634</v>
      </c>
      <c r="B1468" t="s" s="10">
        <v>7635</v>
      </c>
      <c r="C1468" t="s" s="10">
        <v>46</v>
      </c>
      <c r="D1468" t="s" s="10">
        <v>397</v>
      </c>
      <c r="E1468" t="s" s="10">
        <v>253</v>
      </c>
      <c r="F1468" s="27">
        <v>45744</v>
      </c>
      <c r="G1468" t="s" s="10">
        <v>40</v>
      </c>
      <c r="H1468" s="42">
        <v>2.5</v>
      </c>
      <c r="I1468" s="42">
        <v>47.5</v>
      </c>
      <c r="J1468" t="s" s="10">
        <v>7636</v>
      </c>
      <c r="K1468" t="s" s="10">
        <v>7637</v>
      </c>
      <c r="L1468" s="16">
        <f>HYPERLINK("http://www.gappify.com", "www.gappify.com")</f>
      </c>
      <c r="M1468" s="16">
        <f>HYPERLINK("https://my.pitchbook.com?c=171280-63", "View Company Online")</f>
      </c>
    </row>
    <row r="1469">
      <c r="A1469" t="s" s="11">
        <v>7639</v>
      </c>
      <c r="B1469" t="s" s="11">
        <v>7640</v>
      </c>
      <c r="C1469" t="s" s="11">
        <v>222</v>
      </c>
      <c r="D1469" t="s" s="11">
        <v>223</v>
      </c>
      <c r="E1469" t="s" s="11">
        <v>253</v>
      </c>
      <c r="F1469" s="28">
        <v>44252</v>
      </c>
      <c r="G1469" t="s" s="11">
        <v>40</v>
      </c>
      <c r="H1469" s="43">
        <v>7.73</v>
      </c>
      <c r="I1469" s="43">
        <v>47.33</v>
      </c>
      <c r="J1469" t="s" s="11">
        <v>7641</v>
      </c>
      <c r="K1469" t="s" s="11">
        <v>7642</v>
      </c>
      <c r="L1469" s="17">
        <f>HYPERLINK("http://www.qutke.com", "www.qutke.com")</f>
      </c>
      <c r="M1469" s="17">
        <f>HYPERLINK("https://my.pitchbook.com?c=167831-65", "View Company Online")</f>
      </c>
    </row>
    <row r="1470">
      <c r="A1470" t="s" s="10">
        <v>7644</v>
      </c>
      <c r="B1470" t="s" s="10">
        <v>7645</v>
      </c>
      <c r="C1470" t="s" s="10">
        <v>46</v>
      </c>
      <c r="D1470" t="s" s="10">
        <v>47</v>
      </c>
      <c r="E1470" t="s" s="10">
        <v>270</v>
      </c>
      <c r="F1470" s="27">
        <v>46037</v>
      </c>
      <c r="G1470" t="s" s="10">
        <v>40</v>
      </c>
      <c r="H1470" t="s" s="42">
        <v>30</v>
      </c>
      <c r="I1470" s="42">
        <v>47.3</v>
      </c>
      <c r="J1470" t="s" s="10">
        <v>7646</v>
      </c>
      <c r="K1470" t="s" s="10">
        <v>7647</v>
      </c>
      <c r="L1470" s="16">
        <f>HYPERLINK("http://www.zact.com", "www.zact.com")</f>
      </c>
      <c r="M1470" s="16">
        <f>HYPERLINK("https://my.pitchbook.com?c=181750-06", "View Company Online")</f>
      </c>
    </row>
    <row r="1471">
      <c r="A1471" t="s" s="11">
        <v>7649</v>
      </c>
      <c r="B1471" t="s" s="11">
        <v>7650</v>
      </c>
      <c r="C1471" t="s" s="11">
        <v>222</v>
      </c>
      <c r="D1471" t="s" s="11">
        <v>252</v>
      </c>
      <c r="E1471" t="s" s="11">
        <v>253</v>
      </c>
      <c r="F1471" s="28">
        <v>44497</v>
      </c>
      <c r="G1471" t="s" s="11">
        <v>40</v>
      </c>
      <c r="H1471" s="43">
        <v>2.18</v>
      </c>
      <c r="I1471" s="43">
        <v>47.18</v>
      </c>
      <c r="J1471" t="s" s="11">
        <v>7651</v>
      </c>
      <c r="K1471" t="s" s="11">
        <v>7652</v>
      </c>
      <c r="L1471" s="17">
        <f>HYPERLINK("http://www.northcapital.com", "www.northcapital.com")</f>
      </c>
      <c r="M1471" s="17">
        <f>HYPERLINK("https://my.pitchbook.com?c=61977-79", "View Company Online")</f>
      </c>
    </row>
    <row r="1472">
      <c r="A1472" t="s" s="10">
        <v>7654</v>
      </c>
      <c r="B1472" t="s" s="10">
        <v>7655</v>
      </c>
      <c r="C1472" t="s" s="10">
        <v>60</v>
      </c>
      <c r="D1472" t="s" s="10">
        <v>727</v>
      </c>
      <c r="E1472" t="s" s="10">
        <v>7656</v>
      </c>
      <c r="F1472" s="27">
        <v>46057</v>
      </c>
      <c r="G1472" t="s" s="10">
        <v>40</v>
      </c>
      <c r="H1472" s="42">
        <v>0.66</v>
      </c>
      <c r="I1472" s="42">
        <v>47.15</v>
      </c>
      <c r="J1472" t="s" s="10">
        <v>7657</v>
      </c>
      <c r="K1472" t="s" s="10">
        <v>7658</v>
      </c>
      <c r="L1472" s="16">
        <f>HYPERLINK("http://www.altdrx.com", "www.altdrx.com")</f>
      </c>
      <c r="M1472" s="16">
        <f>HYPERLINK("https://my.pitchbook.com?c=521907-04", "View Company Online")</f>
      </c>
    </row>
    <row r="1473">
      <c r="A1473" t="s" s="11">
        <v>7660</v>
      </c>
      <c r="B1473" t="s" s="11">
        <v>7661</v>
      </c>
      <c r="C1473" t="s" s="11">
        <v>128</v>
      </c>
      <c r="D1473" t="s" s="11">
        <v>129</v>
      </c>
      <c r="E1473" t="s" s="11">
        <v>7662</v>
      </c>
      <c r="F1473" s="28">
        <v>44651</v>
      </c>
      <c r="G1473" t="s" s="11">
        <v>40</v>
      </c>
      <c r="H1473" s="43">
        <v>4.5</v>
      </c>
      <c r="I1473" s="43">
        <v>47.09</v>
      </c>
      <c r="J1473" t="s" s="11">
        <v>7663</v>
      </c>
      <c r="K1473" t="s" s="11">
        <v>7664</v>
      </c>
      <c r="L1473" s="17">
        <f>HYPERLINK("http://www.clutch.com", "www.clutch.com")</f>
      </c>
      <c r="M1473" s="17">
        <f>HYPERLINK("https://my.pitchbook.com?c=55668-97", "View Company Online")</f>
      </c>
    </row>
    <row r="1474">
      <c r="A1474" t="s" s="10">
        <v>7666</v>
      </c>
      <c r="B1474" t="s" s="10">
        <v>7667</v>
      </c>
      <c r="C1474" t="s" s="10">
        <v>164</v>
      </c>
      <c r="D1474" t="s" s="10">
        <v>165</v>
      </c>
      <c r="E1474" t="s" s="10">
        <v>973</v>
      </c>
      <c r="F1474" s="27">
        <v>45974</v>
      </c>
      <c r="G1474" t="s" s="10">
        <v>146</v>
      </c>
      <c r="H1474" t="s" s="42">
        <v>30</v>
      </c>
      <c r="I1474" s="42">
        <v>47</v>
      </c>
      <c r="J1474" t="s" s="10">
        <v>7668</v>
      </c>
      <c r="K1474" t="s" s="10">
        <v>7669</v>
      </c>
      <c r="L1474" s="16">
        <f>HYPERLINK("http://www.almondfintech.com", "www.almondfintech.com")</f>
      </c>
      <c r="M1474" s="16">
        <f>HYPERLINK("https://my.pitchbook.com?c=482435-29", "View Company Online")</f>
      </c>
    </row>
    <row r="1475">
      <c r="A1475" t="s" s="11">
        <v>7671</v>
      </c>
      <c r="B1475" t="s" s="11">
        <v>7672</v>
      </c>
      <c r="C1475" t="s" s="11">
        <v>46</v>
      </c>
      <c r="D1475" t="s" s="11">
        <v>397</v>
      </c>
      <c r="E1475" t="s" s="11">
        <v>414</v>
      </c>
      <c r="F1475" s="28">
        <v>46001</v>
      </c>
      <c r="G1475" t="s" s="11">
        <v>146</v>
      </c>
      <c r="H1475" s="43">
        <v>9</v>
      </c>
      <c r="I1475" s="43">
        <v>47</v>
      </c>
      <c r="J1475" t="s" s="11">
        <v>7673</v>
      </c>
      <c r="K1475" t="s" s="11">
        <v>7674</v>
      </c>
      <c r="L1475" s="17">
        <f>HYPERLINK("http://www.cynch.ai", "www.cynch.ai")</f>
      </c>
      <c r="M1475" s="17">
        <f>HYPERLINK("https://my.pitchbook.com?c=540000-37", "View Company Online")</f>
      </c>
    </row>
    <row r="1476">
      <c r="A1476" t="s" s="10">
        <v>7676</v>
      </c>
      <c r="B1476" t="s" s="10">
        <v>7677</v>
      </c>
      <c r="C1476" t="s" s="10">
        <v>46</v>
      </c>
      <c r="D1476" t="s" s="10">
        <v>397</v>
      </c>
      <c r="E1476" t="s" s="10">
        <v>7678</v>
      </c>
      <c r="F1476" s="27">
        <v>46212</v>
      </c>
      <c r="G1476" t="s" s="10">
        <v>146</v>
      </c>
      <c r="H1476" s="42">
        <v>10</v>
      </c>
      <c r="I1476" s="42">
        <v>47</v>
      </c>
      <c r="J1476" t="s" s="10">
        <v>7679</v>
      </c>
      <c r="K1476" t="s" s="10">
        <v>7680</v>
      </c>
      <c r="L1476" s="16">
        <f>HYPERLINK("http://www.discern.com", "www.discern.com")</f>
      </c>
      <c r="M1476" s="16">
        <f>HYPERLINK("https://my.pitchbook.com?c=592947-91", "View Company Online")</f>
      </c>
    </row>
    <row r="1477">
      <c r="A1477" t="s" s="11">
        <v>7682</v>
      </c>
      <c r="B1477" t="s" s="11">
        <v>7683</v>
      </c>
      <c r="C1477" t="s" s="11">
        <v>27</v>
      </c>
      <c r="D1477" t="s" s="11">
        <v>122</v>
      </c>
      <c r="E1477" t="s" s="11">
        <v>859</v>
      </c>
      <c r="F1477" s="28">
        <v>45903</v>
      </c>
      <c r="G1477" t="s" s="11">
        <v>4267</v>
      </c>
      <c r="H1477" s="43">
        <v>7</v>
      </c>
      <c r="I1477" s="43">
        <v>47</v>
      </c>
      <c r="J1477" t="s" s="11">
        <v>7684</v>
      </c>
      <c r="K1477" t="s" s="11">
        <v>7685</v>
      </c>
      <c r="L1477" s="17">
        <f>HYPERLINK("http://www.keabank.com", "www.keabank.com")</f>
      </c>
      <c r="M1477" s="17">
        <f>HYPERLINK("https://my.pitchbook.com?c=712328-50", "View Company Online")</f>
      </c>
    </row>
    <row r="1478">
      <c r="A1478" t="s" s="10">
        <v>7687</v>
      </c>
      <c r="B1478" t="s" s="10">
        <v>7688</v>
      </c>
      <c r="C1478" t="s" s="10">
        <v>60</v>
      </c>
      <c r="D1478" t="s" s="10">
        <v>246</v>
      </c>
      <c r="E1478" t="s" s="10">
        <v>623</v>
      </c>
      <c r="F1478" s="27">
        <v>44105</v>
      </c>
      <c r="G1478" t="s" s="10">
        <v>146</v>
      </c>
      <c r="H1478" s="42">
        <v>10</v>
      </c>
      <c r="I1478" s="42">
        <v>47</v>
      </c>
      <c r="J1478" t="s" s="10">
        <v>7689</v>
      </c>
      <c r="K1478" t="s" s="10">
        <v>30</v>
      </c>
      <c r="L1478" s="16">
        <f>HYPERLINK("http://vimvest.com", "vimvest.com")</f>
      </c>
      <c r="M1478" s="16">
        <f>HYPERLINK("https://my.pitchbook.com?c=226214-20", "View Company Online")</f>
      </c>
    </row>
    <row r="1479">
      <c r="A1479" t="s" s="11">
        <v>7691</v>
      </c>
      <c r="B1479" t="s" s="11">
        <v>7692</v>
      </c>
      <c r="C1479" t="s" s="11">
        <v>60</v>
      </c>
      <c r="D1479" t="s" s="11">
        <v>246</v>
      </c>
      <c r="E1479" t="s" s="11">
        <v>137</v>
      </c>
      <c r="F1479" s="28">
        <v>45175</v>
      </c>
      <c r="G1479" t="s" s="11">
        <v>146</v>
      </c>
      <c r="H1479" s="43">
        <v>8.93</v>
      </c>
      <c r="I1479" s="43">
        <v>46.71</v>
      </c>
      <c r="J1479" t="s" s="11">
        <v>7693</v>
      </c>
      <c r="K1479" t="s" s="11">
        <v>7694</v>
      </c>
      <c r="L1479" s="17">
        <f>HYPERLINK("http://www.monicle.co.jp", "www.monicle.co.jp")</f>
      </c>
      <c r="M1479" s="17">
        <f>HYPERLINK("https://my.pitchbook.com?c=495912-52", "View Company Online")</f>
      </c>
    </row>
    <row r="1480">
      <c r="A1480" t="s" s="10">
        <v>7696</v>
      </c>
      <c r="B1480" t="s" s="10">
        <v>7697</v>
      </c>
      <c r="C1480" t="s" s="10">
        <v>60</v>
      </c>
      <c r="D1480" t="s" s="10">
        <v>246</v>
      </c>
      <c r="E1480" t="s" s="10">
        <v>3527</v>
      </c>
      <c r="F1480" t="s" s="27">
        <v>30</v>
      </c>
      <c r="G1480" t="s" s="10">
        <v>40</v>
      </c>
      <c r="H1480" t="s" s="42">
        <v>30</v>
      </c>
      <c r="I1480" s="42">
        <v>46.63</v>
      </c>
      <c r="J1480" t="s" s="10">
        <v>7698</v>
      </c>
      <c r="K1480" t="s" s="10">
        <v>7699</v>
      </c>
      <c r="L1480" s="16">
        <f>HYPERLINK("http://www.gibobs.com", "www.gibobs.com")</f>
      </c>
      <c r="M1480" s="16">
        <f>HYPERLINK("https://my.pitchbook.com?c=467669-53", "View Company Online")</f>
      </c>
    </row>
    <row r="1481">
      <c r="A1481" t="s" s="11">
        <v>7701</v>
      </c>
      <c r="B1481" t="s" s="11">
        <v>7702</v>
      </c>
      <c r="C1481" t="s" s="11">
        <v>27</v>
      </c>
      <c r="D1481" t="s" s="11">
        <v>70</v>
      </c>
      <c r="E1481" t="s" s="11">
        <v>2788</v>
      </c>
      <c r="F1481" s="28">
        <v>46210</v>
      </c>
      <c r="G1481" t="s" s="11">
        <v>146</v>
      </c>
      <c r="H1481" t="s" s="43">
        <v>30</v>
      </c>
      <c r="I1481" s="43">
        <v>46.61</v>
      </c>
      <c r="J1481" t="s" s="11">
        <v>7703</v>
      </c>
      <c r="K1481" t="s" s="11">
        <v>7704</v>
      </c>
      <c r="L1481" s="17">
        <f>HYPERLINK("http://www.damisa.xyz", "www.damisa.xyz")</f>
      </c>
      <c r="M1481" s="17">
        <f>HYPERLINK("https://my.pitchbook.com?c=773214-13", "View Company Online")</f>
      </c>
    </row>
    <row r="1482">
      <c r="A1482" t="s" s="10">
        <v>7706</v>
      </c>
      <c r="B1482" t="s" s="10">
        <v>7707</v>
      </c>
      <c r="C1482" t="s" s="10">
        <v>114</v>
      </c>
      <c r="D1482" t="s" s="10">
        <v>1386</v>
      </c>
      <c r="E1482" t="s" s="10">
        <v>367</v>
      </c>
      <c r="F1482" s="27">
        <v>43360</v>
      </c>
      <c r="G1482" t="s" s="10">
        <v>146</v>
      </c>
      <c r="H1482" s="42">
        <v>1.5</v>
      </c>
      <c r="I1482" s="42">
        <v>46.5</v>
      </c>
      <c r="J1482" t="s" s="10">
        <v>7708</v>
      </c>
      <c r="K1482" t="s" s="10">
        <v>30</v>
      </c>
      <c r="L1482" s="16">
        <f>HYPERLINK("http://www.lokyata.com", "www.lokyata.com")</f>
      </c>
      <c r="M1482" s="16">
        <f>HYPERLINK("https://my.pitchbook.com?c=233003-53", "View Company Online")</f>
      </c>
    </row>
    <row r="1483">
      <c r="A1483" t="s" s="11">
        <v>7710</v>
      </c>
      <c r="B1483" t="s" s="11">
        <v>7711</v>
      </c>
      <c r="C1483" t="s" s="11">
        <v>114</v>
      </c>
      <c r="D1483" t="s" s="11">
        <v>852</v>
      </c>
      <c r="E1483" t="s" s="11">
        <v>759</v>
      </c>
      <c r="F1483" s="28">
        <v>44806</v>
      </c>
      <c r="G1483" t="s" s="11">
        <v>40</v>
      </c>
      <c r="H1483" t="s" s="43">
        <v>30</v>
      </c>
      <c r="I1483" s="43">
        <v>46.4</v>
      </c>
      <c r="J1483" t="s" s="11">
        <v>7712</v>
      </c>
      <c r="K1483" t="s" s="11">
        <v>7713</v>
      </c>
      <c r="L1483" s="17">
        <f>HYPERLINK("http://www.ziploan.in", "www.ziploan.in")</f>
      </c>
      <c r="M1483" s="17">
        <f>HYPERLINK("https://my.pitchbook.com?c=167073-76", "View Company Online")</f>
      </c>
    </row>
    <row r="1484">
      <c r="A1484" t="s" s="10">
        <v>7715</v>
      </c>
      <c r="B1484" t="s" s="10">
        <v>7716</v>
      </c>
      <c r="C1484" t="s" s="10">
        <v>164</v>
      </c>
      <c r="D1484" t="s" s="10">
        <v>165</v>
      </c>
      <c r="E1484" t="s" s="10">
        <v>7717</v>
      </c>
      <c r="F1484" s="27">
        <v>44455</v>
      </c>
      <c r="G1484" t="s" s="10">
        <v>146</v>
      </c>
      <c r="H1484" s="42">
        <v>2.32</v>
      </c>
      <c r="I1484" s="42">
        <v>46.33</v>
      </c>
      <c r="J1484" t="s" s="10">
        <v>7718</v>
      </c>
      <c r="K1484" t="s" s="10">
        <v>7719</v>
      </c>
      <c r="L1484" s="16">
        <f>HYPERLINK("http://www.dm-cube.com", "www.dm-cube.com")</f>
      </c>
      <c r="M1484" s="16">
        <f>HYPERLINK("https://my.pitchbook.com?c=491129-20", "View Company Online")</f>
      </c>
    </row>
    <row r="1485">
      <c r="A1485" t="s" s="11">
        <v>7721</v>
      </c>
      <c r="B1485" t="s" s="11">
        <v>7722</v>
      </c>
      <c r="C1485" t="s" s="11">
        <v>222</v>
      </c>
      <c r="D1485" t="s" s="11">
        <v>235</v>
      </c>
      <c r="E1485" t="s" s="11">
        <v>759</v>
      </c>
      <c r="F1485" s="28">
        <v>43741</v>
      </c>
      <c r="G1485" t="s" s="11">
        <v>40</v>
      </c>
      <c r="H1485" s="43">
        <v>6.61</v>
      </c>
      <c r="I1485" s="43">
        <v>46.24</v>
      </c>
      <c r="J1485" t="s" s="11">
        <v>7723</v>
      </c>
      <c r="K1485" t="s" s="11">
        <v>7724</v>
      </c>
      <c r="L1485" s="17">
        <f>HYPERLINK("http://www.lookandfin.com", "www.lookandfin.com")</f>
      </c>
      <c r="M1485" s="17">
        <f>HYPERLINK("https://my.pitchbook.com?c=168401-53", "View Company Online")</f>
      </c>
    </row>
    <row r="1486">
      <c r="A1486" t="s" s="10">
        <v>7726</v>
      </c>
      <c r="B1486" t="s" s="10">
        <v>7727</v>
      </c>
      <c r="C1486" t="s" s="10">
        <v>27</v>
      </c>
      <c r="D1486" t="s" s="10">
        <v>28</v>
      </c>
      <c r="E1486" t="s" s="10">
        <v>270</v>
      </c>
      <c r="F1486" s="27">
        <v>45055</v>
      </c>
      <c r="G1486" t="s" s="10">
        <v>4267</v>
      </c>
      <c r="H1486" s="42">
        <v>3</v>
      </c>
      <c r="I1486" s="42">
        <v>46.21</v>
      </c>
      <c r="J1486" t="s" s="10">
        <v>7728</v>
      </c>
      <c r="K1486" t="s" s="10">
        <v>7729</v>
      </c>
      <c r="L1486" s="16">
        <f>HYPERLINK("http://www.groundswell.io", "www.groundswell.io")</f>
      </c>
      <c r="M1486" s="16">
        <f>HYPERLINK("https://my.pitchbook.com?c=472217-14", "View Company Online")</f>
      </c>
    </row>
    <row r="1487">
      <c r="A1487" t="s" s="11">
        <v>7731</v>
      </c>
      <c r="B1487" t="s" s="11">
        <v>7732</v>
      </c>
      <c r="C1487" t="s" s="11">
        <v>60</v>
      </c>
      <c r="D1487" t="s" s="11">
        <v>727</v>
      </c>
      <c r="E1487" t="s" s="11">
        <v>1054</v>
      </c>
      <c r="F1487" s="28">
        <v>46167</v>
      </c>
      <c r="G1487" t="s" s="11">
        <v>40</v>
      </c>
      <c r="H1487" s="43">
        <v>17.85</v>
      </c>
      <c r="I1487" s="43">
        <v>46.2</v>
      </c>
      <c r="J1487" t="s" s="11">
        <v>7733</v>
      </c>
      <c r="K1487" t="s" s="11">
        <v>7734</v>
      </c>
      <c r="L1487" s="17">
        <f>HYPERLINK("http://www.scripbox.com", "www.scripbox.com")</f>
      </c>
      <c r="M1487" s="17">
        <f>HYPERLINK("https://my.pitchbook.com?c=121922-20", "View Company Online")</f>
      </c>
    </row>
    <row r="1488">
      <c r="A1488" t="s" s="10">
        <v>7736</v>
      </c>
      <c r="B1488" t="s" s="10">
        <v>7737</v>
      </c>
      <c r="C1488" t="s" s="10">
        <v>60</v>
      </c>
      <c r="D1488" t="s" s="10">
        <v>61</v>
      </c>
      <c r="E1488" t="s" s="10">
        <v>193</v>
      </c>
      <c r="F1488" s="27">
        <v>45736</v>
      </c>
      <c r="G1488" t="s" s="10">
        <v>146</v>
      </c>
      <c r="H1488" s="42">
        <v>13.41</v>
      </c>
      <c r="I1488" s="42">
        <v>46.18</v>
      </c>
      <c r="J1488" t="s" s="10">
        <v>7738</v>
      </c>
      <c r="K1488" t="s" s="10">
        <v>7739</v>
      </c>
      <c r="L1488" s="16">
        <f>HYPERLINK("http://www.bloomo.co.jp", "www.bloomo.co.jp")</f>
      </c>
      <c r="M1488" s="16">
        <f>HYPERLINK("https://my.pitchbook.com?c=523232-65", "View Company Online")</f>
      </c>
    </row>
    <row r="1489">
      <c r="A1489" t="s" s="11">
        <v>7741</v>
      </c>
      <c r="B1489" t="s" s="11">
        <v>7742</v>
      </c>
      <c r="C1489" t="s" s="11">
        <v>164</v>
      </c>
      <c r="D1489" t="s" s="11">
        <v>165</v>
      </c>
      <c r="E1489" t="s" s="11">
        <v>137</v>
      </c>
      <c r="F1489" t="s" s="28">
        <v>30</v>
      </c>
      <c r="G1489" t="s" s="11">
        <v>48</v>
      </c>
      <c r="H1489" t="s" s="43">
        <v>30</v>
      </c>
      <c r="I1489" s="43">
        <v>46.1</v>
      </c>
      <c r="J1489" t="s" s="11">
        <v>7743</v>
      </c>
      <c r="K1489" t="s" s="11">
        <v>30</v>
      </c>
      <c r="L1489" s="17">
        <f>HYPERLINK("http://www.jirnexu.com", "www.jirnexu.com")</f>
      </c>
      <c r="M1489" s="17">
        <f>HYPERLINK("https://my.pitchbook.com?c=89197-39", "View Company Online")</f>
      </c>
    </row>
    <row r="1490">
      <c r="A1490" t="s" s="10">
        <v>7745</v>
      </c>
      <c r="B1490" t="s" s="10">
        <v>7746</v>
      </c>
      <c r="C1490" t="s" s="10">
        <v>60</v>
      </c>
      <c r="D1490" t="s" s="10">
        <v>432</v>
      </c>
      <c r="E1490" t="s" s="10">
        <v>253</v>
      </c>
      <c r="F1490" s="27">
        <v>45335</v>
      </c>
      <c r="G1490" t="s" s="10">
        <v>607</v>
      </c>
      <c r="H1490" t="s" s="42">
        <v>30</v>
      </c>
      <c r="I1490" s="42">
        <v>46</v>
      </c>
      <c r="J1490" t="s" s="10">
        <v>7747</v>
      </c>
      <c r="K1490" t="s" s="10">
        <v>7748</v>
      </c>
      <c r="L1490" s="16">
        <f>HYPERLINK("http://www.asset-map.com", "www.asset-map.com")</f>
      </c>
      <c r="M1490" s="16">
        <f>HYPERLINK("https://my.pitchbook.com?c=232454-98", "View Company Online")</f>
      </c>
    </row>
    <row r="1491">
      <c r="A1491" t="s" s="11">
        <v>7750</v>
      </c>
      <c r="B1491" t="s" s="11">
        <v>7751</v>
      </c>
      <c r="C1491" t="s" s="11">
        <v>114</v>
      </c>
      <c r="D1491" t="s" s="11">
        <v>136</v>
      </c>
      <c r="E1491" t="s" s="11">
        <v>7752</v>
      </c>
      <c r="F1491" t="s" s="28">
        <v>30</v>
      </c>
      <c r="G1491" t="s" s="11">
        <v>48</v>
      </c>
      <c r="H1491" t="s" s="43">
        <v>30</v>
      </c>
      <c r="I1491" s="43">
        <v>46</v>
      </c>
      <c r="J1491" t="s" s="11">
        <v>7753</v>
      </c>
      <c r="K1491" t="s" s="11">
        <v>7754</v>
      </c>
      <c r="L1491" s="17">
        <f>HYPERLINK("http://www.communityct.com", "www.communityct.com")</f>
      </c>
      <c r="M1491" s="17">
        <f>HYPERLINK("https://my.pitchbook.com?c=227201-23", "View Company Online")</f>
      </c>
    </row>
    <row r="1492">
      <c r="A1492" t="s" s="10">
        <v>7756</v>
      </c>
      <c r="B1492" t="s" s="10">
        <v>7757</v>
      </c>
      <c r="C1492" t="s" s="10">
        <v>46</v>
      </c>
      <c r="D1492" t="s" s="10">
        <v>397</v>
      </c>
      <c r="E1492" t="s" s="10">
        <v>7717</v>
      </c>
      <c r="F1492" s="27">
        <v>45782</v>
      </c>
      <c r="G1492" t="s" s="10">
        <v>40</v>
      </c>
      <c r="H1492" s="42">
        <v>13</v>
      </c>
      <c r="I1492" s="42">
        <v>46</v>
      </c>
      <c r="J1492" t="s" s="10">
        <v>7758</v>
      </c>
      <c r="K1492" t="s" s="10">
        <v>7759</v>
      </c>
      <c r="L1492" s="16">
        <f>HYPERLINK("http://www.rightrev.com", "www.rightrev.com")</f>
      </c>
      <c r="M1492" s="16">
        <f>HYPERLINK("https://my.pitchbook.com?c=460055-08", "View Company Online")</f>
      </c>
    </row>
    <row r="1493">
      <c r="A1493" t="s" s="11">
        <v>7761</v>
      </c>
      <c r="B1493" t="s" s="11">
        <v>7762</v>
      </c>
      <c r="C1493" t="s" s="11">
        <v>128</v>
      </c>
      <c r="D1493" t="s" s="11">
        <v>276</v>
      </c>
      <c r="E1493" t="s" s="11">
        <v>137</v>
      </c>
      <c r="F1493" s="28">
        <v>46042</v>
      </c>
      <c r="G1493" t="s" s="11">
        <v>40</v>
      </c>
      <c r="H1493" s="43">
        <v>47.96</v>
      </c>
      <c r="I1493" s="43">
        <v>45.81</v>
      </c>
      <c r="J1493" t="s" s="11">
        <v>7763</v>
      </c>
      <c r="K1493" t="s" s="11">
        <v>7764</v>
      </c>
      <c r="L1493" s="17">
        <f>HYPERLINK("http://en.namanecard.com", "en.namanecard.com")</f>
      </c>
      <c r="M1493" s="17">
        <f>HYPERLINK("https://my.pitchbook.com?c=529029-10", "View Company Online")</f>
      </c>
    </row>
    <row r="1494">
      <c r="A1494" t="s" s="10">
        <v>7766</v>
      </c>
      <c r="B1494" t="s" s="10">
        <v>7767</v>
      </c>
      <c r="C1494" t="s" s="10">
        <v>46</v>
      </c>
      <c r="D1494" t="s" s="10">
        <v>47</v>
      </c>
      <c r="E1494" t="s" s="10">
        <v>253</v>
      </c>
      <c r="F1494" s="27">
        <v>44927</v>
      </c>
      <c r="G1494" t="s" s="10">
        <v>4267</v>
      </c>
      <c r="H1494" s="42">
        <v>7.8</v>
      </c>
      <c r="I1494" s="42">
        <v>45.8</v>
      </c>
      <c r="J1494" t="s" s="10">
        <v>7768</v>
      </c>
      <c r="K1494" t="s" s="10">
        <v>7769</v>
      </c>
      <c r="L1494" s="16">
        <f>HYPERLINK("http://www.finvari.com", "www.finvari.com")</f>
      </c>
      <c r="M1494" s="16">
        <f>HYPERLINK("https://my.pitchbook.com?c=518439-70", "View Company Online")</f>
      </c>
    </row>
    <row r="1495">
      <c r="A1495" t="s" s="11">
        <v>7771</v>
      </c>
      <c r="B1495" t="s" s="11">
        <v>7772</v>
      </c>
      <c r="C1495" t="s" s="11">
        <v>114</v>
      </c>
      <c r="D1495" t="s" s="11">
        <v>136</v>
      </c>
      <c r="E1495" t="s" s="11">
        <v>7773</v>
      </c>
      <c r="F1495" s="28">
        <v>44567</v>
      </c>
      <c r="G1495" t="s" s="11">
        <v>48</v>
      </c>
      <c r="H1495" s="43">
        <v>2.5</v>
      </c>
      <c r="I1495" s="43">
        <v>45.7</v>
      </c>
      <c r="J1495" t="s" s="11">
        <v>7774</v>
      </c>
      <c r="K1495" t="s" s="11">
        <v>7775</v>
      </c>
      <c r="L1495" s="17">
        <f>HYPERLINK("http://www.primahealthcredit.com", "www.primahealthcredit.com")</f>
      </c>
      <c r="M1495" s="17">
        <f>HYPERLINK("https://my.pitchbook.com?c=102027-25", "View Company Online")</f>
      </c>
    </row>
    <row r="1496">
      <c r="A1496" t="s" s="10">
        <v>7777</v>
      </c>
      <c r="B1496" t="s" s="10">
        <v>7778</v>
      </c>
      <c r="C1496" t="s" s="10">
        <v>27</v>
      </c>
      <c r="D1496" t="s" s="10">
        <v>70</v>
      </c>
      <c r="E1496" t="s" s="10">
        <v>465</v>
      </c>
      <c r="F1496" s="27">
        <v>45292</v>
      </c>
      <c r="G1496" t="s" s="10">
        <v>40</v>
      </c>
      <c r="H1496" t="s" s="42">
        <v>30</v>
      </c>
      <c r="I1496" s="42">
        <v>45.65</v>
      </c>
      <c r="J1496" t="s" s="10">
        <v>7779</v>
      </c>
      <c r="K1496" t="s" s="10">
        <v>7780</v>
      </c>
      <c r="L1496" s="16">
        <f>HYPERLINK("http://www.nsknox.net", "www.nsknox.net")</f>
      </c>
      <c r="M1496" s="16">
        <f>HYPERLINK("https://my.pitchbook.com?c=265520-08", "View Company Online")</f>
      </c>
    </row>
    <row r="1497">
      <c r="A1497" t="s" s="11">
        <v>7782</v>
      </c>
      <c r="B1497" t="s" s="11">
        <v>7783</v>
      </c>
      <c r="C1497" t="s" s="11">
        <v>114</v>
      </c>
      <c r="D1497" t="s" s="11">
        <v>136</v>
      </c>
      <c r="E1497" t="s" s="11">
        <v>253</v>
      </c>
      <c r="F1497" s="28">
        <v>45862</v>
      </c>
      <c r="G1497" t="s" s="11">
        <v>31</v>
      </c>
      <c r="H1497" s="43">
        <v>0.58</v>
      </c>
      <c r="I1497" s="43">
        <v>45.59</v>
      </c>
      <c r="J1497" t="s" s="11">
        <v>7784</v>
      </c>
      <c r="K1497" t="s" s="11">
        <v>7785</v>
      </c>
      <c r="L1497" s="17">
        <f>HYPERLINK("http://www.oromoney.in", "www.oromoney.in")</f>
      </c>
      <c r="M1497" s="17">
        <f>HYPERLINK("https://my.pitchbook.com?c=491793-22", "View Company Online")</f>
      </c>
    </row>
    <row r="1498">
      <c r="A1498" t="s" s="10">
        <v>7787</v>
      </c>
      <c r="B1498" t="s" s="10">
        <v>7788</v>
      </c>
      <c r="C1498" t="s" s="10">
        <v>60</v>
      </c>
      <c r="D1498" t="s" s="10">
        <v>192</v>
      </c>
      <c r="E1498" t="s" s="10">
        <v>634</v>
      </c>
      <c r="F1498" s="27">
        <v>45029</v>
      </c>
      <c r="G1498" t="s" s="10">
        <v>146</v>
      </c>
      <c r="H1498" s="42">
        <v>8.67</v>
      </c>
      <c r="I1498" s="42">
        <v>45.54</v>
      </c>
      <c r="J1498" t="s" s="10">
        <v>7789</v>
      </c>
      <c r="K1498" t="s" s="10">
        <v>7790</v>
      </c>
      <c r="L1498" s="16">
        <f>HYPERLINK("http://www.nextgatetech.com", "www.nextgatetech.com")</f>
      </c>
      <c r="M1498" s="16">
        <f>HYPERLINK("https://my.pitchbook.com?c=398900-17", "View Company Online")</f>
      </c>
    </row>
    <row r="1499">
      <c r="A1499" t="s" s="11">
        <v>7792</v>
      </c>
      <c r="B1499" t="s" s="11">
        <v>7793</v>
      </c>
      <c r="C1499" t="s" s="11">
        <v>114</v>
      </c>
      <c r="D1499" t="s" s="11">
        <v>136</v>
      </c>
      <c r="E1499" t="s" s="11">
        <v>1652</v>
      </c>
      <c r="F1499" s="28">
        <v>46209</v>
      </c>
      <c r="G1499" t="s" s="11">
        <v>146</v>
      </c>
      <c r="H1499" s="43">
        <v>18</v>
      </c>
      <c r="I1499" s="43">
        <v>45.5</v>
      </c>
      <c r="J1499" t="s" s="11">
        <v>7794</v>
      </c>
      <c r="K1499" t="s" s="11">
        <v>7795</v>
      </c>
      <c r="L1499" s="17">
        <f>HYPERLINK("http://www.avivacredito.com", "www.avivacredito.com")</f>
      </c>
      <c r="M1499" s="17">
        <f>HYPERLINK("https://my.pitchbook.com?c=517071-34", "View Company Online")</f>
      </c>
    </row>
    <row r="1500">
      <c r="A1500" t="s" s="10">
        <v>7797</v>
      </c>
      <c r="B1500" t="s" s="10">
        <v>7798</v>
      </c>
      <c r="C1500" t="s" s="10">
        <v>27</v>
      </c>
      <c r="D1500" t="s" s="10">
        <v>28</v>
      </c>
      <c r="E1500" t="s" s="10">
        <v>3358</v>
      </c>
      <c r="F1500" s="27">
        <v>46198</v>
      </c>
      <c r="G1500" t="s" s="10">
        <v>40</v>
      </c>
      <c r="H1500" s="42">
        <v>10.5</v>
      </c>
      <c r="I1500" s="42">
        <v>45.5</v>
      </c>
      <c r="J1500" t="s" s="10">
        <v>7799</v>
      </c>
      <c r="K1500" t="s" s="10">
        <v>7800</v>
      </c>
      <c r="L1500" s="16">
        <f>HYPERLINK("http://www.grailpay.com", "www.grailpay.com")</f>
      </c>
      <c r="M1500" s="16">
        <f>HYPERLINK("https://my.pitchbook.com?c=465708-79", "View Company Online")</f>
      </c>
    </row>
    <row r="1501">
      <c r="A1501" t="s" s="11">
        <v>7802</v>
      </c>
      <c r="B1501" t="s" s="11">
        <v>7803</v>
      </c>
      <c r="C1501" t="s" s="11">
        <v>27</v>
      </c>
      <c r="D1501" t="s" s="11">
        <v>122</v>
      </c>
      <c r="E1501" t="s" s="11">
        <v>332</v>
      </c>
      <c r="F1501" t="s" s="28">
        <v>30</v>
      </c>
      <c r="G1501" t="s" s="11">
        <v>48</v>
      </c>
      <c r="H1501" t="s" s="43">
        <v>30</v>
      </c>
      <c r="I1501" s="43">
        <v>45.44</v>
      </c>
      <c r="J1501" t="s" s="11">
        <v>7804</v>
      </c>
      <c r="K1501" t="s" s="11">
        <v>7805</v>
      </c>
      <c r="L1501" s="17">
        <f>HYPERLINK("http://www.singx.co", "www.singx.co")</f>
      </c>
      <c r="M1501" s="17">
        <f>HYPERLINK("https://my.pitchbook.com?c=184807-63", "View Company Online")</f>
      </c>
    </row>
    <row r="1502">
      <c r="A1502" t="s" s="10">
        <v>7807</v>
      </c>
      <c r="B1502" t="s" s="10">
        <v>7808</v>
      </c>
      <c r="C1502" t="s" s="10">
        <v>114</v>
      </c>
      <c r="D1502" t="s" s="10">
        <v>1386</v>
      </c>
      <c r="E1502" t="s" s="10">
        <v>137</v>
      </c>
      <c r="F1502" t="s" s="27">
        <v>30</v>
      </c>
      <c r="G1502" t="s" s="10">
        <v>48</v>
      </c>
      <c r="H1502" t="s" s="42">
        <v>30</v>
      </c>
      <c r="I1502" s="42">
        <v>45.35</v>
      </c>
      <c r="J1502" t="s" s="10">
        <v>7809</v>
      </c>
      <c r="K1502" t="s" s="10">
        <v>7810</v>
      </c>
      <c r="L1502" s="16">
        <f>HYPERLINK("http://www.capitalise.com", "www.capitalise.com")</f>
      </c>
      <c r="M1502" s="16">
        <f>HYPERLINK("https://my.pitchbook.com?c=221932-81", "View Company Online")</f>
      </c>
    </row>
    <row r="1503">
      <c r="A1503" t="s" s="11">
        <v>7812</v>
      </c>
      <c r="B1503" t="s" s="11">
        <v>7813</v>
      </c>
      <c r="C1503" t="s" s="11">
        <v>114</v>
      </c>
      <c r="D1503" t="s" s="11">
        <v>852</v>
      </c>
      <c r="E1503" t="s" s="11">
        <v>759</v>
      </c>
      <c r="F1503" s="28">
        <v>45764</v>
      </c>
      <c r="G1503" t="s" s="11">
        <v>40</v>
      </c>
      <c r="H1503" s="43">
        <v>21.97</v>
      </c>
      <c r="I1503" s="43">
        <v>45.19</v>
      </c>
      <c r="J1503" t="s" s="11">
        <v>7814</v>
      </c>
      <c r="K1503" t="s" s="11">
        <v>7815</v>
      </c>
      <c r="L1503" s="17">
        <f>HYPERLINK("http://www.froda.se", "www.froda.se")</f>
      </c>
      <c r="M1503" s="17">
        <f>HYPERLINK("https://my.pitchbook.com?c=121886-29", "View Company Online")</f>
      </c>
    </row>
    <row r="1504">
      <c r="A1504" t="s" s="10">
        <v>7817</v>
      </c>
      <c r="B1504" t="s" s="10">
        <v>7818</v>
      </c>
      <c r="C1504" t="s" s="10">
        <v>37</v>
      </c>
      <c r="D1504" t="s" s="10">
        <v>38</v>
      </c>
      <c r="E1504" t="s" s="10">
        <v>193</v>
      </c>
      <c r="F1504" s="27">
        <v>45631</v>
      </c>
      <c r="G1504" t="s" s="10">
        <v>4267</v>
      </c>
      <c r="H1504" s="42">
        <v>2.8</v>
      </c>
      <c r="I1504" s="42">
        <v>45.12</v>
      </c>
      <c r="J1504" t="s" s="10">
        <v>7819</v>
      </c>
      <c r="K1504" t="s" s="10">
        <v>7820</v>
      </c>
      <c r="L1504" s="16">
        <f>HYPERLINK("http://www.marsneo.com", "www.marsneo.com")</f>
      </c>
      <c r="M1504" s="16">
        <f>HYPERLINK("https://my.pitchbook.com?c=597706-84", "View Company Online")</f>
      </c>
    </row>
    <row r="1505">
      <c r="A1505" t="s" s="11">
        <v>7822</v>
      </c>
      <c r="B1505" t="s" s="11">
        <v>7823</v>
      </c>
      <c r="C1505" t="s" s="11">
        <v>46</v>
      </c>
      <c r="D1505" t="s" s="11">
        <v>47</v>
      </c>
      <c r="E1505" t="s" s="11">
        <v>3320</v>
      </c>
      <c r="F1505" s="28">
        <v>45201</v>
      </c>
      <c r="G1505" t="s" s="11">
        <v>146</v>
      </c>
      <c r="H1505" s="43">
        <v>7.08</v>
      </c>
      <c r="I1505" s="43">
        <v>45.08</v>
      </c>
      <c r="J1505" t="s" s="11">
        <v>7824</v>
      </c>
      <c r="K1505" t="s" s="11">
        <v>30</v>
      </c>
      <c r="L1505" s="17">
        <f>HYPERLINK("http://www.revologyhealth.com", "www.revologyhealth.com")</f>
      </c>
      <c r="M1505" s="17">
        <f>HYPERLINK("https://my.pitchbook.com?c=520643-26", "View Company Online")</f>
      </c>
    </row>
    <row r="1506">
      <c r="A1506" t="s" s="10">
        <v>7826</v>
      </c>
      <c r="B1506" t="s" s="10">
        <v>7827</v>
      </c>
      <c r="C1506" t="s" s="10">
        <v>27</v>
      </c>
      <c r="D1506" t="s" s="10">
        <v>28</v>
      </c>
      <c r="E1506" t="s" s="10">
        <v>345</v>
      </c>
      <c r="F1506" s="27">
        <v>46079</v>
      </c>
      <c r="G1506" t="s" s="10">
        <v>40</v>
      </c>
      <c r="H1506" s="42">
        <v>8.9</v>
      </c>
      <c r="I1506" s="42">
        <v>45</v>
      </c>
      <c r="J1506" t="s" s="10">
        <v>7828</v>
      </c>
      <c r="K1506" t="s" s="10">
        <v>7829</v>
      </c>
      <c r="L1506" s="16">
        <f>HYPERLINK("http://www.usedots.com", "www.usedots.com")</f>
      </c>
      <c r="M1506" s="16">
        <f>HYPERLINK("https://my.pitchbook.com?c=469937-71", "View Company Online")</f>
      </c>
    </row>
    <row r="1507">
      <c r="A1507" t="s" s="11">
        <v>7831</v>
      </c>
      <c r="B1507" t="s" s="11">
        <v>7832</v>
      </c>
      <c r="C1507" t="s" s="11">
        <v>46</v>
      </c>
      <c r="D1507" t="s" s="11">
        <v>47</v>
      </c>
      <c r="E1507" t="s" s="11">
        <v>137</v>
      </c>
      <c r="F1507" s="28">
        <v>46086</v>
      </c>
      <c r="G1507" t="s" s="11">
        <v>4267</v>
      </c>
      <c r="H1507" s="43">
        <v>10.61</v>
      </c>
      <c r="I1507" s="43">
        <v>45</v>
      </c>
      <c r="J1507" t="s" s="11">
        <v>7833</v>
      </c>
      <c r="K1507" t="s" s="11">
        <v>7834</v>
      </c>
      <c r="L1507" s="17">
        <f>HYPERLINK("http://www.efex.com", "www.efex.com")</f>
      </c>
      <c r="M1507" s="17">
        <f>HYPERLINK("https://my.pitchbook.com?c=507449-71", "View Company Online")</f>
      </c>
    </row>
    <row r="1508">
      <c r="A1508" t="s" s="10">
        <v>7836</v>
      </c>
      <c r="B1508" t="s" s="10">
        <v>7837</v>
      </c>
      <c r="C1508" t="s" s="10">
        <v>144</v>
      </c>
      <c r="D1508" t="s" s="10">
        <v>297</v>
      </c>
      <c r="E1508" t="s" s="10">
        <v>253</v>
      </c>
      <c r="F1508" s="27">
        <v>45525</v>
      </c>
      <c r="G1508" t="s" s="10">
        <v>4267</v>
      </c>
      <c r="H1508" s="42">
        <v>10.92</v>
      </c>
      <c r="I1508" s="42">
        <v>45</v>
      </c>
      <c r="J1508" t="s" s="10">
        <v>7838</v>
      </c>
      <c r="K1508" t="s" s="10">
        <v>7839</v>
      </c>
      <c r="L1508" s="16">
        <f>HYPERLINK("http://www.ecaplabs.com", "www.ecaplabs.com")</f>
      </c>
      <c r="M1508" s="16">
        <f>HYPERLINK("https://my.pitchbook.com?c=501565-51", "View Company Online")</f>
      </c>
    </row>
    <row r="1509">
      <c r="A1509" t="s" s="11">
        <v>7841</v>
      </c>
      <c r="B1509" t="s" s="11">
        <v>7842</v>
      </c>
      <c r="C1509" t="s" s="11">
        <v>60</v>
      </c>
      <c r="D1509" t="s" s="11">
        <v>246</v>
      </c>
      <c r="E1509" t="s" s="11">
        <v>137</v>
      </c>
      <c r="F1509" t="s" s="28">
        <v>30</v>
      </c>
      <c r="G1509" t="s" s="11">
        <v>48</v>
      </c>
      <c r="H1509" t="s" s="43">
        <v>30</v>
      </c>
      <c r="I1509" s="43">
        <v>45</v>
      </c>
      <c r="J1509" t="s" s="11">
        <v>7843</v>
      </c>
      <c r="K1509" t="s" s="11">
        <v>7844</v>
      </c>
      <c r="L1509" s="17">
        <f>HYPERLINK("http://www.harness.co", "www.harness.co")</f>
      </c>
      <c r="M1509" s="17">
        <f>HYPERLINK("https://my.pitchbook.com?c=235424-08", "View Company Online")</f>
      </c>
    </row>
    <row r="1510">
      <c r="A1510" t="s" s="10">
        <v>7846</v>
      </c>
      <c r="B1510" t="s" s="10">
        <v>7847</v>
      </c>
      <c r="C1510" t="s" s="10">
        <v>46</v>
      </c>
      <c r="D1510" t="s" s="10">
        <v>397</v>
      </c>
      <c r="E1510" t="s" s="10">
        <v>414</v>
      </c>
      <c r="F1510" s="27">
        <v>45874</v>
      </c>
      <c r="G1510" t="s" s="10">
        <v>146</v>
      </c>
      <c r="H1510" s="42">
        <v>10</v>
      </c>
      <c r="I1510" s="42">
        <v>45</v>
      </c>
      <c r="J1510" t="s" s="10">
        <v>7848</v>
      </c>
      <c r="K1510" t="s" s="10">
        <v>7849</v>
      </c>
      <c r="L1510" s="16">
        <f>HYPERLINK("http://www.olarry.com", "www.olarry.com")</f>
      </c>
      <c r="M1510" s="16">
        <f>HYPERLINK("https://my.pitchbook.com?c=596229-04", "View Company Online")</f>
      </c>
    </row>
    <row r="1511">
      <c r="A1511" t="s" s="11">
        <v>7851</v>
      </c>
      <c r="B1511" t="s" s="11">
        <v>7852</v>
      </c>
      <c r="C1511" t="s" s="11">
        <v>144</v>
      </c>
      <c r="D1511" t="s" s="11">
        <v>38</v>
      </c>
      <c r="E1511" t="s" s="11">
        <v>152</v>
      </c>
      <c r="F1511" s="28">
        <v>45699</v>
      </c>
      <c r="G1511" t="s" s="11">
        <v>146</v>
      </c>
      <c r="H1511" s="43">
        <v>11</v>
      </c>
      <c r="I1511" s="43">
        <v>45</v>
      </c>
      <c r="J1511" t="s" s="11">
        <v>7853</v>
      </c>
      <c r="K1511" t="s" s="11">
        <v>7854</v>
      </c>
      <c r="L1511" s="17">
        <f>HYPERLINK("http://www.raenest.com", "www.raenest.com")</f>
      </c>
      <c r="M1511" s="17">
        <f>HYPERLINK("https://my.pitchbook.com?c=498129-49", "View Company Online")</f>
      </c>
    </row>
    <row r="1512">
      <c r="A1512" t="s" s="10">
        <v>7856</v>
      </c>
      <c r="B1512" t="s" s="10">
        <v>7857</v>
      </c>
      <c r="C1512" t="s" s="10">
        <v>144</v>
      </c>
      <c r="D1512" t="s" s="10">
        <v>297</v>
      </c>
      <c r="E1512" t="s" s="10">
        <v>373</v>
      </c>
      <c r="F1512" s="27">
        <v>46126</v>
      </c>
      <c r="G1512" t="s" s="10">
        <v>40</v>
      </c>
      <c r="H1512" s="42">
        <v>115.8</v>
      </c>
      <c r="I1512" s="42">
        <v>45</v>
      </c>
      <c r="J1512" t="s" s="10">
        <v>7858</v>
      </c>
      <c r="K1512" t="s" s="10">
        <v>7859</v>
      </c>
      <c r="L1512" s="16">
        <f>HYPERLINK("http://www.ratiotech.com", "www.ratiotech.com")</f>
      </c>
      <c r="M1512" s="16">
        <f>HYPERLINK("https://my.pitchbook.com?c=498164-68", "View Company Online")</f>
      </c>
    </row>
    <row r="1513">
      <c r="A1513" t="s" s="11">
        <v>7861</v>
      </c>
      <c r="B1513" t="s" s="11">
        <v>7862</v>
      </c>
      <c r="C1513" t="s" s="11">
        <v>46</v>
      </c>
      <c r="D1513" t="s" s="11">
        <v>397</v>
      </c>
      <c r="E1513" t="s" s="11">
        <v>373</v>
      </c>
      <c r="F1513" s="28">
        <v>45729</v>
      </c>
      <c r="G1513" t="s" s="11">
        <v>607</v>
      </c>
      <c r="H1513" t="s" s="43">
        <v>30</v>
      </c>
      <c r="I1513" s="43">
        <v>45</v>
      </c>
      <c r="J1513" t="s" s="11">
        <v>7863</v>
      </c>
      <c r="K1513" t="s" s="11">
        <v>7864</v>
      </c>
      <c r="L1513" s="17">
        <f>HYPERLINK("http://www.truewind.ai", "www.truewind.ai")</f>
      </c>
      <c r="M1513" s="17">
        <f>HYPERLINK("https://my.pitchbook.com?c=520602-40", "View Company Online")</f>
      </c>
    </row>
    <row r="1514">
      <c r="A1514" t="s" s="10">
        <v>7866</v>
      </c>
      <c r="B1514" t="s" s="10">
        <v>7867</v>
      </c>
      <c r="C1514" t="s" s="10">
        <v>128</v>
      </c>
      <c r="D1514" t="s" s="10">
        <v>276</v>
      </c>
      <c r="E1514" t="s" s="10">
        <v>200</v>
      </c>
      <c r="F1514" s="27">
        <v>46155</v>
      </c>
      <c r="G1514" t="s" s="10">
        <v>40</v>
      </c>
      <c r="H1514" s="42">
        <v>10</v>
      </c>
      <c r="I1514" s="42">
        <v>45</v>
      </c>
      <c r="J1514" t="s" s="10">
        <v>7868</v>
      </c>
      <c r="K1514" t="s" s="10">
        <v>7869</v>
      </c>
      <c r="L1514" s="16">
        <f>HYPERLINK("http://www.trustap.com", "www.trustap.com")</f>
      </c>
      <c r="M1514" s="16">
        <f>HYPERLINK("https://my.pitchbook.com?c=232405-48", "View Company Online")</f>
      </c>
    </row>
    <row r="1515">
      <c r="A1515" t="s" s="11">
        <v>7871</v>
      </c>
      <c r="B1515" t="s" s="11">
        <v>7872</v>
      </c>
      <c r="C1515" t="s" s="11">
        <v>46</v>
      </c>
      <c r="D1515" t="s" s="11">
        <v>47</v>
      </c>
      <c r="E1515" t="s" s="11">
        <v>443</v>
      </c>
      <c r="F1515" s="28">
        <v>45523</v>
      </c>
      <c r="G1515" t="s" s="11">
        <v>146</v>
      </c>
      <c r="H1515" s="43">
        <v>1</v>
      </c>
      <c r="I1515" s="43">
        <v>45</v>
      </c>
      <c r="J1515" t="s" s="11">
        <v>7873</v>
      </c>
      <c r="K1515" t="s" s="11">
        <v>7874</v>
      </c>
      <c r="L1515" s="17">
        <f>HYPERLINK("http://veuu.com", "veuu.com")</f>
      </c>
      <c r="M1515" s="17">
        <f>HYPERLINK("https://my.pitchbook.com?c=454566-88", "View Company Online")</f>
      </c>
    </row>
    <row r="1516">
      <c r="A1516" t="s" s="10">
        <v>7876</v>
      </c>
      <c r="B1516" t="s" s="10">
        <v>7877</v>
      </c>
      <c r="C1516" t="s" s="10">
        <v>60</v>
      </c>
      <c r="D1516" t="s" s="10">
        <v>192</v>
      </c>
      <c r="E1516" t="s" s="10">
        <v>7878</v>
      </c>
      <c r="F1516" t="s" s="27">
        <v>30</v>
      </c>
      <c r="G1516" t="s" s="10">
        <v>607</v>
      </c>
      <c r="H1516" t="s" s="42">
        <v>30</v>
      </c>
      <c r="I1516" s="42">
        <v>44.93</v>
      </c>
      <c r="J1516" t="s" s="10">
        <v>7879</v>
      </c>
      <c r="K1516" t="s" s="10">
        <v>7880</v>
      </c>
      <c r="L1516" s="16">
        <f>HYPERLINK("http://www.alasco.com", "www.alasco.com")</f>
      </c>
      <c r="M1516" s="16">
        <f>HYPERLINK("https://my.pitchbook.com?c=233903-62", "View Company Online")</f>
      </c>
    </row>
    <row r="1517">
      <c r="A1517" t="s" s="11">
        <v>7882</v>
      </c>
      <c r="B1517" t="s" s="11">
        <v>7883</v>
      </c>
      <c r="C1517" t="s" s="11">
        <v>114</v>
      </c>
      <c r="D1517" t="s" s="11">
        <v>852</v>
      </c>
      <c r="E1517" t="s" s="11">
        <v>373</v>
      </c>
      <c r="F1517" s="28">
        <v>45345</v>
      </c>
      <c r="G1517" t="s" s="11">
        <v>5996</v>
      </c>
      <c r="H1517" s="43">
        <v>4.06</v>
      </c>
      <c r="I1517" s="43">
        <v>44.78</v>
      </c>
      <c r="J1517" t="s" s="11">
        <v>7884</v>
      </c>
      <c r="K1517" t="s" s="11">
        <v>7885</v>
      </c>
      <c r="L1517" s="17">
        <f>HYPERLINK("http://www.aprila.no", "www.aprila.no")</f>
      </c>
      <c r="M1517" s="17">
        <f>HYPERLINK("https://my.pitchbook.com?c=223791-67", "View Company Online")</f>
      </c>
    </row>
    <row r="1518">
      <c r="A1518" t="s" s="10">
        <v>7887</v>
      </c>
      <c r="B1518" t="s" s="10">
        <v>7888</v>
      </c>
      <c r="C1518" t="s" s="10">
        <v>46</v>
      </c>
      <c r="D1518" t="s" s="10">
        <v>47</v>
      </c>
      <c r="E1518" t="s" s="10">
        <v>373</v>
      </c>
      <c r="F1518" s="27">
        <v>45527</v>
      </c>
      <c r="G1518" t="s" s="10">
        <v>4267</v>
      </c>
      <c r="H1518" s="42">
        <v>2.25</v>
      </c>
      <c r="I1518" s="42">
        <v>44.75</v>
      </c>
      <c r="J1518" t="s" s="10">
        <v>7889</v>
      </c>
      <c r="K1518" t="s" s="10">
        <v>7890</v>
      </c>
      <c r="L1518" s="16">
        <f>HYPERLINK("http://www.mysky.com", "www.mysky.com")</f>
      </c>
      <c r="M1518" s="16">
        <f>HYPERLINK("https://my.pitchbook.com?c=326339-65", "View Company Online")</f>
      </c>
    </row>
    <row r="1519">
      <c r="A1519" t="s" s="11">
        <v>7892</v>
      </c>
      <c r="B1519" t="s" s="11">
        <v>7893</v>
      </c>
      <c r="C1519" t="s" s="11">
        <v>37</v>
      </c>
      <c r="D1519" t="s" s="11">
        <v>38</v>
      </c>
      <c r="E1519" t="s" s="11">
        <v>2835</v>
      </c>
      <c r="F1519" s="28">
        <v>45243</v>
      </c>
      <c r="G1519" t="s" s="11">
        <v>146</v>
      </c>
      <c r="H1519" s="43">
        <v>14.49</v>
      </c>
      <c r="I1519" s="43">
        <v>44.6</v>
      </c>
      <c r="J1519" t="s" s="11">
        <v>7894</v>
      </c>
      <c r="K1519" t="s" s="11">
        <v>7895</v>
      </c>
      <c r="L1519" s="17">
        <f>HYPERLINK("http://www.condoconta.com.br", "www.condoconta.com.br")</f>
      </c>
      <c r="M1519" s="17">
        <f>HYPERLINK("https://my.pitchbook.com?c=463322-89", "View Company Online")</f>
      </c>
    </row>
    <row r="1520">
      <c r="A1520" t="s" s="10">
        <v>7897</v>
      </c>
      <c r="B1520" t="s" s="10">
        <v>7898</v>
      </c>
      <c r="C1520" t="s" s="10">
        <v>37</v>
      </c>
      <c r="D1520" t="s" s="10">
        <v>38</v>
      </c>
      <c r="E1520" t="s" s="10">
        <v>158</v>
      </c>
      <c r="F1520" s="27">
        <v>44697</v>
      </c>
      <c r="G1520" t="s" s="10">
        <v>40</v>
      </c>
      <c r="H1520" s="42">
        <v>8.5</v>
      </c>
      <c r="I1520" s="42">
        <v>44.5</v>
      </c>
      <c r="J1520" t="s" s="10">
        <v>7899</v>
      </c>
      <c r="K1520" t="s" s="10">
        <v>7900</v>
      </c>
      <c r="L1520" s="16">
        <f>HYPERLINK("http://www.cuenca.com", "www.cuenca.com")</f>
      </c>
      <c r="M1520" s="16">
        <f>HYPERLINK("https://my.pitchbook.com?c=226550-62", "View Company Online")</f>
      </c>
    </row>
    <row r="1521">
      <c r="A1521" t="s" s="11">
        <v>7902</v>
      </c>
      <c r="B1521" t="s" s="11">
        <v>7903</v>
      </c>
      <c r="C1521" t="s" s="11">
        <v>164</v>
      </c>
      <c r="D1521" t="s" s="11">
        <v>206</v>
      </c>
      <c r="E1521" t="s" s="11">
        <v>253</v>
      </c>
      <c r="F1521" s="28">
        <v>45526</v>
      </c>
      <c r="G1521" t="s" s="11">
        <v>31</v>
      </c>
      <c r="H1521" t="s" s="43">
        <v>30</v>
      </c>
      <c r="I1521" s="43">
        <v>44.5</v>
      </c>
      <c r="J1521" t="s" s="11">
        <v>7904</v>
      </c>
      <c r="K1521" t="s" s="11">
        <v>7905</v>
      </c>
      <c r="L1521" s="17">
        <f>HYPERLINK("http://www.vero-technologies.com", "www.vero-technologies.com")</f>
      </c>
      <c r="M1521" s="17">
        <f>HYPERLINK("https://my.pitchbook.com?c=490056-04", "View Company Online")</f>
      </c>
    </row>
    <row r="1522">
      <c r="A1522" t="s" s="10">
        <v>7907</v>
      </c>
      <c r="B1522" t="s" s="10">
        <v>7908</v>
      </c>
      <c r="C1522" t="s" s="10">
        <v>222</v>
      </c>
      <c r="D1522" t="s" s="10">
        <v>235</v>
      </c>
      <c r="E1522" t="s" s="10">
        <v>253</v>
      </c>
      <c r="F1522" s="27">
        <v>45627</v>
      </c>
      <c r="G1522" t="s" s="10">
        <v>40</v>
      </c>
      <c r="H1522" t="s" s="42">
        <v>30</v>
      </c>
      <c r="I1522" s="42">
        <v>44.46</v>
      </c>
      <c r="J1522" t="s" s="10">
        <v>7909</v>
      </c>
      <c r="K1522" t="s" s="10">
        <v>7910</v>
      </c>
      <c r="L1522" s="16">
        <f>HYPERLINK("http://www.ideahub.co.kr", "www.ideahub.co.kr")</f>
      </c>
      <c r="M1522" s="16">
        <f>HYPERLINK("https://my.pitchbook.com?c=438200-83", "View Company Online")</f>
      </c>
    </row>
    <row r="1523">
      <c r="A1523" t="s" s="11">
        <v>7912</v>
      </c>
      <c r="B1523" t="s" s="11">
        <v>7913</v>
      </c>
      <c r="C1523" t="s" s="11">
        <v>164</v>
      </c>
      <c r="D1523" t="s" s="11">
        <v>206</v>
      </c>
      <c r="E1523" t="s" s="11">
        <v>414</v>
      </c>
      <c r="F1523" s="28">
        <v>45826</v>
      </c>
      <c r="G1523" t="s" s="11">
        <v>40</v>
      </c>
      <c r="H1523" t="s" s="43">
        <v>30</v>
      </c>
      <c r="I1523" s="43">
        <v>44.35</v>
      </c>
      <c r="J1523" t="s" s="11">
        <v>7914</v>
      </c>
      <c r="K1523" t="s" s="11">
        <v>7915</v>
      </c>
      <c r="L1523" s="17">
        <f>HYPERLINK("http://www.portx.io", "www.portx.io")</f>
      </c>
      <c r="M1523" s="17">
        <f>HYPERLINK("https://my.pitchbook.com?c=507278-44", "View Company Online")</f>
      </c>
    </row>
    <row r="1524">
      <c r="A1524" t="s" s="10">
        <v>7917</v>
      </c>
      <c r="B1524" t="s" s="10">
        <v>7918</v>
      </c>
      <c r="C1524" t="s" s="10">
        <v>46</v>
      </c>
      <c r="D1524" t="s" s="10">
        <v>47</v>
      </c>
      <c r="E1524" t="s" s="10">
        <v>253</v>
      </c>
      <c r="F1524" t="s" s="27">
        <v>30</v>
      </c>
      <c r="G1524" t="s" s="10">
        <v>40</v>
      </c>
      <c r="H1524" t="s" s="42">
        <v>30</v>
      </c>
      <c r="I1524" s="42">
        <v>44.22</v>
      </c>
      <c r="J1524" t="s" s="10">
        <v>7919</v>
      </c>
      <c r="K1524" t="s" s="10">
        <v>7920</v>
      </c>
      <c r="L1524" s="16">
        <f>HYPERLINK("http://www.waya.se", "www.waya.se")</f>
      </c>
      <c r="M1524" s="16">
        <f>HYPERLINK("https://my.pitchbook.com?c=159906-52", "View Company Online")</f>
      </c>
    </row>
    <row r="1525">
      <c r="A1525" t="s" s="11">
        <v>7922</v>
      </c>
      <c r="B1525" t="s" s="11">
        <v>7923</v>
      </c>
      <c r="C1525" t="s" s="11">
        <v>164</v>
      </c>
      <c r="D1525" t="s" s="11">
        <v>165</v>
      </c>
      <c r="E1525" t="s" s="11">
        <v>193</v>
      </c>
      <c r="F1525" s="28">
        <v>45212</v>
      </c>
      <c r="G1525" t="s" s="11">
        <v>146</v>
      </c>
      <c r="H1525" s="43">
        <v>3.2</v>
      </c>
      <c r="I1525" s="43">
        <v>44.2</v>
      </c>
      <c r="J1525" t="s" s="11">
        <v>7924</v>
      </c>
      <c r="K1525" t="s" s="11">
        <v>7925</v>
      </c>
      <c r="L1525" s="17">
        <f>HYPERLINK("http://www.zsuitetech.com", "www.zsuitetech.com")</f>
      </c>
      <c r="M1525" s="17">
        <f>HYPERLINK("https://my.pitchbook.com?c=279421-12", "View Company Online")</f>
      </c>
    </row>
    <row r="1526">
      <c r="A1526" t="s" s="10">
        <v>7927</v>
      </c>
      <c r="B1526" t="s" s="10">
        <v>7928</v>
      </c>
      <c r="C1526" t="s" s="10">
        <v>46</v>
      </c>
      <c r="D1526" t="s" s="10">
        <v>47</v>
      </c>
      <c r="E1526" t="s" s="10">
        <v>29</v>
      </c>
      <c r="F1526" s="27">
        <v>44743</v>
      </c>
      <c r="G1526" t="s" s="10">
        <v>146</v>
      </c>
      <c r="H1526" s="42">
        <v>29</v>
      </c>
      <c r="I1526" s="42">
        <v>44.15</v>
      </c>
      <c r="J1526" t="s" s="10">
        <v>7929</v>
      </c>
      <c r="K1526" t="s" s="10">
        <v>7930</v>
      </c>
      <c r="L1526" s="16">
        <f>HYPERLINK("http://www.volopay.com", "www.volopay.com")</f>
      </c>
      <c r="M1526" s="16">
        <f>HYPERLINK("https://my.pitchbook.com?c=439523-47", "View Company Online")</f>
      </c>
    </row>
    <row r="1527">
      <c r="A1527" t="s" s="11">
        <v>7932</v>
      </c>
      <c r="B1527" t="s" s="11">
        <v>7933</v>
      </c>
      <c r="C1527" t="s" s="11">
        <v>144</v>
      </c>
      <c r="D1527" t="s" s="11">
        <v>297</v>
      </c>
      <c r="E1527" t="s" s="11">
        <v>373</v>
      </c>
      <c r="F1527" s="28">
        <v>44459</v>
      </c>
      <c r="G1527" t="s" s="11">
        <v>40</v>
      </c>
      <c r="H1527" s="43">
        <v>10.01</v>
      </c>
      <c r="I1527" s="43">
        <v>44.14</v>
      </c>
      <c r="J1527" t="s" s="11">
        <v>7934</v>
      </c>
      <c r="K1527" t="s" s="11">
        <v>7935</v>
      </c>
      <c r="L1527" s="17">
        <f>HYPERLINK("http://www.epaylater.in", "www.epaylater.in")</f>
      </c>
      <c r="M1527" s="17">
        <f>HYPERLINK("https://my.pitchbook.com?c=160971-67", "View Company Online")</f>
      </c>
    </row>
    <row r="1528">
      <c r="A1528" t="s" s="10">
        <v>7937</v>
      </c>
      <c r="B1528" t="s" s="10">
        <v>7938</v>
      </c>
      <c r="C1528" t="s" s="10">
        <v>60</v>
      </c>
      <c r="D1528" t="s" s="10">
        <v>727</v>
      </c>
      <c r="E1528" t="s" s="10">
        <v>2782</v>
      </c>
      <c r="F1528" s="27">
        <v>44725</v>
      </c>
      <c r="G1528" t="s" s="10">
        <v>40</v>
      </c>
      <c r="H1528" s="42">
        <v>10.27</v>
      </c>
      <c r="I1528" s="42">
        <v>44.04</v>
      </c>
      <c r="J1528" t="s" s="10">
        <v>7939</v>
      </c>
      <c r="K1528" t="s" s="10">
        <v>7940</v>
      </c>
      <c r="L1528" s="16">
        <f>HYPERLINK("http://www.foxstone.ch", "www.foxstone.ch")</f>
      </c>
      <c r="M1528" s="16">
        <f>HYPERLINK("https://my.pitchbook.com?c=267333-85", "View Company Online")</f>
      </c>
    </row>
    <row r="1529">
      <c r="A1529" t="s" s="11">
        <v>7942</v>
      </c>
      <c r="B1529" t="s" s="11">
        <v>7943</v>
      </c>
      <c r="C1529" t="s" s="11">
        <v>164</v>
      </c>
      <c r="D1529" t="s" s="11">
        <v>165</v>
      </c>
      <c r="E1529" t="s" s="11">
        <v>414</v>
      </c>
      <c r="F1529" s="28">
        <v>45292</v>
      </c>
      <c r="G1529" t="s" s="11">
        <v>40</v>
      </c>
      <c r="H1529" t="s" s="43">
        <v>30</v>
      </c>
      <c r="I1529" s="43">
        <v>44</v>
      </c>
      <c r="J1529" t="s" s="11">
        <v>7944</v>
      </c>
      <c r="K1529" t="s" s="11">
        <v>7945</v>
      </c>
      <c r="L1529" s="17">
        <f>HYPERLINK("http://www.corridorplatforms.com", "www.corridorplatforms.com")</f>
      </c>
      <c r="M1529" s="17">
        <f>HYPERLINK("https://my.pitchbook.com?c=223734-43", "View Company Online")</f>
      </c>
    </row>
    <row r="1530">
      <c r="A1530" t="s" s="10">
        <v>7947</v>
      </c>
      <c r="B1530" t="s" s="10">
        <v>7948</v>
      </c>
      <c r="C1530" t="s" s="10">
        <v>60</v>
      </c>
      <c r="D1530" t="s" s="10">
        <v>246</v>
      </c>
      <c r="E1530" t="s" s="10">
        <v>193</v>
      </c>
      <c r="F1530" s="27">
        <v>45197</v>
      </c>
      <c r="G1530" t="s" s="10">
        <v>40</v>
      </c>
      <c r="H1530" s="42">
        <v>10</v>
      </c>
      <c r="I1530" s="42">
        <v>44</v>
      </c>
      <c r="J1530" t="s" s="10">
        <v>7949</v>
      </c>
      <c r="K1530" t="s" s="10">
        <v>7950</v>
      </c>
      <c r="L1530" s="16">
        <f>HYPERLINK("http://marketing.growcredit.com", "marketing.growcredit.com")</f>
      </c>
      <c r="M1530" s="16">
        <f>HYPERLINK("https://my.pitchbook.com?c=435943-36", "View Company Online")</f>
      </c>
    </row>
    <row r="1531">
      <c r="A1531" t="s" s="11">
        <v>7952</v>
      </c>
      <c r="B1531" t="s" s="11">
        <v>7953</v>
      </c>
      <c r="C1531" t="s" s="11">
        <v>37</v>
      </c>
      <c r="D1531" t="s" s="11">
        <v>304</v>
      </c>
      <c r="E1531" t="s" s="11">
        <v>137</v>
      </c>
      <c r="F1531" s="28">
        <v>46093</v>
      </c>
      <c r="G1531" t="s" s="11">
        <v>4267</v>
      </c>
      <c r="H1531" s="43">
        <v>4</v>
      </c>
      <c r="I1531" s="43">
        <v>44</v>
      </c>
      <c r="J1531" t="s" s="11">
        <v>7954</v>
      </c>
      <c r="K1531" t="s" s="11">
        <v>7955</v>
      </c>
      <c r="L1531" s="17">
        <f>HYPERLINK("http://www.rove.com", "www.rove.com")</f>
      </c>
      <c r="M1531" s="17">
        <f>HYPERLINK("https://my.pitchbook.com?c=550458-91", "View Company Online")</f>
      </c>
    </row>
    <row r="1532">
      <c r="A1532" t="s" s="10">
        <v>7957</v>
      </c>
      <c r="B1532" t="s" s="10">
        <v>7958</v>
      </c>
      <c r="C1532" t="s" s="10">
        <v>60</v>
      </c>
      <c r="D1532" t="s" s="10">
        <v>192</v>
      </c>
      <c r="E1532" t="s" s="10">
        <v>373</v>
      </c>
      <c r="F1532" s="27">
        <v>46092</v>
      </c>
      <c r="G1532" t="s" s="10">
        <v>40</v>
      </c>
      <c r="H1532" s="42">
        <v>3</v>
      </c>
      <c r="I1532" s="42">
        <v>43.97</v>
      </c>
      <c r="J1532" t="s" s="10">
        <v>7959</v>
      </c>
      <c r="K1532" t="s" s="10">
        <v>7960</v>
      </c>
      <c r="L1532" s="16">
        <f>HYPERLINK("http://www.optioncircle.com", "www.optioncircle.com")</f>
      </c>
      <c r="M1532" s="16">
        <f>HYPERLINK("https://my.pitchbook.com?c=568752-49", "View Company Online")</f>
      </c>
    </row>
    <row r="1533">
      <c r="A1533" t="s" s="11">
        <v>7962</v>
      </c>
      <c r="B1533" t="s" s="11">
        <v>7963</v>
      </c>
      <c r="C1533" t="s" s="11">
        <v>27</v>
      </c>
      <c r="D1533" t="s" s="11">
        <v>28</v>
      </c>
      <c r="E1533" t="s" s="11">
        <v>2575</v>
      </c>
      <c r="F1533" s="28">
        <v>45658</v>
      </c>
      <c r="G1533" t="s" s="11">
        <v>40</v>
      </c>
      <c r="H1533" t="s" s="43">
        <v>30</v>
      </c>
      <c r="I1533" s="43">
        <v>43.96</v>
      </c>
      <c r="J1533" t="s" s="11">
        <v>7964</v>
      </c>
      <c r="K1533" t="s" s="11">
        <v>7965</v>
      </c>
      <c r="L1533" s="17">
        <f>HYPERLINK("http://www.zaver.com", "www.zaver.com")</f>
      </c>
      <c r="M1533" s="17">
        <f>HYPERLINK("https://my.pitchbook.com?c=222448-06", "View Company Online")</f>
      </c>
    </row>
    <row r="1534">
      <c r="A1534" t="s" s="10">
        <v>7967</v>
      </c>
      <c r="B1534" t="s" s="10">
        <v>7968</v>
      </c>
      <c r="C1534" t="s" s="10">
        <v>128</v>
      </c>
      <c r="D1534" t="s" s="10">
        <v>276</v>
      </c>
      <c r="E1534" t="s" s="10">
        <v>270</v>
      </c>
      <c r="F1534" s="27">
        <v>46077</v>
      </c>
      <c r="G1534" t="s" s="10">
        <v>40</v>
      </c>
      <c r="H1534" s="42">
        <v>3.9</v>
      </c>
      <c r="I1534" s="42">
        <v>43.9</v>
      </c>
      <c r="J1534" t="s" s="10">
        <v>7969</v>
      </c>
      <c r="K1534" t="s" s="10">
        <v>30</v>
      </c>
      <c r="L1534" s="16">
        <f>HYPERLINK("http://www.busykid.com", "www.busykid.com")</f>
      </c>
      <c r="M1534" s="16">
        <f>HYPERLINK("https://my.pitchbook.com?c=232151-77", "View Company Online")</f>
      </c>
    </row>
    <row r="1535">
      <c r="A1535" t="s" s="11">
        <v>7971</v>
      </c>
      <c r="B1535" t="s" s="11">
        <v>7972</v>
      </c>
      <c r="C1535" t="s" s="11">
        <v>222</v>
      </c>
      <c r="D1535" t="s" s="11">
        <v>235</v>
      </c>
      <c r="E1535" t="s" s="11">
        <v>7973</v>
      </c>
      <c r="F1535" s="28">
        <v>45526</v>
      </c>
      <c r="G1535" t="s" s="11">
        <v>40</v>
      </c>
      <c r="H1535" s="43">
        <v>5.47</v>
      </c>
      <c r="I1535" s="43">
        <v>43.79</v>
      </c>
      <c r="J1535" t="s" s="11">
        <v>7974</v>
      </c>
      <c r="K1535" t="s" s="11">
        <v>7975</v>
      </c>
      <c r="L1535" s="17">
        <f>HYPERLINK("http://hq.hatcher.com", "hq.hatcher.com")</f>
      </c>
      <c r="M1535" s="17">
        <f>HYPERLINK("https://my.pitchbook.com?c=101670-94", "View Company Online")</f>
      </c>
    </row>
    <row r="1536">
      <c r="A1536" t="s" s="10">
        <v>7977</v>
      </c>
      <c r="B1536" t="s" s="10">
        <v>7978</v>
      </c>
      <c r="C1536" t="s" s="10">
        <v>27</v>
      </c>
      <c r="D1536" t="s" s="10">
        <v>70</v>
      </c>
      <c r="E1536" t="s" s="10">
        <v>1859</v>
      </c>
      <c r="F1536" s="27">
        <v>46003</v>
      </c>
      <c r="G1536" t="s" s="10">
        <v>4267</v>
      </c>
      <c r="H1536" s="42">
        <v>22</v>
      </c>
      <c r="I1536" s="42">
        <v>43.63</v>
      </c>
      <c r="J1536" t="s" s="10">
        <v>7979</v>
      </c>
      <c r="K1536" t="s" s="10">
        <v>7980</v>
      </c>
      <c r="L1536" s="16">
        <f>HYPERLINK("http://www.noah.com", "www.noah.com")</f>
      </c>
      <c r="M1536" s="16">
        <f>HYPERLINK("https://my.pitchbook.com?c=510544-18", "View Company Online")</f>
      </c>
    </row>
    <row r="1537">
      <c r="A1537" t="s" s="11">
        <v>7982</v>
      </c>
      <c r="B1537" t="s" s="11">
        <v>7983</v>
      </c>
      <c r="C1537" t="s" s="11">
        <v>60</v>
      </c>
      <c r="D1537" t="s" s="11">
        <v>246</v>
      </c>
      <c r="E1537" t="s" s="11">
        <v>253</v>
      </c>
      <c r="F1537" s="28">
        <v>44013</v>
      </c>
      <c r="G1537" t="s" s="11">
        <v>146</v>
      </c>
      <c r="H1537" t="s" s="43">
        <v>30</v>
      </c>
      <c r="I1537" s="43">
        <v>43.6</v>
      </c>
      <c r="J1537" t="s" s="11">
        <v>7984</v>
      </c>
      <c r="K1537" t="s" s="11">
        <v>7985</v>
      </c>
      <c r="L1537" s="17">
        <f>HYPERLINK("http://www.pandopooling.com", "www.pandopooling.com")</f>
      </c>
      <c r="M1537" s="17">
        <f>HYPERLINK("https://my.pitchbook.com?c=185519-89", "View Company Online")</f>
      </c>
    </row>
    <row r="1538">
      <c r="A1538" t="s" s="10">
        <v>7987</v>
      </c>
      <c r="B1538" t="s" s="10">
        <v>7988</v>
      </c>
      <c r="C1538" t="s" s="10">
        <v>27</v>
      </c>
      <c r="D1538" t="s" s="10">
        <v>28</v>
      </c>
      <c r="E1538" t="s" s="10">
        <v>259</v>
      </c>
      <c r="F1538" s="27">
        <v>45048</v>
      </c>
      <c r="G1538" t="s" s="10">
        <v>40</v>
      </c>
      <c r="H1538" s="42">
        <v>7.26</v>
      </c>
      <c r="I1538" s="42">
        <v>43.54</v>
      </c>
      <c r="J1538" t="s" s="10">
        <v>7989</v>
      </c>
      <c r="K1538" t="s" s="10">
        <v>30</v>
      </c>
      <c r="L1538" s="16">
        <f>HYPERLINK("http://www.hxiaobao.com", "www.hxiaobao.com")</f>
      </c>
      <c r="M1538" s="16">
        <f>HYPERLINK("https://my.pitchbook.com?c=515154-43", "View Company Online")</f>
      </c>
    </row>
    <row r="1539">
      <c r="A1539" t="s" s="11">
        <v>7991</v>
      </c>
      <c r="B1539" t="s" s="11">
        <v>7992</v>
      </c>
      <c r="C1539" t="s" s="11">
        <v>144</v>
      </c>
      <c r="D1539" t="s" s="11">
        <v>297</v>
      </c>
      <c r="E1539" t="s" s="11">
        <v>253</v>
      </c>
      <c r="F1539" s="28">
        <v>44809</v>
      </c>
      <c r="G1539" t="s" s="11">
        <v>40</v>
      </c>
      <c r="H1539" s="43">
        <v>5.04</v>
      </c>
      <c r="I1539" s="43">
        <v>43.53</v>
      </c>
      <c r="J1539" t="s" s="11">
        <v>7993</v>
      </c>
      <c r="K1539" t="s" s="11">
        <v>7994</v>
      </c>
      <c r="L1539" s="17">
        <f>HYPERLINK("http://www.treso2.com", "www.treso2.com")</f>
      </c>
      <c r="M1539" s="17">
        <f>HYPERLINK("https://my.pitchbook.com?c=506920-69", "View Company Online")</f>
      </c>
    </row>
    <row r="1540">
      <c r="A1540" t="s" s="10">
        <v>7996</v>
      </c>
      <c r="B1540" t="s" s="10">
        <v>7997</v>
      </c>
      <c r="C1540" t="s" s="10">
        <v>164</v>
      </c>
      <c r="D1540" t="s" s="10">
        <v>206</v>
      </c>
      <c r="E1540" t="s" s="10">
        <v>373</v>
      </c>
      <c r="F1540" s="27">
        <v>44788</v>
      </c>
      <c r="G1540" t="s" s="10">
        <v>40</v>
      </c>
      <c r="H1540" s="42">
        <v>4.8</v>
      </c>
      <c r="I1540" s="42">
        <v>43.49</v>
      </c>
      <c r="J1540" t="s" s="10">
        <v>7998</v>
      </c>
      <c r="K1540" t="s" s="10">
        <v>7999</v>
      </c>
      <c r="L1540" s="16">
        <f>HYPERLINK("http://www.bankifi.com", "www.bankifi.com")</f>
      </c>
      <c r="M1540" s="16">
        <f>HYPERLINK("https://my.pitchbook.com?c=228163-15", "View Company Online")</f>
      </c>
    </row>
    <row r="1541">
      <c r="A1541" t="s" s="11">
        <v>8001</v>
      </c>
      <c r="B1541" t="s" s="11">
        <v>8002</v>
      </c>
      <c r="C1541" t="s" s="11">
        <v>27</v>
      </c>
      <c r="D1541" t="s" s="11">
        <v>28</v>
      </c>
      <c r="E1541" t="s" s="11">
        <v>7487</v>
      </c>
      <c r="F1541" s="28">
        <v>45085</v>
      </c>
      <c r="G1541" t="s" s="11">
        <v>40</v>
      </c>
      <c r="H1541" s="43">
        <v>5.84</v>
      </c>
      <c r="I1541" s="43">
        <v>43.48</v>
      </c>
      <c r="J1541" t="s" s="11">
        <v>8003</v>
      </c>
      <c r="K1541" t="s" s="11">
        <v>8004</v>
      </c>
      <c r="L1541" s="17">
        <f>HYPERLINK("http://www.gotouche.com", "www.gotouche.com")</f>
      </c>
      <c r="M1541" s="17">
        <f>HYPERLINK("https://my.pitchbook.com?c=163038-25", "View Company Online")</f>
      </c>
    </row>
    <row r="1542">
      <c r="A1542" t="s" s="10">
        <v>8006</v>
      </c>
      <c r="B1542" t="s" s="10">
        <v>8007</v>
      </c>
      <c r="C1542" t="s" s="10">
        <v>60</v>
      </c>
      <c r="D1542" t="s" s="10">
        <v>727</v>
      </c>
      <c r="E1542" t="s" s="10">
        <v>2782</v>
      </c>
      <c r="F1542" s="27">
        <v>45832</v>
      </c>
      <c r="G1542" t="s" s="10">
        <v>31</v>
      </c>
      <c r="H1542" s="42">
        <v>25</v>
      </c>
      <c r="I1542" s="42">
        <v>43.48</v>
      </c>
      <c r="J1542" t="s" s="10">
        <v>8008</v>
      </c>
      <c r="K1542" t="s" s="10">
        <v>8009</v>
      </c>
      <c r="L1542" s="16">
        <f>HYPERLINK("http://www.getwaltz.com", "www.getwaltz.com")</f>
      </c>
      <c r="M1542" s="16">
        <f>HYPERLINK("https://my.pitchbook.com?c=554382-37", "View Company Online")</f>
      </c>
    </row>
    <row r="1543">
      <c r="A1543" t="s" s="11">
        <v>8011</v>
      </c>
      <c r="B1543" t="s" s="11">
        <v>8012</v>
      </c>
      <c r="C1543" t="s" s="11">
        <v>37</v>
      </c>
      <c r="D1543" t="s" s="11">
        <v>38</v>
      </c>
      <c r="E1543" t="s" s="11">
        <v>137</v>
      </c>
      <c r="F1543" s="28">
        <v>45420</v>
      </c>
      <c r="G1543" t="s" s="11">
        <v>40</v>
      </c>
      <c r="H1543" s="43">
        <v>39.51</v>
      </c>
      <c r="I1543" s="43">
        <v>43.45</v>
      </c>
      <c r="J1543" t="s" s="11">
        <v>8013</v>
      </c>
      <c r="K1543" t="s" s="11">
        <v>8014</v>
      </c>
      <c r="L1543" s="17">
        <f>HYPERLINK("http://www.alpian.com", "www.alpian.com")</f>
      </c>
      <c r="M1543" s="17">
        <f>HYPERLINK("https://my.pitchbook.com?c=434807-92", "View Company Online")</f>
      </c>
    </row>
    <row r="1544">
      <c r="A1544" t="s" s="10">
        <v>8016</v>
      </c>
      <c r="B1544" t="s" s="10">
        <v>8017</v>
      </c>
      <c r="C1544" t="s" s="10">
        <v>27</v>
      </c>
      <c r="D1544" t="s" s="10">
        <v>28</v>
      </c>
      <c r="E1544" t="s" s="10">
        <v>3352</v>
      </c>
      <c r="F1544" s="27">
        <v>46184</v>
      </c>
      <c r="G1544" t="s" s="10">
        <v>40</v>
      </c>
      <c r="H1544" t="s" s="42">
        <v>30</v>
      </c>
      <c r="I1544" s="42">
        <v>43.44</v>
      </c>
      <c r="J1544" t="s" s="10">
        <v>8018</v>
      </c>
      <c r="K1544" t="s" s="10">
        <v>8019</v>
      </c>
      <c r="L1544" s="16">
        <f>HYPERLINK("http://www.qubehealth.com", "www.qubehealth.com")</f>
      </c>
      <c r="M1544" s="16">
        <f>HYPERLINK("https://my.pitchbook.com?c=223442-65", "View Company Online")</f>
      </c>
    </row>
    <row r="1545">
      <c r="A1545" t="s" s="11">
        <v>8021</v>
      </c>
      <c r="B1545" t="s" s="11">
        <v>8022</v>
      </c>
      <c r="C1545" t="s" s="11">
        <v>114</v>
      </c>
      <c r="D1545" t="s" s="11">
        <v>136</v>
      </c>
      <c r="E1545" t="s" s="11">
        <v>629</v>
      </c>
      <c r="F1545" t="s" s="28">
        <v>30</v>
      </c>
      <c r="G1545" t="s" s="11">
        <v>48</v>
      </c>
      <c r="H1545" t="s" s="43">
        <v>30</v>
      </c>
      <c r="I1545" s="43">
        <v>43.41</v>
      </c>
      <c r="J1545" t="s" s="11">
        <v>8023</v>
      </c>
      <c r="K1545" t="s" s="11">
        <v>30</v>
      </c>
      <c r="L1545" s="17">
        <f>HYPERLINK("http://www.crowd2fund.com", "www.crowd2fund.com")</f>
      </c>
      <c r="M1545" s="17">
        <f>HYPERLINK("https://my.pitchbook.com?c=107730-82", "View Company Online")</f>
      </c>
    </row>
    <row r="1546">
      <c r="A1546" t="s" s="10">
        <v>8025</v>
      </c>
      <c r="B1546" t="s" s="10">
        <v>8026</v>
      </c>
      <c r="C1546" t="s" s="10">
        <v>128</v>
      </c>
      <c r="D1546" t="s" s="10">
        <v>276</v>
      </c>
      <c r="E1546" t="s" s="10">
        <v>270</v>
      </c>
      <c r="F1546" s="27">
        <v>46078</v>
      </c>
      <c r="G1546" t="s" s="10">
        <v>5274</v>
      </c>
      <c r="H1546" s="42">
        <v>4.5</v>
      </c>
      <c r="I1546" s="42">
        <v>43.17</v>
      </c>
      <c r="J1546" t="s" s="10">
        <v>8027</v>
      </c>
      <c r="K1546" t="s" s="10">
        <v>8028</v>
      </c>
      <c r="L1546" s="16">
        <f>HYPERLINK("http://www.getsquareone.app", "www.getsquareone.app")</f>
      </c>
      <c r="M1546" s="16">
        <f>HYPERLINK("https://my.pitchbook.com?c=495908-56", "View Company Online")</f>
      </c>
    </row>
    <row r="1547">
      <c r="A1547" t="s" s="11">
        <v>8030</v>
      </c>
      <c r="B1547" t="s" s="11">
        <v>8031</v>
      </c>
      <c r="C1547" t="s" s="11">
        <v>27</v>
      </c>
      <c r="D1547" t="s" s="11">
        <v>28</v>
      </c>
      <c r="E1547" t="s" s="11">
        <v>137</v>
      </c>
      <c r="F1547" s="28">
        <v>45203</v>
      </c>
      <c r="G1547" t="s" s="11">
        <v>40</v>
      </c>
      <c r="H1547" s="43">
        <v>60</v>
      </c>
      <c r="I1547" s="43">
        <v>43.15</v>
      </c>
      <c r="J1547" t="s" s="11">
        <v>8032</v>
      </c>
      <c r="K1547" t="s" s="11">
        <v>8033</v>
      </c>
      <c r="L1547" s="17">
        <f>HYPERLINK("http://www.britepayments.com", "www.britepayments.com")</f>
      </c>
      <c r="M1547" s="17">
        <f>HYPERLINK("https://my.pitchbook.com?c=436762-63", "View Company Online")</f>
      </c>
    </row>
    <row r="1548">
      <c r="A1548" t="s" s="10">
        <v>8035</v>
      </c>
      <c r="B1548" t="s" s="10">
        <v>8036</v>
      </c>
      <c r="C1548" t="s" s="10">
        <v>60</v>
      </c>
      <c r="D1548" t="s" s="10">
        <v>246</v>
      </c>
      <c r="E1548" t="s" s="10">
        <v>253</v>
      </c>
      <c r="F1548" s="27">
        <v>45048</v>
      </c>
      <c r="G1548" t="s" s="10">
        <v>40</v>
      </c>
      <c r="H1548" t="s" s="42">
        <v>30</v>
      </c>
      <c r="I1548" s="42">
        <v>43</v>
      </c>
      <c r="J1548" t="s" s="10">
        <v>8037</v>
      </c>
      <c r="K1548" t="s" s="10">
        <v>8038</v>
      </c>
      <c r="L1548" s="16">
        <f>HYPERLINK("http://www.thisisalice.com", "www.thisisalice.com")</f>
      </c>
      <c r="M1548" s="16">
        <f>HYPERLINK("https://my.pitchbook.com?c=163773-10", "View Company Online")</f>
      </c>
    </row>
    <row r="1549">
      <c r="A1549" t="s" s="11">
        <v>8040</v>
      </c>
      <c r="B1549" t="s" s="11">
        <v>8041</v>
      </c>
      <c r="C1549" t="s" s="11">
        <v>222</v>
      </c>
      <c r="D1549" t="s" s="11">
        <v>252</v>
      </c>
      <c r="E1549" t="s" s="11">
        <v>859</v>
      </c>
      <c r="F1549" s="28">
        <v>46142</v>
      </c>
      <c r="G1549" t="s" s="11">
        <v>391</v>
      </c>
      <c r="H1549" s="43">
        <v>43</v>
      </c>
      <c r="I1549" s="43">
        <v>43</v>
      </c>
      <c r="J1549" t="s" s="11">
        <v>8042</v>
      </c>
      <c r="K1549" t="s" s="11">
        <v>30</v>
      </c>
      <c r="L1549" s="17">
        <f>HYPERLINK("http://www.blockstreet.money", "www.blockstreet.money")</f>
      </c>
      <c r="M1549" s="17">
        <f>HYPERLINK("https://my.pitchbook.com?c=1132228-45", "View Company Online")</f>
      </c>
    </row>
    <row r="1550">
      <c r="A1550" t="s" s="10">
        <v>8044</v>
      </c>
      <c r="B1550" t="s" s="10">
        <v>8045</v>
      </c>
      <c r="C1550" t="s" s="10">
        <v>60</v>
      </c>
      <c r="D1550" t="s" s="10">
        <v>420</v>
      </c>
      <c r="E1550" t="s" s="10">
        <v>493</v>
      </c>
      <c r="F1550" s="27">
        <v>45804</v>
      </c>
      <c r="G1550" t="s" s="10">
        <v>146</v>
      </c>
      <c r="H1550" t="s" s="42">
        <v>30</v>
      </c>
      <c r="I1550" s="42">
        <v>43</v>
      </c>
      <c r="J1550" t="s" s="10">
        <v>8046</v>
      </c>
      <c r="K1550" t="s" s="10">
        <v>8047</v>
      </c>
      <c r="L1550" s="16">
        <f>HYPERLINK("http://www.withluminary.com", "www.withluminary.com")</f>
      </c>
      <c r="M1550" s="16">
        <f>HYPERLINK("https://my.pitchbook.com?c=503333-56", "View Company Online")</f>
      </c>
    </row>
    <row r="1551">
      <c r="A1551" t="s" s="11">
        <v>8049</v>
      </c>
      <c r="B1551" t="s" s="11">
        <v>8050</v>
      </c>
      <c r="C1551" t="s" s="11">
        <v>114</v>
      </c>
      <c r="D1551" t="s" s="11">
        <v>136</v>
      </c>
      <c r="E1551" t="s" s="11">
        <v>137</v>
      </c>
      <c r="F1551" s="28">
        <v>44469</v>
      </c>
      <c r="G1551" t="s" s="11">
        <v>4267</v>
      </c>
      <c r="H1551" s="43">
        <v>3.6</v>
      </c>
      <c r="I1551" s="43">
        <v>43</v>
      </c>
      <c r="J1551" t="s" s="11">
        <v>8051</v>
      </c>
      <c r="K1551" t="s" s="11">
        <v>30</v>
      </c>
      <c r="L1551" s="17">
        <f>HYPERLINK("http://www.ulend.com.br", "www.ulend.com.br")</f>
      </c>
      <c r="M1551" s="17">
        <f>HYPERLINK("https://my.pitchbook.com?c=338529-07", "View Company Online")</f>
      </c>
    </row>
    <row r="1552">
      <c r="A1552" t="s" s="10">
        <v>8053</v>
      </c>
      <c r="B1552" t="s" s="10">
        <v>8054</v>
      </c>
      <c r="C1552" t="s" s="10">
        <v>144</v>
      </c>
      <c r="D1552" t="s" s="10">
        <v>297</v>
      </c>
      <c r="E1552" t="s" s="10">
        <v>8055</v>
      </c>
      <c r="F1552" s="27">
        <v>46048</v>
      </c>
      <c r="G1552" t="s" s="10">
        <v>40</v>
      </c>
      <c r="H1552" s="42">
        <v>6.93</v>
      </c>
      <c r="I1552" s="42">
        <v>42.93</v>
      </c>
      <c r="J1552" t="s" s="10">
        <v>8056</v>
      </c>
      <c r="K1552" t="s" s="10">
        <v>8057</v>
      </c>
      <c r="L1552" s="16">
        <f>HYPERLINK("http://www.basicblock.io", "www.basicblock.io")</f>
      </c>
      <c r="M1552" s="16">
        <f>HYPERLINK("https://my.pitchbook.com?c=279737-56", "View Company Online")</f>
      </c>
    </row>
    <row r="1553">
      <c r="A1553" t="s" s="11">
        <v>8059</v>
      </c>
      <c r="B1553" t="s" s="11">
        <v>8060</v>
      </c>
      <c r="C1553" t="s" s="11">
        <v>37</v>
      </c>
      <c r="D1553" t="s" s="11">
        <v>304</v>
      </c>
      <c r="E1553" t="s" s="11">
        <v>137</v>
      </c>
      <c r="F1553" s="28">
        <v>44607</v>
      </c>
      <c r="G1553" t="s" s="11">
        <v>40</v>
      </c>
      <c r="H1553" s="43">
        <v>120</v>
      </c>
      <c r="I1553" s="43">
        <v>42.88</v>
      </c>
      <c r="J1553" t="s" s="11">
        <v>8061</v>
      </c>
      <c r="K1553" t="s" s="11">
        <v>8062</v>
      </c>
      <c r="L1553" s="17">
        <f>HYPERLINK("http://www.viabill.com", "www.viabill.com")</f>
      </c>
      <c r="M1553" s="17">
        <f>HYPERLINK("https://my.pitchbook.com?c=54863-56", "View Company Online")</f>
      </c>
    </row>
    <row r="1554">
      <c r="A1554" t="s" s="10">
        <v>8064</v>
      </c>
      <c r="B1554" t="s" s="10">
        <v>8065</v>
      </c>
      <c r="C1554" t="s" s="10">
        <v>172</v>
      </c>
      <c r="D1554" t="s" s="10">
        <v>1454</v>
      </c>
      <c r="E1554" t="s" s="10">
        <v>253</v>
      </c>
      <c r="F1554" s="27">
        <v>45733</v>
      </c>
      <c r="G1554" t="s" s="10">
        <v>40</v>
      </c>
      <c r="H1554" s="42">
        <v>10</v>
      </c>
      <c r="I1554" s="42">
        <v>42.82</v>
      </c>
      <c r="J1554" t="s" s="10">
        <v>8066</v>
      </c>
      <c r="K1554" t="s" s="10">
        <v>8067</v>
      </c>
      <c r="L1554" s="16">
        <f>HYPERLINK("http://www.nammu21.com", "www.nammu21.com")</f>
      </c>
      <c r="M1554" s="16">
        <f>HYPERLINK("https://my.pitchbook.com?c=231070-51", "View Company Online")</f>
      </c>
    </row>
    <row r="1555">
      <c r="A1555" t="s" s="11">
        <v>8069</v>
      </c>
      <c r="B1555" t="s" s="11">
        <v>8070</v>
      </c>
      <c r="C1555" t="s" s="11">
        <v>60</v>
      </c>
      <c r="D1555" t="s" s="11">
        <v>61</v>
      </c>
      <c r="E1555" t="s" s="11">
        <v>193</v>
      </c>
      <c r="F1555" t="s" s="28">
        <v>30</v>
      </c>
      <c r="G1555" t="s" s="11">
        <v>48</v>
      </c>
      <c r="H1555" t="s" s="43">
        <v>30</v>
      </c>
      <c r="I1555" s="43">
        <v>42.75</v>
      </c>
      <c r="J1555" t="s" s="11">
        <v>8071</v>
      </c>
      <c r="K1555" t="s" s="11">
        <v>8072</v>
      </c>
      <c r="L1555" s="17">
        <f>HYPERLINK("http://www.upstox.com", "www.upstox.com")</f>
      </c>
      <c r="M1555" s="17">
        <f>HYPERLINK("https://my.pitchbook.com?c=108750-70", "View Company Online")</f>
      </c>
    </row>
    <row r="1556">
      <c r="A1556" t="s" s="10">
        <v>8074</v>
      </c>
      <c r="B1556" t="s" s="10">
        <v>8075</v>
      </c>
      <c r="C1556" t="s" s="10">
        <v>222</v>
      </c>
      <c r="D1556" t="s" s="10">
        <v>223</v>
      </c>
      <c r="E1556" t="s" s="10">
        <v>1964</v>
      </c>
      <c r="F1556" s="27">
        <v>44216</v>
      </c>
      <c r="G1556" t="s" s="10">
        <v>40</v>
      </c>
      <c r="H1556" s="42">
        <v>0.46</v>
      </c>
      <c r="I1556" s="42">
        <v>42.72</v>
      </c>
      <c r="J1556" t="s" s="10">
        <v>8076</v>
      </c>
      <c r="K1556" t="s" s="10">
        <v>8077</v>
      </c>
      <c r="L1556" s="16">
        <f>HYPERLINK("http://www.pivotalpath.com", "www.pivotalpath.com")</f>
      </c>
      <c r="M1556" s="16">
        <f>HYPERLINK("https://my.pitchbook.com?c=179938-18", "View Company Online")</f>
      </c>
    </row>
    <row r="1557">
      <c r="A1557" t="s" s="11">
        <v>8079</v>
      </c>
      <c r="B1557" t="s" s="11">
        <v>8080</v>
      </c>
      <c r="C1557" t="s" s="11">
        <v>60</v>
      </c>
      <c r="D1557" t="s" s="11">
        <v>432</v>
      </c>
      <c r="E1557" t="s" s="11">
        <v>193</v>
      </c>
      <c r="F1557" s="28">
        <v>46142</v>
      </c>
      <c r="G1557" t="s" s="11">
        <v>40</v>
      </c>
      <c r="H1557" s="43">
        <v>13.96</v>
      </c>
      <c r="I1557" s="43">
        <v>42.53</v>
      </c>
      <c r="J1557" t="s" s="11">
        <v>8081</v>
      </c>
      <c r="K1557" t="s" s="11">
        <v>8082</v>
      </c>
      <c r="L1557" s="17">
        <f>HYPERLINK("http://www.performativ.com", "www.performativ.com")</f>
      </c>
      <c r="M1557" s="17">
        <f>HYPERLINK("https://my.pitchbook.com?c=492609-97", "View Company Online")</f>
      </c>
    </row>
    <row r="1558">
      <c r="A1558" t="s" s="10">
        <v>8084</v>
      </c>
      <c r="B1558" t="s" s="10">
        <v>8085</v>
      </c>
      <c r="C1558" t="s" s="10">
        <v>46</v>
      </c>
      <c r="D1558" t="s" s="10">
        <v>78</v>
      </c>
      <c r="E1558" t="s" s="10">
        <v>253</v>
      </c>
      <c r="F1558" s="27">
        <v>45490</v>
      </c>
      <c r="G1558" t="s" s="10">
        <v>40</v>
      </c>
      <c r="H1558" s="42">
        <v>31.5</v>
      </c>
      <c r="I1558" s="42">
        <v>42.5</v>
      </c>
      <c r="J1558" t="s" s="10">
        <v>8086</v>
      </c>
      <c r="K1558" t="s" s="10">
        <v>8087</v>
      </c>
      <c r="L1558" s="16">
        <f>HYPERLINK("http://www.dopay.com", "www.dopay.com")</f>
      </c>
      <c r="M1558" s="16">
        <f>HYPERLINK("https://my.pitchbook.com?c=98252-92", "View Company Online")</f>
      </c>
    </row>
    <row r="1559">
      <c r="A1559" t="s" s="11">
        <v>8089</v>
      </c>
      <c r="B1559" t="s" s="11">
        <v>8090</v>
      </c>
      <c r="C1559" t="s" s="11">
        <v>164</v>
      </c>
      <c r="D1559" t="s" s="11">
        <v>206</v>
      </c>
      <c r="E1559" t="s" s="11">
        <v>8091</v>
      </c>
      <c r="F1559" s="28">
        <v>44790</v>
      </c>
      <c r="G1559" t="s" s="11">
        <v>40</v>
      </c>
      <c r="H1559" s="43">
        <v>2.05</v>
      </c>
      <c r="I1559" s="43">
        <v>42.5</v>
      </c>
      <c r="J1559" t="s" s="11">
        <v>8092</v>
      </c>
      <c r="K1559" t="s" s="11">
        <v>8093</v>
      </c>
      <c r="L1559" s="17">
        <f>HYPERLINK("http://www.moven.com", "www.moven.com")</f>
      </c>
      <c r="M1559" s="17">
        <f>HYPERLINK("https://my.pitchbook.com?c=54978-31", "View Company Online")</f>
      </c>
    </row>
    <row r="1560">
      <c r="A1560" t="s" s="10">
        <v>8095</v>
      </c>
      <c r="B1560" t="s" s="10">
        <v>8096</v>
      </c>
      <c r="C1560" t="s" s="10">
        <v>164</v>
      </c>
      <c r="D1560" t="s" s="10">
        <v>206</v>
      </c>
      <c r="E1560" t="s" s="10">
        <v>8097</v>
      </c>
      <c r="F1560" s="27">
        <v>44979</v>
      </c>
      <c r="G1560" t="s" s="10">
        <v>40</v>
      </c>
      <c r="H1560" s="42">
        <v>3.65</v>
      </c>
      <c r="I1560" s="42">
        <v>42.41</v>
      </c>
      <c r="J1560" t="s" s="10">
        <v>8098</v>
      </c>
      <c r="K1560" t="s" s="10">
        <v>8099</v>
      </c>
      <c r="L1560" s="16">
        <f>HYPERLINK("http://www.eko.in", "www.eko.in")</f>
      </c>
      <c r="M1560" s="16">
        <f>HYPERLINK("https://my.pitchbook.com?c=62328-34", "View Company Online")</f>
      </c>
    </row>
    <row r="1561">
      <c r="A1561" t="s" s="11">
        <v>8101</v>
      </c>
      <c r="B1561" t="s" s="11">
        <v>8102</v>
      </c>
      <c r="C1561" t="s" s="11">
        <v>164</v>
      </c>
      <c r="D1561" t="s" s="11">
        <v>165</v>
      </c>
      <c r="E1561" t="s" s="11">
        <v>137</v>
      </c>
      <c r="F1561" s="28">
        <v>44075</v>
      </c>
      <c r="G1561" t="s" s="11">
        <v>146</v>
      </c>
      <c r="H1561" t="s" s="43">
        <v>30</v>
      </c>
      <c r="I1561" s="43">
        <v>42.12</v>
      </c>
      <c r="J1561" t="s" s="11">
        <v>8103</v>
      </c>
      <c r="K1561" t="s" s="11">
        <v>8104</v>
      </c>
      <c r="L1561" s="17">
        <f>HYPERLINK("http://www.issuedirect.com", "www.issuedirect.com")</f>
      </c>
      <c r="M1561" s="17">
        <f>HYPERLINK("https://my.pitchbook.com?c=182293-66", "View Company Online")</f>
      </c>
    </row>
    <row r="1562">
      <c r="A1562" t="s" s="10">
        <v>8106</v>
      </c>
      <c r="B1562" t="s" s="10">
        <v>8107</v>
      </c>
      <c r="C1562" t="s" s="10">
        <v>164</v>
      </c>
      <c r="D1562" t="s" s="10">
        <v>206</v>
      </c>
      <c r="E1562" t="s" s="10">
        <v>859</v>
      </c>
      <c r="F1562" s="27">
        <v>45740</v>
      </c>
      <c r="G1562" t="s" s="10">
        <v>607</v>
      </c>
      <c r="H1562" t="s" s="42">
        <v>30</v>
      </c>
      <c r="I1562" s="42">
        <v>42.12</v>
      </c>
      <c r="J1562" t="s" s="10">
        <v>8108</v>
      </c>
      <c r="K1562" t="s" s="10">
        <v>8109</v>
      </c>
      <c r="L1562" s="16">
        <f>HYPERLINK("http://www.smartercontracts.co.uk", "www.smartercontracts.co.uk")</f>
      </c>
      <c r="M1562" s="16">
        <f>HYPERLINK("https://my.pitchbook.com?c=437428-81", "View Company Online")</f>
      </c>
    </row>
    <row r="1563">
      <c r="A1563" t="s" s="11">
        <v>8111</v>
      </c>
      <c r="B1563" t="s" s="11">
        <v>8112</v>
      </c>
      <c r="C1563" t="s" s="11">
        <v>222</v>
      </c>
      <c r="D1563" t="s" s="11">
        <v>223</v>
      </c>
      <c r="E1563" t="s" s="11">
        <v>634</v>
      </c>
      <c r="F1563" s="28">
        <v>45810</v>
      </c>
      <c r="G1563" t="s" s="11">
        <v>40</v>
      </c>
      <c r="H1563" s="43">
        <v>6.25</v>
      </c>
      <c r="I1563" s="43">
        <v>42.07</v>
      </c>
      <c r="J1563" t="s" s="11">
        <v>8113</v>
      </c>
      <c r="K1563" t="s" s="11">
        <v>8114</v>
      </c>
      <c r="L1563" s="17">
        <f>HYPERLINK("http://sibyllagroup.com", "sibyllagroup.com")</f>
      </c>
      <c r="M1563" s="17">
        <f>HYPERLINK("https://my.pitchbook.com?c=481302-91", "View Company Online")</f>
      </c>
    </row>
    <row r="1564">
      <c r="A1564" t="s" s="10">
        <v>8116</v>
      </c>
      <c r="B1564" t="s" s="10">
        <v>8117</v>
      </c>
      <c r="C1564" t="s" s="10">
        <v>60</v>
      </c>
      <c r="D1564" t="s" s="10">
        <v>246</v>
      </c>
      <c r="E1564" t="s" s="10">
        <v>253</v>
      </c>
      <c r="F1564" s="27">
        <v>45700</v>
      </c>
      <c r="G1564" t="s" s="10">
        <v>271</v>
      </c>
      <c r="H1564" s="42">
        <v>0.03</v>
      </c>
      <c r="I1564" s="42">
        <v>42</v>
      </c>
      <c r="J1564" t="s" s="10">
        <v>8118</v>
      </c>
      <c r="K1564" t="s" s="10">
        <v>8119</v>
      </c>
      <c r="L1564" s="16">
        <f>HYPERLINK("http://www.flyfin.tax", "www.flyfin.tax")</f>
      </c>
      <c r="M1564" s="16">
        <f>HYPERLINK("https://my.pitchbook.com?c=484840-36", "View Company Online")</f>
      </c>
    </row>
    <row r="1565">
      <c r="A1565" t="s" s="11">
        <v>8121</v>
      </c>
      <c r="B1565" t="s" s="11">
        <v>8122</v>
      </c>
      <c r="C1565" t="s" s="11">
        <v>60</v>
      </c>
      <c r="D1565" t="s" s="11">
        <v>727</v>
      </c>
      <c r="E1565" t="s" s="11">
        <v>130</v>
      </c>
      <c r="F1565" s="28">
        <v>45968</v>
      </c>
      <c r="G1565" t="s" s="11">
        <v>4267</v>
      </c>
      <c r="H1565" s="43">
        <v>4.39</v>
      </c>
      <c r="I1565" s="43">
        <v>42</v>
      </c>
      <c r="J1565" t="s" s="11">
        <v>8123</v>
      </c>
      <c r="K1565" t="s" s="11">
        <v>8124</v>
      </c>
      <c r="L1565" s="17">
        <f>HYPERLINK("http://www.lineagehq.com", "www.lineagehq.com")</f>
      </c>
      <c r="M1565" s="17">
        <f>HYPERLINK("https://my.pitchbook.com?c=536942-89", "View Company Online")</f>
      </c>
    </row>
    <row r="1566">
      <c r="A1566" t="s" s="10">
        <v>8126</v>
      </c>
      <c r="B1566" t="s" s="10">
        <v>8127</v>
      </c>
      <c r="C1566" t="s" s="10">
        <v>164</v>
      </c>
      <c r="D1566" t="s" s="10">
        <v>206</v>
      </c>
      <c r="E1566" t="s" s="10">
        <v>1120</v>
      </c>
      <c r="F1566" s="27">
        <v>45888</v>
      </c>
      <c r="G1566" t="s" s="10">
        <v>40</v>
      </c>
      <c r="H1566" s="42">
        <v>21.4</v>
      </c>
      <c r="I1566" s="42">
        <v>41.88</v>
      </c>
      <c r="J1566" t="s" s="10">
        <v>8128</v>
      </c>
      <c r="K1566" t="s" s="10">
        <v>8129</v>
      </c>
      <c r="L1566" s="16">
        <f>HYPERLINK("http://and.global", "and.global")</f>
      </c>
      <c r="M1566" s="16">
        <f>HYPERLINK("https://my.pitchbook.com?c=182682-73", "View Company Online")</f>
      </c>
    </row>
    <row r="1567">
      <c r="A1567" t="s" s="11">
        <v>8131</v>
      </c>
      <c r="B1567" t="s" s="11">
        <v>8132</v>
      </c>
      <c r="C1567" t="s" s="11">
        <v>60</v>
      </c>
      <c r="D1567" t="s" s="11">
        <v>246</v>
      </c>
      <c r="E1567" t="s" s="11">
        <v>193</v>
      </c>
      <c r="F1567" s="28">
        <v>46020</v>
      </c>
      <c r="G1567" t="s" s="11">
        <v>40</v>
      </c>
      <c r="H1567" s="43">
        <v>19.45</v>
      </c>
      <c r="I1567" s="43">
        <v>41.74</v>
      </c>
      <c r="J1567" t="s" s="11">
        <v>8133</v>
      </c>
      <c r="K1567" t="s" s="11">
        <v>8134</v>
      </c>
      <c r="L1567" s="17">
        <f>HYPERLINK("http://www.assetplus.in", "www.assetplus.in")</f>
      </c>
      <c r="M1567" s="17">
        <f>HYPERLINK("https://my.pitchbook.com?c=496379-26", "View Company Online")</f>
      </c>
    </row>
    <row r="1568">
      <c r="A1568" t="s" s="10">
        <v>8136</v>
      </c>
      <c r="B1568" t="s" s="10">
        <v>8137</v>
      </c>
      <c r="C1568" t="s" s="10">
        <v>114</v>
      </c>
      <c r="D1568" t="s" s="10">
        <v>136</v>
      </c>
      <c r="E1568" t="s" s="10">
        <v>193</v>
      </c>
      <c r="F1568" s="27">
        <v>45962</v>
      </c>
      <c r="G1568" t="s" s="10">
        <v>40</v>
      </c>
      <c r="H1568" t="s" s="42">
        <v>30</v>
      </c>
      <c r="I1568" s="42">
        <v>41.67</v>
      </c>
      <c r="J1568" t="s" s="10">
        <v>8138</v>
      </c>
      <c r="K1568" t="s" s="10">
        <v>8139</v>
      </c>
      <c r="L1568" s="16">
        <f>HYPERLINK("http://www.thesmbx.com", "www.thesmbx.com")</f>
      </c>
      <c r="M1568" s="16">
        <f>HYPERLINK("https://my.pitchbook.com?c=230613-49", "View Company Online")</f>
      </c>
    </row>
    <row r="1569">
      <c r="A1569" t="s" s="11">
        <v>8141</v>
      </c>
      <c r="B1569" t="s" s="11">
        <v>8142</v>
      </c>
      <c r="C1569" t="s" s="11">
        <v>60</v>
      </c>
      <c r="D1569" t="s" s="11">
        <v>246</v>
      </c>
      <c r="E1569" t="s" s="11">
        <v>29</v>
      </c>
      <c r="F1569" s="28">
        <v>45658</v>
      </c>
      <c r="G1569" t="s" s="11">
        <v>40</v>
      </c>
      <c r="H1569" t="s" s="43">
        <v>30</v>
      </c>
      <c r="I1569" s="43">
        <v>41.31</v>
      </c>
      <c r="J1569" t="s" s="11">
        <v>8143</v>
      </c>
      <c r="K1569" t="s" s="11">
        <v>8144</v>
      </c>
      <c r="L1569" s="17">
        <f>HYPERLINK("http://www.selma.com", "www.selma.com")</f>
      </c>
      <c r="M1569" s="17">
        <f>HYPERLINK("https://my.pitchbook.com?c=169915-69", "View Company Online")</f>
      </c>
    </row>
    <row r="1570">
      <c r="A1570" t="s" s="10">
        <v>8146</v>
      </c>
      <c r="B1570" t="s" s="10">
        <v>8147</v>
      </c>
      <c r="C1570" t="s" s="10">
        <v>27</v>
      </c>
      <c r="D1570" t="s" s="10">
        <v>28</v>
      </c>
      <c r="E1570" t="s" s="10">
        <v>493</v>
      </c>
      <c r="F1570" s="27">
        <v>45917</v>
      </c>
      <c r="G1570" t="s" s="10">
        <v>40</v>
      </c>
      <c r="H1570" s="42">
        <v>5.03</v>
      </c>
      <c r="I1570" s="42">
        <v>41.3</v>
      </c>
      <c r="J1570" t="s" s="10">
        <v>8148</v>
      </c>
      <c r="K1570" t="s" s="10">
        <v>8149</v>
      </c>
      <c r="L1570" s="16">
        <f>HYPERLINK("http://www.propexo.com", "www.propexo.com")</f>
      </c>
      <c r="M1570" s="16">
        <f>HYPERLINK("https://my.pitchbook.com?c=493588-36", "View Company Online")</f>
      </c>
    </row>
    <row r="1571">
      <c r="A1571" t="s" s="11">
        <v>8151</v>
      </c>
      <c r="B1571" t="s" s="11">
        <v>8152</v>
      </c>
      <c r="C1571" t="s" s="11">
        <v>164</v>
      </c>
      <c r="D1571" t="s" s="11">
        <v>165</v>
      </c>
      <c r="E1571" t="s" s="11">
        <v>3358</v>
      </c>
      <c r="F1571" s="28">
        <v>45992</v>
      </c>
      <c r="G1571" t="s" s="11">
        <v>48</v>
      </c>
      <c r="H1571" t="s" s="43">
        <v>30</v>
      </c>
      <c r="I1571" s="43">
        <v>41.15</v>
      </c>
      <c r="J1571" t="s" s="11">
        <v>8153</v>
      </c>
      <c r="K1571" t="s" s="11">
        <v>8154</v>
      </c>
      <c r="L1571" s="17">
        <f>HYPERLINK("http://www.emerada.co.jp", "www.emerada.co.jp")</f>
      </c>
      <c r="M1571" s="17">
        <f>HYPERLINK("https://my.pitchbook.com?c=179545-06", "View Company Online")</f>
      </c>
    </row>
    <row r="1572">
      <c r="A1572" t="s" s="10">
        <v>8156</v>
      </c>
      <c r="B1572" t="s" s="10">
        <v>8157</v>
      </c>
      <c r="C1572" t="s" s="10">
        <v>114</v>
      </c>
      <c r="D1572" t="s" s="10">
        <v>870</v>
      </c>
      <c r="E1572" t="s" s="10">
        <v>270</v>
      </c>
      <c r="F1572" s="27">
        <v>45749</v>
      </c>
      <c r="G1572" t="s" s="10">
        <v>40</v>
      </c>
      <c r="H1572" t="s" s="42">
        <v>30</v>
      </c>
      <c r="I1572" s="42">
        <v>41.13</v>
      </c>
      <c r="J1572" t="s" s="10">
        <v>8158</v>
      </c>
      <c r="K1572" t="s" s="10">
        <v>8159</v>
      </c>
      <c r="L1572" s="16">
        <f>HYPERLINK("http://www.revfin.in", "www.revfin.in")</f>
      </c>
      <c r="M1572" s="16">
        <f>HYPERLINK("https://my.pitchbook.com?c=233765-29", "View Company Online")</f>
      </c>
    </row>
    <row r="1573">
      <c r="A1573" t="s" s="11">
        <v>8161</v>
      </c>
      <c r="B1573" t="s" s="11">
        <v>8162</v>
      </c>
      <c r="C1573" t="s" s="11">
        <v>27</v>
      </c>
      <c r="D1573" t="s" s="11">
        <v>70</v>
      </c>
      <c r="E1573" t="s" s="11">
        <v>145</v>
      </c>
      <c r="F1573" s="28">
        <v>45918</v>
      </c>
      <c r="G1573" t="s" s="11">
        <v>146</v>
      </c>
      <c r="H1573" s="43">
        <v>30</v>
      </c>
      <c r="I1573" s="43">
        <v>41.1</v>
      </c>
      <c r="J1573" t="s" s="11">
        <v>8163</v>
      </c>
      <c r="K1573" t="s" s="11">
        <v>8164</v>
      </c>
      <c r="L1573" s="17">
        <f>HYPERLINK("http://www.brale.xyz", "www.brale.xyz")</f>
      </c>
      <c r="M1573" s="17">
        <f>HYPERLINK("https://my.pitchbook.com?c=498361-42", "View Company Online")</f>
      </c>
    </row>
    <row r="1574">
      <c r="A1574" t="s" s="10">
        <v>8166</v>
      </c>
      <c r="B1574" t="s" s="10">
        <v>8167</v>
      </c>
      <c r="C1574" t="s" s="10">
        <v>114</v>
      </c>
      <c r="D1574" t="s" s="10">
        <v>870</v>
      </c>
      <c r="E1574" t="s" s="10">
        <v>253</v>
      </c>
      <c r="F1574" s="27">
        <v>45894</v>
      </c>
      <c r="G1574" t="s" s="10">
        <v>31</v>
      </c>
      <c r="H1574" s="42">
        <v>0.68</v>
      </c>
      <c r="I1574" s="42">
        <v>41.01</v>
      </c>
      <c r="J1574" t="s" s="10">
        <v>8168</v>
      </c>
      <c r="K1574" t="s" s="10">
        <v>8169</v>
      </c>
      <c r="L1574" s="16">
        <f>HYPERLINK("http://hakki-africa.com", "hakki-africa.com")</f>
      </c>
      <c r="M1574" s="16">
        <f>HYPERLINK("https://my.pitchbook.com?c=458230-24", "View Company Online")</f>
      </c>
    </row>
    <row r="1575">
      <c r="A1575" t="s" s="11">
        <v>8171</v>
      </c>
      <c r="B1575" t="s" s="11">
        <v>8172</v>
      </c>
      <c r="C1575" t="s" s="11">
        <v>222</v>
      </c>
      <c r="D1575" t="s" s="11">
        <v>537</v>
      </c>
      <c r="E1575" t="s" s="11">
        <v>4013</v>
      </c>
      <c r="F1575" s="28">
        <v>45083</v>
      </c>
      <c r="G1575" t="s" s="11">
        <v>40</v>
      </c>
      <c r="H1575" s="43">
        <v>11.28</v>
      </c>
      <c r="I1575" s="43">
        <v>41.01</v>
      </c>
      <c r="J1575" t="s" s="11">
        <v>8173</v>
      </c>
      <c r="K1575" t="s" s="11">
        <v>8174</v>
      </c>
      <c r="L1575" s="17">
        <f>HYPERLINK("http://www.mitigram.com", "www.mitigram.com")</f>
      </c>
      <c r="M1575" s="17">
        <f>HYPERLINK("https://my.pitchbook.com?c=113768-20", "View Company Online")</f>
      </c>
    </row>
    <row r="1576">
      <c r="A1576" t="s" s="10">
        <v>8176</v>
      </c>
      <c r="B1576" t="s" s="10">
        <v>8177</v>
      </c>
      <c r="C1576" t="s" s="10">
        <v>164</v>
      </c>
      <c r="D1576" t="s" s="10">
        <v>206</v>
      </c>
      <c r="E1576" t="s" s="10">
        <v>253</v>
      </c>
      <c r="F1576" s="27">
        <v>46113</v>
      </c>
      <c r="G1576" t="s" s="10">
        <v>48</v>
      </c>
      <c r="H1576" t="s" s="42">
        <v>30</v>
      </c>
      <c r="I1576" s="42">
        <v>41</v>
      </c>
      <c r="J1576" t="s" s="10">
        <v>8178</v>
      </c>
      <c r="K1576" t="s" s="10">
        <v>8179</v>
      </c>
      <c r="L1576" s="16">
        <f>HYPERLINK("http://www.bloomcredit.io", "www.bloomcredit.io")</f>
      </c>
      <c r="M1576" s="16">
        <f>HYPERLINK("https://my.pitchbook.com?c=170387-11", "View Company Online")</f>
      </c>
    </row>
    <row r="1577">
      <c r="A1577" t="s" s="11">
        <v>8181</v>
      </c>
      <c r="B1577" t="s" s="11">
        <v>8182</v>
      </c>
      <c r="C1577" t="s" s="11">
        <v>46</v>
      </c>
      <c r="D1577" t="s" s="11">
        <v>47</v>
      </c>
      <c r="E1577" t="s" s="11">
        <v>373</v>
      </c>
      <c r="F1577" s="28">
        <v>46129</v>
      </c>
      <c r="G1577" t="s" s="11">
        <v>146</v>
      </c>
      <c r="H1577" s="43">
        <v>15</v>
      </c>
      <c r="I1577" s="43">
        <v>41</v>
      </c>
      <c r="J1577" t="s" s="11">
        <v>8183</v>
      </c>
      <c r="K1577" t="s" s="11">
        <v>8184</v>
      </c>
      <c r="L1577" s="17">
        <f>HYPERLINK("http://www.zenskar.com", "www.zenskar.com")</f>
      </c>
      <c r="M1577" s="17">
        <f>HYPERLINK("https://my.pitchbook.com?c=509238-64", "View Company Online")</f>
      </c>
    </row>
    <row r="1578">
      <c r="A1578" t="s" s="10">
        <v>8186</v>
      </c>
      <c r="B1578" t="s" s="10">
        <v>8187</v>
      </c>
      <c r="C1578" t="s" s="10">
        <v>27</v>
      </c>
      <c r="D1578" t="s" s="10">
        <v>122</v>
      </c>
      <c r="E1578" t="s" s="10">
        <v>270</v>
      </c>
      <c r="F1578" s="27">
        <v>44545</v>
      </c>
      <c r="G1578" t="s" s="10">
        <v>40</v>
      </c>
      <c r="H1578" s="42">
        <v>6.14</v>
      </c>
      <c r="I1578" s="42">
        <v>40.99</v>
      </c>
      <c r="J1578" t="s" s="10">
        <v>8188</v>
      </c>
      <c r="K1578" t="s" s="10">
        <v>8189</v>
      </c>
      <c r="L1578" s="16">
        <f>HYPERLINK("http://www.centtrip.com", "www.centtrip.com")</f>
      </c>
      <c r="M1578" s="16">
        <f>HYPERLINK("https://my.pitchbook.com?c=119264-68", "View Company Online")</f>
      </c>
    </row>
    <row r="1579">
      <c r="A1579" t="s" s="11">
        <v>8191</v>
      </c>
      <c r="B1579" t="s" s="11">
        <v>8192</v>
      </c>
      <c r="C1579" t="s" s="11">
        <v>60</v>
      </c>
      <c r="D1579" t="s" s="11">
        <v>192</v>
      </c>
      <c r="E1579" t="s" s="11">
        <v>193</v>
      </c>
      <c r="F1579" s="28">
        <v>45861</v>
      </c>
      <c r="G1579" t="s" s="11">
        <v>138</v>
      </c>
      <c r="H1579" t="s" s="43">
        <v>30</v>
      </c>
      <c r="I1579" s="43">
        <v>40.9</v>
      </c>
      <c r="J1579" t="s" s="11">
        <v>8193</v>
      </c>
      <c r="K1579" t="s" s="11">
        <v>3951</v>
      </c>
      <c r="L1579" s="17">
        <f>HYPERLINK("http://www.thecoterie.co", "www.thecoterie.co")</f>
      </c>
      <c r="M1579" s="17">
        <f>HYPERLINK("https://my.pitchbook.com?c=489353-95", "View Company Online")</f>
      </c>
    </row>
    <row r="1580">
      <c r="A1580" t="s" s="10">
        <v>8195</v>
      </c>
      <c r="B1580" t="s" s="10">
        <v>8196</v>
      </c>
      <c r="C1580" t="s" s="10">
        <v>222</v>
      </c>
      <c r="D1580" t="s" s="10">
        <v>223</v>
      </c>
      <c r="E1580" t="s" s="10">
        <v>253</v>
      </c>
      <c r="F1580" s="27">
        <v>45397</v>
      </c>
      <c r="G1580" t="s" s="10">
        <v>40</v>
      </c>
      <c r="H1580" s="42">
        <v>2.29</v>
      </c>
      <c r="I1580" s="42">
        <v>40.85</v>
      </c>
      <c r="J1580" t="s" s="10">
        <v>8197</v>
      </c>
      <c r="K1580" t="s" s="10">
        <v>8198</v>
      </c>
      <c r="L1580" s="16">
        <f>HYPERLINK("http://www.aila-x.com", "www.aila-x.com")</f>
      </c>
      <c r="M1580" s="16">
        <f>HYPERLINK("https://my.pitchbook.com?c=433649-80", "View Company Online")</f>
      </c>
    </row>
    <row r="1581">
      <c r="A1581" t="s" s="11">
        <v>8200</v>
      </c>
      <c r="B1581" t="s" s="11">
        <v>8201</v>
      </c>
      <c r="C1581" t="s" s="11">
        <v>164</v>
      </c>
      <c r="D1581" t="s" s="11">
        <v>206</v>
      </c>
      <c r="E1581" t="s" s="11">
        <v>1054</v>
      </c>
      <c r="F1581" s="28">
        <v>46175</v>
      </c>
      <c r="G1581" t="s" s="11">
        <v>2051</v>
      </c>
      <c r="H1581" t="s" s="43">
        <v>30</v>
      </c>
      <c r="I1581" s="43">
        <v>40.82</v>
      </c>
      <c r="J1581" t="s" s="11">
        <v>8202</v>
      </c>
      <c r="K1581" t="s" s="11">
        <v>30</v>
      </c>
      <c r="L1581" s="17">
        <f>HYPERLINK("http://www.ewally.com.br", "www.ewally.com.br")</f>
      </c>
      <c r="M1581" s="17">
        <f>HYPERLINK("https://my.pitchbook.com?c=118168-03", "View Company Online")</f>
      </c>
    </row>
    <row r="1582">
      <c r="A1582" t="s" s="10">
        <v>8204</v>
      </c>
      <c r="B1582" t="s" s="10">
        <v>8205</v>
      </c>
      <c r="C1582" t="s" s="10">
        <v>222</v>
      </c>
      <c r="D1582" t="s" s="10">
        <v>223</v>
      </c>
      <c r="E1582" t="s" s="10">
        <v>8206</v>
      </c>
      <c r="F1582" s="27">
        <v>44118</v>
      </c>
      <c r="G1582" t="s" s="10">
        <v>146</v>
      </c>
      <c r="H1582" s="42">
        <v>5.75</v>
      </c>
      <c r="I1582" s="42">
        <v>40.75</v>
      </c>
      <c r="J1582" t="s" s="10">
        <v>8207</v>
      </c>
      <c r="K1582" t="s" s="10">
        <v>8208</v>
      </c>
      <c r="L1582" s="16">
        <f>HYPERLINK("http://www.massive.com", "www.massive.com")</f>
      </c>
      <c r="M1582" s="16">
        <f>HYPERLINK("https://my.pitchbook.com?c=332221-78", "View Company Online")</f>
      </c>
    </row>
    <row r="1583">
      <c r="A1583" t="s" s="11">
        <v>8210</v>
      </c>
      <c r="B1583" t="s" s="11">
        <v>8211</v>
      </c>
      <c r="C1583" t="s" s="11">
        <v>46</v>
      </c>
      <c r="D1583" t="s" s="11">
        <v>915</v>
      </c>
      <c r="E1583" t="s" s="11">
        <v>373</v>
      </c>
      <c r="F1583" s="28">
        <v>46132</v>
      </c>
      <c r="G1583" t="s" s="11">
        <v>391</v>
      </c>
      <c r="H1583" t="s" s="43">
        <v>30</v>
      </c>
      <c r="I1583" s="43">
        <v>40.74</v>
      </c>
      <c r="J1583" t="s" s="11">
        <v>8212</v>
      </c>
      <c r="K1583" t="s" s="11">
        <v>30</v>
      </c>
      <c r="L1583" s="17">
        <f>HYPERLINK("http://www.fintool.com", "www.fintool.com")</f>
      </c>
      <c r="M1583" s="17">
        <f>HYPERLINK("https://my.pitchbook.com?c=515846-35", "View Company Online")</f>
      </c>
    </row>
    <row r="1584">
      <c r="A1584" t="s" s="10">
        <v>8214</v>
      </c>
      <c r="B1584" t="s" s="10">
        <v>8215</v>
      </c>
      <c r="C1584" t="s" s="10">
        <v>128</v>
      </c>
      <c r="D1584" t="s" s="10">
        <v>129</v>
      </c>
      <c r="E1584" t="s" s="10">
        <v>8216</v>
      </c>
      <c r="F1584" s="27">
        <v>44392</v>
      </c>
      <c r="G1584" t="s" s="10">
        <v>40</v>
      </c>
      <c r="H1584" s="42">
        <v>12.68</v>
      </c>
      <c r="I1584" s="42">
        <v>40.68</v>
      </c>
      <c r="J1584" t="s" s="10">
        <v>8217</v>
      </c>
      <c r="K1584" t="s" s="10">
        <v>8218</v>
      </c>
      <c r="L1584" s="16">
        <f>HYPERLINK("http://www.play2pay.com", "www.play2pay.com")</f>
      </c>
      <c r="M1584" s="16">
        <f>HYPERLINK("https://my.pitchbook.com?c=338593-33", "View Company Online")</f>
      </c>
    </row>
    <row r="1585">
      <c r="A1585" t="s" s="11">
        <v>8220</v>
      </c>
      <c r="B1585" t="s" s="11">
        <v>8221</v>
      </c>
      <c r="C1585" t="s" s="11">
        <v>46</v>
      </c>
      <c r="D1585" t="s" s="11">
        <v>397</v>
      </c>
      <c r="E1585" t="s" s="11">
        <v>373</v>
      </c>
      <c r="F1585" s="28">
        <v>46189</v>
      </c>
      <c r="G1585" t="s" s="11">
        <v>4267</v>
      </c>
      <c r="H1585" s="43">
        <v>31.32</v>
      </c>
      <c r="I1585" s="43">
        <v>40.6</v>
      </c>
      <c r="J1585" t="s" s="11">
        <v>8222</v>
      </c>
      <c r="K1585" t="s" s="11">
        <v>8223</v>
      </c>
      <c r="L1585" s="17">
        <f>HYPERLINK("http://www.cortea.ai", "www.cortea.ai")</f>
      </c>
      <c r="M1585" s="17">
        <f>HYPERLINK("https://my.pitchbook.com?c=762746-86", "View Company Online")</f>
      </c>
    </row>
    <row r="1586">
      <c r="A1586" t="s" s="10">
        <v>8225</v>
      </c>
      <c r="B1586" t="s" s="10">
        <v>8226</v>
      </c>
      <c r="C1586" t="s" s="10">
        <v>114</v>
      </c>
      <c r="D1586" t="s" s="10">
        <v>115</v>
      </c>
      <c r="E1586" t="s" s="10">
        <v>2293</v>
      </c>
      <c r="F1586" s="27">
        <v>45458</v>
      </c>
      <c r="G1586" t="s" s="10">
        <v>40</v>
      </c>
      <c r="H1586" t="s" s="42">
        <v>30</v>
      </c>
      <c r="I1586" s="42">
        <v>40.6</v>
      </c>
      <c r="J1586" t="s" s="10">
        <v>8227</v>
      </c>
      <c r="K1586" t="s" s="10">
        <v>8228</v>
      </c>
      <c r="L1586" s="16">
        <f>HYPERLINK("http://www.lendai.us", "www.lendai.us")</f>
      </c>
      <c r="M1586" s="16">
        <f>HYPERLINK("https://my.pitchbook.com?c=467221-96", "View Company Online")</f>
      </c>
    </row>
    <row r="1587">
      <c r="A1587" t="s" s="11">
        <v>8230</v>
      </c>
      <c r="B1587" t="s" s="11">
        <v>8231</v>
      </c>
      <c r="C1587" t="s" s="11">
        <v>164</v>
      </c>
      <c r="D1587" t="s" s="11">
        <v>206</v>
      </c>
      <c r="E1587" t="s" s="11">
        <v>29</v>
      </c>
      <c r="F1587" s="28">
        <v>45473</v>
      </c>
      <c r="G1587" t="s" s="11">
        <v>4267</v>
      </c>
      <c r="H1587" s="43">
        <v>6.79</v>
      </c>
      <c r="I1587" s="43">
        <v>40.58</v>
      </c>
      <c r="J1587" t="s" s="11">
        <v>8232</v>
      </c>
      <c r="K1587" t="s" s="11">
        <v>8233</v>
      </c>
      <c r="L1587" s="17">
        <f>HYPERLINK("http://www.falconfs.com", "www.falconfs.com")</f>
      </c>
      <c r="M1587" s="17">
        <f>HYPERLINK("https://my.pitchbook.com?c=483656-95", "View Company Online")</f>
      </c>
    </row>
    <row r="1588">
      <c r="A1588" t="s" s="10">
        <v>8235</v>
      </c>
      <c r="B1588" t="s" s="10">
        <v>8236</v>
      </c>
      <c r="C1588" t="s" s="10">
        <v>114</v>
      </c>
      <c r="D1588" t="s" s="10">
        <v>870</v>
      </c>
      <c r="E1588" t="s" s="10">
        <v>137</v>
      </c>
      <c r="F1588" s="27">
        <v>44572</v>
      </c>
      <c r="G1588" t="s" s="10">
        <v>40</v>
      </c>
      <c r="H1588" s="42">
        <v>8.4</v>
      </c>
      <c r="I1588" s="42">
        <v>40.4</v>
      </c>
      <c r="J1588" t="s" s="10">
        <v>8237</v>
      </c>
      <c r="K1588" t="s" s="10">
        <v>8238</v>
      </c>
      <c r="L1588" s="16">
        <f>HYPERLINK("http://www.acornfinance.com", "www.acornfinance.com")</f>
      </c>
      <c r="M1588" s="16">
        <f>HYPERLINK("https://my.pitchbook.com?c=268515-37", "View Company Online")</f>
      </c>
    </row>
    <row r="1589">
      <c r="A1589" t="s" s="11">
        <v>8240</v>
      </c>
      <c r="B1589" t="s" s="11">
        <v>8241</v>
      </c>
      <c r="C1589" t="s" s="11">
        <v>128</v>
      </c>
      <c r="D1589" t="s" s="11">
        <v>199</v>
      </c>
      <c r="E1589" t="s" s="11">
        <v>4273</v>
      </c>
      <c r="F1589" s="28">
        <v>46065</v>
      </c>
      <c r="G1589" t="s" s="11">
        <v>146</v>
      </c>
      <c r="H1589" s="43">
        <v>50</v>
      </c>
      <c r="I1589" s="43">
        <v>40.4</v>
      </c>
      <c r="J1589" t="s" s="11">
        <v>8242</v>
      </c>
      <c r="K1589" t="s" s="11">
        <v>30</v>
      </c>
      <c r="L1589" s="17">
        <f>HYPERLINK("http://www.vama.com", "www.vama.com")</f>
      </c>
      <c r="M1589" s="17">
        <f>HYPERLINK("https://my.pitchbook.com?c=528904-18", "View Company Online")</f>
      </c>
    </row>
    <row r="1590">
      <c r="A1590" t="s" s="10">
        <v>8244</v>
      </c>
      <c r="B1590" t="s" s="10">
        <v>8245</v>
      </c>
      <c r="C1590" t="s" s="10">
        <v>222</v>
      </c>
      <c r="D1590" t="s" s="10">
        <v>223</v>
      </c>
      <c r="E1590" t="s" s="10">
        <v>367</v>
      </c>
      <c r="F1590" s="27">
        <v>46106</v>
      </c>
      <c r="G1590" t="s" s="10">
        <v>40</v>
      </c>
      <c r="H1590" s="42">
        <v>6.67</v>
      </c>
      <c r="I1590" s="42">
        <v>40.33</v>
      </c>
      <c r="J1590" t="s" s="10">
        <v>8246</v>
      </c>
      <c r="K1590" t="s" s="10">
        <v>8247</v>
      </c>
      <c r="L1590" s="16">
        <f>HYPERLINK("http://www.apexe3.com", "www.apexe3.com")</f>
      </c>
      <c r="M1590" s="16">
        <f>HYPERLINK("https://my.pitchbook.com?c=432812-98", "View Company Online")</f>
      </c>
    </row>
    <row r="1591">
      <c r="A1591" t="s" s="11">
        <v>8249</v>
      </c>
      <c r="B1591" t="s" s="11">
        <v>8250</v>
      </c>
      <c r="C1591" t="s" s="11">
        <v>172</v>
      </c>
      <c r="D1591" t="s" s="11">
        <v>173</v>
      </c>
      <c r="E1591" t="s" s="11">
        <v>108</v>
      </c>
      <c r="F1591" s="28">
        <v>45729</v>
      </c>
      <c r="G1591" t="s" s="11">
        <v>40</v>
      </c>
      <c r="H1591" s="43">
        <v>12</v>
      </c>
      <c r="I1591" s="43">
        <v>40.27</v>
      </c>
      <c r="J1591" t="s" s="11">
        <v>8251</v>
      </c>
      <c r="K1591" t="s" s="11">
        <v>8252</v>
      </c>
      <c r="L1591" s="17">
        <f>HYPERLINK("http://www.paymentworks.com", "www.paymentworks.com")</f>
      </c>
      <c r="M1591" s="17">
        <f>HYPERLINK("https://my.pitchbook.com?c=64346-68", "View Company Online")</f>
      </c>
    </row>
    <row r="1592">
      <c r="A1592" t="s" s="10">
        <v>8254</v>
      </c>
      <c r="B1592" t="s" s="10">
        <v>8255</v>
      </c>
      <c r="C1592" t="s" s="10">
        <v>222</v>
      </c>
      <c r="D1592" t="s" s="10">
        <v>223</v>
      </c>
      <c r="E1592" t="s" s="10">
        <v>373</v>
      </c>
      <c r="F1592" s="27">
        <v>46054</v>
      </c>
      <c r="G1592" t="s" s="10">
        <v>48</v>
      </c>
      <c r="H1592" t="s" s="42">
        <v>30</v>
      </c>
      <c r="I1592" s="42">
        <v>40.22</v>
      </c>
      <c r="J1592" t="s" s="10">
        <v>8256</v>
      </c>
      <c r="K1592" t="s" s="10">
        <v>8257</v>
      </c>
      <c r="L1592" s="16">
        <f>HYPERLINK("http://www.cognitivecredit.com", "www.cognitivecredit.com")</f>
      </c>
      <c r="M1592" s="16">
        <f>HYPERLINK("https://my.pitchbook.com?c=339828-58", "View Company Online")</f>
      </c>
    </row>
    <row r="1593">
      <c r="A1593" t="s" s="11">
        <v>8259</v>
      </c>
      <c r="B1593" t="s" s="11">
        <v>8260</v>
      </c>
      <c r="C1593" t="s" s="11">
        <v>222</v>
      </c>
      <c r="D1593" t="s" s="11">
        <v>235</v>
      </c>
      <c r="E1593" t="s" s="11">
        <v>253</v>
      </c>
      <c r="F1593" s="28">
        <v>45092</v>
      </c>
      <c r="G1593" t="s" s="11">
        <v>40</v>
      </c>
      <c r="H1593" t="s" s="43">
        <v>30</v>
      </c>
      <c r="I1593" s="43">
        <v>40.2</v>
      </c>
      <c r="J1593" t="s" s="11">
        <v>8261</v>
      </c>
      <c r="K1593" t="s" s="11">
        <v>8262</v>
      </c>
      <c r="L1593" s="17">
        <f>HYPERLINK("http://www.liquidly.com", "www.liquidly.com")</f>
      </c>
      <c r="M1593" s="17">
        <f>HYPERLINK("https://my.pitchbook.com?c=340821-64", "View Company Online")</f>
      </c>
    </row>
    <row r="1594">
      <c r="A1594" t="s" s="10">
        <v>8264</v>
      </c>
      <c r="B1594" t="s" s="10">
        <v>8265</v>
      </c>
      <c r="C1594" t="s" s="10">
        <v>60</v>
      </c>
      <c r="D1594" t="s" s="10">
        <v>432</v>
      </c>
      <c r="E1594" t="s" s="10">
        <v>367</v>
      </c>
      <c r="F1594" s="27">
        <v>45714</v>
      </c>
      <c r="G1594" t="s" s="10">
        <v>40</v>
      </c>
      <c r="H1594" s="42">
        <v>14.57</v>
      </c>
      <c r="I1594" s="42">
        <v>40.17</v>
      </c>
      <c r="J1594" t="s" s="10">
        <v>8266</v>
      </c>
      <c r="K1594" t="s" s="10">
        <v>8267</v>
      </c>
      <c r="L1594" s="16">
        <f>HYPERLINK("http://www.flanks.io", "www.flanks.io")</f>
      </c>
      <c r="M1594" s="16">
        <f>HYPERLINK("https://my.pitchbook.com?c=354562-03", "View Company Online")</f>
      </c>
    </row>
    <row r="1595">
      <c r="A1595" t="s" s="11">
        <v>8269</v>
      </c>
      <c r="B1595" t="s" s="11">
        <v>8270</v>
      </c>
      <c r="C1595" t="s" s="11">
        <v>46</v>
      </c>
      <c r="D1595" t="s" s="11">
        <v>47</v>
      </c>
      <c r="E1595" t="s" s="11">
        <v>2152</v>
      </c>
      <c r="F1595" s="28">
        <v>44810</v>
      </c>
      <c r="G1595" t="s" s="11">
        <v>40</v>
      </c>
      <c r="H1595" s="43">
        <v>9.04</v>
      </c>
      <c r="I1595" s="43">
        <v>40.16</v>
      </c>
      <c r="J1595" t="s" s="11">
        <v>8271</v>
      </c>
      <c r="K1595" t="s" s="11">
        <v>8272</v>
      </c>
      <c r="L1595" s="17">
        <f>HYPERLINK("http://www.cashflo.io", "www.cashflo.io")</f>
      </c>
      <c r="M1595" s="17">
        <f>HYPERLINK("https://my.pitchbook.com?c=280344-43", "View Company Online")</f>
      </c>
    </row>
    <row r="1596">
      <c r="A1596" t="s" s="10">
        <v>8274</v>
      </c>
      <c r="B1596" t="s" s="10">
        <v>8275</v>
      </c>
      <c r="C1596" t="s" s="10">
        <v>60</v>
      </c>
      <c r="D1596" t="s" s="10">
        <v>192</v>
      </c>
      <c r="E1596" t="s" s="10">
        <v>634</v>
      </c>
      <c r="F1596" s="27">
        <v>45251</v>
      </c>
      <c r="G1596" t="s" s="10">
        <v>40</v>
      </c>
      <c r="H1596" s="42">
        <v>6.79</v>
      </c>
      <c r="I1596" s="42">
        <v>40.16</v>
      </c>
      <c r="J1596" t="s" s="10">
        <v>8276</v>
      </c>
      <c r="K1596" t="s" s="10">
        <v>8277</v>
      </c>
      <c r="L1596" s="16">
        <f>HYPERLINK("http://www.quantec.co.kr", "www.quantec.co.kr")</f>
      </c>
      <c r="M1596" s="16">
        <f>HYPERLINK("https://my.pitchbook.com?c=466459-39", "View Company Online")</f>
      </c>
    </row>
    <row r="1597">
      <c r="A1597" t="s" s="11">
        <v>8279</v>
      </c>
      <c r="B1597" t="s" s="11">
        <v>8280</v>
      </c>
      <c r="C1597" t="s" s="11">
        <v>46</v>
      </c>
      <c r="D1597" t="s" s="11">
        <v>915</v>
      </c>
      <c r="E1597" t="s" s="11">
        <v>8281</v>
      </c>
      <c r="F1597" s="28">
        <v>45292</v>
      </c>
      <c r="G1597" t="s" s="11">
        <v>607</v>
      </c>
      <c r="H1597" t="s" s="43">
        <v>30</v>
      </c>
      <c r="I1597" s="43">
        <v>40.1</v>
      </c>
      <c r="J1597" t="s" s="11">
        <v>8282</v>
      </c>
      <c r="K1597" t="s" s="11">
        <v>8283</v>
      </c>
      <c r="L1597" s="17">
        <f>HYPERLINK("http://www.propagateag.com", "www.propagateag.com")</f>
      </c>
      <c r="M1597" s="17">
        <f>HYPERLINK("https://my.pitchbook.com?c=228811-87", "View Company Online")</f>
      </c>
    </row>
    <row r="1598">
      <c r="A1598" t="s" s="10">
        <v>8285</v>
      </c>
      <c r="B1598" t="s" s="10">
        <v>8286</v>
      </c>
      <c r="C1598" t="s" s="10">
        <v>27</v>
      </c>
      <c r="D1598" t="s" s="10">
        <v>28</v>
      </c>
      <c r="E1598" t="s" s="10">
        <v>193</v>
      </c>
      <c r="F1598" s="27">
        <v>45595</v>
      </c>
      <c r="G1598" t="s" s="10">
        <v>48</v>
      </c>
      <c r="H1598" t="s" s="42">
        <v>30</v>
      </c>
      <c r="I1598" s="42">
        <v>40.01</v>
      </c>
      <c r="J1598" t="s" s="10">
        <v>8287</v>
      </c>
      <c r="K1598" t="s" s="10">
        <v>8288</v>
      </c>
      <c r="L1598" s="16">
        <f>HYPERLINK("http://www.quadrac.co.jp", "www.quadrac.co.jp")</f>
      </c>
      <c r="M1598" s="16">
        <f>HYPERLINK("https://my.pitchbook.com?c=223949-98", "View Company Online")</f>
      </c>
    </row>
    <row r="1599">
      <c r="A1599" t="s" s="11">
        <v>8290</v>
      </c>
      <c r="B1599" t="s" s="11">
        <v>8291</v>
      </c>
      <c r="C1599" t="s" s="11">
        <v>37</v>
      </c>
      <c r="D1599" t="s" s="11">
        <v>304</v>
      </c>
      <c r="E1599" t="s" s="11">
        <v>137</v>
      </c>
      <c r="F1599" s="28">
        <v>45474</v>
      </c>
      <c r="G1599" t="s" s="11">
        <v>146</v>
      </c>
      <c r="H1599" s="43">
        <v>5</v>
      </c>
      <c r="I1599" s="43">
        <v>40</v>
      </c>
      <c r="J1599" t="s" s="11">
        <v>8292</v>
      </c>
      <c r="K1599" t="s" s="11">
        <v>8293</v>
      </c>
      <c r="L1599" s="17">
        <f>HYPERLINK("http://www.bgenerous.com", "www.bgenerous.com")</f>
      </c>
      <c r="M1599" s="17">
        <f>HYPERLINK("https://my.pitchbook.com?c=470007-73", "View Company Online")</f>
      </c>
    </row>
    <row r="1600">
      <c r="A1600" t="s" s="10">
        <v>8295</v>
      </c>
      <c r="B1600" t="s" s="10">
        <v>8296</v>
      </c>
      <c r="C1600" t="s" s="10">
        <v>128</v>
      </c>
      <c r="D1600" t="s" s="10">
        <v>276</v>
      </c>
      <c r="E1600" t="s" s="10">
        <v>270</v>
      </c>
      <c r="F1600" s="27">
        <v>45971</v>
      </c>
      <c r="G1600" t="s" s="10">
        <v>4267</v>
      </c>
      <c r="H1600" s="42">
        <v>3.75</v>
      </c>
      <c r="I1600" s="42">
        <v>40</v>
      </c>
      <c r="J1600" t="s" s="10">
        <v>8297</v>
      </c>
      <c r="K1600" t="s" s="10">
        <v>8298</v>
      </c>
      <c r="L1600" s="16">
        <f>HYPERLINK("http://www.blesspayments.com", "www.blesspayments.com")</f>
      </c>
      <c r="M1600" s="16">
        <f>HYPERLINK("https://my.pitchbook.com?c=556886-62", "View Company Online")</f>
      </c>
    </row>
    <row r="1601">
      <c r="A1601" t="s" s="11">
        <v>8300</v>
      </c>
      <c r="B1601" t="s" s="11">
        <v>8301</v>
      </c>
      <c r="C1601" t="s" s="11">
        <v>60</v>
      </c>
      <c r="D1601" t="s" s="11">
        <v>727</v>
      </c>
      <c r="E1601" t="s" s="11">
        <v>629</v>
      </c>
      <c r="F1601" t="s" s="28">
        <v>30</v>
      </c>
      <c r="G1601" t="s" s="11">
        <v>48</v>
      </c>
      <c r="H1601" t="s" s="43">
        <v>30</v>
      </c>
      <c r="I1601" s="43">
        <v>40</v>
      </c>
      <c r="J1601" t="s" s="11">
        <v>8302</v>
      </c>
      <c r="K1601" t="s" s="11">
        <v>8303</v>
      </c>
      <c r="L1601" s="17">
        <f>HYPERLINK("http://www.clearpool.finance", "www.clearpool.finance")</f>
      </c>
      <c r="M1601" s="17">
        <f>HYPERLINK("https://my.pitchbook.com?c=490048-93", "View Company Online")</f>
      </c>
    </row>
    <row r="1602">
      <c r="A1602" t="s" s="10">
        <v>8305</v>
      </c>
      <c r="B1602" t="s" s="10">
        <v>8306</v>
      </c>
      <c r="C1602" t="s" s="10">
        <v>114</v>
      </c>
      <c r="D1602" t="s" s="10">
        <v>136</v>
      </c>
      <c r="E1602" t="s" s="10">
        <v>253</v>
      </c>
      <c r="F1602" s="27">
        <v>45044</v>
      </c>
      <c r="G1602" t="s" s="10">
        <v>40</v>
      </c>
      <c r="H1602" s="42">
        <v>5.74</v>
      </c>
      <c r="I1602" s="42">
        <v>40</v>
      </c>
      <c r="J1602" t="s" s="10">
        <v>8307</v>
      </c>
      <c r="K1602" t="s" s="10">
        <v>8308</v>
      </c>
      <c r="L1602" s="16">
        <f>HYPERLINK("http://www.constant.ai", "www.constant.ai")</f>
      </c>
      <c r="M1602" s="16">
        <f>HYPERLINK("https://my.pitchbook.com?c=119462-14", "View Company Online")</f>
      </c>
    </row>
    <row r="1603">
      <c r="A1603" t="s" s="11">
        <v>8310</v>
      </c>
      <c r="B1603" t="s" s="11">
        <v>8311</v>
      </c>
      <c r="C1603" t="s" s="11">
        <v>46</v>
      </c>
      <c r="D1603" t="s" s="11">
        <v>915</v>
      </c>
      <c r="E1603" t="s" s="11">
        <v>8312</v>
      </c>
      <c r="F1603" s="28">
        <v>46101</v>
      </c>
      <c r="G1603" t="s" s="11">
        <v>40</v>
      </c>
      <c r="H1603" t="s" s="43">
        <v>30</v>
      </c>
      <c r="I1603" s="43">
        <v>40</v>
      </c>
      <c r="J1603" t="s" s="11">
        <v>8313</v>
      </c>
      <c r="K1603" t="s" s="11">
        <v>8314</v>
      </c>
      <c r="L1603" s="17">
        <f>HYPERLINK("http://www.engagemobilize.com", "www.engagemobilize.com")</f>
      </c>
      <c r="M1603" s="17">
        <f>HYPERLINK("https://my.pitchbook.com?c=234223-66", "View Company Online")</f>
      </c>
    </row>
    <row r="1604">
      <c r="A1604" t="s" s="10">
        <v>8316</v>
      </c>
      <c r="B1604" t="s" s="10">
        <v>8317</v>
      </c>
      <c r="C1604" t="s" s="10">
        <v>222</v>
      </c>
      <c r="D1604" t="s" s="10">
        <v>235</v>
      </c>
      <c r="E1604" t="s" s="10">
        <v>1679</v>
      </c>
      <c r="F1604" s="27">
        <v>45635</v>
      </c>
      <c r="G1604" t="s" s="10">
        <v>40</v>
      </c>
      <c r="H1604" t="s" s="42">
        <v>30</v>
      </c>
      <c r="I1604" s="42">
        <v>40</v>
      </c>
      <c r="J1604" t="s" s="10">
        <v>8318</v>
      </c>
      <c r="K1604" t="s" s="10">
        <v>8319</v>
      </c>
      <c r="L1604" s="16">
        <f>HYPERLINK("http://www.fairmint.com", "www.fairmint.com")</f>
      </c>
      <c r="M1604" s="16">
        <f>HYPERLINK("https://my.pitchbook.com?c=266011-48", "View Company Online")</f>
      </c>
    </row>
    <row r="1605">
      <c r="A1605" t="s" s="11">
        <v>8321</v>
      </c>
      <c r="B1605" t="s" s="11">
        <v>8322</v>
      </c>
      <c r="C1605" t="s" s="11">
        <v>164</v>
      </c>
      <c r="D1605" t="s" s="11">
        <v>165</v>
      </c>
      <c r="E1605" t="s" s="11">
        <v>3825</v>
      </c>
      <c r="F1605" s="28">
        <v>46043</v>
      </c>
      <c r="G1605" t="s" s="11">
        <v>146</v>
      </c>
      <c r="H1605" s="43">
        <v>22</v>
      </c>
      <c r="I1605" s="43">
        <v>40</v>
      </c>
      <c r="J1605" t="s" s="11">
        <v>8323</v>
      </c>
      <c r="K1605" t="s" s="11">
        <v>8324</v>
      </c>
      <c r="L1605" s="17">
        <f>HYPERLINK("http://www.fimple.co.uk", "www.fimple.co.uk")</f>
      </c>
      <c r="M1605" s="17">
        <f>HYPERLINK("https://my.pitchbook.com?c=497893-60", "View Company Online")</f>
      </c>
    </row>
    <row r="1606">
      <c r="A1606" t="s" s="10">
        <v>8326</v>
      </c>
      <c r="B1606" t="s" s="10">
        <v>8327</v>
      </c>
      <c r="C1606" t="s" s="10">
        <v>172</v>
      </c>
      <c r="D1606" t="s" s="10">
        <v>1454</v>
      </c>
      <c r="E1606" t="s" s="10">
        <v>916</v>
      </c>
      <c r="F1606" s="27">
        <v>44636</v>
      </c>
      <c r="G1606" t="s" s="10">
        <v>40</v>
      </c>
      <c r="H1606" s="42">
        <v>8</v>
      </c>
      <c r="I1606" s="42">
        <v>40</v>
      </c>
      <c r="J1606" t="s" s="10">
        <v>8328</v>
      </c>
      <c r="K1606" t="s" s="10">
        <v>8329</v>
      </c>
      <c r="L1606" s="16">
        <f>HYPERLINK("http://www.implicit.cloud", "www.implicit.cloud")</f>
      </c>
      <c r="M1606" s="16">
        <f>HYPERLINK("https://my.pitchbook.com?c=81875-71", "View Company Online")</f>
      </c>
    </row>
    <row r="1607">
      <c r="A1607" t="s" s="11">
        <v>8331</v>
      </c>
      <c r="B1607" t="s" s="11">
        <v>8332</v>
      </c>
      <c r="C1607" t="s" s="11">
        <v>46</v>
      </c>
      <c r="D1607" t="s" s="11">
        <v>47</v>
      </c>
      <c r="E1607" t="s" s="11">
        <v>1859</v>
      </c>
      <c r="F1607" s="28">
        <v>46084</v>
      </c>
      <c r="G1607" t="s" s="11">
        <v>40</v>
      </c>
      <c r="H1607" s="43">
        <v>1</v>
      </c>
      <c r="I1607" s="43">
        <v>40</v>
      </c>
      <c r="J1607" t="s" s="11">
        <v>8333</v>
      </c>
      <c r="K1607" t="s" s="11">
        <v>8334</v>
      </c>
      <c r="L1607" s="17">
        <f>HYPERLINK("http://www.lessn.io", "www.lessn.io")</f>
      </c>
      <c r="M1607" s="17">
        <f>HYPERLINK("https://my.pitchbook.com?c=501138-10", "View Company Online")</f>
      </c>
    </row>
    <row r="1608">
      <c r="A1608" t="s" s="10">
        <v>8336</v>
      </c>
      <c r="B1608" t="s" s="10">
        <v>8337</v>
      </c>
      <c r="C1608" t="s" s="10">
        <v>60</v>
      </c>
      <c r="D1608" t="s" s="10">
        <v>420</v>
      </c>
      <c r="E1608" t="s" s="10">
        <v>137</v>
      </c>
      <c r="F1608" t="s" s="27">
        <v>30</v>
      </c>
      <c r="G1608" t="s" s="10">
        <v>48</v>
      </c>
      <c r="H1608" t="s" s="42">
        <v>30</v>
      </c>
      <c r="I1608" s="42">
        <v>40</v>
      </c>
      <c r="J1608" t="s" s="10">
        <v>8338</v>
      </c>
      <c r="K1608" t="s" s="10">
        <v>8339</v>
      </c>
      <c r="L1608" s="16">
        <f>HYPERLINK("http://www.rocketdollar.com", "www.rocketdollar.com")</f>
      </c>
      <c r="M1608" s="16">
        <f>HYPERLINK("https://my.pitchbook.com?c=230958-64", "View Company Online")</f>
      </c>
    </row>
    <row r="1609">
      <c r="A1609" t="s" s="11">
        <v>8341</v>
      </c>
      <c r="B1609" t="s" s="11">
        <v>8342</v>
      </c>
      <c r="C1609" t="s" s="11">
        <v>222</v>
      </c>
      <c r="D1609" t="s" s="11">
        <v>537</v>
      </c>
      <c r="E1609" t="s" s="11">
        <v>137</v>
      </c>
      <c r="F1609" s="28">
        <v>45484</v>
      </c>
      <c r="G1609" t="s" s="11">
        <v>4267</v>
      </c>
      <c r="H1609" s="43">
        <v>3.64</v>
      </c>
      <c r="I1609" s="43">
        <v>40</v>
      </c>
      <c r="J1609" t="s" s="11">
        <v>8343</v>
      </c>
      <c r="K1609" t="s" s="11">
        <v>8344</v>
      </c>
      <c r="L1609" s="17">
        <f>HYPERLINK("http://www.rtxfintech.com", "www.rtxfintech.com")</f>
      </c>
      <c r="M1609" s="17">
        <f>HYPERLINK("https://my.pitchbook.com?c=523045-90", "View Company Online")</f>
      </c>
    </row>
    <row r="1610">
      <c r="A1610" t="s" s="10">
        <v>8346</v>
      </c>
      <c r="B1610" t="s" s="10">
        <v>8347</v>
      </c>
      <c r="C1610" t="s" s="10">
        <v>172</v>
      </c>
      <c r="D1610" t="s" s="10">
        <v>1454</v>
      </c>
      <c r="E1610" t="s" s="10">
        <v>2158</v>
      </c>
      <c r="F1610" t="s" s="27">
        <v>30</v>
      </c>
      <c r="G1610" t="s" s="10">
        <v>48</v>
      </c>
      <c r="H1610" t="s" s="42">
        <v>30</v>
      </c>
      <c r="I1610" s="42">
        <v>40</v>
      </c>
      <c r="J1610" t="s" s="10">
        <v>8348</v>
      </c>
      <c r="K1610" t="s" s="10">
        <v>8349</v>
      </c>
      <c r="L1610" s="16">
        <f>HYPERLINK("http://www.stratifi.com", "www.stratifi.com")</f>
      </c>
      <c r="M1610" s="16">
        <f>HYPERLINK("https://my.pitchbook.com?c=156433-69", "View Company Online")</f>
      </c>
    </row>
    <row r="1611">
      <c r="A1611" t="s" s="11">
        <v>8351</v>
      </c>
      <c r="B1611" t="s" s="11">
        <v>8352</v>
      </c>
      <c r="C1611" t="s" s="11">
        <v>27</v>
      </c>
      <c r="D1611" t="s" s="11">
        <v>70</v>
      </c>
      <c r="E1611" t="s" s="11">
        <v>8353</v>
      </c>
      <c r="F1611" s="28">
        <v>44959</v>
      </c>
      <c r="G1611" t="s" s="11">
        <v>271</v>
      </c>
      <c r="H1611" t="s" s="43">
        <v>30</v>
      </c>
      <c r="I1611" s="43">
        <v>40</v>
      </c>
      <c r="J1611" t="s" s="11">
        <v>8354</v>
      </c>
      <c r="K1611" t="s" s="11">
        <v>30</v>
      </c>
      <c r="L1611" s="17">
        <f>HYPERLINK("http://www.superprocessor.com", "www.superprocessor.com")</f>
      </c>
      <c r="M1611" s="17">
        <f>HYPERLINK("https://my.pitchbook.com?c=435490-48", "View Company Online")</f>
      </c>
    </row>
    <row r="1612">
      <c r="A1612" t="s" s="10">
        <v>8356</v>
      </c>
      <c r="B1612" t="s" s="10">
        <v>8357</v>
      </c>
      <c r="C1612" t="s" s="10">
        <v>114</v>
      </c>
      <c r="D1612" t="s" s="10">
        <v>136</v>
      </c>
      <c r="E1612" t="s" s="10">
        <v>137</v>
      </c>
      <c r="F1612" s="27">
        <v>45967</v>
      </c>
      <c r="G1612" t="s" s="10">
        <v>40</v>
      </c>
      <c r="H1612" s="42">
        <v>4</v>
      </c>
      <c r="I1612" s="42">
        <v>40</v>
      </c>
      <c r="J1612" t="s" s="10">
        <v>8358</v>
      </c>
      <c r="K1612" t="s" s="10">
        <v>8359</v>
      </c>
      <c r="L1612" s="16">
        <f>HYPERLINK("http://www.teklifimgelsin.com", "www.teklifimgelsin.com")</f>
      </c>
      <c r="M1612" s="16">
        <f>HYPERLINK("https://my.pitchbook.com?c=495703-81", "View Company Online")</f>
      </c>
    </row>
    <row r="1613">
      <c r="A1613" t="s" s="11">
        <v>8361</v>
      </c>
      <c r="B1613" t="s" s="11">
        <v>8362</v>
      </c>
      <c r="C1613" t="s" s="11">
        <v>60</v>
      </c>
      <c r="D1613" t="s" s="11">
        <v>192</v>
      </c>
      <c r="E1613" t="s" s="11">
        <v>367</v>
      </c>
      <c r="F1613" s="28">
        <v>44900</v>
      </c>
      <c r="G1613" t="s" s="11">
        <v>4267</v>
      </c>
      <c r="H1613" s="43">
        <v>10</v>
      </c>
      <c r="I1613" s="43">
        <v>40</v>
      </c>
      <c r="J1613" t="s" s="11">
        <v>8363</v>
      </c>
      <c r="K1613" t="s" s="11">
        <v>8364</v>
      </c>
      <c r="L1613" s="17">
        <f>HYPERLINK("http://www.terramanta.com", "www.terramanta.com")</f>
      </c>
      <c r="M1613" s="17">
        <f>HYPERLINK("https://my.pitchbook.com?c=166647-97", "View Company Online")</f>
      </c>
    </row>
    <row r="1614">
      <c r="A1614" t="s" s="10">
        <v>8366</v>
      </c>
      <c r="B1614" t="s" s="10">
        <v>8367</v>
      </c>
      <c r="C1614" t="s" s="10">
        <v>27</v>
      </c>
      <c r="D1614" t="s" s="10">
        <v>28</v>
      </c>
      <c r="E1614" t="s" s="10">
        <v>6783</v>
      </c>
      <c r="F1614" s="27">
        <v>45399</v>
      </c>
      <c r="G1614" t="s" s="10">
        <v>391</v>
      </c>
      <c r="H1614" t="s" s="42">
        <v>30</v>
      </c>
      <c r="I1614" s="42">
        <v>40</v>
      </c>
      <c r="J1614" t="s" s="10">
        <v>8368</v>
      </c>
      <c r="K1614" t="s" s="10">
        <v>30</v>
      </c>
      <c r="L1614" s="16">
        <f>HYPERLINK("http://www.tokenex.com", "www.tokenex.com")</f>
      </c>
      <c r="M1614" s="16">
        <f>HYPERLINK("https://my.pitchbook.com?c=94231-54", "View Company Online")</f>
      </c>
    </row>
    <row r="1615">
      <c r="A1615" t="s" s="11">
        <v>8370</v>
      </c>
      <c r="B1615" t="s" s="11">
        <v>8371</v>
      </c>
      <c r="C1615" t="s" s="11">
        <v>60</v>
      </c>
      <c r="D1615" t="s" s="11">
        <v>727</v>
      </c>
      <c r="E1615" t="s" s="11">
        <v>137</v>
      </c>
      <c r="F1615" s="28">
        <v>45226</v>
      </c>
      <c r="G1615" t="s" s="11">
        <v>138</v>
      </c>
      <c r="H1615" s="43">
        <v>40</v>
      </c>
      <c r="I1615" s="43">
        <v>40</v>
      </c>
      <c r="J1615" t="s" s="11">
        <v>8372</v>
      </c>
      <c r="K1615" t="s" s="11">
        <v>8373</v>
      </c>
      <c r="L1615" s="17">
        <f>HYPERLINK("http://www.venturebeam.com", "www.venturebeam.com")</f>
      </c>
      <c r="M1615" s="17">
        <f>HYPERLINK("https://my.pitchbook.com?c=85080-25", "View Company Online")</f>
      </c>
    </row>
    <row r="1616">
      <c r="A1616" t="s" s="10">
        <v>8375</v>
      </c>
      <c r="B1616" t="s" s="10">
        <v>8376</v>
      </c>
      <c r="C1616" t="s" s="10">
        <v>46</v>
      </c>
      <c r="D1616" t="s" s="10">
        <v>397</v>
      </c>
      <c r="E1616" t="s" s="10">
        <v>373</v>
      </c>
      <c r="F1616" s="27">
        <v>44719</v>
      </c>
      <c r="G1616" t="s" s="10">
        <v>40</v>
      </c>
      <c r="H1616" s="42">
        <v>3.82</v>
      </c>
      <c r="I1616" s="42">
        <v>40</v>
      </c>
      <c r="J1616" t="s" s="10">
        <v>8377</v>
      </c>
      <c r="K1616" t="s" s="10">
        <v>8378</v>
      </c>
      <c r="L1616" s="16">
        <f>HYPERLINK("http://www.xendoo.com", "www.xendoo.com")</f>
      </c>
      <c r="M1616" s="16">
        <f>HYPERLINK("https://my.pitchbook.com?c=223551-64", "View Company Online")</f>
      </c>
    </row>
    <row r="1617">
      <c r="A1617" t="s" s="11">
        <v>8380</v>
      </c>
      <c r="B1617" t="s" s="11">
        <v>8381</v>
      </c>
      <c r="C1617" t="s" s="11">
        <v>60</v>
      </c>
      <c r="D1617" t="s" s="11">
        <v>192</v>
      </c>
      <c r="E1617" t="s" s="11">
        <v>859</v>
      </c>
      <c r="F1617" t="s" s="28">
        <v>30</v>
      </c>
      <c r="G1617" t="s" s="11">
        <v>48</v>
      </c>
      <c r="H1617" t="s" s="43">
        <v>30</v>
      </c>
      <c r="I1617" s="43">
        <v>40</v>
      </c>
      <c r="J1617" t="s" s="11">
        <v>8382</v>
      </c>
      <c r="K1617" t="s" s="11">
        <v>8383</v>
      </c>
      <c r="L1617" s="17">
        <f>HYPERLINK("http://www.yoloex.io", "www.yoloex.io")</f>
      </c>
      <c r="M1617" s="17">
        <f>HYPERLINK("https://my.pitchbook.com?c=463333-24", "View Company Online")</f>
      </c>
    </row>
    <row r="1618">
      <c r="A1618" t="s" s="10">
        <v>8385</v>
      </c>
      <c r="B1618" t="s" s="10">
        <v>8386</v>
      </c>
      <c r="C1618" t="s" s="10">
        <v>172</v>
      </c>
      <c r="D1618" t="s" s="10">
        <v>173</v>
      </c>
      <c r="E1618" t="s" s="10">
        <v>8387</v>
      </c>
      <c r="F1618" s="27">
        <v>45939</v>
      </c>
      <c r="G1618" t="s" s="10">
        <v>607</v>
      </c>
      <c r="H1618" t="s" s="42">
        <v>30</v>
      </c>
      <c r="I1618" s="42">
        <v>39.95</v>
      </c>
      <c r="J1618" t="s" s="10">
        <v>8388</v>
      </c>
      <c r="K1618" t="s" s="10">
        <v>8389</v>
      </c>
      <c r="L1618" s="16">
        <f>HYPERLINK("http://www.polygraf.ai", "www.polygraf.ai")</f>
      </c>
      <c r="M1618" s="16">
        <f>HYPERLINK("https://my.pitchbook.com?c=496483-12", "View Company Online")</f>
      </c>
    </row>
    <row r="1619">
      <c r="A1619" t="s" s="11">
        <v>8391</v>
      </c>
      <c r="B1619" t="s" s="11">
        <v>8392</v>
      </c>
      <c r="C1619" t="s" s="11">
        <v>27</v>
      </c>
      <c r="D1619" t="s" s="11">
        <v>28</v>
      </c>
      <c r="E1619" t="s" s="11">
        <v>8393</v>
      </c>
      <c r="F1619" s="28">
        <v>45974</v>
      </c>
      <c r="G1619" t="s" s="11">
        <v>40</v>
      </c>
      <c r="H1619" s="43">
        <v>10</v>
      </c>
      <c r="I1619" s="43">
        <v>39.9</v>
      </c>
      <c r="J1619" t="s" s="11">
        <v>8394</v>
      </c>
      <c r="K1619" t="s" s="11">
        <v>8395</v>
      </c>
      <c r="L1619" s="17">
        <f>HYPERLINK("http://www.jelou.ai", "www.jelou.ai")</f>
      </c>
      <c r="M1619" s="17">
        <f>HYPERLINK("https://my.pitchbook.com?c=472399-84", "View Company Online")</f>
      </c>
    </row>
    <row r="1620">
      <c r="A1620" t="s" s="10">
        <v>8397</v>
      </c>
      <c r="B1620" t="s" s="10">
        <v>8398</v>
      </c>
      <c r="C1620" t="s" s="10">
        <v>37</v>
      </c>
      <c r="D1620" t="s" s="10">
        <v>38</v>
      </c>
      <c r="E1620" t="s" s="10">
        <v>193</v>
      </c>
      <c r="F1620" s="27">
        <v>46106</v>
      </c>
      <c r="G1620" t="s" s="10">
        <v>271</v>
      </c>
      <c r="H1620" s="42">
        <v>1.5</v>
      </c>
      <c r="I1620" s="42">
        <v>39.9</v>
      </c>
      <c r="J1620" t="s" s="10">
        <v>8399</v>
      </c>
      <c r="K1620" t="s" s="10">
        <v>8400</v>
      </c>
      <c r="L1620" s="16">
        <f>HYPERLINK("http://www.qubemoney.com", "www.qubemoney.com")</f>
      </c>
      <c r="M1620" s="16">
        <f>HYPERLINK("https://my.pitchbook.com?c=170479-36", "View Company Online")</f>
      </c>
    </row>
    <row r="1621">
      <c r="A1621" t="s" s="11">
        <v>8402</v>
      </c>
      <c r="B1621" t="s" s="11">
        <v>8403</v>
      </c>
      <c r="C1621" t="s" s="11">
        <v>60</v>
      </c>
      <c r="D1621" t="s" s="11">
        <v>432</v>
      </c>
      <c r="E1621" t="s" s="11">
        <v>137</v>
      </c>
      <c r="F1621" s="28">
        <v>45484</v>
      </c>
      <c r="G1621" t="s" s="11">
        <v>146</v>
      </c>
      <c r="H1621" s="43">
        <v>200</v>
      </c>
      <c r="I1621" s="43">
        <v>39.87</v>
      </c>
      <c r="J1621" t="s" s="11">
        <v>8404</v>
      </c>
      <c r="K1621" t="s" s="11">
        <v>8405</v>
      </c>
      <c r="L1621" s="17">
        <f>HYPERLINK("http://www.earned.com", "www.earned.com")</f>
      </c>
      <c r="M1621" s="17">
        <f>HYPERLINK("https://my.pitchbook.com?c=497675-53", "View Company Online")</f>
      </c>
    </row>
    <row r="1622">
      <c r="A1622" t="s" s="10">
        <v>8407</v>
      </c>
      <c r="B1622" t="s" s="10">
        <v>8408</v>
      </c>
      <c r="C1622" t="s" s="10">
        <v>128</v>
      </c>
      <c r="D1622" t="s" s="10">
        <v>276</v>
      </c>
      <c r="E1622" t="s" s="10">
        <v>71</v>
      </c>
      <c r="F1622" s="27">
        <v>46085</v>
      </c>
      <c r="G1622" t="s" s="10">
        <v>40</v>
      </c>
      <c r="H1622" s="42">
        <v>8.66</v>
      </c>
      <c r="I1622" s="42">
        <v>39.75</v>
      </c>
      <c r="J1622" t="s" s="10">
        <v>8409</v>
      </c>
      <c r="K1622" t="s" s="10">
        <v>8410</v>
      </c>
      <c r="L1622" s="16">
        <f>HYPERLINK("http://www.paywithmoon.com", "www.paywithmoon.com")</f>
      </c>
      <c r="M1622" s="16">
        <f>HYPERLINK("https://my.pitchbook.com?c=264541-60", "View Company Online")</f>
      </c>
    </row>
    <row r="1623">
      <c r="A1623" t="s" s="11">
        <v>8412</v>
      </c>
      <c r="B1623" t="s" s="11">
        <v>8413</v>
      </c>
      <c r="C1623" t="s" s="11">
        <v>60</v>
      </c>
      <c r="D1623" t="s" s="11">
        <v>246</v>
      </c>
      <c r="E1623" t="s" s="11">
        <v>253</v>
      </c>
      <c r="F1623" s="28">
        <v>45832</v>
      </c>
      <c r="G1623" t="s" s="11">
        <v>40</v>
      </c>
      <c r="H1623" s="43">
        <v>12.12</v>
      </c>
      <c r="I1623" s="43">
        <v>39.62</v>
      </c>
      <c r="J1623" t="s" s="11">
        <v>8414</v>
      </c>
      <c r="K1623" t="s" s="11">
        <v>8415</v>
      </c>
      <c r="L1623" s="17">
        <f>HYPERLINK("http://www.diggle.jp", "www.diggle.jp")</f>
      </c>
      <c r="M1623" s="17">
        <f>HYPERLINK("https://my.pitchbook.com?c=228573-19", "View Company Online")</f>
      </c>
    </row>
    <row r="1624">
      <c r="A1624" t="s" s="10">
        <v>8417</v>
      </c>
      <c r="B1624" t="s" s="10">
        <v>8418</v>
      </c>
      <c r="C1624" t="s" s="10">
        <v>60</v>
      </c>
      <c r="D1624" t="s" s="10">
        <v>192</v>
      </c>
      <c r="E1624" t="s" s="10">
        <v>137</v>
      </c>
      <c r="F1624" s="27">
        <v>46148</v>
      </c>
      <c r="G1624" t="s" s="10">
        <v>40</v>
      </c>
      <c r="H1624" s="42">
        <v>4.58</v>
      </c>
      <c r="I1624" s="42">
        <v>39.52</v>
      </c>
      <c r="J1624" t="s" s="10">
        <v>8419</v>
      </c>
      <c r="K1624" t="s" s="10">
        <v>8420</v>
      </c>
      <c r="L1624" s="16">
        <f>HYPERLINK("http://www.prosper.co.uk", "www.prosper.co.uk")</f>
      </c>
      <c r="M1624" s="16">
        <f>HYPERLINK("https://my.pitchbook.com?c=527593-06", "View Company Online")</f>
      </c>
    </row>
    <row r="1625">
      <c r="A1625" t="s" s="11">
        <v>8422</v>
      </c>
      <c r="B1625" t="s" s="11">
        <v>8423</v>
      </c>
      <c r="C1625" t="s" s="11">
        <v>222</v>
      </c>
      <c r="D1625" t="s" s="11">
        <v>223</v>
      </c>
      <c r="E1625" t="s" s="11">
        <v>1093</v>
      </c>
      <c r="F1625" s="28">
        <v>45342</v>
      </c>
      <c r="G1625" t="s" s="11">
        <v>40</v>
      </c>
      <c r="H1625" t="s" s="43">
        <v>30</v>
      </c>
      <c r="I1625" s="43">
        <v>39.49</v>
      </c>
      <c r="J1625" t="s" s="11">
        <v>8424</v>
      </c>
      <c r="K1625" t="s" s="11">
        <v>8425</v>
      </c>
      <c r="L1625" s="17">
        <f>HYPERLINK("http://www.brokerinsights.com", "www.brokerinsights.com")</f>
      </c>
      <c r="M1625" s="17">
        <f>HYPERLINK("https://my.pitchbook.com?c=266917-69", "View Company Online")</f>
      </c>
    </row>
    <row r="1626">
      <c r="A1626" t="s" s="10">
        <v>8427</v>
      </c>
      <c r="B1626" t="s" s="10">
        <v>8428</v>
      </c>
      <c r="C1626" t="s" s="10">
        <v>60</v>
      </c>
      <c r="D1626" t="s" s="10">
        <v>192</v>
      </c>
      <c r="E1626" t="s" s="10">
        <v>2782</v>
      </c>
      <c r="F1626" s="27">
        <v>44974</v>
      </c>
      <c r="G1626" t="s" s="10">
        <v>40</v>
      </c>
      <c r="H1626" t="s" s="42">
        <v>30</v>
      </c>
      <c r="I1626" s="42">
        <v>39.44</v>
      </c>
      <c r="J1626" t="s" s="10">
        <v>8429</v>
      </c>
      <c r="K1626" t="s" s="10">
        <v>8430</v>
      </c>
      <c r="L1626" s="16">
        <f>HYPERLINK("http://www.climb.fr", "www.climb.fr")</f>
      </c>
      <c r="M1626" s="16">
        <f>HYPERLINK("https://my.pitchbook.com?c=167013-28", "View Company Online")</f>
      </c>
    </row>
    <row r="1627">
      <c r="A1627" t="s" s="11">
        <v>8432</v>
      </c>
      <c r="B1627" t="s" s="11">
        <v>8433</v>
      </c>
      <c r="C1627" t="s" s="11">
        <v>144</v>
      </c>
      <c r="D1627" t="s" s="11">
        <v>297</v>
      </c>
      <c r="E1627" t="s" s="11">
        <v>137</v>
      </c>
      <c r="F1627" s="28">
        <v>45840</v>
      </c>
      <c r="G1627" t="s" s="11">
        <v>31</v>
      </c>
      <c r="H1627" s="43">
        <v>36.65</v>
      </c>
      <c r="I1627" s="43">
        <v>39.38</v>
      </c>
      <c r="J1627" t="s" s="11">
        <v>8434</v>
      </c>
      <c r="K1627" t="s" s="11">
        <v>8435</v>
      </c>
      <c r="L1627" s="17">
        <f>HYPERLINK("http://paytner.co.jp", "paytner.co.jp")</f>
      </c>
      <c r="M1627" s="17">
        <f>HYPERLINK("https://my.pitchbook.com?c=463517-02", "View Company Online")</f>
      </c>
    </row>
    <row r="1628">
      <c r="A1628" t="s" s="10">
        <v>8437</v>
      </c>
      <c r="B1628" t="s" s="10">
        <v>8438</v>
      </c>
      <c r="C1628" t="s" s="10">
        <v>60</v>
      </c>
      <c r="D1628" t="s" s="10">
        <v>727</v>
      </c>
      <c r="E1628" t="s" s="10">
        <v>2782</v>
      </c>
      <c r="F1628" s="27">
        <v>45335</v>
      </c>
      <c r="G1628" t="s" s="10">
        <v>40</v>
      </c>
      <c r="H1628" s="42">
        <v>2.86</v>
      </c>
      <c r="I1628" s="42">
        <v>39.08</v>
      </c>
      <c r="J1628" t="s" s="10">
        <v>8439</v>
      </c>
      <c r="K1628" t="s" s="10">
        <v>8440</v>
      </c>
      <c r="L1628" s="16">
        <f>HYPERLINK("http://www.kameo.se", "www.kameo.se")</f>
      </c>
      <c r="M1628" s="16">
        <f>HYPERLINK("https://my.pitchbook.com?c=166607-65", "View Company Online")</f>
      </c>
    </row>
    <row r="1629">
      <c r="A1629" t="s" s="11">
        <v>8442</v>
      </c>
      <c r="B1629" t="s" s="11">
        <v>8443</v>
      </c>
      <c r="C1629" t="s" s="11">
        <v>164</v>
      </c>
      <c r="D1629" t="s" s="11">
        <v>206</v>
      </c>
      <c r="E1629" t="s" s="11">
        <v>253</v>
      </c>
      <c r="F1629" s="28">
        <v>46150</v>
      </c>
      <c r="G1629" t="s" s="11">
        <v>2051</v>
      </c>
      <c r="H1629" t="s" s="43">
        <v>30</v>
      </c>
      <c r="I1629" s="43">
        <v>39</v>
      </c>
      <c r="J1629" t="s" s="11">
        <v>8444</v>
      </c>
      <c r="K1629" t="s" s="11">
        <v>30</v>
      </c>
      <c r="L1629" s="17">
        <f>HYPERLINK("http://www.capstack.ai", "www.capstack.ai")</f>
      </c>
      <c r="M1629" s="17">
        <f>HYPERLINK("https://my.pitchbook.com?c=530853-13", "View Company Online")</f>
      </c>
    </row>
    <row r="1630">
      <c r="A1630" t="s" s="10">
        <v>8446</v>
      </c>
      <c r="B1630" t="s" s="10">
        <v>8447</v>
      </c>
      <c r="C1630" t="s" s="10">
        <v>46</v>
      </c>
      <c r="D1630" t="s" s="10">
        <v>47</v>
      </c>
      <c r="E1630" t="s" s="10">
        <v>373</v>
      </c>
      <c r="F1630" s="27">
        <v>45986</v>
      </c>
      <c r="G1630" t="s" s="10">
        <v>4267</v>
      </c>
      <c r="H1630" s="42">
        <v>14</v>
      </c>
      <c r="I1630" s="42">
        <v>39</v>
      </c>
      <c r="J1630" t="s" s="10">
        <v>8448</v>
      </c>
      <c r="K1630" t="s" s="10">
        <v>8449</v>
      </c>
      <c r="L1630" s="16">
        <f>HYPERLINK("http://www.coplane.com", "www.coplane.com")</f>
      </c>
      <c r="M1630" s="16">
        <f>HYPERLINK("https://my.pitchbook.com?c=608625-55", "View Company Online")</f>
      </c>
    </row>
    <row r="1631">
      <c r="A1631" t="s" s="11">
        <v>8451</v>
      </c>
      <c r="B1631" t="s" s="11">
        <v>8452</v>
      </c>
      <c r="C1631" t="s" s="11">
        <v>144</v>
      </c>
      <c r="D1631" t="s" s="11">
        <v>297</v>
      </c>
      <c r="E1631" t="s" s="11">
        <v>137</v>
      </c>
      <c r="F1631" t="s" s="28">
        <v>30</v>
      </c>
      <c r="G1631" t="s" s="11">
        <v>271</v>
      </c>
      <c r="H1631" t="s" s="43">
        <v>30</v>
      </c>
      <c r="I1631" s="43">
        <v>39</v>
      </c>
      <c r="J1631" t="s" s="11">
        <v>8453</v>
      </c>
      <c r="K1631" t="s" s="11">
        <v>8454</v>
      </c>
      <c r="L1631" s="17">
        <f>HYPERLINK("http://www.gigastar.io", "www.gigastar.io")</f>
      </c>
      <c r="M1631" s="17">
        <f>HYPERLINK("https://my.pitchbook.com?c=521694-82", "View Company Online")</f>
      </c>
    </row>
    <row r="1632">
      <c r="A1632" t="s" s="10">
        <v>8456</v>
      </c>
      <c r="B1632" t="s" s="10">
        <v>8457</v>
      </c>
      <c r="C1632" t="s" s="10">
        <v>60</v>
      </c>
      <c r="D1632" t="s" s="10">
        <v>727</v>
      </c>
      <c r="E1632" t="s" s="10">
        <v>2835</v>
      </c>
      <c r="F1632" s="27">
        <v>45817</v>
      </c>
      <c r="G1632" t="s" s="10">
        <v>40</v>
      </c>
      <c r="H1632" s="42">
        <v>9.05</v>
      </c>
      <c r="I1632" s="42">
        <v>39</v>
      </c>
      <c r="J1632" t="s" s="10">
        <v>8458</v>
      </c>
      <c r="K1632" t="s" s="10">
        <v>8459</v>
      </c>
      <c r="L1632" s="16">
        <f>HYPERLINK("http://www.nada.co", "www.nada.co")</f>
      </c>
      <c r="M1632" s="16">
        <f>HYPERLINK("https://my.pitchbook.com?c=436364-29", "View Company Online")</f>
      </c>
    </row>
    <row r="1633">
      <c r="A1633" t="s" s="11">
        <v>8461</v>
      </c>
      <c r="B1633" t="s" s="11">
        <v>8462</v>
      </c>
      <c r="C1633" t="s" s="11">
        <v>60</v>
      </c>
      <c r="D1633" t="s" s="11">
        <v>246</v>
      </c>
      <c r="E1633" t="s" s="11">
        <v>116</v>
      </c>
      <c r="F1633" s="28">
        <v>45951</v>
      </c>
      <c r="G1633" t="s" s="11">
        <v>146</v>
      </c>
      <c r="H1633" s="43">
        <v>23.29</v>
      </c>
      <c r="I1633" s="43">
        <v>39</v>
      </c>
      <c r="J1633" t="s" s="11">
        <v>8463</v>
      </c>
      <c r="K1633" t="s" s="11">
        <v>8464</v>
      </c>
      <c r="L1633" s="17">
        <f>HYPERLINK("http://www.streetbeat.com", "www.streetbeat.com")</f>
      </c>
      <c r="M1633" s="17">
        <f>HYPERLINK("https://my.pitchbook.com?c=482444-83", "View Company Online")</f>
      </c>
    </row>
    <row r="1634">
      <c r="A1634" t="s" s="10">
        <v>8466</v>
      </c>
      <c r="B1634" t="s" s="10">
        <v>8467</v>
      </c>
      <c r="C1634" t="s" s="10">
        <v>114</v>
      </c>
      <c r="D1634" t="s" s="10">
        <v>1386</v>
      </c>
      <c r="E1634" t="s" s="10">
        <v>629</v>
      </c>
      <c r="F1634" s="27">
        <v>45925</v>
      </c>
      <c r="G1634" t="s" s="10">
        <v>146</v>
      </c>
      <c r="H1634" s="42">
        <v>12.95</v>
      </c>
      <c r="I1634" s="42">
        <v>38.8</v>
      </c>
      <c r="J1634" t="s" s="10">
        <v>8468</v>
      </c>
      <c r="K1634" t="s" s="10">
        <v>8469</v>
      </c>
      <c r="L1634" s="16">
        <f>HYPERLINK("http://www.lendos.io", "www.lendos.io")</f>
      </c>
      <c r="M1634" s="16">
        <f>HYPERLINK("https://my.pitchbook.com?c=509249-44", "View Company Online")</f>
      </c>
    </row>
    <row r="1635">
      <c r="A1635" t="s" s="11">
        <v>8471</v>
      </c>
      <c r="B1635" t="s" s="11">
        <v>8472</v>
      </c>
      <c r="C1635" t="s" s="11">
        <v>37</v>
      </c>
      <c r="D1635" t="s" s="11">
        <v>304</v>
      </c>
      <c r="E1635" t="s" s="11">
        <v>253</v>
      </c>
      <c r="F1635" s="28">
        <v>44371</v>
      </c>
      <c r="G1635" t="s" s="11">
        <v>146</v>
      </c>
      <c r="H1635" s="43">
        <v>15.57</v>
      </c>
      <c r="I1635" s="43">
        <v>38.79</v>
      </c>
      <c r="J1635" t="s" s="11">
        <v>8473</v>
      </c>
      <c r="K1635" t="s" s="11">
        <v>8474</v>
      </c>
      <c r="L1635" s="17">
        <f>HYPERLINK("http://www.bling.eu", "www.bling.eu")</f>
      </c>
      <c r="M1635" s="17">
        <f>HYPERLINK("https://my.pitchbook.com?c=442895-50", "View Company Online")</f>
      </c>
    </row>
    <row r="1636">
      <c r="A1636" t="s" s="10">
        <v>8476</v>
      </c>
      <c r="B1636" t="s" s="10">
        <v>8477</v>
      </c>
      <c r="C1636" t="s" s="10">
        <v>60</v>
      </c>
      <c r="D1636" t="s" s="10">
        <v>432</v>
      </c>
      <c r="E1636" t="s" s="10">
        <v>373</v>
      </c>
      <c r="F1636" t="s" s="27">
        <v>30</v>
      </c>
      <c r="G1636" t="s" s="10">
        <v>31</v>
      </c>
      <c r="H1636" t="s" s="42">
        <v>30</v>
      </c>
      <c r="I1636" s="42">
        <v>38.66</v>
      </c>
      <c r="J1636" t="s" s="10">
        <v>8478</v>
      </c>
      <c r="K1636" t="s" s="10">
        <v>8479</v>
      </c>
      <c r="L1636" s="16">
        <f>HYPERLINK("http://www.fundpath.com", "www.fundpath.com")</f>
      </c>
      <c r="M1636" s="16">
        <f>HYPERLINK("https://my.pitchbook.com?c=503488-27", "View Company Online")</f>
      </c>
    </row>
    <row r="1637">
      <c r="A1637" t="s" s="11">
        <v>8481</v>
      </c>
      <c r="B1637" t="s" s="11">
        <v>8482</v>
      </c>
      <c r="C1637" t="s" s="11">
        <v>222</v>
      </c>
      <c r="D1637" t="s" s="11">
        <v>235</v>
      </c>
      <c r="E1637" t="s" s="11">
        <v>137</v>
      </c>
      <c r="F1637" s="28">
        <v>45750</v>
      </c>
      <c r="G1637" t="s" s="11">
        <v>40</v>
      </c>
      <c r="H1637" t="s" s="43">
        <v>30</v>
      </c>
      <c r="I1637" s="43">
        <v>38.59</v>
      </c>
      <c r="J1637" t="s" s="11">
        <v>8483</v>
      </c>
      <c r="K1637" t="s" s="11">
        <v>8484</v>
      </c>
      <c r="L1637" s="17">
        <f>HYPERLINK("http://jp.smartround.com", "jp.smartround.com")</f>
      </c>
      <c r="M1637" s="17">
        <f>HYPERLINK("https://my.pitchbook.com?c=463511-62", "View Company Online")</f>
      </c>
    </row>
    <row r="1638">
      <c r="A1638" t="s" s="10">
        <v>8486</v>
      </c>
      <c r="B1638" t="s" s="10">
        <v>8487</v>
      </c>
      <c r="C1638" t="s" s="10">
        <v>37</v>
      </c>
      <c r="D1638" t="s" s="10">
        <v>304</v>
      </c>
      <c r="E1638" t="s" s="10">
        <v>116</v>
      </c>
      <c r="F1638" s="27">
        <v>45960</v>
      </c>
      <c r="G1638" t="s" s="10">
        <v>146</v>
      </c>
      <c r="H1638" s="42">
        <v>10.97</v>
      </c>
      <c r="I1638" s="42">
        <v>38.54</v>
      </c>
      <c r="J1638" t="s" s="10">
        <v>8488</v>
      </c>
      <c r="K1638" t="s" s="10">
        <v>8489</v>
      </c>
      <c r="L1638" s="16">
        <f>HYPERLINK("http://www.salaryse.com", "www.salaryse.com")</f>
      </c>
      <c r="M1638" s="16">
        <f>HYPERLINK("https://my.pitchbook.com?c=550056-52", "View Company Online")</f>
      </c>
    </row>
    <row r="1639">
      <c r="A1639" t="s" s="11">
        <v>8491</v>
      </c>
      <c r="B1639" t="s" s="11">
        <v>8492</v>
      </c>
      <c r="C1639" t="s" s="11">
        <v>46</v>
      </c>
      <c r="D1639" t="s" s="11">
        <v>47</v>
      </c>
      <c r="E1639" t="s" s="11">
        <v>2824</v>
      </c>
      <c r="F1639" t="s" s="28">
        <v>30</v>
      </c>
      <c r="G1639" t="s" s="11">
        <v>40</v>
      </c>
      <c r="H1639" t="s" s="43">
        <v>30</v>
      </c>
      <c r="I1639" s="43">
        <v>38.5</v>
      </c>
      <c r="J1639" t="s" s="11">
        <v>8493</v>
      </c>
      <c r="K1639" t="s" s="11">
        <v>8494</v>
      </c>
      <c r="L1639" s="17">
        <f>HYPERLINK("http://www.goanagram.com", "www.goanagram.com")</f>
      </c>
      <c r="M1639" s="17">
        <f>HYPERLINK("https://my.pitchbook.com?c=117505-09", "View Company Online")</f>
      </c>
    </row>
    <row r="1640">
      <c r="A1640" t="s" s="10">
        <v>8496</v>
      </c>
      <c r="B1640" t="s" s="10">
        <v>8497</v>
      </c>
      <c r="C1640" t="s" s="10">
        <v>164</v>
      </c>
      <c r="D1640" t="s" s="10">
        <v>165</v>
      </c>
      <c r="E1640" t="s" s="10">
        <v>8498</v>
      </c>
      <c r="F1640" s="27">
        <v>44981</v>
      </c>
      <c r="G1640" t="s" s="10">
        <v>40</v>
      </c>
      <c r="H1640" t="s" s="42">
        <v>30</v>
      </c>
      <c r="I1640" s="42">
        <v>38.5</v>
      </c>
      <c r="J1640" t="s" s="10">
        <v>8499</v>
      </c>
      <c r="K1640" t="s" s="10">
        <v>8500</v>
      </c>
      <c r="L1640" s="16">
        <f>HYPERLINK("http://www.bankjoy.com", "www.bankjoy.com")</f>
      </c>
      <c r="M1640" s="16">
        <f>HYPERLINK("https://my.pitchbook.com?c=110122-66", "View Company Online")</f>
      </c>
    </row>
    <row r="1641">
      <c r="A1641" t="s" s="11">
        <v>8502</v>
      </c>
      <c r="B1641" t="s" s="11">
        <v>8503</v>
      </c>
      <c r="C1641" t="s" s="11">
        <v>222</v>
      </c>
      <c r="D1641" t="s" s="11">
        <v>252</v>
      </c>
      <c r="E1641" t="s" s="11">
        <v>859</v>
      </c>
      <c r="F1641" t="s" s="28">
        <v>30</v>
      </c>
      <c r="G1641" t="s" s="11">
        <v>48</v>
      </c>
      <c r="H1641" t="s" s="43">
        <v>30</v>
      </c>
      <c r="I1641" s="43">
        <v>38.45</v>
      </c>
      <c r="J1641" t="s" s="11">
        <v>8504</v>
      </c>
      <c r="K1641" t="s" s="11">
        <v>8505</v>
      </c>
      <c r="L1641" s="17">
        <f>HYPERLINK("http://clearmatics.com", "clearmatics.com")</f>
      </c>
      <c r="M1641" s="17">
        <f>HYPERLINK("https://my.pitchbook.com?c=117819-10", "View Company Online")</f>
      </c>
    </row>
    <row r="1642">
      <c r="A1642" t="s" s="10">
        <v>8507</v>
      </c>
      <c r="B1642" t="s" s="10">
        <v>8508</v>
      </c>
      <c r="C1642" t="s" s="10">
        <v>27</v>
      </c>
      <c r="D1642" t="s" s="10">
        <v>70</v>
      </c>
      <c r="E1642" t="s" s="10">
        <v>311</v>
      </c>
      <c r="F1642" s="27">
        <v>46113</v>
      </c>
      <c r="G1642" t="s" s="10">
        <v>4267</v>
      </c>
      <c r="H1642" s="42">
        <v>8</v>
      </c>
      <c r="I1642" s="42">
        <v>38.4</v>
      </c>
      <c r="J1642" t="s" s="10">
        <v>8509</v>
      </c>
      <c r="K1642" t="s" s="10">
        <v>8510</v>
      </c>
      <c r="L1642" s="16">
        <f>HYPERLINK("http://www.latitude.xyz", "www.latitude.xyz")</f>
      </c>
      <c r="M1642" s="16">
        <f>HYPERLINK("https://my.pitchbook.com?c=1366676-65", "View Company Online")</f>
      </c>
    </row>
    <row r="1643">
      <c r="A1643" t="s" s="11">
        <v>8512</v>
      </c>
      <c r="B1643" t="s" s="11">
        <v>8513</v>
      </c>
      <c r="C1643" t="s" s="11">
        <v>27</v>
      </c>
      <c r="D1643" t="s" s="11">
        <v>28</v>
      </c>
      <c r="E1643" t="s" s="11">
        <v>1595</v>
      </c>
      <c r="F1643" s="28">
        <v>45695</v>
      </c>
      <c r="G1643" t="s" s="11">
        <v>4267</v>
      </c>
      <c r="H1643" s="43">
        <v>7.4</v>
      </c>
      <c r="I1643" s="43">
        <v>38.25</v>
      </c>
      <c r="J1643" t="s" s="11">
        <v>8514</v>
      </c>
      <c r="K1643" t="s" s="11">
        <v>8515</v>
      </c>
      <c r="L1643" s="17">
        <f>HYPERLINK("http://www.ssvsmartpay.co", "www.ssvsmartpay.co")</f>
      </c>
      <c r="M1643" s="17">
        <f>HYPERLINK("https://my.pitchbook.com?c=638859-61", "View Company Online")</f>
      </c>
    </row>
    <row r="1644">
      <c r="A1644" t="s" s="10">
        <v>8517</v>
      </c>
      <c r="B1644" t="s" s="10">
        <v>8518</v>
      </c>
      <c r="C1644" t="s" s="10">
        <v>60</v>
      </c>
      <c r="D1644" t="s" s="10">
        <v>432</v>
      </c>
      <c r="E1644" t="s" s="10">
        <v>253</v>
      </c>
      <c r="F1644" s="27">
        <v>45689</v>
      </c>
      <c r="G1644" t="s" s="10">
        <v>607</v>
      </c>
      <c r="H1644" t="s" s="42">
        <v>30</v>
      </c>
      <c r="I1644" s="42">
        <v>38.24</v>
      </c>
      <c r="J1644" t="s" s="10">
        <v>8519</v>
      </c>
      <c r="K1644" t="s" s="10">
        <v>8520</v>
      </c>
      <c r="L1644" s="16">
        <f>HYPERLINK("http://www.1fs.co", "www.1fs.co")</f>
      </c>
      <c r="M1644" s="16">
        <f>HYPERLINK("https://my.pitchbook.com?c=436733-65", "View Company Online")</f>
      </c>
    </row>
    <row r="1645">
      <c r="A1645" t="s" s="11">
        <v>8522</v>
      </c>
      <c r="B1645" t="s" s="11">
        <v>8523</v>
      </c>
      <c r="C1645" t="s" s="11">
        <v>114</v>
      </c>
      <c r="D1645" t="s" s="11">
        <v>1386</v>
      </c>
      <c r="E1645" t="s" s="11">
        <v>367</v>
      </c>
      <c r="F1645" s="28">
        <v>45049</v>
      </c>
      <c r="G1645" t="s" s="11">
        <v>40</v>
      </c>
      <c r="H1645" s="43">
        <v>11.04</v>
      </c>
      <c r="I1645" s="43">
        <v>38.14</v>
      </c>
      <c r="J1645" t="s" s="11">
        <v>8524</v>
      </c>
      <c r="K1645" t="s" s="11">
        <v>8525</v>
      </c>
      <c r="L1645" s="17">
        <f>HYPERLINK("http://www.kreditz.com", "www.kreditz.com")</f>
      </c>
      <c r="M1645" s="17">
        <f>HYPERLINK("https://my.pitchbook.com?c=233992-72", "View Company Online")</f>
      </c>
    </row>
    <row r="1646">
      <c r="A1646" t="s" s="10">
        <v>8527</v>
      </c>
      <c r="B1646" t="s" s="10">
        <v>8528</v>
      </c>
      <c r="C1646" t="s" s="10">
        <v>144</v>
      </c>
      <c r="D1646" t="s" s="10">
        <v>297</v>
      </c>
      <c r="E1646" t="s" s="10">
        <v>253</v>
      </c>
      <c r="F1646" s="27">
        <v>45359</v>
      </c>
      <c r="G1646" t="s" s="10">
        <v>40</v>
      </c>
      <c r="H1646" s="42">
        <v>15.78</v>
      </c>
      <c r="I1646" s="42">
        <v>38.08</v>
      </c>
      <c r="J1646" t="s" s="10">
        <v>8529</v>
      </c>
      <c r="K1646" t="s" s="10">
        <v>8530</v>
      </c>
      <c r="L1646" s="16">
        <f>HYPERLINK("http://www.novelcapital.com", "www.novelcapital.com")</f>
      </c>
      <c r="M1646" s="16">
        <f>HYPERLINK("https://my.pitchbook.com?c=226243-27", "View Company Online")</f>
      </c>
    </row>
    <row r="1647">
      <c r="A1647" t="s" s="11">
        <v>8532</v>
      </c>
      <c r="B1647" t="s" s="11">
        <v>8533</v>
      </c>
      <c r="C1647" t="s" s="11">
        <v>46</v>
      </c>
      <c r="D1647" t="s" s="11">
        <v>397</v>
      </c>
      <c r="E1647" t="s" s="11">
        <v>253</v>
      </c>
      <c r="F1647" t="s" s="28">
        <v>30</v>
      </c>
      <c r="G1647" t="s" s="11">
        <v>48</v>
      </c>
      <c r="H1647" t="s" s="43">
        <v>30</v>
      </c>
      <c r="I1647" s="43">
        <v>38</v>
      </c>
      <c r="J1647" t="s" s="11">
        <v>8534</v>
      </c>
      <c r="K1647" t="s" s="11">
        <v>8535</v>
      </c>
      <c r="L1647" s="17">
        <f>HYPERLINK("http://www.jetpackworkflow.com", "www.jetpackworkflow.com")</f>
      </c>
      <c r="M1647" s="17">
        <f>HYPERLINK("https://my.pitchbook.com?c=97342-03", "View Company Online")</f>
      </c>
    </row>
    <row r="1648">
      <c r="A1648" t="s" s="10">
        <v>8537</v>
      </c>
      <c r="B1648" t="s" s="10">
        <v>8538</v>
      </c>
      <c r="C1648" t="s" s="10">
        <v>60</v>
      </c>
      <c r="D1648" t="s" s="10">
        <v>727</v>
      </c>
      <c r="E1648" t="s" s="10">
        <v>5236</v>
      </c>
      <c r="F1648" s="27">
        <v>45565</v>
      </c>
      <c r="G1648" t="s" s="10">
        <v>40</v>
      </c>
      <c r="H1648" t="s" s="42">
        <v>30</v>
      </c>
      <c r="I1648" s="42">
        <v>38</v>
      </c>
      <c r="J1648" t="s" s="10">
        <v>8539</v>
      </c>
      <c r="K1648" t="s" s="10">
        <v>8540</v>
      </c>
      <c r="L1648" s="16">
        <f>HYPERLINK("http://www.lofty.ai", "www.lofty.ai")</f>
      </c>
      <c r="M1648" s="16">
        <f>HYPERLINK("https://my.pitchbook.com?c=279563-14", "View Company Online")</f>
      </c>
    </row>
    <row r="1649">
      <c r="A1649" t="s" s="11">
        <v>8542</v>
      </c>
      <c r="B1649" t="s" s="11">
        <v>8543</v>
      </c>
      <c r="C1649" t="s" s="11">
        <v>27</v>
      </c>
      <c r="D1649" t="s" s="11">
        <v>70</v>
      </c>
      <c r="E1649" t="s" s="11">
        <v>1859</v>
      </c>
      <c r="F1649" s="28">
        <v>45726</v>
      </c>
      <c r="G1649" t="s" s="11">
        <v>146</v>
      </c>
      <c r="H1649" s="43">
        <v>20</v>
      </c>
      <c r="I1649" s="43">
        <v>38</v>
      </c>
      <c r="J1649" t="s" s="11">
        <v>8544</v>
      </c>
      <c r="K1649" t="s" s="11">
        <v>8545</v>
      </c>
      <c r="L1649" s="17">
        <f>HYPERLINK("http://www.mica.io", "www.mica.io")</f>
      </c>
      <c r="M1649" s="17">
        <f>HYPERLINK("https://my.pitchbook.com?c=529070-14", "View Company Online")</f>
      </c>
    </row>
    <row r="1650">
      <c r="A1650" t="s" s="10">
        <v>8547</v>
      </c>
      <c r="B1650" t="s" s="10">
        <v>8548</v>
      </c>
      <c r="C1650" t="s" s="10">
        <v>164</v>
      </c>
      <c r="D1650" t="s" s="10">
        <v>165</v>
      </c>
      <c r="E1650" t="s" s="10">
        <v>7717</v>
      </c>
      <c r="F1650" s="27">
        <v>45198</v>
      </c>
      <c r="G1650" t="s" s="10">
        <v>48</v>
      </c>
      <c r="H1650" t="s" s="42">
        <v>30</v>
      </c>
      <c r="I1650" s="42">
        <v>38</v>
      </c>
      <c r="J1650" t="s" s="10">
        <v>8549</v>
      </c>
      <c r="K1650" t="s" s="10">
        <v>8550</v>
      </c>
      <c r="L1650" s="16">
        <f>HYPERLINK("http://monarchfts.com", "monarchfts.com")</f>
      </c>
      <c r="M1650" s="16">
        <f>HYPERLINK("https://my.pitchbook.com?c=176439-70", "View Company Online")</f>
      </c>
    </row>
    <row r="1651">
      <c r="A1651" t="s" s="11">
        <v>8552</v>
      </c>
      <c r="B1651" t="s" s="11">
        <v>8553</v>
      </c>
      <c r="C1651" t="s" s="11">
        <v>164</v>
      </c>
      <c r="D1651" t="s" s="11">
        <v>165</v>
      </c>
      <c r="E1651" t="s" s="11">
        <v>2788</v>
      </c>
      <c r="F1651" s="28">
        <v>46142</v>
      </c>
      <c r="G1651" t="s" s="11">
        <v>391</v>
      </c>
      <c r="H1651" t="s" s="43">
        <v>30</v>
      </c>
      <c r="I1651" s="43">
        <v>38</v>
      </c>
      <c r="J1651" t="s" s="11">
        <v>8554</v>
      </c>
      <c r="K1651" t="s" s="11">
        <v>8555</v>
      </c>
      <c r="L1651" s="17">
        <f>HYPERLINK("http://www.tassat.com", "www.tassat.com")</f>
      </c>
      <c r="M1651" s="17">
        <f>HYPERLINK("https://my.pitchbook.com?c=228618-73", "View Company Online")</f>
      </c>
    </row>
    <row r="1652">
      <c r="A1652" t="s" s="10">
        <v>8557</v>
      </c>
      <c r="B1652" t="s" s="10">
        <v>8558</v>
      </c>
      <c r="C1652" t="s" s="10">
        <v>172</v>
      </c>
      <c r="D1652" t="s" s="10">
        <v>338</v>
      </c>
      <c r="E1652" t="s" s="10">
        <v>253</v>
      </c>
      <c r="F1652" s="27">
        <v>45891</v>
      </c>
      <c r="G1652" t="s" s="10">
        <v>607</v>
      </c>
      <c r="H1652" t="s" s="42">
        <v>30</v>
      </c>
      <c r="I1652" s="42">
        <v>38</v>
      </c>
      <c r="J1652" t="s" s="10">
        <v>8559</v>
      </c>
      <c r="K1652" t="s" s="10">
        <v>8560</v>
      </c>
      <c r="L1652" s="16">
        <f>HYPERLINK("http://www.themis.com", "www.themis.com")</f>
      </c>
      <c r="M1652" s="16">
        <f>HYPERLINK("https://my.pitchbook.com?c=484612-48", "View Company Online")</f>
      </c>
    </row>
    <row r="1653">
      <c r="A1653" t="s" s="11">
        <v>8562</v>
      </c>
      <c r="B1653" t="s" s="11">
        <v>8563</v>
      </c>
      <c r="C1653" t="s" s="11">
        <v>27</v>
      </c>
      <c r="D1653" t="s" s="11">
        <v>122</v>
      </c>
      <c r="E1653" t="s" s="11">
        <v>253</v>
      </c>
      <c r="F1653" s="28">
        <v>45894</v>
      </c>
      <c r="G1653" t="s" s="11">
        <v>40</v>
      </c>
      <c r="H1653" s="43">
        <v>5</v>
      </c>
      <c r="I1653" s="43">
        <v>37.73</v>
      </c>
      <c r="J1653" t="s" s="11">
        <v>8564</v>
      </c>
      <c r="K1653" t="s" s="11">
        <v>8565</v>
      </c>
      <c r="L1653" s="17">
        <f>HYPERLINK("http://www.sendpayments.com", "www.sendpayments.com")</f>
      </c>
      <c r="M1653" s="17">
        <f>HYPERLINK("https://my.pitchbook.com?c=458673-13", "View Company Online")</f>
      </c>
    </row>
    <row r="1654">
      <c r="A1654" t="s" s="10">
        <v>8567</v>
      </c>
      <c r="B1654" t="s" s="10">
        <v>8568</v>
      </c>
      <c r="C1654" t="s" s="10">
        <v>164</v>
      </c>
      <c r="D1654" t="s" s="10">
        <v>206</v>
      </c>
      <c r="E1654" t="s" s="10">
        <v>137</v>
      </c>
      <c r="F1654" s="27">
        <v>45309</v>
      </c>
      <c r="G1654" t="s" s="10">
        <v>146</v>
      </c>
      <c r="H1654" s="42">
        <v>11</v>
      </c>
      <c r="I1654" s="42">
        <v>37.66</v>
      </c>
      <c r="J1654" t="s" s="10">
        <v>8569</v>
      </c>
      <c r="K1654" t="s" s="10">
        <v>8570</v>
      </c>
      <c r="L1654" s="16">
        <f>HYPERLINK("http://www.finagg.in", "www.finagg.in")</f>
      </c>
      <c r="M1654" s="16">
        <f>HYPERLINK("https://my.pitchbook.com?c=506962-81", "View Company Online")</f>
      </c>
    </row>
    <row r="1655">
      <c r="A1655" t="s" s="11">
        <v>8572</v>
      </c>
      <c r="B1655" t="s" s="11">
        <v>8573</v>
      </c>
      <c r="C1655" t="s" s="11">
        <v>114</v>
      </c>
      <c r="D1655" t="s" s="11">
        <v>870</v>
      </c>
      <c r="E1655" t="s" s="11">
        <v>8574</v>
      </c>
      <c r="F1655" t="s" s="28">
        <v>30</v>
      </c>
      <c r="G1655" t="s" s="11">
        <v>607</v>
      </c>
      <c r="H1655" t="s" s="43">
        <v>30</v>
      </c>
      <c r="I1655" s="43">
        <v>37.61</v>
      </c>
      <c r="J1655" t="s" s="11">
        <v>8575</v>
      </c>
      <c r="K1655" t="s" s="11">
        <v>8576</v>
      </c>
      <c r="L1655" s="17">
        <f>HYPERLINK("http://www.mooofarm.com", "www.mooofarm.com")</f>
      </c>
      <c r="M1655" s="17">
        <f>HYPERLINK("https://my.pitchbook.com?c=438782-59", "View Company Online")</f>
      </c>
    </row>
    <row r="1656">
      <c r="A1656" t="s" s="10">
        <v>8578</v>
      </c>
      <c r="B1656" t="s" s="10">
        <v>8579</v>
      </c>
      <c r="C1656" t="s" s="10">
        <v>114</v>
      </c>
      <c r="D1656" t="s" s="10">
        <v>852</v>
      </c>
      <c r="E1656" t="s" s="10">
        <v>193</v>
      </c>
      <c r="F1656" t="s" s="27">
        <v>30</v>
      </c>
      <c r="G1656" t="s" s="10">
        <v>48</v>
      </c>
      <c r="H1656" t="s" s="42">
        <v>30</v>
      </c>
      <c r="I1656" s="42">
        <v>37.46</v>
      </c>
      <c r="J1656" t="s" s="10">
        <v>8580</v>
      </c>
      <c r="K1656" t="s" s="10">
        <v>8581</v>
      </c>
      <c r="L1656" s="16">
        <f>HYPERLINK("http://www.swoopfunding.com", "www.swoopfunding.com")</f>
      </c>
      <c r="M1656" s="16">
        <f>HYPERLINK("https://my.pitchbook.com?c=231457-06", "View Company Online")</f>
      </c>
    </row>
    <row r="1657">
      <c r="A1657" t="s" s="11">
        <v>8583</v>
      </c>
      <c r="B1657" t="s" s="11">
        <v>8584</v>
      </c>
      <c r="C1657" t="s" s="11">
        <v>60</v>
      </c>
      <c r="D1657" t="s" s="11">
        <v>61</v>
      </c>
      <c r="E1657" t="s" s="11">
        <v>270</v>
      </c>
      <c r="F1657" s="28">
        <v>46013</v>
      </c>
      <c r="G1657" t="s" s="11">
        <v>391</v>
      </c>
      <c r="H1657" s="43">
        <v>37.45</v>
      </c>
      <c r="I1657" s="43">
        <v>37.45</v>
      </c>
      <c r="J1657" t="s" s="11">
        <v>8585</v>
      </c>
      <c r="K1657" t="s" s="11">
        <v>30</v>
      </c>
      <c r="L1657" s="17">
        <f>HYPERLINK("http://www.momoney.in", "www.momoney.in")</f>
      </c>
      <c r="M1657" s="17">
        <f>HYPERLINK("https://my.pitchbook.com?c=518247-91", "View Company Online")</f>
      </c>
    </row>
    <row r="1658">
      <c r="A1658" t="s" s="10">
        <v>8587</v>
      </c>
      <c r="B1658" t="s" s="10">
        <v>8588</v>
      </c>
      <c r="C1658" t="s" s="10">
        <v>46</v>
      </c>
      <c r="D1658" t="s" s="10">
        <v>397</v>
      </c>
      <c r="E1658" t="s" s="10">
        <v>414</v>
      </c>
      <c r="F1658" t="s" s="27">
        <v>30</v>
      </c>
      <c r="G1658" t="s" s="10">
        <v>40</v>
      </c>
      <c r="H1658" t="s" s="42">
        <v>30</v>
      </c>
      <c r="I1658" s="42">
        <v>37.39</v>
      </c>
      <c r="J1658" t="s" s="10">
        <v>8589</v>
      </c>
      <c r="K1658" t="s" s="10">
        <v>8590</v>
      </c>
      <c r="L1658" s="16">
        <f>HYPERLINK("http://www.taina.tech", "www.taina.tech")</f>
      </c>
      <c r="M1658" s="16">
        <f>HYPERLINK("https://my.pitchbook.com?c=181034-65", "View Company Online")</f>
      </c>
    </row>
    <row r="1659">
      <c r="A1659" t="s" s="11">
        <v>8592</v>
      </c>
      <c r="B1659" t="s" s="11">
        <v>8593</v>
      </c>
      <c r="C1659" t="s" s="11">
        <v>128</v>
      </c>
      <c r="D1659" t="s" s="11">
        <v>276</v>
      </c>
      <c r="E1659" t="s" s="11">
        <v>253</v>
      </c>
      <c r="F1659" s="28">
        <v>45923</v>
      </c>
      <c r="G1659" t="s" s="11">
        <v>607</v>
      </c>
      <c r="H1659" t="s" s="43">
        <v>30</v>
      </c>
      <c r="I1659" s="43">
        <v>37.37</v>
      </c>
      <c r="J1659" t="s" s="11">
        <v>8594</v>
      </c>
      <c r="K1659" t="s" s="11">
        <v>8595</v>
      </c>
      <c r="L1659" s="17">
        <f>HYPERLINK("http://www.currensea.com", "www.currensea.com")</f>
      </c>
      <c r="M1659" s="17">
        <f>HYPERLINK("https://my.pitchbook.com?c=339771-07", "View Company Online")</f>
      </c>
    </row>
    <row r="1660">
      <c r="A1660" t="s" s="10">
        <v>8597</v>
      </c>
      <c r="B1660" t="s" s="10">
        <v>8598</v>
      </c>
      <c r="C1660" t="s" s="10">
        <v>222</v>
      </c>
      <c r="D1660" t="s" s="10">
        <v>223</v>
      </c>
      <c r="E1660" t="s" s="10">
        <v>137</v>
      </c>
      <c r="F1660" s="27">
        <v>44491</v>
      </c>
      <c r="G1660" t="s" s="10">
        <v>40</v>
      </c>
      <c r="H1660" s="42">
        <v>6.9</v>
      </c>
      <c r="I1660" s="42">
        <v>37.34</v>
      </c>
      <c r="J1660" t="s" s="10">
        <v>8599</v>
      </c>
      <c r="K1660" t="s" s="10">
        <v>8600</v>
      </c>
      <c r="L1660" s="16">
        <f>HYPERLINK("http://www.byhiras.com", "www.byhiras.com")</f>
      </c>
      <c r="M1660" s="16">
        <f>HYPERLINK("https://my.pitchbook.com?c=266017-33", "View Company Online")</f>
      </c>
    </row>
    <row r="1661">
      <c r="A1661" t="s" s="11">
        <v>8602</v>
      </c>
      <c r="B1661" t="s" s="11">
        <v>8603</v>
      </c>
      <c r="C1661" t="s" s="11">
        <v>114</v>
      </c>
      <c r="D1661" t="s" s="11">
        <v>136</v>
      </c>
      <c r="E1661" t="s" s="11">
        <v>253</v>
      </c>
      <c r="F1661" s="28">
        <v>45114</v>
      </c>
      <c r="G1661" t="s" s="11">
        <v>271</v>
      </c>
      <c r="H1661" s="43">
        <v>2.8</v>
      </c>
      <c r="I1661" s="43">
        <v>37.34</v>
      </c>
      <c r="J1661" t="s" s="11">
        <v>8604</v>
      </c>
      <c r="K1661" t="s" s="11">
        <v>8605</v>
      </c>
      <c r="L1661" s="17">
        <f>HYPERLINK("http://www.lend.ch", "www.lend.ch")</f>
      </c>
      <c r="M1661" s="17">
        <f>HYPERLINK("https://my.pitchbook.com?c=152308-36", "View Company Online")</f>
      </c>
    </row>
    <row r="1662">
      <c r="A1662" t="s" s="10">
        <v>8607</v>
      </c>
      <c r="B1662" t="s" s="10">
        <v>8608</v>
      </c>
      <c r="C1662" t="s" s="10">
        <v>60</v>
      </c>
      <c r="D1662" t="s" s="10">
        <v>420</v>
      </c>
      <c r="E1662" t="s" s="10">
        <v>8609</v>
      </c>
      <c r="F1662" t="s" s="27">
        <v>30</v>
      </c>
      <c r="G1662" t="s" s="10">
        <v>391</v>
      </c>
      <c r="H1662" t="s" s="42">
        <v>30</v>
      </c>
      <c r="I1662" s="42">
        <v>37.29</v>
      </c>
      <c r="J1662" t="s" s="10">
        <v>8610</v>
      </c>
      <c r="K1662" t="s" s="10">
        <v>30</v>
      </c>
      <c r="L1662" s="16">
        <f>HYPERLINK("http://www.restless.co.uk", "www.restless.co.uk")</f>
      </c>
      <c r="M1662" s="16">
        <f>HYPERLINK("https://my.pitchbook.com?c=264550-06", "View Company Online")</f>
      </c>
    </row>
    <row r="1663">
      <c r="A1663" t="s" s="11">
        <v>8612</v>
      </c>
      <c r="B1663" t="s" s="11">
        <v>8613</v>
      </c>
      <c r="C1663" t="s" s="11">
        <v>27</v>
      </c>
      <c r="D1663" t="s" s="11">
        <v>122</v>
      </c>
      <c r="E1663" t="s" s="11">
        <v>137</v>
      </c>
      <c r="F1663" s="28">
        <v>46000</v>
      </c>
      <c r="G1663" t="s" s="11">
        <v>40</v>
      </c>
      <c r="H1663" s="43">
        <v>12.5</v>
      </c>
      <c r="I1663" s="43">
        <v>37.14</v>
      </c>
      <c r="J1663" t="s" s="11">
        <v>8614</v>
      </c>
      <c r="K1663" t="s" s="11">
        <v>8615</v>
      </c>
      <c r="L1663" s="17">
        <f>HYPERLINK("http://www.alt21.com", "www.alt21.com")</f>
      </c>
      <c r="M1663" s="17">
        <f>HYPERLINK("https://my.pitchbook.com?c=178248-34", "View Company Online")</f>
      </c>
    </row>
    <row r="1664">
      <c r="A1664" t="s" s="10">
        <v>8617</v>
      </c>
      <c r="B1664" t="s" s="10">
        <v>8618</v>
      </c>
      <c r="C1664" t="s" s="10">
        <v>114</v>
      </c>
      <c r="D1664" t="s" s="10">
        <v>136</v>
      </c>
      <c r="E1664" t="s" s="10">
        <v>137</v>
      </c>
      <c r="F1664" s="27">
        <v>45323</v>
      </c>
      <c r="G1664" t="s" s="10">
        <v>146</v>
      </c>
      <c r="H1664" s="42">
        <v>5</v>
      </c>
      <c r="I1664" s="42">
        <v>37</v>
      </c>
      <c r="J1664" t="s" s="10">
        <v>8619</v>
      </c>
      <c r="K1664" t="s" s="10">
        <v>8620</v>
      </c>
      <c r="L1664" s="16">
        <f>HYPERLINK("http://www.carputty.com", "www.carputty.com")</f>
      </c>
      <c r="M1664" s="16">
        <f>HYPERLINK("https://my.pitchbook.com?c=465686-56", "View Company Online")</f>
      </c>
    </row>
    <row r="1665">
      <c r="A1665" t="s" s="11">
        <v>8622</v>
      </c>
      <c r="B1665" t="s" s="11">
        <v>8623</v>
      </c>
      <c r="C1665" t="s" s="11">
        <v>27</v>
      </c>
      <c r="D1665" t="s" s="11">
        <v>28</v>
      </c>
      <c r="E1665" t="s" s="11">
        <v>193</v>
      </c>
      <c r="F1665" t="s" s="28">
        <v>30</v>
      </c>
      <c r="G1665" t="s" s="11">
        <v>48</v>
      </c>
      <c r="H1665" t="s" s="43">
        <v>30</v>
      </c>
      <c r="I1665" s="43">
        <v>37</v>
      </c>
      <c r="J1665" t="s" s="11">
        <v>8624</v>
      </c>
      <c r="K1665" t="s" s="11">
        <v>8625</v>
      </c>
      <c r="L1665" s="17">
        <f>HYPERLINK("http://www.finmkt.io", "www.finmkt.io")</f>
      </c>
      <c r="M1665" s="17">
        <f>HYPERLINK("https://my.pitchbook.com?c=61488-37", "View Company Online")</f>
      </c>
    </row>
    <row r="1666">
      <c r="A1666" t="s" s="10">
        <v>8627</v>
      </c>
      <c r="B1666" t="s" s="10">
        <v>8628</v>
      </c>
      <c r="C1666" t="s" s="10">
        <v>164</v>
      </c>
      <c r="D1666" t="s" s="10">
        <v>206</v>
      </c>
      <c r="E1666" t="s" s="10">
        <v>253</v>
      </c>
      <c r="F1666" s="27">
        <v>45481</v>
      </c>
      <c r="G1666" t="s" s="10">
        <v>48</v>
      </c>
      <c r="H1666" s="42">
        <v>0.14</v>
      </c>
      <c r="I1666" s="42">
        <v>37</v>
      </c>
      <c r="J1666" t="s" s="10">
        <v>8629</v>
      </c>
      <c r="K1666" t="s" s="10">
        <v>8630</v>
      </c>
      <c r="L1666" s="16">
        <f>HYPERLINK("http://www.hubuc.com", "www.hubuc.com")</f>
      </c>
      <c r="M1666" s="16">
        <f>HYPERLINK("https://my.pitchbook.com?c=431374-42", "View Company Online")</f>
      </c>
    </row>
    <row r="1667">
      <c r="A1667" t="s" s="11">
        <v>8632</v>
      </c>
      <c r="B1667" t="s" s="11">
        <v>8633</v>
      </c>
      <c r="C1667" t="s" s="11">
        <v>222</v>
      </c>
      <c r="D1667" t="s" s="11">
        <v>223</v>
      </c>
      <c r="E1667" t="s" s="11">
        <v>2020</v>
      </c>
      <c r="F1667" s="28">
        <v>45418</v>
      </c>
      <c r="G1667" t="s" s="11">
        <v>146</v>
      </c>
      <c r="H1667" s="43">
        <v>10.71</v>
      </c>
      <c r="I1667" s="43">
        <v>36.98</v>
      </c>
      <c r="J1667" t="s" s="11">
        <v>8634</v>
      </c>
      <c r="K1667" t="s" s="11">
        <v>8635</v>
      </c>
      <c r="L1667" s="17">
        <f>HYPERLINK("http://www.apiday.com", "www.apiday.com")</f>
      </c>
      <c r="M1667" s="17">
        <f>HYPERLINK("https://my.pitchbook.com?c=493973-38", "View Company Online")</f>
      </c>
    </row>
    <row r="1668">
      <c r="A1668" t="s" s="10">
        <v>8637</v>
      </c>
      <c r="B1668" t="s" s="10">
        <v>8638</v>
      </c>
      <c r="C1668" t="s" s="10">
        <v>128</v>
      </c>
      <c r="D1668" t="s" s="10">
        <v>276</v>
      </c>
      <c r="E1668" t="s" s="10">
        <v>270</v>
      </c>
      <c r="F1668" s="27">
        <v>43694</v>
      </c>
      <c r="G1668" t="s" s="10">
        <v>40</v>
      </c>
      <c r="H1668" s="42">
        <v>1.61</v>
      </c>
      <c r="I1668" s="42">
        <v>36.88</v>
      </c>
      <c r="J1668" t="s" s="10">
        <v>8639</v>
      </c>
      <c r="K1668" t="s" s="10">
        <v>8640</v>
      </c>
      <c r="L1668" s="16">
        <f>HYPERLINK("http://www.osper.com", "www.osper.com")</f>
      </c>
      <c r="M1668" s="16">
        <f>HYPERLINK("https://my.pitchbook.com?c=57817-09", "View Company Online")</f>
      </c>
    </row>
    <row r="1669">
      <c r="A1669" t="s" s="11">
        <v>8642</v>
      </c>
      <c r="B1669" t="s" s="11">
        <v>8643</v>
      </c>
      <c r="C1669" t="s" s="11">
        <v>27</v>
      </c>
      <c r="D1669" t="s" s="11">
        <v>28</v>
      </c>
      <c r="E1669" t="s" s="11">
        <v>8644</v>
      </c>
      <c r="F1669" s="28">
        <v>45933</v>
      </c>
      <c r="G1669" t="s" s="11">
        <v>40</v>
      </c>
      <c r="H1669" t="s" s="43">
        <v>30</v>
      </c>
      <c r="I1669" s="43">
        <v>36.8</v>
      </c>
      <c r="J1669" t="s" s="11">
        <v>8645</v>
      </c>
      <c r="K1669" t="s" s="11">
        <v>8646</v>
      </c>
      <c r="L1669" s="17">
        <f>HYPERLINK("http://home.payground.com", "home.payground.com")</f>
      </c>
      <c r="M1669" s="17">
        <f>HYPERLINK("https://my.pitchbook.com?c=433304-20", "View Company Online")</f>
      </c>
    </row>
    <row r="1670">
      <c r="A1670" t="s" s="10">
        <v>8648</v>
      </c>
      <c r="B1670" t="s" s="10">
        <v>8649</v>
      </c>
      <c r="C1670" t="s" s="10">
        <v>222</v>
      </c>
      <c r="D1670" t="s" s="10">
        <v>235</v>
      </c>
      <c r="E1670" t="s" s="10">
        <v>759</v>
      </c>
      <c r="F1670" s="27">
        <v>43300</v>
      </c>
      <c r="G1670" t="s" s="10">
        <v>146</v>
      </c>
      <c r="H1670" s="42">
        <v>6.04</v>
      </c>
      <c r="I1670" s="42">
        <v>36.73</v>
      </c>
      <c r="J1670" t="s" s="10">
        <v>8650</v>
      </c>
      <c r="K1670" t="s" s="10">
        <v>8651</v>
      </c>
      <c r="L1670" s="16">
        <f>HYPERLINK("http://www.newtop100.com", "www.newtop100.com")</f>
      </c>
      <c r="M1670" s="16">
        <f>HYPERLINK("https://my.pitchbook.com?c=231193-99", "View Company Online")</f>
      </c>
    </row>
    <row r="1671">
      <c r="A1671" t="s" s="11">
        <v>8653</v>
      </c>
      <c r="B1671" t="s" s="11">
        <v>8654</v>
      </c>
      <c r="C1671" t="s" s="11">
        <v>60</v>
      </c>
      <c r="D1671" t="s" s="11">
        <v>727</v>
      </c>
      <c r="E1671" t="s" s="11">
        <v>2782</v>
      </c>
      <c r="F1671" s="28">
        <v>44649</v>
      </c>
      <c r="G1671" t="s" s="11">
        <v>146</v>
      </c>
      <c r="H1671" s="43">
        <v>1.1</v>
      </c>
      <c r="I1671" s="43">
        <v>36.69</v>
      </c>
      <c r="J1671" t="s" s="11">
        <v>8655</v>
      </c>
      <c r="K1671" t="s" s="11">
        <v>8656</v>
      </c>
      <c r="L1671" s="17">
        <f>HYPERLINK("http://www.brickwise.at", "www.brickwise.at")</f>
      </c>
      <c r="M1671" s="17">
        <f>HYPERLINK("https://my.pitchbook.com?c=460302-31", "View Company Online")</f>
      </c>
    </row>
    <row r="1672">
      <c r="A1672" t="s" s="10">
        <v>8658</v>
      </c>
      <c r="B1672" t="s" s="10">
        <v>8659</v>
      </c>
      <c r="C1672" t="s" s="10">
        <v>164</v>
      </c>
      <c r="D1672" t="s" s="10">
        <v>206</v>
      </c>
      <c r="E1672" t="s" s="10">
        <v>634</v>
      </c>
      <c r="F1672" s="27">
        <v>45537</v>
      </c>
      <c r="G1672" t="s" s="10">
        <v>40</v>
      </c>
      <c r="H1672" t="s" s="42">
        <v>30</v>
      </c>
      <c r="I1672" s="42">
        <v>36.56</v>
      </c>
      <c r="J1672" t="s" s="10">
        <v>8660</v>
      </c>
      <c r="K1672" t="s" s="10">
        <v>8661</v>
      </c>
      <c r="L1672" s="16">
        <f>HYPERLINK("http://www.yapeal.ch", "www.yapeal.ch")</f>
      </c>
      <c r="M1672" s="16">
        <f>HYPERLINK("https://my.pitchbook.com?c=267099-04", "View Company Online")</f>
      </c>
    </row>
    <row r="1673">
      <c r="A1673" t="s" s="11">
        <v>8663</v>
      </c>
      <c r="B1673" t="s" s="11">
        <v>8664</v>
      </c>
      <c r="C1673" t="s" s="11">
        <v>60</v>
      </c>
      <c r="D1673" t="s" s="11">
        <v>727</v>
      </c>
      <c r="E1673" t="s" s="11">
        <v>137</v>
      </c>
      <c r="F1673" s="28">
        <v>44929</v>
      </c>
      <c r="G1673" t="s" s="11">
        <v>40</v>
      </c>
      <c r="H1673" s="43">
        <v>6</v>
      </c>
      <c r="I1673" s="43">
        <v>36.49</v>
      </c>
      <c r="J1673" t="s" s="11">
        <v>8665</v>
      </c>
      <c r="K1673" t="s" s="11">
        <v>8666</v>
      </c>
      <c r="L1673" s="17">
        <f>HYPERLINK("http://www.bricksave.com", "www.bricksave.com")</f>
      </c>
      <c r="M1673" s="17">
        <f>HYPERLINK("https://my.pitchbook.com?c=354566-17", "View Company Online")</f>
      </c>
    </row>
    <row r="1674">
      <c r="A1674" t="s" s="10">
        <v>8668</v>
      </c>
      <c r="B1674" t="s" s="10">
        <v>8669</v>
      </c>
      <c r="C1674" t="s" s="10">
        <v>37</v>
      </c>
      <c r="D1674" t="s" s="10">
        <v>38</v>
      </c>
      <c r="E1674" t="s" s="10">
        <v>270</v>
      </c>
      <c r="F1674" s="27">
        <v>45720</v>
      </c>
      <c r="G1674" t="s" s="10">
        <v>40</v>
      </c>
      <c r="H1674" s="42">
        <v>10.41</v>
      </c>
      <c r="I1674" s="42">
        <v>36.45</v>
      </c>
      <c r="J1674" t="s" s="10">
        <v>8670</v>
      </c>
      <c r="K1674" t="s" s="10">
        <v>8671</v>
      </c>
      <c r="L1674" s="16">
        <f>HYPERLINK("http://www.mytu.co", "www.mytu.co")</f>
      </c>
      <c r="M1674" s="16">
        <f>HYPERLINK("https://my.pitchbook.com?c=484223-77", "View Company Online")</f>
      </c>
    </row>
    <row r="1675">
      <c r="A1675" t="s" s="11">
        <v>8673</v>
      </c>
      <c r="B1675" t="s" s="11">
        <v>8674</v>
      </c>
      <c r="C1675" t="s" s="11">
        <v>46</v>
      </c>
      <c r="D1675" t="s" s="11">
        <v>397</v>
      </c>
      <c r="E1675" t="s" s="11">
        <v>3383</v>
      </c>
      <c r="F1675" s="28">
        <v>43934</v>
      </c>
      <c r="G1675" t="s" s="11">
        <v>5311</v>
      </c>
      <c r="H1675" s="43">
        <v>0.63</v>
      </c>
      <c r="I1675" s="43">
        <v>36.4</v>
      </c>
      <c r="J1675" t="s" s="11">
        <v>8675</v>
      </c>
      <c r="K1675" t="s" s="11">
        <v>8676</v>
      </c>
      <c r="L1675" s="17">
        <f>HYPERLINK("http://www.webgility.com", "www.webgility.com")</f>
      </c>
      <c r="M1675" s="17">
        <f>HYPERLINK("https://my.pitchbook.com?c=102969-46", "View Company Online")</f>
      </c>
    </row>
    <row r="1676">
      <c r="A1676" t="s" s="10">
        <v>8678</v>
      </c>
      <c r="B1676" t="s" s="10">
        <v>8679</v>
      </c>
      <c r="C1676" t="s" s="10">
        <v>60</v>
      </c>
      <c r="D1676" t="s" s="10">
        <v>192</v>
      </c>
      <c r="E1676" t="s" s="10">
        <v>137</v>
      </c>
      <c r="F1676" s="27">
        <v>45849</v>
      </c>
      <c r="G1676" t="s" s="10">
        <v>40</v>
      </c>
      <c r="H1676" s="42">
        <v>12.32</v>
      </c>
      <c r="I1676" s="42">
        <v>36.36</v>
      </c>
      <c r="J1676" t="s" s="10">
        <v>8680</v>
      </c>
      <c r="K1676" t="s" s="10">
        <v>8681</v>
      </c>
      <c r="L1676" s="16">
        <f>HYPERLINK("http://www.kayenta.io", "www.kayenta.io")</f>
      </c>
      <c r="M1676" s="16">
        <f>HYPERLINK("https://my.pitchbook.com?c=416548-09", "View Company Online")</f>
      </c>
    </row>
    <row r="1677">
      <c r="A1677" t="s" s="11">
        <v>8683</v>
      </c>
      <c r="B1677" t="s" s="11">
        <v>8684</v>
      </c>
      <c r="C1677" t="s" s="11">
        <v>114</v>
      </c>
      <c r="D1677" t="s" s="11">
        <v>852</v>
      </c>
      <c r="E1677" t="s" s="11">
        <v>629</v>
      </c>
      <c r="F1677" s="28">
        <v>46174</v>
      </c>
      <c r="G1677" t="s" s="11">
        <v>146</v>
      </c>
      <c r="H1677" s="43">
        <v>5.91</v>
      </c>
      <c r="I1677" s="43">
        <v>36.29</v>
      </c>
      <c r="J1677" t="s" s="11">
        <v>8685</v>
      </c>
      <c r="K1677" t="s" s="11">
        <v>8686</v>
      </c>
      <c r="L1677" s="17">
        <f>HYPERLINK("http://www.tranched.fi", "www.tranched.fi")</f>
      </c>
      <c r="M1677" s="17">
        <f>HYPERLINK("https://my.pitchbook.com?c=592909-93", "View Company Online")</f>
      </c>
    </row>
    <row r="1678">
      <c r="A1678" t="s" s="10">
        <v>8688</v>
      </c>
      <c r="B1678" t="s" s="10">
        <v>8689</v>
      </c>
      <c r="C1678" t="s" s="10">
        <v>114</v>
      </c>
      <c r="D1678" t="s" s="10">
        <v>136</v>
      </c>
      <c r="E1678" t="s" s="10">
        <v>137</v>
      </c>
      <c r="F1678" t="s" s="27">
        <v>30</v>
      </c>
      <c r="G1678" t="s" s="10">
        <v>40</v>
      </c>
      <c r="H1678" s="42">
        <v>34.19</v>
      </c>
      <c r="I1678" s="42">
        <v>36.15</v>
      </c>
      <c r="J1678" t="s" s="10">
        <v>8690</v>
      </c>
      <c r="K1678" t="s" s="10">
        <v>8691</v>
      </c>
      <c r="L1678" s="16">
        <f>HYPERLINK("http://www.ibancar.com", "www.ibancar.com")</f>
      </c>
      <c r="M1678" s="16">
        <f>HYPERLINK("https://my.pitchbook.com?c=454305-97", "View Company Online")</f>
      </c>
    </row>
    <row r="1679">
      <c r="A1679" t="s" s="11">
        <v>8693</v>
      </c>
      <c r="B1679" t="s" s="11">
        <v>8694</v>
      </c>
      <c r="C1679" t="s" s="11">
        <v>114</v>
      </c>
      <c r="D1679" t="s" s="11">
        <v>136</v>
      </c>
      <c r="E1679" t="s" s="11">
        <v>137</v>
      </c>
      <c r="F1679" s="28">
        <v>45854</v>
      </c>
      <c r="G1679" t="s" s="11">
        <v>40</v>
      </c>
      <c r="H1679" s="43">
        <v>220</v>
      </c>
      <c r="I1679" s="43">
        <v>36.15</v>
      </c>
      <c r="J1679" t="s" s="11">
        <v>8695</v>
      </c>
      <c r="K1679" t="s" s="11">
        <v>8696</v>
      </c>
      <c r="L1679" s="17">
        <f>HYPERLINK("http://www.viva-finance.com", "www.viva-finance.com")</f>
      </c>
      <c r="M1679" s="17">
        <f>HYPERLINK("https://my.pitchbook.com?c=432691-12", "View Company Online")</f>
      </c>
    </row>
    <row r="1680">
      <c r="A1680" t="s" s="10">
        <v>8698</v>
      </c>
      <c r="B1680" t="s" s="10">
        <v>8699</v>
      </c>
      <c r="C1680" t="s" s="10">
        <v>164</v>
      </c>
      <c r="D1680" t="s" s="10">
        <v>206</v>
      </c>
      <c r="E1680" t="s" s="10">
        <v>2411</v>
      </c>
      <c r="F1680" s="27">
        <v>44656</v>
      </c>
      <c r="G1680" t="s" s="10">
        <v>146</v>
      </c>
      <c r="H1680" s="42">
        <v>8.1</v>
      </c>
      <c r="I1680" s="42">
        <v>36.1</v>
      </c>
      <c r="J1680" t="s" s="10">
        <v>8700</v>
      </c>
      <c r="K1680" t="s" s="10">
        <v>8701</v>
      </c>
      <c r="L1680" s="16">
        <f>HYPERLINK("http://www.credibook.com", "www.credibook.com")</f>
      </c>
      <c r="M1680" s="16">
        <f>HYPERLINK("https://my.pitchbook.com?c=459365-14", "View Company Online")</f>
      </c>
    </row>
    <row r="1681">
      <c r="A1681" t="s" s="11">
        <v>8703</v>
      </c>
      <c r="B1681" t="s" s="11">
        <v>8704</v>
      </c>
      <c r="C1681" t="s" s="11">
        <v>164</v>
      </c>
      <c r="D1681" t="s" s="11">
        <v>206</v>
      </c>
      <c r="E1681" t="s" s="11">
        <v>193</v>
      </c>
      <c r="F1681" s="28">
        <v>45859</v>
      </c>
      <c r="G1681" t="s" s="11">
        <v>2174</v>
      </c>
      <c r="H1681" s="43">
        <v>0.5</v>
      </c>
      <c r="I1681" s="43">
        <v>36.1</v>
      </c>
      <c r="J1681" t="s" s="11">
        <v>8705</v>
      </c>
      <c r="K1681" t="s" s="11">
        <v>8706</v>
      </c>
      <c r="L1681" s="17">
        <f>HYPERLINK("http://www.taxfyle.com", "www.taxfyle.com")</f>
      </c>
      <c r="M1681" s="17">
        <f>HYPERLINK("https://my.pitchbook.com?c=155966-41", "View Company Online")</f>
      </c>
    </row>
    <row r="1682">
      <c r="A1682" t="s" s="10">
        <v>8708</v>
      </c>
      <c r="B1682" t="s" s="10">
        <v>8709</v>
      </c>
      <c r="C1682" t="s" s="10">
        <v>46</v>
      </c>
      <c r="D1682" t="s" s="10">
        <v>915</v>
      </c>
      <c r="E1682" t="s" s="10">
        <v>1964</v>
      </c>
      <c r="F1682" s="27">
        <v>45751</v>
      </c>
      <c r="G1682" t="s" s="10">
        <v>40</v>
      </c>
      <c r="H1682" s="42">
        <v>9.06</v>
      </c>
      <c r="I1682" s="42">
        <v>36.01</v>
      </c>
      <c r="J1682" t="s" s="10">
        <v>8710</v>
      </c>
      <c r="K1682" t="s" s="10">
        <v>8711</v>
      </c>
      <c r="L1682" s="16">
        <f>HYPERLINK("http://www.magicorange.com", "www.magicorange.com")</f>
      </c>
      <c r="M1682" s="16">
        <f>HYPERLINK("https://my.pitchbook.com?c=504013-60", "View Company Online")</f>
      </c>
    </row>
    <row r="1683">
      <c r="A1683" t="s" s="11">
        <v>8713</v>
      </c>
      <c r="B1683" t="s" s="11">
        <v>8714</v>
      </c>
      <c r="C1683" t="s" s="11">
        <v>46</v>
      </c>
      <c r="D1683" t="s" s="11">
        <v>47</v>
      </c>
      <c r="E1683" t="s" s="11">
        <v>108</v>
      </c>
      <c r="F1683" s="28">
        <v>45642</v>
      </c>
      <c r="G1683" t="s" s="11">
        <v>146</v>
      </c>
      <c r="H1683" s="43">
        <v>8.69</v>
      </c>
      <c r="I1683" s="43">
        <v>36</v>
      </c>
      <c r="J1683" t="s" s="11">
        <v>8715</v>
      </c>
      <c r="K1683" t="s" s="11">
        <v>8716</v>
      </c>
      <c r="L1683" s="17">
        <f>HYPERLINK("http://www.chargezoom.com", "www.chargezoom.com")</f>
      </c>
      <c r="M1683" s="17">
        <f>HYPERLINK("https://my.pitchbook.com?c=453493-27", "View Company Online")</f>
      </c>
    </row>
    <row r="1684">
      <c r="A1684" t="s" s="10">
        <v>8718</v>
      </c>
      <c r="B1684" t="s" s="10">
        <v>8719</v>
      </c>
      <c r="C1684" t="s" s="10">
        <v>172</v>
      </c>
      <c r="D1684" t="s" s="10">
        <v>338</v>
      </c>
      <c r="E1684" t="s" s="10">
        <v>8720</v>
      </c>
      <c r="F1684" t="s" s="27">
        <v>30</v>
      </c>
      <c r="G1684" t="s" s="10">
        <v>40</v>
      </c>
      <c r="H1684" t="s" s="42">
        <v>30</v>
      </c>
      <c r="I1684" s="42">
        <v>36</v>
      </c>
      <c r="J1684" t="s" s="10">
        <v>8721</v>
      </c>
      <c r="K1684" t="s" s="10">
        <v>8722</v>
      </c>
      <c r="L1684" s="16">
        <f>HYPERLINK("http://www.finclusive.com", "www.finclusive.com")</f>
      </c>
      <c r="M1684" s="16">
        <f>HYPERLINK("https://my.pitchbook.com?c=232616-08", "View Company Online")</f>
      </c>
    </row>
    <row r="1685">
      <c r="A1685" t="s" s="11">
        <v>8724</v>
      </c>
      <c r="B1685" t="s" s="11">
        <v>8725</v>
      </c>
      <c r="C1685" t="s" s="11">
        <v>60</v>
      </c>
      <c r="D1685" t="s" s="11">
        <v>192</v>
      </c>
      <c r="E1685" t="s" s="11">
        <v>253</v>
      </c>
      <c r="F1685" s="28">
        <v>45901</v>
      </c>
      <c r="G1685" t="s" s="11">
        <v>4267</v>
      </c>
      <c r="H1685" s="43">
        <v>5</v>
      </c>
      <c r="I1685" s="43">
        <v>36</v>
      </c>
      <c r="J1685" t="s" s="11">
        <v>8726</v>
      </c>
      <c r="K1685" t="s" s="11">
        <v>8727</v>
      </c>
      <c r="L1685" s="17">
        <f>HYPERLINK("http://www.moby.co", "www.moby.co")</f>
      </c>
      <c r="M1685" s="17">
        <f>HYPERLINK("https://my.pitchbook.com?c=492964-21", "View Company Online")</f>
      </c>
    </row>
    <row r="1686">
      <c r="A1686" t="s" s="10">
        <v>8729</v>
      </c>
      <c r="B1686" t="s" s="10">
        <v>8730</v>
      </c>
      <c r="C1686" t="s" s="10">
        <v>222</v>
      </c>
      <c r="D1686" t="s" s="10">
        <v>252</v>
      </c>
      <c r="E1686" t="s" s="10">
        <v>253</v>
      </c>
      <c r="F1686" s="27">
        <v>46183</v>
      </c>
      <c r="G1686" t="s" s="10">
        <v>146</v>
      </c>
      <c r="H1686" s="42">
        <v>6.1</v>
      </c>
      <c r="I1686" s="42">
        <v>36</v>
      </c>
      <c r="J1686" t="s" s="10">
        <v>8731</v>
      </c>
      <c r="K1686" t="s" s="10">
        <v>8732</v>
      </c>
      <c r="L1686" s="16">
        <f>HYPERLINK("http://www.openyld.com", "www.openyld.com")</f>
      </c>
      <c r="M1686" s="16">
        <f>HYPERLINK("https://my.pitchbook.com?c=521783-47", "View Company Online")</f>
      </c>
    </row>
    <row r="1687">
      <c r="A1687" t="s" s="11">
        <v>8734</v>
      </c>
      <c r="B1687" t="s" s="11">
        <v>8735</v>
      </c>
      <c r="C1687" t="s" s="11">
        <v>164</v>
      </c>
      <c r="D1687" t="s" s="11">
        <v>165</v>
      </c>
      <c r="E1687" t="s" s="11">
        <v>493</v>
      </c>
      <c r="F1687" s="28">
        <v>45691</v>
      </c>
      <c r="G1687" t="s" s="11">
        <v>40</v>
      </c>
      <c r="H1687" s="43">
        <v>10.5</v>
      </c>
      <c r="I1687" s="43">
        <v>36</v>
      </c>
      <c r="J1687" t="s" s="11">
        <v>8736</v>
      </c>
      <c r="K1687" t="s" s="11">
        <v>8737</v>
      </c>
      <c r="L1687" s="17">
        <f>HYPERLINK("http://www.solgari.com", "www.solgari.com")</f>
      </c>
      <c r="M1687" s="17">
        <f>HYPERLINK("https://my.pitchbook.com?c=93627-73", "View Company Online")</f>
      </c>
    </row>
    <row r="1688">
      <c r="A1688" t="s" s="10">
        <v>8739</v>
      </c>
      <c r="B1688" t="s" s="10">
        <v>8740</v>
      </c>
      <c r="C1688" t="s" s="10">
        <v>114</v>
      </c>
      <c r="D1688" t="s" s="10">
        <v>1386</v>
      </c>
      <c r="E1688" t="s" s="10">
        <v>414</v>
      </c>
      <c r="F1688" s="27">
        <v>45971</v>
      </c>
      <c r="G1688" t="s" s="10">
        <v>4267</v>
      </c>
      <c r="H1688" s="42">
        <v>10</v>
      </c>
      <c r="I1688" s="42">
        <v>36</v>
      </c>
      <c r="J1688" t="s" s="10">
        <v>8741</v>
      </c>
      <c r="K1688" t="s" s="10">
        <v>8742</v>
      </c>
      <c r="L1688" s="16">
        <f>HYPERLINK("http://www.veritus.com", "www.veritus.com")</f>
      </c>
      <c r="M1688" s="16">
        <f>HYPERLINK("https://my.pitchbook.com?c=904244-14", "View Company Online")</f>
      </c>
    </row>
    <row r="1689">
      <c r="A1689" t="s" s="11">
        <v>8744</v>
      </c>
      <c r="B1689" t="s" s="11">
        <v>8745</v>
      </c>
      <c r="C1689" t="s" s="11">
        <v>60</v>
      </c>
      <c r="D1689" t="s" s="11">
        <v>246</v>
      </c>
      <c r="E1689" t="s" s="11">
        <v>193</v>
      </c>
      <c r="F1689" s="28">
        <v>45722</v>
      </c>
      <c r="G1689" t="s" s="11">
        <v>146</v>
      </c>
      <c r="H1689" s="43">
        <v>6.88</v>
      </c>
      <c r="I1689" s="43">
        <v>35.97</v>
      </c>
      <c r="J1689" t="s" s="11">
        <v>8746</v>
      </c>
      <c r="K1689" t="s" s="11">
        <v>8747</v>
      </c>
      <c r="L1689" s="17">
        <f>HYPERLINK("http://www.skorlife.com", "www.skorlife.com")</f>
      </c>
      <c r="M1689" s="17">
        <f>HYPERLINK("https://my.pitchbook.com?c=498408-67", "View Company Online")</f>
      </c>
    </row>
    <row r="1690">
      <c r="A1690" t="s" s="10">
        <v>8749</v>
      </c>
      <c r="B1690" t="s" s="10">
        <v>8750</v>
      </c>
      <c r="C1690" t="s" s="10">
        <v>27</v>
      </c>
      <c r="D1690" t="s" s="10">
        <v>122</v>
      </c>
      <c r="E1690" t="s" s="10">
        <v>373</v>
      </c>
      <c r="F1690" s="27">
        <v>46079</v>
      </c>
      <c r="G1690" t="s" s="10">
        <v>40</v>
      </c>
      <c r="H1690" s="42">
        <v>2.25</v>
      </c>
      <c r="I1690" s="42">
        <v>35.75</v>
      </c>
      <c r="J1690" t="s" s="10">
        <v>8751</v>
      </c>
      <c r="K1690" t="s" s="10">
        <v>8752</v>
      </c>
      <c r="L1690" s="16">
        <f>HYPERLINK("http://www.caliza.com", "www.caliza.com")</f>
      </c>
      <c r="M1690" s="16">
        <f>HYPERLINK("https://my.pitchbook.com?c=489002-68", "View Company Online")</f>
      </c>
    </row>
    <row r="1691">
      <c r="A1691" t="s" s="11">
        <v>8754</v>
      </c>
      <c r="B1691" t="s" s="11">
        <v>8755</v>
      </c>
      <c r="C1691" t="s" s="11">
        <v>128</v>
      </c>
      <c r="D1691" t="s" s="11">
        <v>129</v>
      </c>
      <c r="E1691" t="s" s="11">
        <v>270</v>
      </c>
      <c r="F1691" t="s" s="28">
        <v>30</v>
      </c>
      <c r="G1691" t="s" s="11">
        <v>48</v>
      </c>
      <c r="H1691" t="s" s="43">
        <v>30</v>
      </c>
      <c r="I1691" s="43">
        <v>35.65</v>
      </c>
      <c r="J1691" t="s" s="11">
        <v>8756</v>
      </c>
      <c r="K1691" t="s" s="11">
        <v>8757</v>
      </c>
      <c r="L1691" s="17">
        <f>HYPERLINK("http://www.snaplii.com", "www.snaplii.com")</f>
      </c>
      <c r="M1691" s="17">
        <f>HYPERLINK("https://my.pitchbook.com?c=489493-36", "View Company Online")</f>
      </c>
    </row>
    <row r="1692">
      <c r="A1692" t="s" s="10">
        <v>8759</v>
      </c>
      <c r="B1692" t="s" s="10">
        <v>8760</v>
      </c>
      <c r="C1692" t="s" s="10">
        <v>172</v>
      </c>
      <c r="D1692" t="s" s="10">
        <v>1454</v>
      </c>
      <c r="E1692" t="s" s="10">
        <v>634</v>
      </c>
      <c r="F1692" s="27">
        <v>46022</v>
      </c>
      <c r="G1692" t="s" s="10">
        <v>4267</v>
      </c>
      <c r="H1692" s="42">
        <v>2.6</v>
      </c>
      <c r="I1692" s="42">
        <v>35.6</v>
      </c>
      <c r="J1692" t="s" s="10">
        <v>8761</v>
      </c>
      <c r="K1692" t="s" s="10">
        <v>8762</v>
      </c>
      <c r="L1692" s="16">
        <f>HYPERLINK("http://www.quash.ai", "www.quash.ai")</f>
      </c>
      <c r="M1692" s="16">
        <f>HYPERLINK("https://my.pitchbook.com?c=454288-60", "View Company Online")</f>
      </c>
    </row>
    <row r="1693">
      <c r="A1693" t="s" s="11">
        <v>8764</v>
      </c>
      <c r="B1693" t="s" s="11">
        <v>8765</v>
      </c>
      <c r="C1693" t="s" s="11">
        <v>164</v>
      </c>
      <c r="D1693" t="s" s="11">
        <v>206</v>
      </c>
      <c r="E1693" t="s" s="11">
        <v>137</v>
      </c>
      <c r="F1693" s="28">
        <v>43822</v>
      </c>
      <c r="G1693" t="s" s="11">
        <v>146</v>
      </c>
      <c r="H1693" s="43">
        <v>7.12</v>
      </c>
      <c r="I1693" s="43">
        <v>35.59</v>
      </c>
      <c r="J1693" t="s" s="11">
        <v>8766</v>
      </c>
      <c r="K1693" t="s" s="11">
        <v>8767</v>
      </c>
      <c r="L1693" s="17">
        <f>HYPERLINK("http://www.yunzhenxin.com", "www.yunzhenxin.com")</f>
      </c>
      <c r="M1693" s="17">
        <f>HYPERLINK("https://my.pitchbook.com?c=432926-11", "View Company Online")</f>
      </c>
    </row>
    <row r="1694">
      <c r="A1694" t="s" s="10">
        <v>8769</v>
      </c>
      <c r="B1694" t="s" s="10">
        <v>8770</v>
      </c>
      <c r="C1694" t="s" s="10">
        <v>46</v>
      </c>
      <c r="D1694" t="s" s="10">
        <v>397</v>
      </c>
      <c r="E1694" t="s" s="10">
        <v>493</v>
      </c>
      <c r="F1694" s="27">
        <v>45833</v>
      </c>
      <c r="G1694" t="s" s="10">
        <v>607</v>
      </c>
      <c r="H1694" t="s" s="42">
        <v>30</v>
      </c>
      <c r="I1694" s="42">
        <v>35.5</v>
      </c>
      <c r="J1694" t="s" s="10">
        <v>8771</v>
      </c>
      <c r="K1694" t="s" s="10">
        <v>8772</v>
      </c>
      <c r="L1694" s="16">
        <f>HYPERLINK("http://pastelhq.ai", "pastelhq.ai")</f>
      </c>
      <c r="M1694" s="16">
        <f>HYPERLINK("https://my.pitchbook.com?c=501337-99", "View Company Online")</f>
      </c>
    </row>
    <row r="1695">
      <c r="A1695" t="s" s="11">
        <v>8774</v>
      </c>
      <c r="B1695" t="s" s="11">
        <v>8775</v>
      </c>
      <c r="C1695" t="s" s="11">
        <v>222</v>
      </c>
      <c r="D1695" t="s" s="11">
        <v>235</v>
      </c>
      <c r="E1695" t="s" s="11">
        <v>137</v>
      </c>
      <c r="F1695" s="28">
        <v>45070</v>
      </c>
      <c r="G1695" t="s" s="11">
        <v>40</v>
      </c>
      <c r="H1695" s="43">
        <v>10.26</v>
      </c>
      <c r="I1695" s="43">
        <v>35.47</v>
      </c>
      <c r="J1695" t="s" s="11">
        <v>8776</v>
      </c>
      <c r="K1695" t="s" s="11">
        <v>8777</v>
      </c>
      <c r="L1695" s="17">
        <f>HYPERLINK("http://www.lita.co", "www.lita.co")</f>
      </c>
      <c r="M1695" s="17">
        <f>HYPERLINK("https://my.pitchbook.com?c=125836-57", "View Company Online")</f>
      </c>
    </row>
    <row r="1696">
      <c r="A1696" t="s" s="10">
        <v>8779</v>
      </c>
      <c r="B1696" t="s" s="10">
        <v>8780</v>
      </c>
      <c r="C1696" t="s" s="10">
        <v>27</v>
      </c>
      <c r="D1696" t="s" s="10">
        <v>28</v>
      </c>
      <c r="E1696" t="s" s="10">
        <v>8781</v>
      </c>
      <c r="F1696" s="27">
        <v>44001</v>
      </c>
      <c r="G1696" t="s" s="10">
        <v>40</v>
      </c>
      <c r="H1696" s="42">
        <v>2.23</v>
      </c>
      <c r="I1696" s="42">
        <v>35.45</v>
      </c>
      <c r="J1696" t="s" s="10">
        <v>8782</v>
      </c>
      <c r="K1696" t="s" s="10">
        <v>8783</v>
      </c>
      <c r="L1696" s="16">
        <f>HYPERLINK("http://www.barion.com", "www.barion.com")</f>
      </c>
      <c r="M1696" s="16">
        <f>HYPERLINK("https://my.pitchbook.com?c=174070-63", "View Company Online")</f>
      </c>
    </row>
    <row r="1697">
      <c r="A1697" t="s" s="11">
        <v>8785</v>
      </c>
      <c r="B1697" t="s" s="11">
        <v>8786</v>
      </c>
      <c r="C1697" t="s" s="11">
        <v>114</v>
      </c>
      <c r="D1697" t="s" s="11">
        <v>1386</v>
      </c>
      <c r="E1697" t="s" s="11">
        <v>3831</v>
      </c>
      <c r="F1697" s="28">
        <v>45478</v>
      </c>
      <c r="G1697" t="s" s="11">
        <v>40</v>
      </c>
      <c r="H1697" s="43">
        <v>4.95</v>
      </c>
      <c r="I1697" s="43">
        <v>35.39</v>
      </c>
      <c r="J1697" t="s" s="11">
        <v>8787</v>
      </c>
      <c r="K1697" t="s" s="11">
        <v>8788</v>
      </c>
      <c r="L1697" s="17">
        <f>HYPERLINK("http://www.creditlogic.com", "www.creditlogic.com")</f>
      </c>
      <c r="M1697" s="17">
        <f>HYPERLINK("https://my.pitchbook.com?c=338652-01", "View Company Online")</f>
      </c>
    </row>
    <row r="1698">
      <c r="A1698" t="s" s="10">
        <v>8790</v>
      </c>
      <c r="B1698" t="s" s="10">
        <v>8791</v>
      </c>
      <c r="C1698" t="s" s="10">
        <v>222</v>
      </c>
      <c r="D1698" t="s" s="10">
        <v>223</v>
      </c>
      <c r="E1698" t="s" s="10">
        <v>137</v>
      </c>
      <c r="F1698" s="27">
        <v>44867</v>
      </c>
      <c r="G1698" t="s" s="10">
        <v>146</v>
      </c>
      <c r="H1698" s="42">
        <v>7.3</v>
      </c>
      <c r="I1698" s="42">
        <v>35.3</v>
      </c>
      <c r="J1698" t="s" s="10">
        <v>8792</v>
      </c>
      <c r="K1698" t="s" s="10">
        <v>8793</v>
      </c>
      <c r="L1698" s="16">
        <f>HYPERLINK("http://www.interpricetech.com", "www.interpricetech.com")</f>
      </c>
      <c r="M1698" s="16">
        <f>HYPERLINK("https://my.pitchbook.com?c=462486-16", "View Company Online")</f>
      </c>
    </row>
    <row r="1699">
      <c r="A1699" t="s" s="11">
        <v>8795</v>
      </c>
      <c r="B1699" t="s" s="11">
        <v>8796</v>
      </c>
      <c r="C1699" t="s" s="11">
        <v>164</v>
      </c>
      <c r="D1699" t="s" s="11">
        <v>206</v>
      </c>
      <c r="E1699" t="s" s="11">
        <v>137</v>
      </c>
      <c r="F1699" s="28">
        <v>45785</v>
      </c>
      <c r="G1699" t="s" s="11">
        <v>4267</v>
      </c>
      <c r="H1699" s="43">
        <v>5.2</v>
      </c>
      <c r="I1699" s="43">
        <v>35.2</v>
      </c>
      <c r="J1699" t="s" s="11">
        <v>8797</v>
      </c>
      <c r="K1699" t="s" s="11">
        <v>8798</v>
      </c>
      <c r="L1699" s="17">
        <f>HYPERLINK("http://www.moneyhash.io", "www.moneyhash.io")</f>
      </c>
      <c r="M1699" s="17">
        <f>HYPERLINK("https://my.pitchbook.com?c=467268-31", "View Company Online")</f>
      </c>
    </row>
    <row r="1700">
      <c r="A1700" t="s" s="10">
        <v>8800</v>
      </c>
      <c r="B1700" t="s" s="10">
        <v>8801</v>
      </c>
      <c r="C1700" t="s" s="10">
        <v>114</v>
      </c>
      <c r="D1700" t="s" s="10">
        <v>136</v>
      </c>
      <c r="E1700" t="s" s="10">
        <v>8802</v>
      </c>
      <c r="F1700" s="27">
        <v>45870</v>
      </c>
      <c r="G1700" t="s" s="10">
        <v>31</v>
      </c>
      <c r="H1700" t="s" s="42">
        <v>30</v>
      </c>
      <c r="I1700" s="42">
        <v>35.15</v>
      </c>
      <c r="J1700" t="s" s="10">
        <v>8803</v>
      </c>
      <c r="K1700" t="s" s="10">
        <v>8804</v>
      </c>
      <c r="L1700" s="16">
        <f>HYPERLINK("http://www.rialtomarkets.com", "www.rialtomarkets.com")</f>
      </c>
      <c r="M1700" s="16">
        <f>HYPERLINK("https://my.pitchbook.com?c=183370-33", "View Company Online")</f>
      </c>
    </row>
    <row r="1701">
      <c r="A1701" t="s" s="11">
        <v>8806</v>
      </c>
      <c r="B1701" t="s" s="11">
        <v>8807</v>
      </c>
      <c r="C1701" t="s" s="11">
        <v>164</v>
      </c>
      <c r="D1701" t="s" s="11">
        <v>165</v>
      </c>
      <c r="E1701" t="s" s="11">
        <v>373</v>
      </c>
      <c r="F1701" s="28">
        <v>45992</v>
      </c>
      <c r="G1701" t="s" s="11">
        <v>40</v>
      </c>
      <c r="H1701" s="43">
        <v>15.07</v>
      </c>
      <c r="I1701" s="43">
        <v>35.11</v>
      </c>
      <c r="J1701" t="s" s="11">
        <v>8808</v>
      </c>
      <c r="K1701" t="s" s="11">
        <v>8809</v>
      </c>
      <c r="L1701" s="17">
        <f>HYPERLINK("http://finfactor.ai", "finfactor.ai")</f>
      </c>
      <c r="M1701" s="17">
        <f>HYPERLINK("https://my.pitchbook.com?c=560890-27", "View Company Online")</f>
      </c>
    </row>
    <row r="1702">
      <c r="A1702" t="s" s="10">
        <v>8811</v>
      </c>
      <c r="B1702" t="s" s="10">
        <v>8812</v>
      </c>
      <c r="C1702" t="s" s="10">
        <v>222</v>
      </c>
      <c r="D1702" t="s" s="10">
        <v>537</v>
      </c>
      <c r="E1702" t="s" s="10">
        <v>2782</v>
      </c>
      <c r="F1702" s="27">
        <v>46071</v>
      </c>
      <c r="G1702" t="s" s="10">
        <v>4267</v>
      </c>
      <c r="H1702" s="42">
        <v>8.1</v>
      </c>
      <c r="I1702" s="42">
        <v>35.1</v>
      </c>
      <c r="J1702" t="s" s="10">
        <v>8813</v>
      </c>
      <c r="K1702" t="s" s="10">
        <v>8814</v>
      </c>
      <c r="L1702" s="16">
        <f>HYPERLINK("http://www.monark-markets.com", "www.monark-markets.com")</f>
      </c>
      <c r="M1702" s="16">
        <f>HYPERLINK("https://my.pitchbook.com?c=533339-29", "View Company Online")</f>
      </c>
    </row>
    <row r="1703">
      <c r="A1703" t="s" s="11">
        <v>8816</v>
      </c>
      <c r="B1703" t="s" s="11">
        <v>8817</v>
      </c>
      <c r="C1703" t="s" s="11">
        <v>46</v>
      </c>
      <c r="D1703" t="s" s="11">
        <v>397</v>
      </c>
      <c r="E1703" t="s" s="11">
        <v>193</v>
      </c>
      <c r="F1703" s="28">
        <v>45435</v>
      </c>
      <c r="G1703" t="s" s="11">
        <v>40</v>
      </c>
      <c r="H1703" s="43">
        <v>4.22</v>
      </c>
      <c r="I1703" s="43">
        <v>35.09</v>
      </c>
      <c r="J1703" t="s" s="11">
        <v>8818</v>
      </c>
      <c r="K1703" t="s" s="11">
        <v>8819</v>
      </c>
      <c r="L1703" s="17">
        <f>HYPERLINK("http://www.countingup.com", "www.countingup.com")</f>
      </c>
      <c r="M1703" s="17">
        <f>HYPERLINK("https://my.pitchbook.com?c=186661-18", "View Company Online")</f>
      </c>
    </row>
    <row r="1704">
      <c r="A1704" t="s" s="10">
        <v>8821</v>
      </c>
      <c r="B1704" t="s" s="10">
        <v>8822</v>
      </c>
      <c r="C1704" t="s" s="10">
        <v>60</v>
      </c>
      <c r="D1704" t="s" s="10">
        <v>246</v>
      </c>
      <c r="E1704" t="s" s="10">
        <v>137</v>
      </c>
      <c r="F1704" s="27">
        <v>45154</v>
      </c>
      <c r="G1704" t="s" s="10">
        <v>138</v>
      </c>
      <c r="H1704" s="42">
        <v>18.57</v>
      </c>
      <c r="I1704" s="42">
        <v>35.04</v>
      </c>
      <c r="J1704" t="s" s="10">
        <v>8823</v>
      </c>
      <c r="K1704" t="s" s="10">
        <v>8824</v>
      </c>
      <c r="L1704" s="16">
        <f>HYPERLINK("http://www.stockspot.com.au", "www.stockspot.com.au")</f>
      </c>
      <c r="M1704" s="16">
        <f>HYPERLINK("https://my.pitchbook.com?c=104179-60", "View Company Online")</f>
      </c>
    </row>
    <row r="1705">
      <c r="A1705" t="s" s="11">
        <v>8826</v>
      </c>
      <c r="B1705" t="s" s="11">
        <v>8827</v>
      </c>
      <c r="C1705" t="s" s="11">
        <v>46</v>
      </c>
      <c r="D1705" t="s" s="11">
        <v>47</v>
      </c>
      <c r="E1705" t="s" s="11">
        <v>1038</v>
      </c>
      <c r="F1705" s="28">
        <v>44621</v>
      </c>
      <c r="G1705" t="s" s="11">
        <v>146</v>
      </c>
      <c r="H1705" s="43">
        <v>6</v>
      </c>
      <c r="I1705" s="43">
        <v>35</v>
      </c>
      <c r="J1705" t="s" s="11">
        <v>8828</v>
      </c>
      <c r="K1705" t="s" s="11">
        <v>8829</v>
      </c>
      <c r="L1705" s="17">
        <f>HYPERLINK("http://www.aavenir.com", "www.aavenir.com")</f>
      </c>
      <c r="M1705" s="17">
        <f>HYPERLINK("https://my.pitchbook.com?c=433943-02", "View Company Online")</f>
      </c>
    </row>
    <row r="1706">
      <c r="A1706" t="s" s="10">
        <v>8831</v>
      </c>
      <c r="B1706" t="s" s="10">
        <v>8832</v>
      </c>
      <c r="C1706" t="s" s="10">
        <v>60</v>
      </c>
      <c r="D1706" t="s" s="10">
        <v>432</v>
      </c>
      <c r="E1706" t="s" s="10">
        <v>116</v>
      </c>
      <c r="F1706" s="27">
        <v>45933</v>
      </c>
      <c r="G1706" t="s" s="10">
        <v>4267</v>
      </c>
      <c r="H1706" s="42">
        <v>9</v>
      </c>
      <c r="I1706" s="42">
        <v>35</v>
      </c>
      <c r="J1706" t="s" s="10">
        <v>8833</v>
      </c>
      <c r="K1706" t="s" s="10">
        <v>8834</v>
      </c>
      <c r="L1706" s="16">
        <f>HYPERLINK("http://www.advisor.com", "www.advisor.com")</f>
      </c>
      <c r="M1706" s="16">
        <f>HYPERLINK("https://my.pitchbook.com?c=497447-92", "View Company Online")</f>
      </c>
    </row>
    <row r="1707">
      <c r="A1707" t="s" s="11">
        <v>8836</v>
      </c>
      <c r="B1707" t="s" s="11">
        <v>8837</v>
      </c>
      <c r="C1707" t="s" s="11">
        <v>60</v>
      </c>
      <c r="D1707" t="s" s="11">
        <v>246</v>
      </c>
      <c r="E1707" t="s" s="11">
        <v>116</v>
      </c>
      <c r="F1707" s="28">
        <v>44476</v>
      </c>
      <c r="G1707" t="s" s="11">
        <v>40</v>
      </c>
      <c r="H1707" s="43">
        <v>2</v>
      </c>
      <c r="I1707" s="43">
        <v>35</v>
      </c>
      <c r="J1707" t="s" s="11">
        <v>8838</v>
      </c>
      <c r="K1707" t="s" s="11">
        <v>8839</v>
      </c>
      <c r="L1707" s="17">
        <f>HYPERLINK("http://www.getaim.co", "www.getaim.co")</f>
      </c>
      <c r="M1707" s="17">
        <f>HYPERLINK("https://my.pitchbook.com?c=170150-59", "View Company Online")</f>
      </c>
    </row>
    <row r="1708">
      <c r="A1708" t="s" s="10">
        <v>8841</v>
      </c>
      <c r="B1708" t="s" s="10">
        <v>8842</v>
      </c>
      <c r="C1708" t="s" s="10">
        <v>27</v>
      </c>
      <c r="D1708" t="s" s="10">
        <v>70</v>
      </c>
      <c r="E1708" t="s" s="10">
        <v>1744</v>
      </c>
      <c r="F1708" t="s" s="27">
        <v>30</v>
      </c>
      <c r="G1708" t="s" s="10">
        <v>48</v>
      </c>
      <c r="H1708" t="s" s="42">
        <v>30</v>
      </c>
      <c r="I1708" s="42">
        <v>35</v>
      </c>
      <c r="J1708" t="s" s="10">
        <v>8843</v>
      </c>
      <c r="K1708" t="s" s="10">
        <v>8844</v>
      </c>
      <c r="L1708" s="16">
        <f>HYPERLINK("http://www.checkbook.io", "www.checkbook.io")</f>
      </c>
      <c r="M1708" s="16">
        <f>HYPERLINK("https://my.pitchbook.com?c=115371-64", "View Company Online")</f>
      </c>
    </row>
    <row r="1709">
      <c r="A1709" t="s" s="11">
        <v>8846</v>
      </c>
      <c r="B1709" t="s" s="11">
        <v>8847</v>
      </c>
      <c r="C1709" t="s" s="11">
        <v>46</v>
      </c>
      <c r="D1709" t="s" s="11">
        <v>397</v>
      </c>
      <c r="E1709" t="s" s="11">
        <v>373</v>
      </c>
      <c r="F1709" s="28">
        <v>45723</v>
      </c>
      <c r="G1709" t="s" s="11">
        <v>4267</v>
      </c>
      <c r="H1709" s="43">
        <v>6.6</v>
      </c>
      <c r="I1709" s="43">
        <v>35</v>
      </c>
      <c r="J1709" t="s" s="11">
        <v>8848</v>
      </c>
      <c r="K1709" t="s" s="11">
        <v>8849</v>
      </c>
      <c r="L1709" s="17">
        <f>HYPERLINK("http://www.layerfi.com", "www.layerfi.com")</f>
      </c>
      <c r="M1709" s="17">
        <f>HYPERLINK("https://my.pitchbook.com?c=533147-86", "View Company Online")</f>
      </c>
    </row>
    <row r="1710">
      <c r="A1710" t="s" s="10">
        <v>8851</v>
      </c>
      <c r="B1710" t="s" s="10">
        <v>8852</v>
      </c>
      <c r="C1710" t="s" s="10">
        <v>222</v>
      </c>
      <c r="D1710" t="s" s="10">
        <v>252</v>
      </c>
      <c r="E1710" t="s" s="10">
        <v>373</v>
      </c>
      <c r="F1710" s="27">
        <v>46183</v>
      </c>
      <c r="G1710" t="s" s="10">
        <v>138</v>
      </c>
      <c r="H1710" t="s" s="42">
        <v>30</v>
      </c>
      <c r="I1710" s="42">
        <v>35</v>
      </c>
      <c r="J1710" t="s" s="10">
        <v>8853</v>
      </c>
      <c r="K1710" t="s" s="10">
        <v>30</v>
      </c>
      <c r="L1710" s="16">
        <f>HYPERLINK("http://www.levpro.ai", "www.levpro.ai")</f>
      </c>
      <c r="M1710" s="16">
        <f>HYPERLINK("https://my.pitchbook.com?c=527205-34", "View Company Online")</f>
      </c>
    </row>
    <row r="1711">
      <c r="A1711" t="s" s="11">
        <v>8855</v>
      </c>
      <c r="B1711" t="s" s="11">
        <v>8856</v>
      </c>
      <c r="C1711" t="s" s="11">
        <v>46</v>
      </c>
      <c r="D1711" t="s" s="11">
        <v>47</v>
      </c>
      <c r="E1711" t="s" s="11">
        <v>373</v>
      </c>
      <c r="F1711" s="28">
        <v>45862</v>
      </c>
      <c r="G1711" t="s" s="11">
        <v>146</v>
      </c>
      <c r="H1711" s="43">
        <v>7</v>
      </c>
      <c r="I1711" s="43">
        <v>35</v>
      </c>
      <c r="J1711" t="s" s="11">
        <v>8857</v>
      </c>
      <c r="K1711" t="s" s="11">
        <v>8858</v>
      </c>
      <c r="L1711" s="17">
        <f>HYPERLINK("http://www.navix.io", "www.navix.io")</f>
      </c>
      <c r="M1711" s="17">
        <f>HYPERLINK("https://my.pitchbook.com?c=491088-70", "View Company Online")</f>
      </c>
    </row>
    <row r="1712">
      <c r="A1712" t="s" s="10">
        <v>8860</v>
      </c>
      <c r="B1712" t="s" s="10">
        <v>8861</v>
      </c>
      <c r="C1712" t="s" s="10">
        <v>27</v>
      </c>
      <c r="D1712" t="s" s="10">
        <v>122</v>
      </c>
      <c r="E1712" t="s" s="10">
        <v>1859</v>
      </c>
      <c r="F1712" s="27">
        <v>45881</v>
      </c>
      <c r="G1712" t="s" s="10">
        <v>146</v>
      </c>
      <c r="H1712" s="42">
        <v>70</v>
      </c>
      <c r="I1712" s="42">
        <v>35</v>
      </c>
      <c r="J1712" t="s" s="10">
        <v>8862</v>
      </c>
      <c r="K1712" t="s" s="10">
        <v>8863</v>
      </c>
      <c r="L1712" s="16">
        <f>HYPERLINK("http://www.skydo.com", "www.skydo.com")</f>
      </c>
      <c r="M1712" s="16">
        <f>HYPERLINK("https://my.pitchbook.com?c=500619-88", "View Company Online")</f>
      </c>
    </row>
    <row r="1713">
      <c r="A1713" t="s" s="11">
        <v>8865</v>
      </c>
      <c r="B1713" t="s" s="11">
        <v>8866</v>
      </c>
      <c r="C1713" t="s" s="11">
        <v>172</v>
      </c>
      <c r="D1713" t="s" s="11">
        <v>173</v>
      </c>
      <c r="E1713" t="s" s="11">
        <v>2071</v>
      </c>
      <c r="F1713" s="28">
        <v>45978</v>
      </c>
      <c r="G1713" t="s" s="11">
        <v>146</v>
      </c>
      <c r="H1713" s="43">
        <v>8.8</v>
      </c>
      <c r="I1713" s="43">
        <v>35</v>
      </c>
      <c r="J1713" t="s" s="11">
        <v>8867</v>
      </c>
      <c r="K1713" t="s" s="11">
        <v>8868</v>
      </c>
      <c r="L1713" s="17">
        <f>HYPERLINK("http://www.verisoul.ai", "www.verisoul.ai")</f>
      </c>
      <c r="M1713" s="17">
        <f>HYPERLINK("https://my.pitchbook.com?c=510489-10", "View Company Online")</f>
      </c>
    </row>
    <row r="1714">
      <c r="A1714" t="s" s="10">
        <v>8870</v>
      </c>
      <c r="B1714" t="s" s="10">
        <v>8871</v>
      </c>
      <c r="C1714" t="s" s="10">
        <v>144</v>
      </c>
      <c r="D1714" t="s" s="10">
        <v>38</v>
      </c>
      <c r="E1714" t="s" s="10">
        <v>253</v>
      </c>
      <c r="F1714" s="27">
        <v>44795</v>
      </c>
      <c r="G1714" t="s" s="10">
        <v>146</v>
      </c>
      <c r="H1714" s="42">
        <v>5.63</v>
      </c>
      <c r="I1714" s="42">
        <v>34.82</v>
      </c>
      <c r="J1714" t="s" s="10">
        <v>8872</v>
      </c>
      <c r="K1714" t="s" s="10">
        <v>8873</v>
      </c>
      <c r="L1714" s="16">
        <f>HYPERLINK("http://www.junio.in", "www.junio.in")</f>
      </c>
      <c r="M1714" s="16">
        <f>HYPERLINK("https://my.pitchbook.com?c=454676-95", "View Company Online")</f>
      </c>
    </row>
    <row r="1715">
      <c r="A1715" t="s" s="11">
        <v>8875</v>
      </c>
      <c r="B1715" t="s" s="11">
        <v>8876</v>
      </c>
      <c r="C1715" t="s" s="11">
        <v>60</v>
      </c>
      <c r="D1715" t="s" s="11">
        <v>246</v>
      </c>
      <c r="E1715" t="s" s="11">
        <v>414</v>
      </c>
      <c r="F1715" s="28">
        <v>45930</v>
      </c>
      <c r="G1715" t="s" s="11">
        <v>146</v>
      </c>
      <c r="H1715" t="s" s="43">
        <v>30</v>
      </c>
      <c r="I1715" s="43">
        <v>34.71</v>
      </c>
      <c r="J1715" t="s" s="11">
        <v>8877</v>
      </c>
      <c r="K1715" t="s" s="11">
        <v>8878</v>
      </c>
      <c r="L1715" s="17">
        <f>HYPERLINK("http://www.agentsmyth.com", "www.agentsmyth.com")</f>
      </c>
      <c r="M1715" s="17">
        <f>HYPERLINK("https://my.pitchbook.com?c=594179-65", "View Company Online")</f>
      </c>
    </row>
    <row r="1716">
      <c r="A1716" t="s" s="10">
        <v>8880</v>
      </c>
      <c r="B1716" t="s" s="10">
        <v>8881</v>
      </c>
      <c r="C1716" t="s" s="10">
        <v>27</v>
      </c>
      <c r="D1716" t="s" s="10">
        <v>70</v>
      </c>
      <c r="E1716" t="s" s="10">
        <v>253</v>
      </c>
      <c r="F1716" s="27">
        <v>44589</v>
      </c>
      <c r="G1716" t="s" s="10">
        <v>40</v>
      </c>
      <c r="H1716" s="42">
        <v>5.86</v>
      </c>
      <c r="I1716" s="42">
        <v>34.65</v>
      </c>
      <c r="J1716" t="s" s="10">
        <v>8882</v>
      </c>
      <c r="K1716" t="s" s="10">
        <v>30</v>
      </c>
      <c r="L1716" s="16">
        <f>HYPERLINK("http://www.geniusto.com", "www.geniusto.com")</f>
      </c>
      <c r="M1716" s="16">
        <f>HYPERLINK("https://my.pitchbook.com?c=466195-42", "View Company Online")</f>
      </c>
    </row>
    <row r="1717">
      <c r="A1717" t="s" s="11">
        <v>8884</v>
      </c>
      <c r="B1717" t="s" s="11">
        <v>8885</v>
      </c>
      <c r="C1717" t="s" s="11">
        <v>60</v>
      </c>
      <c r="D1717" t="s" s="11">
        <v>246</v>
      </c>
      <c r="E1717" t="s" s="11">
        <v>367</v>
      </c>
      <c r="F1717" t="s" s="28">
        <v>30</v>
      </c>
      <c r="G1717" t="s" s="11">
        <v>48</v>
      </c>
      <c r="H1717" t="s" s="43">
        <v>30</v>
      </c>
      <c r="I1717" s="43">
        <v>34.61</v>
      </c>
      <c r="J1717" t="s" s="11">
        <v>8886</v>
      </c>
      <c r="K1717" t="s" s="11">
        <v>30</v>
      </c>
      <c r="L1717" s="17">
        <f>HYPERLINK("http://www.upsidetechnology.co", "www.upsidetechnology.co")</f>
      </c>
      <c r="M1717" s="17">
        <f>HYPERLINK("https://my.pitchbook.com?c=464420-44", "View Company Online")</f>
      </c>
    </row>
    <row r="1718">
      <c r="A1718" t="s" s="10">
        <v>8888</v>
      </c>
      <c r="B1718" t="s" s="10">
        <v>8889</v>
      </c>
      <c r="C1718" t="s" s="10">
        <v>27</v>
      </c>
      <c r="D1718" t="s" s="10">
        <v>28</v>
      </c>
      <c r="E1718" t="s" s="10">
        <v>373</v>
      </c>
      <c r="F1718" s="27">
        <v>45434</v>
      </c>
      <c r="G1718" t="s" s="10">
        <v>146</v>
      </c>
      <c r="H1718" s="42">
        <v>10</v>
      </c>
      <c r="I1718" s="42">
        <v>34.6</v>
      </c>
      <c r="J1718" t="s" s="10">
        <v>8890</v>
      </c>
      <c r="K1718" t="s" s="10">
        <v>8891</v>
      </c>
      <c r="L1718" s="16">
        <f>HYPERLINK("http://www.justifi.ai", "www.justifi.ai")</f>
      </c>
      <c r="M1718" s="16">
        <f>HYPERLINK("https://my.pitchbook.com?c=482332-96", "View Company Online")</f>
      </c>
    </row>
    <row r="1719">
      <c r="A1719" t="s" s="11">
        <v>8893</v>
      </c>
      <c r="B1719" t="s" s="11">
        <v>8894</v>
      </c>
      <c r="C1719" t="s" s="11">
        <v>46</v>
      </c>
      <c r="D1719" t="s" s="11">
        <v>47</v>
      </c>
      <c r="E1719" t="s" s="11">
        <v>108</v>
      </c>
      <c r="F1719" s="28">
        <v>45315</v>
      </c>
      <c r="G1719" t="s" s="11">
        <v>607</v>
      </c>
      <c r="H1719" t="s" s="43">
        <v>30</v>
      </c>
      <c r="I1719" s="43">
        <v>34.5</v>
      </c>
      <c r="J1719" t="s" s="11">
        <v>8895</v>
      </c>
      <c r="K1719" t="s" s="11">
        <v>8896</v>
      </c>
      <c r="L1719" s="17">
        <f>HYPERLINK("http://www.tryduplo.com", "www.tryduplo.com")</f>
      </c>
      <c r="M1719" s="17">
        <f>HYPERLINK("https://my.pitchbook.com?c=490661-02", "View Company Online")</f>
      </c>
    </row>
    <row r="1720">
      <c r="A1720" t="s" s="10">
        <v>8898</v>
      </c>
      <c r="B1720" t="s" s="10">
        <v>8899</v>
      </c>
      <c r="C1720" t="s" s="10">
        <v>222</v>
      </c>
      <c r="D1720" t="s" s="10">
        <v>537</v>
      </c>
      <c r="E1720" t="s" s="10">
        <v>8900</v>
      </c>
      <c r="F1720" s="27">
        <v>45444</v>
      </c>
      <c r="G1720" t="s" s="10">
        <v>4267</v>
      </c>
      <c r="H1720" s="42">
        <v>3.5</v>
      </c>
      <c r="I1720" s="42">
        <v>34.5</v>
      </c>
      <c r="J1720" t="s" s="10">
        <v>8901</v>
      </c>
      <c r="K1720" t="s" s="10">
        <v>30</v>
      </c>
      <c r="L1720" s="16">
        <f>HYPERLINK("http://soknengineering.com", "soknengineering.com")</f>
      </c>
      <c r="M1720" s="16">
        <f>HYPERLINK("https://my.pitchbook.com?c=481175-20", "View Company Online")</f>
      </c>
    </row>
    <row r="1721">
      <c r="A1721" t="s" s="11">
        <v>8903</v>
      </c>
      <c r="B1721" t="s" s="11">
        <v>8904</v>
      </c>
      <c r="C1721" t="s" s="11">
        <v>114</v>
      </c>
      <c r="D1721" t="s" s="11">
        <v>136</v>
      </c>
      <c r="E1721" t="s" s="11">
        <v>2581</v>
      </c>
      <c r="F1721" s="28">
        <v>44679</v>
      </c>
      <c r="G1721" t="s" s="11">
        <v>271</v>
      </c>
      <c r="H1721" t="s" s="43">
        <v>30</v>
      </c>
      <c r="I1721" s="43">
        <v>34.48</v>
      </c>
      <c r="J1721" t="s" s="11">
        <v>8905</v>
      </c>
      <c r="K1721" t="s" s="11">
        <v>8906</v>
      </c>
      <c r="L1721" s="17">
        <f>HYPERLINK("http://www.justus.co", "www.justus.co")</f>
      </c>
      <c r="M1721" s="17">
        <f>HYPERLINK("https://my.pitchbook.com?c=61719-31", "View Company Online")</f>
      </c>
    </row>
    <row r="1722">
      <c r="A1722" t="s" s="10">
        <v>8908</v>
      </c>
      <c r="B1722" t="s" s="10">
        <v>8909</v>
      </c>
      <c r="C1722" t="s" s="10">
        <v>114</v>
      </c>
      <c r="D1722" t="s" s="10">
        <v>852</v>
      </c>
      <c r="E1722" t="s" s="10">
        <v>1162</v>
      </c>
      <c r="F1722" s="27">
        <v>44476</v>
      </c>
      <c r="G1722" t="s" s="10">
        <v>40</v>
      </c>
      <c r="H1722" s="42">
        <v>29</v>
      </c>
      <c r="I1722" s="42">
        <v>34.4</v>
      </c>
      <c r="J1722" t="s" s="10">
        <v>8910</v>
      </c>
      <c r="K1722" t="s" s="10">
        <v>8911</v>
      </c>
      <c r="L1722" s="16">
        <f>HYPERLINK("http://www.nowcorp.com", "www.nowcorp.com")</f>
      </c>
      <c r="M1722" s="16">
        <f>HYPERLINK("https://my.pitchbook.com?c=161645-59", "View Company Online")</f>
      </c>
    </row>
    <row r="1723">
      <c r="A1723" t="s" s="11">
        <v>8913</v>
      </c>
      <c r="B1723" t="s" s="11">
        <v>8914</v>
      </c>
      <c r="C1723" t="s" s="11">
        <v>46</v>
      </c>
      <c r="D1723" t="s" s="11">
        <v>78</v>
      </c>
      <c r="E1723" t="s" s="11">
        <v>137</v>
      </c>
      <c r="F1723" s="28">
        <v>46070</v>
      </c>
      <c r="G1723" t="s" s="11">
        <v>40</v>
      </c>
      <c r="H1723" s="43">
        <v>5.57</v>
      </c>
      <c r="I1723" s="43">
        <v>34.35</v>
      </c>
      <c r="J1723" t="s" s="11">
        <v>8915</v>
      </c>
      <c r="K1723" t="s" s="11">
        <v>8916</v>
      </c>
      <c r="L1723" s="17">
        <f>HYPERLINK("http://www.allgravy.com", "www.allgravy.com")</f>
      </c>
      <c r="M1723" s="17">
        <f>HYPERLINK("https://my.pitchbook.com?c=494857-63", "View Company Online")</f>
      </c>
    </row>
    <row r="1724">
      <c r="A1724" t="s" s="10">
        <v>8918</v>
      </c>
      <c r="B1724" t="s" s="10">
        <v>8919</v>
      </c>
      <c r="C1724" t="s" s="10">
        <v>27</v>
      </c>
      <c r="D1724" t="s" s="10">
        <v>70</v>
      </c>
      <c r="E1724" t="s" s="10">
        <v>253</v>
      </c>
      <c r="F1724" s="27">
        <v>46211</v>
      </c>
      <c r="G1724" t="s" s="10">
        <v>146</v>
      </c>
      <c r="H1724" s="42">
        <v>38</v>
      </c>
      <c r="I1724" s="42">
        <v>34.34</v>
      </c>
      <c r="J1724" t="s" s="10">
        <v>8920</v>
      </c>
      <c r="K1724" t="s" s="10">
        <v>8921</v>
      </c>
      <c r="L1724" s="16">
        <f>HYPERLINK("http://www.velocity.xyz", "www.velocity.xyz")</f>
      </c>
      <c r="M1724" s="16">
        <f>HYPERLINK("https://my.pitchbook.com?c=846525-70", "View Company Online")</f>
      </c>
    </row>
    <row r="1725">
      <c r="A1725" t="s" s="11">
        <v>8923</v>
      </c>
      <c r="B1725" t="s" s="11">
        <v>8924</v>
      </c>
      <c r="C1725" t="s" s="11">
        <v>27</v>
      </c>
      <c r="D1725" t="s" s="11">
        <v>122</v>
      </c>
      <c r="E1725" t="s" s="11">
        <v>137</v>
      </c>
      <c r="F1725" s="28">
        <v>45839</v>
      </c>
      <c r="G1725" t="s" s="11">
        <v>40</v>
      </c>
      <c r="H1725" t="s" s="43">
        <v>30</v>
      </c>
      <c r="I1725" s="43">
        <v>34.32</v>
      </c>
      <c r="J1725" t="s" s="11">
        <v>8925</v>
      </c>
      <c r="K1725" t="s" s="11">
        <v>8926</v>
      </c>
      <c r="L1725" s="17">
        <f>HYPERLINK("http://transfer.moneymatch.co", "transfer.moneymatch.co")</f>
      </c>
      <c r="M1725" s="17">
        <f>HYPERLINK("https://my.pitchbook.com?c=154271-62", "View Company Online")</f>
      </c>
    </row>
    <row r="1726">
      <c r="A1726" t="s" s="10">
        <v>8928</v>
      </c>
      <c r="B1726" t="s" s="10">
        <v>8929</v>
      </c>
      <c r="C1726" t="s" s="10">
        <v>27</v>
      </c>
      <c r="D1726" t="s" s="10">
        <v>28</v>
      </c>
      <c r="E1726" t="s" s="10">
        <v>2927</v>
      </c>
      <c r="F1726" s="27">
        <v>45870</v>
      </c>
      <c r="G1726" t="s" s="10">
        <v>40</v>
      </c>
      <c r="H1726" t="s" s="42">
        <v>30</v>
      </c>
      <c r="I1726" s="42">
        <v>34.3</v>
      </c>
      <c r="J1726" t="s" s="10">
        <v>8930</v>
      </c>
      <c r="K1726" t="s" s="10">
        <v>8931</v>
      </c>
      <c r="L1726" s="16">
        <f>HYPERLINK("http://zonenetwork.com", "zonenetwork.com")</f>
      </c>
      <c r="M1726" s="16">
        <f>HYPERLINK("https://my.pitchbook.com?c=161880-49", "View Company Online")</f>
      </c>
    </row>
    <row r="1727">
      <c r="A1727" t="s" s="11">
        <v>8933</v>
      </c>
      <c r="B1727" t="s" s="11">
        <v>8934</v>
      </c>
      <c r="C1727" t="s" s="11">
        <v>164</v>
      </c>
      <c r="D1727" t="s" s="11">
        <v>165</v>
      </c>
      <c r="E1727" t="s" s="11">
        <v>373</v>
      </c>
      <c r="F1727" s="28">
        <v>46034</v>
      </c>
      <c r="G1727" t="s" s="11">
        <v>146</v>
      </c>
      <c r="H1727" s="43">
        <v>6.71</v>
      </c>
      <c r="I1727" s="43">
        <v>34.01</v>
      </c>
      <c r="J1727" t="s" s="11">
        <v>8935</v>
      </c>
      <c r="K1727" t="s" s="11">
        <v>8936</v>
      </c>
      <c r="L1727" s="17">
        <f>HYPERLINK("http://www.bluecopa.com", "www.bluecopa.com")</f>
      </c>
      <c r="M1727" s="17">
        <f>HYPERLINK("https://my.pitchbook.com?c=503104-60", "View Company Online")</f>
      </c>
    </row>
    <row r="1728">
      <c r="A1728" t="s" s="10">
        <v>8938</v>
      </c>
      <c r="B1728" t="s" s="10">
        <v>8939</v>
      </c>
      <c r="C1728" t="s" s="10">
        <v>128</v>
      </c>
      <c r="D1728" t="s" s="10">
        <v>276</v>
      </c>
      <c r="E1728" t="s" s="10">
        <v>270</v>
      </c>
      <c r="F1728" s="27">
        <v>45149</v>
      </c>
      <c r="G1728" t="s" s="10">
        <v>2051</v>
      </c>
      <c r="H1728" t="s" s="42">
        <v>30</v>
      </c>
      <c r="I1728" s="42">
        <v>34</v>
      </c>
      <c r="J1728" t="s" s="10">
        <v>8940</v>
      </c>
      <c r="K1728" t="s" s="10">
        <v>30</v>
      </c>
      <c r="L1728" s="16">
        <f>HYPERLINK("http://www.braid.co", "www.braid.co")</f>
      </c>
      <c r="M1728" s="16">
        <f>HYPERLINK("https://my.pitchbook.com?c=432781-93", "View Company Online")</f>
      </c>
    </row>
    <row r="1729">
      <c r="A1729" t="s" s="11">
        <v>8942</v>
      </c>
      <c r="B1729" t="s" s="11">
        <v>8943</v>
      </c>
      <c r="C1729" t="s" s="11">
        <v>46</v>
      </c>
      <c r="D1729" t="s" s="11">
        <v>915</v>
      </c>
      <c r="E1729" t="s" s="11">
        <v>253</v>
      </c>
      <c r="F1729" s="28">
        <v>46091</v>
      </c>
      <c r="G1729" t="s" s="11">
        <v>4267</v>
      </c>
      <c r="H1729" s="43">
        <v>4</v>
      </c>
      <c r="I1729" s="43">
        <v>34</v>
      </c>
      <c r="J1729" t="s" s="11">
        <v>8944</v>
      </c>
      <c r="K1729" t="s" s="11">
        <v>8945</v>
      </c>
      <c r="L1729" s="17">
        <f>HYPERLINK("http://www.coderoi.com", "www.coderoi.com")</f>
      </c>
      <c r="M1729" s="17">
        <f>HYPERLINK("https://my.pitchbook.com?c=698782-87", "View Company Online")</f>
      </c>
    </row>
    <row r="1730">
      <c r="A1730" t="s" s="10">
        <v>8947</v>
      </c>
      <c r="B1730" t="s" s="10">
        <v>8948</v>
      </c>
      <c r="C1730" t="s" s="10">
        <v>144</v>
      </c>
      <c r="D1730" t="s" s="10">
        <v>297</v>
      </c>
      <c r="E1730" t="s" s="10">
        <v>116</v>
      </c>
      <c r="F1730" s="27">
        <v>45916</v>
      </c>
      <c r="G1730" t="s" s="10">
        <v>40</v>
      </c>
      <c r="H1730" s="42">
        <v>110</v>
      </c>
      <c r="I1730" s="42">
        <v>34</v>
      </c>
      <c r="J1730" t="s" s="10">
        <v>8949</v>
      </c>
      <c r="K1730" t="s" s="10">
        <v>8950</v>
      </c>
      <c r="L1730" s="16">
        <f>HYPERLINK("http://www.daylit.com", "www.daylit.com")</f>
      </c>
      <c r="M1730" s="16">
        <f>HYPERLINK("https://my.pitchbook.com?c=437691-16", "View Company Online")</f>
      </c>
    </row>
    <row r="1731">
      <c r="A1731" t="s" s="11">
        <v>8952</v>
      </c>
      <c r="B1731" t="s" s="11">
        <v>8953</v>
      </c>
      <c r="C1731" t="s" s="11">
        <v>60</v>
      </c>
      <c r="D1731" t="s" s="11">
        <v>246</v>
      </c>
      <c r="E1731" t="s" s="11">
        <v>270</v>
      </c>
      <c r="F1731" s="28">
        <v>44926</v>
      </c>
      <c r="G1731" t="s" s="11">
        <v>40</v>
      </c>
      <c r="H1731" s="43">
        <v>5</v>
      </c>
      <c r="I1731" s="43">
        <v>34</v>
      </c>
      <c r="J1731" t="s" s="11">
        <v>8954</v>
      </c>
      <c r="K1731" t="s" s="11">
        <v>8955</v>
      </c>
      <c r="L1731" s="17">
        <f>HYPERLINK("http://www.finhabits.com", "www.finhabits.com")</f>
      </c>
      <c r="M1731" s="17">
        <f>HYPERLINK("https://my.pitchbook.com?c=264557-98", "View Company Online")</f>
      </c>
    </row>
    <row r="1732">
      <c r="A1732" t="s" s="10">
        <v>8957</v>
      </c>
      <c r="B1732" t="s" s="10">
        <v>8958</v>
      </c>
      <c r="C1732" t="s" s="10">
        <v>27</v>
      </c>
      <c r="D1732" t="s" s="10">
        <v>28</v>
      </c>
      <c r="E1732" t="s" s="10">
        <v>721</v>
      </c>
      <c r="F1732" s="27">
        <v>45628</v>
      </c>
      <c r="G1732" t="s" s="10">
        <v>146</v>
      </c>
      <c r="H1732" t="s" s="42">
        <v>30</v>
      </c>
      <c r="I1732" s="42">
        <v>34</v>
      </c>
      <c r="J1732" t="s" s="10">
        <v>8959</v>
      </c>
      <c r="K1732" t="s" s="10">
        <v>8960</v>
      </c>
      <c r="L1732" s="16">
        <f>HYPERLINK("http://www.higlobe.com", "www.higlobe.com")</f>
      </c>
      <c r="M1732" s="16">
        <f>HYPERLINK("https://my.pitchbook.com?c=501012-01", "View Company Online")</f>
      </c>
    </row>
    <row r="1733">
      <c r="A1733" t="s" s="11">
        <v>8962</v>
      </c>
      <c r="B1733" t="s" s="11">
        <v>8963</v>
      </c>
      <c r="C1733" t="s" s="11">
        <v>164</v>
      </c>
      <c r="D1733" t="s" s="11">
        <v>206</v>
      </c>
      <c r="E1733" t="s" s="11">
        <v>253</v>
      </c>
      <c r="F1733" s="28">
        <v>45856</v>
      </c>
      <c r="G1733" t="s" s="11">
        <v>4267</v>
      </c>
      <c r="H1733" t="s" s="43">
        <v>30</v>
      </c>
      <c r="I1733" s="43">
        <v>34</v>
      </c>
      <c r="J1733" t="s" s="11">
        <v>8964</v>
      </c>
      <c r="K1733" t="s" s="11">
        <v>8965</v>
      </c>
      <c r="L1733" s="17">
        <f>HYPERLINK("http://www.passportfintech.com", "www.passportfintech.com")</f>
      </c>
      <c r="M1733" s="17">
        <f>HYPERLINK("https://my.pitchbook.com?c=483798-43", "View Company Online")</f>
      </c>
    </row>
    <row r="1734">
      <c r="A1734" t="s" s="10">
        <v>8967</v>
      </c>
      <c r="B1734" t="s" s="10">
        <v>8968</v>
      </c>
      <c r="C1734" t="s" s="10">
        <v>114</v>
      </c>
      <c r="D1734" t="s" s="10">
        <v>1386</v>
      </c>
      <c r="E1734" t="s" s="10">
        <v>137</v>
      </c>
      <c r="F1734" s="27">
        <v>46188</v>
      </c>
      <c r="G1734" t="s" s="10">
        <v>146</v>
      </c>
      <c r="H1734" s="42">
        <v>7</v>
      </c>
      <c r="I1734" s="42">
        <v>34</v>
      </c>
      <c r="J1734" t="s" s="10">
        <v>8969</v>
      </c>
      <c r="K1734" t="s" s="10">
        <v>8970</v>
      </c>
      <c r="L1734" s="16">
        <f>HYPERLINK("http://www.partnerwiththrive.com", "www.partnerwiththrive.com")</f>
      </c>
      <c r="M1734" s="16">
        <f>HYPERLINK("https://my.pitchbook.com?c=588597-04", "View Company Online")</f>
      </c>
    </row>
    <row r="1735">
      <c r="A1735" t="s" s="11">
        <v>8972</v>
      </c>
      <c r="B1735" t="s" s="11">
        <v>8973</v>
      </c>
      <c r="C1735" t="s" s="11">
        <v>114</v>
      </c>
      <c r="D1735" t="s" s="11">
        <v>1386</v>
      </c>
      <c r="E1735" t="s" s="11">
        <v>5749</v>
      </c>
      <c r="F1735" s="28">
        <v>46078</v>
      </c>
      <c r="G1735" t="s" s="11">
        <v>146</v>
      </c>
      <c r="H1735" s="43">
        <v>1</v>
      </c>
      <c r="I1735" s="43">
        <v>34</v>
      </c>
      <c r="J1735" t="s" s="11">
        <v>8974</v>
      </c>
      <c r="K1735" t="s" s="11">
        <v>8975</v>
      </c>
      <c r="L1735" s="17">
        <f>HYPERLINK("http://www.willowservicing.com", "www.willowservicing.com")</f>
      </c>
      <c r="M1735" s="17">
        <f>HYPERLINK("https://my.pitchbook.com?c=493234-66", "View Company Online")</f>
      </c>
    </row>
    <row r="1736">
      <c r="A1736" t="s" s="10">
        <v>8977</v>
      </c>
      <c r="B1736" t="s" s="10">
        <v>8978</v>
      </c>
      <c r="C1736" t="s" s="10">
        <v>60</v>
      </c>
      <c r="D1736" t="s" s="10">
        <v>192</v>
      </c>
      <c r="E1736" t="s" s="10">
        <v>253</v>
      </c>
      <c r="F1736" s="27">
        <v>45779</v>
      </c>
      <c r="G1736" t="s" s="10">
        <v>40</v>
      </c>
      <c r="H1736" s="42">
        <v>15.57</v>
      </c>
      <c r="I1736" s="42">
        <v>33.85</v>
      </c>
      <c r="J1736" t="s" s="10">
        <v>8979</v>
      </c>
      <c r="K1736" t="s" s="10">
        <v>8980</v>
      </c>
      <c r="L1736" s="16">
        <f>HYPERLINK("http://www.mintago.com", "www.mintago.com")</f>
      </c>
      <c r="M1736" s="16">
        <f>HYPERLINK("https://my.pitchbook.com?c=434704-60", "View Company Online")</f>
      </c>
    </row>
    <row r="1737">
      <c r="A1737" t="s" s="11">
        <v>8982</v>
      </c>
      <c r="B1737" t="s" s="11">
        <v>8983</v>
      </c>
      <c r="C1737" t="s" s="11">
        <v>164</v>
      </c>
      <c r="D1737" t="s" s="11">
        <v>165</v>
      </c>
      <c r="E1737" t="s" s="11">
        <v>916</v>
      </c>
      <c r="F1737" s="28">
        <v>43755</v>
      </c>
      <c r="G1737" t="s" s="11">
        <v>40</v>
      </c>
      <c r="H1737" s="43">
        <v>5.97</v>
      </c>
      <c r="I1737" s="43">
        <v>33.83</v>
      </c>
      <c r="J1737" t="s" s="11">
        <v>8984</v>
      </c>
      <c r="K1737" t="s" s="11">
        <v>8985</v>
      </c>
      <c r="L1737" s="17">
        <f>HYPERLINK("http://www.diligencevault.com", "www.diligencevault.com")</f>
      </c>
      <c r="M1737" s="17">
        <f>HYPERLINK("https://my.pitchbook.com?c=129979-63", "View Company Online")</f>
      </c>
    </row>
    <row r="1738">
      <c r="A1738" t="s" s="10">
        <v>8987</v>
      </c>
      <c r="B1738" t="s" s="10">
        <v>8988</v>
      </c>
      <c r="C1738" t="s" s="10">
        <v>164</v>
      </c>
      <c r="D1738" t="s" s="10">
        <v>165</v>
      </c>
      <c r="E1738" t="s" s="10">
        <v>1038</v>
      </c>
      <c r="F1738" t="s" s="27">
        <v>30</v>
      </c>
      <c r="G1738" t="s" s="10">
        <v>40</v>
      </c>
      <c r="H1738" t="s" s="42">
        <v>30</v>
      </c>
      <c r="I1738" s="42">
        <v>33.79</v>
      </c>
      <c r="J1738" t="s" s="10">
        <v>8989</v>
      </c>
      <c r="K1738" t="s" s="10">
        <v>8990</v>
      </c>
      <c r="L1738" s="16">
        <f>HYPERLINK("http://www.softspace.com.my", "www.softspace.com.my")</f>
      </c>
      <c r="M1738" s="16">
        <f>HYPERLINK("https://my.pitchbook.com?c=96730-03", "View Company Online")</f>
      </c>
    </row>
    <row r="1739">
      <c r="A1739" t="s" s="11">
        <v>8992</v>
      </c>
      <c r="B1739" t="s" s="11">
        <v>8993</v>
      </c>
      <c r="C1739" t="s" s="11">
        <v>144</v>
      </c>
      <c r="D1739" t="s" s="11">
        <v>38</v>
      </c>
      <c r="E1739" t="s" s="11">
        <v>193</v>
      </c>
      <c r="F1739" s="28">
        <v>43704</v>
      </c>
      <c r="G1739" t="s" s="11">
        <v>146</v>
      </c>
      <c r="H1739" s="43">
        <v>3.34</v>
      </c>
      <c r="I1739" s="43">
        <v>33.72</v>
      </c>
      <c r="J1739" t="s" s="11">
        <v>8994</v>
      </c>
      <c r="K1739" t="s" s="11">
        <v>8995</v>
      </c>
      <c r="L1739" s="17">
        <f>HYPERLINK("http://www.manager.one", "www.manager.one")</f>
      </c>
      <c r="M1739" s="17">
        <f>HYPERLINK("https://my.pitchbook.com?c=188041-24", "View Company Online")</f>
      </c>
    </row>
    <row r="1740">
      <c r="A1740" t="s" s="10">
        <v>8997</v>
      </c>
      <c r="B1740" t="s" s="10">
        <v>8998</v>
      </c>
      <c r="C1740" t="s" s="10">
        <v>27</v>
      </c>
      <c r="D1740" t="s" s="10">
        <v>28</v>
      </c>
      <c r="E1740" t="s" s="10">
        <v>270</v>
      </c>
      <c r="F1740" s="27">
        <v>45434</v>
      </c>
      <c r="G1740" t="s" s="10">
        <v>607</v>
      </c>
      <c r="H1740" t="s" s="42">
        <v>30</v>
      </c>
      <c r="I1740" s="42">
        <v>33.71</v>
      </c>
      <c r="J1740" t="s" s="10">
        <v>8999</v>
      </c>
      <c r="K1740" t="s" s="10">
        <v>9000</v>
      </c>
      <c r="L1740" s="16">
        <f>HYPERLINK("http://www.odeal.com", "www.odeal.com")</f>
      </c>
      <c r="M1740" s="16">
        <f>HYPERLINK("https://my.pitchbook.com?c=119258-56", "View Company Online")</f>
      </c>
    </row>
    <row r="1741">
      <c r="A1741" t="s" s="11">
        <v>9002</v>
      </c>
      <c r="B1741" t="s" s="11">
        <v>9003</v>
      </c>
      <c r="C1741" t="s" s="11">
        <v>114</v>
      </c>
      <c r="D1741" t="s" s="11">
        <v>1386</v>
      </c>
      <c r="E1741" t="s" s="11">
        <v>2695</v>
      </c>
      <c r="F1741" s="28">
        <v>45449</v>
      </c>
      <c r="G1741" t="s" s="11">
        <v>40</v>
      </c>
      <c r="H1741" s="43">
        <v>10.84</v>
      </c>
      <c r="I1741" s="43">
        <v>33.65</v>
      </c>
      <c r="J1741" t="s" s="11">
        <v>9004</v>
      </c>
      <c r="K1741" t="s" s="11">
        <v>9005</v>
      </c>
      <c r="L1741" s="17">
        <f>HYPERLINK("http://www.continuity-tech.ai", "www.continuity-tech.ai")</f>
      </c>
      <c r="M1741" s="17">
        <f>HYPERLINK("https://my.pitchbook.com?c=438912-82", "View Company Online")</f>
      </c>
    </row>
    <row r="1742">
      <c r="A1742" t="s" s="10">
        <v>9007</v>
      </c>
      <c r="B1742" t="s" s="10">
        <v>9008</v>
      </c>
      <c r="C1742" t="s" s="10">
        <v>46</v>
      </c>
      <c r="D1742" t="s" s="10">
        <v>397</v>
      </c>
      <c r="E1742" t="s" s="10">
        <v>253</v>
      </c>
      <c r="F1742" s="27">
        <v>45762</v>
      </c>
      <c r="G1742" t="s" s="10">
        <v>31</v>
      </c>
      <c r="H1742" s="42">
        <v>0.28</v>
      </c>
      <c r="I1742" s="42">
        <v>33.6</v>
      </c>
      <c r="J1742" t="s" s="10">
        <v>9009</v>
      </c>
      <c r="K1742" t="s" s="10">
        <v>9010</v>
      </c>
      <c r="L1742" s="16">
        <f>HYPERLINK("http://www.bookkeep.com", "www.bookkeep.com")</f>
      </c>
      <c r="M1742" s="16">
        <f>HYPERLINK("https://my.pitchbook.com?c=466914-61", "View Company Online")</f>
      </c>
    </row>
    <row r="1743">
      <c r="A1743" t="s" s="11">
        <v>9012</v>
      </c>
      <c r="B1743" t="s" s="11">
        <v>9013</v>
      </c>
      <c r="C1743" t="s" s="11">
        <v>114</v>
      </c>
      <c r="D1743" t="s" s="11">
        <v>136</v>
      </c>
      <c r="E1743" t="s" s="11">
        <v>759</v>
      </c>
      <c r="F1743" s="28">
        <v>45835</v>
      </c>
      <c r="G1743" t="s" s="11">
        <v>40</v>
      </c>
      <c r="H1743" s="43">
        <v>46.45</v>
      </c>
      <c r="I1743" s="43">
        <v>33.58</v>
      </c>
      <c r="J1743" t="s" s="11">
        <v>9014</v>
      </c>
      <c r="K1743" t="s" s="11">
        <v>9015</v>
      </c>
      <c r="L1743" s="17">
        <f>HYPERLINK("http://www.sungage.com", "www.sungage.com")</f>
      </c>
      <c r="M1743" s="17">
        <f>HYPERLINK("https://my.pitchbook.com?c=98506-72", "View Company Online")</f>
      </c>
    </row>
    <row r="1744">
      <c r="A1744" t="s" s="10">
        <v>9017</v>
      </c>
      <c r="B1744" t="s" s="10">
        <v>9018</v>
      </c>
      <c r="C1744" t="s" s="10">
        <v>128</v>
      </c>
      <c r="D1744" t="s" s="10">
        <v>129</v>
      </c>
      <c r="E1744" t="s" s="10">
        <v>1109</v>
      </c>
      <c r="F1744" s="27">
        <v>46235</v>
      </c>
      <c r="G1744" t="s" s="10">
        <v>40</v>
      </c>
      <c r="H1744" t="s" s="42">
        <v>30</v>
      </c>
      <c r="I1744" s="42">
        <v>33.57</v>
      </c>
      <c r="J1744" t="s" s="10">
        <v>9019</v>
      </c>
      <c r="K1744" t="s" s="10">
        <v>9020</v>
      </c>
      <c r="L1744" s="16">
        <f>HYPERLINK("http://home.joko.com", "home.joko.com")</f>
      </c>
      <c r="M1744" s="16">
        <f>HYPERLINK("https://my.pitchbook.com?c=229041-19", "View Company Online")</f>
      </c>
    </row>
    <row r="1745">
      <c r="A1745" t="s" s="11">
        <v>9022</v>
      </c>
      <c r="B1745" t="s" s="11">
        <v>9023</v>
      </c>
      <c r="C1745" t="s" s="11">
        <v>164</v>
      </c>
      <c r="D1745" t="s" s="11">
        <v>206</v>
      </c>
      <c r="E1745" t="s" s="11">
        <v>9024</v>
      </c>
      <c r="F1745" s="28">
        <v>45338</v>
      </c>
      <c r="G1745" t="s" s="11">
        <v>40</v>
      </c>
      <c r="H1745" s="43">
        <v>13.7</v>
      </c>
      <c r="I1745" s="43">
        <v>33.5</v>
      </c>
      <c r="J1745" t="s" s="11">
        <v>9025</v>
      </c>
      <c r="K1745" t="s" s="11">
        <v>9026</v>
      </c>
      <c r="L1745" s="17">
        <f>HYPERLINK("http://www.arturo.ai", "www.arturo.ai")</f>
      </c>
      <c r="M1745" s="17">
        <f>HYPERLINK("https://my.pitchbook.com?c=267695-74", "View Company Online")</f>
      </c>
    </row>
    <row r="1746">
      <c r="A1746" t="s" s="10">
        <v>9028</v>
      </c>
      <c r="B1746" t="s" s="10">
        <v>9029</v>
      </c>
      <c r="C1746" t="s" s="10">
        <v>222</v>
      </c>
      <c r="D1746" t="s" s="10">
        <v>252</v>
      </c>
      <c r="E1746" t="s" s="10">
        <v>1859</v>
      </c>
      <c r="F1746" s="27">
        <v>46182</v>
      </c>
      <c r="G1746" t="s" s="10">
        <v>40</v>
      </c>
      <c r="H1746" s="42">
        <v>3.8</v>
      </c>
      <c r="I1746" s="42">
        <v>33.5</v>
      </c>
      <c r="J1746" t="s" s="10">
        <v>9030</v>
      </c>
      <c r="K1746" t="s" s="10">
        <v>9031</v>
      </c>
      <c r="L1746" s="16">
        <f>HYPERLINK("http://www.capconnectplus.com", "www.capconnectplus.com")</f>
      </c>
      <c r="M1746" s="16">
        <f>HYPERLINK("https://my.pitchbook.com?c=443018-53", "View Company Online")</f>
      </c>
    </row>
    <row r="1747">
      <c r="A1747" t="s" s="11">
        <v>9033</v>
      </c>
      <c r="B1747" t="s" s="11">
        <v>9034</v>
      </c>
      <c r="C1747" t="s" s="11">
        <v>27</v>
      </c>
      <c r="D1747" t="s" s="11">
        <v>28</v>
      </c>
      <c r="E1747" t="s" s="11">
        <v>270</v>
      </c>
      <c r="F1747" s="28">
        <v>44881</v>
      </c>
      <c r="G1747" t="s" s="11">
        <v>40</v>
      </c>
      <c r="H1747" s="43">
        <v>6.5</v>
      </c>
      <c r="I1747" s="43">
        <v>33.5</v>
      </c>
      <c r="J1747" t="s" s="11">
        <v>9035</v>
      </c>
      <c r="K1747" t="s" s="11">
        <v>9036</v>
      </c>
      <c r="L1747" s="17">
        <f>HYPERLINK("http://www.you.world", "www.you.world")</f>
      </c>
      <c r="M1747" s="17">
        <f>HYPERLINK("https://my.pitchbook.com?c=179122-87", "View Company Online")</f>
      </c>
    </row>
    <row r="1748">
      <c r="A1748" t="s" s="10">
        <v>9038</v>
      </c>
      <c r="B1748" t="s" s="10">
        <v>9039</v>
      </c>
      <c r="C1748" t="s" s="10">
        <v>172</v>
      </c>
      <c r="D1748" t="s" s="10">
        <v>338</v>
      </c>
      <c r="E1748" t="s" s="10">
        <v>253</v>
      </c>
      <c r="F1748" t="s" s="27">
        <v>30</v>
      </c>
      <c r="G1748" t="s" s="10">
        <v>607</v>
      </c>
      <c r="H1748" t="s" s="42">
        <v>30</v>
      </c>
      <c r="I1748" s="42">
        <v>33.47</v>
      </c>
      <c r="J1748" t="s" s="10">
        <v>9040</v>
      </c>
      <c r="K1748" t="s" s="10">
        <v>9041</v>
      </c>
      <c r="L1748" s="16">
        <f>HYPERLINK("http://www.frankieone.com", "www.frankieone.com")</f>
      </c>
      <c r="M1748" s="16">
        <f>HYPERLINK("https://my.pitchbook.com?c=432585-73", "View Company Online")</f>
      </c>
    </row>
    <row r="1749">
      <c r="A1749" t="s" s="11">
        <v>9043</v>
      </c>
      <c r="B1749" t="s" s="11">
        <v>9044</v>
      </c>
      <c r="C1749" t="s" s="11">
        <v>222</v>
      </c>
      <c r="D1749" t="s" s="11">
        <v>235</v>
      </c>
      <c r="E1749" t="s" s="11">
        <v>373</v>
      </c>
      <c r="F1749" s="28">
        <v>46079</v>
      </c>
      <c r="G1749" t="s" s="11">
        <v>146</v>
      </c>
      <c r="H1749" s="43">
        <v>4</v>
      </c>
      <c r="I1749" s="43">
        <v>33.4</v>
      </c>
      <c r="J1749" t="s" s="11">
        <v>9045</v>
      </c>
      <c r="K1749" t="s" s="11">
        <v>9046</v>
      </c>
      <c r="L1749" s="17">
        <f>HYPERLINK("http://www.oldwell-labs.com", "www.oldwell-labs.com")</f>
      </c>
      <c r="M1749" s="17">
        <f>HYPERLINK("https://my.pitchbook.com?c=462762-46", "View Company Online")</f>
      </c>
    </row>
    <row r="1750">
      <c r="A1750" t="s" s="10">
        <v>9048</v>
      </c>
      <c r="B1750" t="s" s="10">
        <v>9049</v>
      </c>
      <c r="C1750" t="s" s="10">
        <v>37</v>
      </c>
      <c r="D1750" t="s" s="10">
        <v>38</v>
      </c>
      <c r="E1750" t="s" s="10">
        <v>973</v>
      </c>
      <c r="F1750" s="27">
        <v>45583</v>
      </c>
      <c r="G1750" t="s" s="10">
        <v>40</v>
      </c>
      <c r="H1750" s="42">
        <v>5.53</v>
      </c>
      <c r="I1750" s="42">
        <v>33.37</v>
      </c>
      <c r="J1750" t="s" s="10">
        <v>9050</v>
      </c>
      <c r="K1750" t="s" s="10">
        <v>9051</v>
      </c>
      <c r="L1750" s="16">
        <f>HYPERLINK("http://www.tomorrow.one", "www.tomorrow.one")</f>
      </c>
      <c r="M1750" s="16">
        <f>HYPERLINK("https://my.pitchbook.com?c=290626-66", "View Company Online")</f>
      </c>
    </row>
    <row r="1751">
      <c r="A1751" t="s" s="11">
        <v>9053</v>
      </c>
      <c r="B1751" t="s" s="11">
        <v>9054</v>
      </c>
      <c r="C1751" t="s" s="11">
        <v>46</v>
      </c>
      <c r="D1751" t="s" s="11">
        <v>47</v>
      </c>
      <c r="E1751" t="s" s="11">
        <v>951</v>
      </c>
      <c r="F1751" s="28">
        <v>46023</v>
      </c>
      <c r="G1751" t="s" s="11">
        <v>40</v>
      </c>
      <c r="H1751" t="s" s="43">
        <v>30</v>
      </c>
      <c r="I1751" s="43">
        <v>33.33</v>
      </c>
      <c r="J1751" t="s" s="11">
        <v>9055</v>
      </c>
      <c r="K1751" t="s" s="11">
        <v>9056</v>
      </c>
      <c r="L1751" s="17">
        <f>HYPERLINK("http://www.axisapp.com", "www.axisapp.com")</f>
      </c>
      <c r="M1751" s="17">
        <f>HYPERLINK("https://my.pitchbook.com?c=484494-76", "View Company Online")</f>
      </c>
    </row>
    <row r="1752">
      <c r="A1752" t="s" s="10">
        <v>9058</v>
      </c>
      <c r="B1752" t="s" s="10">
        <v>9059</v>
      </c>
      <c r="C1752" t="s" s="10">
        <v>172</v>
      </c>
      <c r="D1752" t="s" s="10">
        <v>173</v>
      </c>
      <c r="E1752" t="s" s="10">
        <v>1685</v>
      </c>
      <c r="F1752" s="27">
        <v>46079</v>
      </c>
      <c r="G1752" t="s" s="10">
        <v>40</v>
      </c>
      <c r="H1752" s="42">
        <v>14.1</v>
      </c>
      <c r="I1752" s="42">
        <v>33.3</v>
      </c>
      <c r="J1752" t="s" s="10">
        <v>9060</v>
      </c>
      <c r="K1752" t="s" s="10">
        <v>9061</v>
      </c>
      <c r="L1752" s="16">
        <f>HYPERLINK("http://www.cleafy.com", "www.cleafy.com")</f>
      </c>
      <c r="M1752" s="16">
        <f>HYPERLINK("https://my.pitchbook.com?c=169028-56", "View Company Online")</f>
      </c>
    </row>
    <row r="1753">
      <c r="A1753" t="s" s="11">
        <v>9063</v>
      </c>
      <c r="B1753" t="s" s="11">
        <v>9064</v>
      </c>
      <c r="C1753" t="s" s="11">
        <v>60</v>
      </c>
      <c r="D1753" t="s" s="11">
        <v>727</v>
      </c>
      <c r="E1753" t="s" s="11">
        <v>137</v>
      </c>
      <c r="F1753" s="28">
        <v>43468</v>
      </c>
      <c r="G1753" t="s" s="11">
        <v>40</v>
      </c>
      <c r="H1753" s="43">
        <v>4.2</v>
      </c>
      <c r="I1753" s="43">
        <v>33.23</v>
      </c>
      <c r="J1753" t="s" s="11">
        <v>9065</v>
      </c>
      <c r="K1753" t="s" s="11">
        <v>9066</v>
      </c>
      <c r="L1753" s="17">
        <f>HYPERLINK("http://www.easymoney.com", "www.easymoney.com")</f>
      </c>
      <c r="M1753" s="17">
        <f>HYPERLINK("https://my.pitchbook.com?c=268221-25", "View Company Online")</f>
      </c>
    </row>
    <row r="1754">
      <c r="A1754" t="s" s="10">
        <v>9068</v>
      </c>
      <c r="B1754" t="s" s="10">
        <v>9069</v>
      </c>
      <c r="C1754" t="s" s="10">
        <v>172</v>
      </c>
      <c r="D1754" t="s" s="10">
        <v>338</v>
      </c>
      <c r="E1754" t="s" s="10">
        <v>493</v>
      </c>
      <c r="F1754" t="s" s="27">
        <v>30</v>
      </c>
      <c r="G1754" t="s" s="10">
        <v>48</v>
      </c>
      <c r="H1754" t="s" s="42">
        <v>30</v>
      </c>
      <c r="I1754" s="42">
        <v>33.16</v>
      </c>
      <c r="J1754" t="s" s="10">
        <v>9070</v>
      </c>
      <c r="K1754" t="s" s="10">
        <v>9071</v>
      </c>
      <c r="L1754" s="16">
        <f>HYPERLINK("http://www.sedric.ai", "www.sedric.ai")</f>
      </c>
      <c r="M1754" s="16">
        <f>HYPERLINK("https://my.pitchbook.com?c=471966-13", "View Company Online")</f>
      </c>
    </row>
    <row r="1755">
      <c r="A1755" t="s" s="11">
        <v>9073</v>
      </c>
      <c r="B1755" t="s" s="11">
        <v>9074</v>
      </c>
      <c r="C1755" t="s" s="11">
        <v>114</v>
      </c>
      <c r="D1755" t="s" s="11">
        <v>115</v>
      </c>
      <c r="E1755" t="s" s="11">
        <v>2782</v>
      </c>
      <c r="F1755" s="28">
        <v>45330</v>
      </c>
      <c r="G1755" t="s" s="11">
        <v>31</v>
      </c>
      <c r="H1755" s="43">
        <v>63.45</v>
      </c>
      <c r="I1755" s="43">
        <v>33.15</v>
      </c>
      <c r="J1755" t="s" s="11">
        <v>9075</v>
      </c>
      <c r="K1755" t="s" s="11">
        <v>9076</v>
      </c>
      <c r="L1755" s="17">
        <f>HYPERLINK("http://www.blendnetwork.com", "www.blendnetwork.com")</f>
      </c>
      <c r="M1755" s="17">
        <f>HYPERLINK("https://my.pitchbook.com?c=236701-45", "View Company Online")</f>
      </c>
    </row>
    <row r="1756">
      <c r="A1756" t="s" s="10">
        <v>9078</v>
      </c>
      <c r="B1756" t="s" s="10">
        <v>9079</v>
      </c>
      <c r="C1756" t="s" s="10">
        <v>27</v>
      </c>
      <c r="D1756" t="s" s="10">
        <v>28</v>
      </c>
      <c r="E1756" t="s" s="10">
        <v>200</v>
      </c>
      <c r="F1756" s="27">
        <v>46113</v>
      </c>
      <c r="G1756" t="s" s="10">
        <v>607</v>
      </c>
      <c r="H1756" t="s" s="42">
        <v>30</v>
      </c>
      <c r="I1756" s="42">
        <v>33.12</v>
      </c>
      <c r="J1756" t="s" s="10">
        <v>9080</v>
      </c>
      <c r="K1756" t="s" s="10">
        <v>9081</v>
      </c>
      <c r="L1756" s="16">
        <f>HYPERLINK("http://www.mishipay.com", "www.mishipay.com")</f>
      </c>
      <c r="M1756" s="16">
        <f>HYPERLINK("https://my.pitchbook.com?c=167227-21", "View Company Online")</f>
      </c>
    </row>
    <row r="1757">
      <c r="A1757" t="s" s="11">
        <v>9083</v>
      </c>
      <c r="B1757" t="s" s="11">
        <v>9084</v>
      </c>
      <c r="C1757" t="s" s="11">
        <v>27</v>
      </c>
      <c r="D1757" t="s" s="11">
        <v>28</v>
      </c>
      <c r="E1757" t="s" s="11">
        <v>158</v>
      </c>
      <c r="F1757" s="28">
        <v>45418</v>
      </c>
      <c r="G1757" t="s" s="11">
        <v>48</v>
      </c>
      <c r="H1757" t="s" s="43">
        <v>30</v>
      </c>
      <c r="I1757" s="43">
        <v>33.01</v>
      </c>
      <c r="J1757" t="s" s="11">
        <v>9085</v>
      </c>
      <c r="K1757" t="s" s="11">
        <v>9086</v>
      </c>
      <c r="L1757" s="17">
        <f>HYPERLINK("http://www.carpay-diem.com", "www.carpay-diem.com")</f>
      </c>
      <c r="M1757" s="17">
        <f>HYPERLINK("https://my.pitchbook.com?c=444099-88", "View Company Online")</f>
      </c>
    </row>
    <row r="1758">
      <c r="A1758" t="s" s="10">
        <v>9088</v>
      </c>
      <c r="B1758" t="s" s="10">
        <v>9089</v>
      </c>
      <c r="C1758" t="s" s="10">
        <v>27</v>
      </c>
      <c r="D1758" t="s" s="10">
        <v>28</v>
      </c>
      <c r="E1758" t="s" s="10">
        <v>9090</v>
      </c>
      <c r="F1758" s="27">
        <v>44286</v>
      </c>
      <c r="G1758" t="s" s="10">
        <v>146</v>
      </c>
      <c r="H1758" s="42">
        <v>8</v>
      </c>
      <c r="I1758" s="42">
        <v>33</v>
      </c>
      <c r="J1758" t="s" s="10">
        <v>9091</v>
      </c>
      <c r="K1758" t="s" s="10">
        <v>9092</v>
      </c>
      <c r="L1758" s="16">
        <f>HYPERLINK("http://www.blaze.me", "www.blaze.me")</f>
      </c>
      <c r="M1758" s="16">
        <f>HYPERLINK("https://my.pitchbook.com?c=234106-84", "View Company Online")</f>
      </c>
    </row>
    <row r="1759">
      <c r="A1759" t="s" s="11">
        <v>9094</v>
      </c>
      <c r="B1759" t="s" s="11">
        <v>9095</v>
      </c>
      <c r="C1759" t="s" s="11">
        <v>46</v>
      </c>
      <c r="D1759" t="s" s="11">
        <v>397</v>
      </c>
      <c r="E1759" t="s" s="11">
        <v>373</v>
      </c>
      <c r="F1759" s="28">
        <v>45673</v>
      </c>
      <c r="G1759" t="s" s="11">
        <v>40</v>
      </c>
      <c r="H1759" s="43">
        <v>10</v>
      </c>
      <c r="I1759" s="43">
        <v>33</v>
      </c>
      <c r="J1759" t="s" s="11">
        <v>9096</v>
      </c>
      <c r="K1759" t="s" s="11">
        <v>9097</v>
      </c>
      <c r="L1759" s="17">
        <f>HYPERLINK("http://www.blueonion.ai", "www.blueonion.ai")</f>
      </c>
      <c r="M1759" s="17">
        <f>HYPERLINK("https://my.pitchbook.com?c=439353-82", "View Company Online")</f>
      </c>
    </row>
    <row r="1760">
      <c r="A1760" t="s" s="10">
        <v>9099</v>
      </c>
      <c r="B1760" t="s" s="10">
        <v>9100</v>
      </c>
      <c r="C1760" t="s" s="10">
        <v>222</v>
      </c>
      <c r="D1760" t="s" s="10">
        <v>235</v>
      </c>
      <c r="E1760" t="s" s="10">
        <v>30</v>
      </c>
      <c r="F1760" s="27">
        <v>45575</v>
      </c>
      <c r="G1760" t="s" s="10">
        <v>146</v>
      </c>
      <c r="H1760" s="42">
        <v>8</v>
      </c>
      <c r="I1760" s="42">
        <v>33</v>
      </c>
      <c r="J1760" t="s" s="10">
        <v>9101</v>
      </c>
      <c r="K1760" t="s" s="10">
        <v>9102</v>
      </c>
      <c r="L1760" s="16">
        <f>HYPERLINK("http://www.common-trust.com", "www.common-trust.com")</f>
      </c>
      <c r="M1760" s="16">
        <f>HYPERLINK("https://my.pitchbook.com?c=510334-75", "View Company Online")</f>
      </c>
    </row>
    <row r="1761">
      <c r="A1761" t="s" s="11">
        <v>9104</v>
      </c>
      <c r="B1761" t="s" s="11">
        <v>9105</v>
      </c>
      <c r="C1761" t="s" s="11">
        <v>164</v>
      </c>
      <c r="D1761" t="s" s="11">
        <v>206</v>
      </c>
      <c r="E1761" t="s" s="11">
        <v>1625</v>
      </c>
      <c r="F1761" s="28">
        <v>44866</v>
      </c>
      <c r="G1761" t="s" s="11">
        <v>146</v>
      </c>
      <c r="H1761" s="43">
        <v>8</v>
      </c>
      <c r="I1761" s="43">
        <v>33</v>
      </c>
      <c r="J1761" t="s" s="11">
        <v>9106</v>
      </c>
      <c r="K1761" t="s" s="11">
        <v>9107</v>
      </c>
      <c r="L1761" s="17">
        <f>HYPERLINK("http://www.havenservicing.com", "www.havenservicing.com")</f>
      </c>
      <c r="M1761" s="17">
        <f>HYPERLINK("https://my.pitchbook.com?c=442205-38", "View Company Online")</f>
      </c>
    </row>
    <row r="1762">
      <c r="A1762" t="s" s="10">
        <v>9109</v>
      </c>
      <c r="B1762" t="s" s="10">
        <v>9110</v>
      </c>
      <c r="C1762" t="s" s="10">
        <v>27</v>
      </c>
      <c r="D1762" t="s" s="10">
        <v>28</v>
      </c>
      <c r="E1762" t="s" s="10">
        <v>3138</v>
      </c>
      <c r="F1762" s="27">
        <v>44986</v>
      </c>
      <c r="G1762" t="s" s="10">
        <v>146</v>
      </c>
      <c r="H1762" s="42">
        <v>9</v>
      </c>
      <c r="I1762" s="42">
        <v>33</v>
      </c>
      <c r="J1762" t="s" s="10">
        <v>9111</v>
      </c>
      <c r="K1762" t="s" s="10">
        <v>9112</v>
      </c>
      <c r="L1762" s="16">
        <f>HYPERLINK("http://www.interpayments.com", "www.interpayments.com")</f>
      </c>
      <c r="M1762" s="16">
        <f>HYPERLINK("https://my.pitchbook.com?c=433110-97", "View Company Online")</f>
      </c>
    </row>
    <row r="1763">
      <c r="A1763" t="s" s="11">
        <v>9114</v>
      </c>
      <c r="B1763" t="s" s="11">
        <v>9115</v>
      </c>
      <c r="C1763" t="s" s="11">
        <v>46</v>
      </c>
      <c r="D1763" t="s" s="11">
        <v>397</v>
      </c>
      <c r="E1763" t="s" s="11">
        <v>859</v>
      </c>
      <c r="F1763" s="28">
        <v>46036</v>
      </c>
      <c r="G1763" t="s" s="11">
        <v>40</v>
      </c>
      <c r="H1763" t="s" s="43">
        <v>30</v>
      </c>
      <c r="I1763" s="43">
        <v>33</v>
      </c>
      <c r="J1763" t="s" s="11">
        <v>9116</v>
      </c>
      <c r="K1763" t="s" s="11">
        <v>9117</v>
      </c>
      <c r="L1763" s="17">
        <f>HYPERLINK("http://www.pafin.com", "www.pafin.com")</f>
      </c>
      <c r="M1763" s="17">
        <f>HYPERLINK("https://my.pitchbook.com?c=343301-05", "View Company Online")</f>
      </c>
    </row>
    <row r="1764">
      <c r="A1764" t="s" s="10">
        <v>9119</v>
      </c>
      <c r="B1764" t="s" s="10">
        <v>9120</v>
      </c>
      <c r="C1764" t="s" s="10">
        <v>164</v>
      </c>
      <c r="D1764" t="s" s="10">
        <v>206</v>
      </c>
      <c r="E1764" t="s" s="10">
        <v>253</v>
      </c>
      <c r="F1764" s="27">
        <v>46233</v>
      </c>
      <c r="G1764" t="s" s="10">
        <v>40</v>
      </c>
      <c r="H1764" t="s" s="42">
        <v>30</v>
      </c>
      <c r="I1764" s="42">
        <v>33</v>
      </c>
      <c r="J1764" t="s" s="10">
        <v>9121</v>
      </c>
      <c r="K1764" t="s" s="10">
        <v>9122</v>
      </c>
      <c r="L1764" s="16">
        <f>HYPERLINK("http://strivve.com", "strivve.com")</f>
      </c>
      <c r="M1764" s="16">
        <f>HYPERLINK("https://my.pitchbook.com?c=124278-76", "View Company Online")</f>
      </c>
    </row>
    <row r="1765">
      <c r="A1765" t="s" s="11">
        <v>9124</v>
      </c>
      <c r="B1765" t="s" s="11">
        <v>9125</v>
      </c>
      <c r="C1765" t="s" s="11">
        <v>46</v>
      </c>
      <c r="D1765" t="s" s="11">
        <v>915</v>
      </c>
      <c r="E1765" t="s" s="11">
        <v>1207</v>
      </c>
      <c r="F1765" t="s" s="28">
        <v>30</v>
      </c>
      <c r="G1765" t="s" s="11">
        <v>31</v>
      </c>
      <c r="H1765" t="s" s="43">
        <v>30</v>
      </c>
      <c r="I1765" s="43">
        <v>33</v>
      </c>
      <c r="J1765" t="s" s="11">
        <v>9126</v>
      </c>
      <c r="K1765" t="s" s="11">
        <v>9127</v>
      </c>
      <c r="L1765" s="17">
        <f>HYPERLINK("http://www.truecomp.com", "www.truecomp.com")</f>
      </c>
      <c r="M1765" s="17">
        <f>HYPERLINK("https://my.pitchbook.com?c=132281-92", "View Company Online")</f>
      </c>
    </row>
    <row r="1766">
      <c r="A1766" t="s" s="10">
        <v>9129</v>
      </c>
      <c r="B1766" t="s" s="10">
        <v>9130</v>
      </c>
      <c r="C1766" t="s" s="10">
        <v>37</v>
      </c>
      <c r="D1766" t="s" s="10">
        <v>304</v>
      </c>
      <c r="E1766" t="s" s="10">
        <v>2146</v>
      </c>
      <c r="F1766" s="27">
        <v>44903</v>
      </c>
      <c r="G1766" t="s" s="10">
        <v>146</v>
      </c>
      <c r="H1766" t="s" s="42">
        <v>30</v>
      </c>
      <c r="I1766" s="42">
        <v>32.97</v>
      </c>
      <c r="J1766" t="s" s="10">
        <v>9131</v>
      </c>
      <c r="K1766" t="s" s="10">
        <v>9132</v>
      </c>
      <c r="L1766" s="16">
        <f>HYPERLINK("http://www.drcash.com.br", "www.drcash.com.br")</f>
      </c>
      <c r="M1766" s="16">
        <f>HYPERLINK("https://my.pitchbook.com?c=471924-46", "View Company Online")</f>
      </c>
    </row>
    <row r="1767">
      <c r="A1767" t="s" s="11">
        <v>9134</v>
      </c>
      <c r="B1767" t="s" s="11">
        <v>9135</v>
      </c>
      <c r="C1767" t="s" s="11">
        <v>60</v>
      </c>
      <c r="D1767" t="s" s="11">
        <v>727</v>
      </c>
      <c r="E1767" t="s" s="11">
        <v>2782</v>
      </c>
      <c r="F1767" s="28">
        <v>46051</v>
      </c>
      <c r="G1767" t="s" s="11">
        <v>40</v>
      </c>
      <c r="H1767" s="43">
        <v>10</v>
      </c>
      <c r="I1767" s="43">
        <v>32.73</v>
      </c>
      <c r="J1767" t="s" s="11">
        <v>9136</v>
      </c>
      <c r="K1767" t="s" s="11">
        <v>9137</v>
      </c>
      <c r="L1767" s="17">
        <f>HYPERLINK("http://www.lodasmarkets.com", "www.lodasmarkets.com")</f>
      </c>
      <c r="M1767" s="17">
        <f>HYPERLINK("https://my.pitchbook.com?c=469641-07", "View Company Online")</f>
      </c>
    </row>
    <row r="1768">
      <c r="A1768" t="s" s="10">
        <v>9139</v>
      </c>
      <c r="B1768" t="s" s="10">
        <v>9140</v>
      </c>
      <c r="C1768" t="s" s="10">
        <v>60</v>
      </c>
      <c r="D1768" t="s" s="10">
        <v>192</v>
      </c>
      <c r="E1768" t="s" s="10">
        <v>253</v>
      </c>
      <c r="F1768" t="s" s="27">
        <v>30</v>
      </c>
      <c r="G1768" t="s" s="10">
        <v>40</v>
      </c>
      <c r="H1768" s="42">
        <v>5.44</v>
      </c>
      <c r="I1768" s="42">
        <v>32.63</v>
      </c>
      <c r="J1768" t="s" s="10">
        <v>9141</v>
      </c>
      <c r="K1768" t="s" s="10">
        <v>9142</v>
      </c>
      <c r="L1768" s="16">
        <f>HYPERLINK("http://www.altiusinvestech.com", "www.altiusinvestech.com")</f>
      </c>
      <c r="M1768" s="16">
        <f>HYPERLINK("https://my.pitchbook.com?c=472185-10", "View Company Online")</f>
      </c>
    </row>
    <row r="1769">
      <c r="A1769" t="s" s="11">
        <v>9144</v>
      </c>
      <c r="B1769" t="s" s="11">
        <v>9145</v>
      </c>
      <c r="C1769" t="s" s="11">
        <v>114</v>
      </c>
      <c r="D1769" t="s" s="11">
        <v>852</v>
      </c>
      <c r="E1769" t="s" s="11">
        <v>137</v>
      </c>
      <c r="F1769" s="28">
        <v>45727</v>
      </c>
      <c r="G1769" t="s" s="11">
        <v>146</v>
      </c>
      <c r="H1769" s="43">
        <v>8.36</v>
      </c>
      <c r="I1769" s="43">
        <v>32.59</v>
      </c>
      <c r="J1769" t="s" s="11">
        <v>9146</v>
      </c>
      <c r="K1769" t="s" s="11">
        <v>9147</v>
      </c>
      <c r="L1769" s="17">
        <f>HYPERLINK("http://www.bizi.co.il", "www.bizi.co.il")</f>
      </c>
      <c r="M1769" s="17">
        <f>HYPERLINK("https://my.pitchbook.com?c=490960-81", "View Company Online")</f>
      </c>
    </row>
    <row r="1770">
      <c r="A1770" t="s" s="10">
        <v>9149</v>
      </c>
      <c r="B1770" t="s" s="10">
        <v>9150</v>
      </c>
      <c r="C1770" t="s" s="10">
        <v>27</v>
      </c>
      <c r="D1770" t="s" s="10">
        <v>28</v>
      </c>
      <c r="E1770" t="s" s="10">
        <v>973</v>
      </c>
      <c r="F1770" s="27">
        <v>45470</v>
      </c>
      <c r="G1770" t="s" s="10">
        <v>40</v>
      </c>
      <c r="H1770" t="s" s="42">
        <v>30</v>
      </c>
      <c r="I1770" s="42">
        <v>32.58</v>
      </c>
      <c r="J1770" t="s" s="10">
        <v>9151</v>
      </c>
      <c r="K1770" t="s" s="10">
        <v>9152</v>
      </c>
      <c r="L1770" s="16">
        <f>HYPERLINK("http://www.pomelogroup.com", "www.pomelogroup.com")</f>
      </c>
      <c r="M1770" s="16">
        <f>HYPERLINK("https://my.pitchbook.com?c=436523-77", "View Company Online")</f>
      </c>
    </row>
    <row r="1771">
      <c r="A1771" t="s" s="11">
        <v>9154</v>
      </c>
      <c r="B1771" t="s" s="11">
        <v>9155</v>
      </c>
      <c r="C1771" t="s" s="11">
        <v>27</v>
      </c>
      <c r="D1771" t="s" s="11">
        <v>28</v>
      </c>
      <c r="E1771" t="s" s="11">
        <v>332</v>
      </c>
      <c r="F1771" s="28">
        <v>45713</v>
      </c>
      <c r="G1771" t="s" s="11">
        <v>40</v>
      </c>
      <c r="H1771" s="43">
        <v>5.42</v>
      </c>
      <c r="I1771" s="43">
        <v>32.42</v>
      </c>
      <c r="J1771" t="s" s="11">
        <v>9156</v>
      </c>
      <c r="K1771" t="s" s="11">
        <v>9157</v>
      </c>
      <c r="L1771" s="17">
        <f>HYPERLINK("http://www.malga.io", "www.malga.io")</f>
      </c>
      <c r="M1771" s="17">
        <f>HYPERLINK("https://my.pitchbook.com?c=462596-59", "View Company Online")</f>
      </c>
    </row>
    <row r="1772">
      <c r="A1772" t="s" s="10">
        <v>9159</v>
      </c>
      <c r="B1772" t="s" s="10">
        <v>9160</v>
      </c>
      <c r="C1772" t="s" s="10">
        <v>46</v>
      </c>
      <c r="D1772" t="s" s="10">
        <v>915</v>
      </c>
      <c r="E1772" t="s" s="10">
        <v>253</v>
      </c>
      <c r="F1772" s="27">
        <v>46161</v>
      </c>
      <c r="G1772" t="s" s="10">
        <v>40</v>
      </c>
      <c r="H1772" s="42">
        <v>5.01</v>
      </c>
      <c r="I1772" s="42">
        <v>32.38</v>
      </c>
      <c r="J1772" t="s" s="10">
        <v>9161</v>
      </c>
      <c r="K1772" t="s" s="10">
        <v>9162</v>
      </c>
      <c r="L1772" s="16">
        <f>HYPERLINK("http://www.forecastr.co", "www.forecastr.co")</f>
      </c>
      <c r="M1772" s="16">
        <f>HYPERLINK("https://my.pitchbook.com?c=432647-38", "View Company Online")</f>
      </c>
    </row>
    <row r="1773">
      <c r="A1773" t="s" s="11">
        <v>9164</v>
      </c>
      <c r="B1773" t="s" s="11">
        <v>9165</v>
      </c>
      <c r="C1773" t="s" s="11">
        <v>164</v>
      </c>
      <c r="D1773" t="s" s="11">
        <v>934</v>
      </c>
      <c r="E1773" t="s" s="11">
        <v>414</v>
      </c>
      <c r="F1773" s="28">
        <v>45398</v>
      </c>
      <c r="G1773" t="s" s="11">
        <v>40</v>
      </c>
      <c r="H1773" s="43">
        <v>21</v>
      </c>
      <c r="I1773" s="43">
        <v>32.28</v>
      </c>
      <c r="J1773" t="s" s="11">
        <v>9166</v>
      </c>
      <c r="K1773" t="s" s="11">
        <v>9167</v>
      </c>
      <c r="L1773" s="17">
        <f>HYPERLINK("http://www.bridgewise.com", "www.bridgewise.com")</f>
      </c>
      <c r="M1773" s="17">
        <f>HYPERLINK("https://my.pitchbook.com?c=438878-17", "View Company Online")</f>
      </c>
    </row>
    <row r="1774">
      <c r="A1774" t="s" s="10">
        <v>9169</v>
      </c>
      <c r="B1774" t="s" s="10">
        <v>9170</v>
      </c>
      <c r="C1774" t="s" s="10">
        <v>60</v>
      </c>
      <c r="D1774" t="s" s="10">
        <v>727</v>
      </c>
      <c r="E1774" t="s" s="10">
        <v>253</v>
      </c>
      <c r="F1774" s="27">
        <v>45824</v>
      </c>
      <c r="G1774" t="s" s="10">
        <v>40</v>
      </c>
      <c r="H1774" s="42">
        <v>18.08</v>
      </c>
      <c r="I1774" s="42">
        <v>32.25</v>
      </c>
      <c r="J1774" t="s" s="10">
        <v>9171</v>
      </c>
      <c r="K1774" t="s" s="10">
        <v>9172</v>
      </c>
      <c r="L1774" s="16">
        <f>HYPERLINK("http://www.mycnote.com", "www.mycnote.com")</f>
      </c>
      <c r="M1774" s="16">
        <f>HYPERLINK("https://my.pitchbook.com?c=169195-60", "View Company Online")</f>
      </c>
    </row>
    <row r="1775">
      <c r="A1775" t="s" s="11">
        <v>9174</v>
      </c>
      <c r="B1775" t="s" s="11">
        <v>9175</v>
      </c>
      <c r="C1775" t="s" s="11">
        <v>27</v>
      </c>
      <c r="D1775" t="s" s="11">
        <v>70</v>
      </c>
      <c r="E1775" t="s" s="11">
        <v>259</v>
      </c>
      <c r="F1775" t="s" s="28">
        <v>30</v>
      </c>
      <c r="G1775" t="s" s="11">
        <v>40</v>
      </c>
      <c r="H1775" s="43">
        <v>15</v>
      </c>
      <c r="I1775" s="43">
        <v>32.25</v>
      </c>
      <c r="J1775" t="s" s="11">
        <v>9176</v>
      </c>
      <c r="K1775" t="s" s="11">
        <v>9177</v>
      </c>
      <c r="L1775" s="17">
        <f>HYPERLINK("http://www.depositlink.com", "www.depositlink.com")</f>
      </c>
      <c r="M1775" s="17">
        <f>HYPERLINK("https://my.pitchbook.com?c=433776-88", "View Company Online")</f>
      </c>
    </row>
    <row r="1776">
      <c r="A1776" t="s" s="10">
        <v>9179</v>
      </c>
      <c r="B1776" t="s" s="10">
        <v>9180</v>
      </c>
      <c r="C1776" t="s" s="10">
        <v>60</v>
      </c>
      <c r="D1776" t="s" s="10">
        <v>432</v>
      </c>
      <c r="E1776" t="s" s="10">
        <v>634</v>
      </c>
      <c r="F1776" s="27">
        <v>45813</v>
      </c>
      <c r="G1776" t="s" s="10">
        <v>271</v>
      </c>
      <c r="H1776" s="42">
        <v>0.84</v>
      </c>
      <c r="I1776" s="42">
        <v>32.25</v>
      </c>
      <c r="J1776" t="s" s="10">
        <v>9181</v>
      </c>
      <c r="K1776" t="s" s="10">
        <v>9182</v>
      </c>
      <c r="L1776" s="16">
        <f>HYPERLINK("http://www.leveleresearch.com", "www.leveleresearch.com")</f>
      </c>
      <c r="M1776" s="16">
        <f>HYPERLINK("https://my.pitchbook.com?c=464127-67", "View Company Online")</f>
      </c>
    </row>
    <row r="1777">
      <c r="A1777" t="s" s="11">
        <v>9184</v>
      </c>
      <c r="B1777" t="s" s="11">
        <v>9185</v>
      </c>
      <c r="C1777" t="s" s="11">
        <v>114</v>
      </c>
      <c r="D1777" t="s" s="11">
        <v>136</v>
      </c>
      <c r="E1777" t="s" s="11">
        <v>193</v>
      </c>
      <c r="F1777" s="28">
        <v>45239</v>
      </c>
      <c r="G1777" t="s" s="11">
        <v>271</v>
      </c>
      <c r="H1777" s="43">
        <v>1.7</v>
      </c>
      <c r="I1777" s="43">
        <v>32.2</v>
      </c>
      <c r="J1777" t="s" s="11">
        <v>9186</v>
      </c>
      <c r="K1777" t="s" s="11">
        <v>30</v>
      </c>
      <c r="L1777" s="17">
        <f>HYPERLINK("http://www.elfinmarket.com", "www.elfinmarket.com")</f>
      </c>
      <c r="M1777" s="17">
        <f>HYPERLINK("https://my.pitchbook.com?c=267424-57", "View Company Online")</f>
      </c>
    </row>
    <row r="1778">
      <c r="A1778" t="s" s="10">
        <v>9188</v>
      </c>
      <c r="B1778" t="s" s="10">
        <v>9189</v>
      </c>
      <c r="C1778" t="s" s="10">
        <v>60</v>
      </c>
      <c r="D1778" t="s" s="10">
        <v>727</v>
      </c>
      <c r="E1778" t="s" s="10">
        <v>2782</v>
      </c>
      <c r="F1778" s="27">
        <v>44973</v>
      </c>
      <c r="G1778" t="s" s="10">
        <v>40</v>
      </c>
      <c r="H1778" s="42">
        <v>7.2</v>
      </c>
      <c r="I1778" s="42">
        <v>32.2</v>
      </c>
      <c r="J1778" t="s" s="10">
        <v>9190</v>
      </c>
      <c r="K1778" t="s" s="10">
        <v>9191</v>
      </c>
      <c r="L1778" s="16">
        <f>HYPERLINK("http://www.upandup.co", "www.upandup.co")</f>
      </c>
      <c r="M1778" s="16">
        <f>HYPERLINK("https://my.pitchbook.com?c=265777-84", "View Company Online")</f>
      </c>
    </row>
    <row r="1779">
      <c r="A1779" t="s" s="11">
        <v>9193</v>
      </c>
      <c r="B1779" t="s" s="11">
        <v>9194</v>
      </c>
      <c r="C1779" t="s" s="11">
        <v>27</v>
      </c>
      <c r="D1779" t="s" s="11">
        <v>122</v>
      </c>
      <c r="E1779" t="s" s="11">
        <v>270</v>
      </c>
      <c r="F1779" s="28">
        <v>44378</v>
      </c>
      <c r="G1779" t="s" s="11">
        <v>146</v>
      </c>
      <c r="H1779" s="43">
        <v>12.03</v>
      </c>
      <c r="I1779" s="43">
        <v>32.18</v>
      </c>
      <c r="J1779" t="s" s="11">
        <v>9195</v>
      </c>
      <c r="K1779" t="s" s="11">
        <v>9196</v>
      </c>
      <c r="L1779" s="17">
        <f>HYPERLINK("http://www.monisnap.com", "www.monisnap.com")</f>
      </c>
      <c r="M1779" s="17">
        <f>HYPERLINK("https://my.pitchbook.com?c=266198-32", "View Company Online")</f>
      </c>
    </row>
    <row r="1780">
      <c r="A1780" t="s" s="10">
        <v>9198</v>
      </c>
      <c r="B1780" t="s" s="10">
        <v>9199</v>
      </c>
      <c r="C1780" t="s" s="10">
        <v>60</v>
      </c>
      <c r="D1780" t="s" s="10">
        <v>727</v>
      </c>
      <c r="E1780" t="s" s="10">
        <v>270</v>
      </c>
      <c r="F1780" s="27">
        <v>45272</v>
      </c>
      <c r="G1780" t="s" s="10">
        <v>40</v>
      </c>
      <c r="H1780" s="42">
        <v>0.5</v>
      </c>
      <c r="I1780" s="42">
        <v>32.1</v>
      </c>
      <c r="J1780" t="s" s="10">
        <v>9200</v>
      </c>
      <c r="K1780" t="s" s="10">
        <v>9201</v>
      </c>
      <c r="L1780" s="16">
        <f>HYPERLINK("http://www.goingpublic.com", "www.goingpublic.com")</f>
      </c>
      <c r="M1780" s="16">
        <f>HYPERLINK("https://my.pitchbook.com?c=452707-57", "View Company Online")</f>
      </c>
    </row>
    <row r="1781">
      <c r="A1781" t="s" s="11">
        <v>9203</v>
      </c>
      <c r="B1781" t="s" s="11">
        <v>9204</v>
      </c>
      <c r="C1781" t="s" s="11">
        <v>27</v>
      </c>
      <c r="D1781" t="s" s="11">
        <v>28</v>
      </c>
      <c r="E1781" t="s" s="11">
        <v>4024</v>
      </c>
      <c r="F1781" s="28">
        <v>44378</v>
      </c>
      <c r="G1781" t="s" s="11">
        <v>40</v>
      </c>
      <c r="H1781" s="43">
        <v>8</v>
      </c>
      <c r="I1781" s="43">
        <v>32</v>
      </c>
      <c r="J1781" t="s" s="11">
        <v>9205</v>
      </c>
      <c r="K1781" t="s" s="11">
        <v>9206</v>
      </c>
      <c r="L1781" s="17">
        <f>HYPERLINK("http://www.authvia.com", "www.authvia.com")</f>
      </c>
      <c r="M1781" s="17">
        <f>HYPERLINK("https://my.pitchbook.com?c=98000-11", "View Company Online")</f>
      </c>
    </row>
    <row r="1782">
      <c r="A1782" t="s" s="10">
        <v>9208</v>
      </c>
      <c r="B1782" t="s" s="10">
        <v>9209</v>
      </c>
      <c r="C1782" t="s" s="10">
        <v>164</v>
      </c>
      <c r="D1782" t="s" s="10">
        <v>165</v>
      </c>
      <c r="E1782" t="s" s="10">
        <v>373</v>
      </c>
      <c r="F1782" s="27">
        <v>46133</v>
      </c>
      <c r="G1782" t="s" s="10">
        <v>40</v>
      </c>
      <c r="H1782" s="42">
        <v>3.15</v>
      </c>
      <c r="I1782" s="42">
        <v>32</v>
      </c>
      <c r="J1782" t="s" s="10">
        <v>9210</v>
      </c>
      <c r="K1782" t="s" s="10">
        <v>9211</v>
      </c>
      <c r="L1782" s="16">
        <f>HYPERLINK("http://www.bfree.africa", "www.bfree.africa")</f>
      </c>
      <c r="M1782" s="16">
        <f>HYPERLINK("https://my.pitchbook.com?c=466431-85", "View Company Online")</f>
      </c>
    </row>
    <row r="1783">
      <c r="A1783" t="s" s="11">
        <v>9213</v>
      </c>
      <c r="B1783" t="s" s="11">
        <v>9214</v>
      </c>
      <c r="C1783" t="s" s="11">
        <v>114</v>
      </c>
      <c r="D1783" t="s" s="11">
        <v>852</v>
      </c>
      <c r="E1783" t="s" s="11">
        <v>973</v>
      </c>
      <c r="F1783" s="28">
        <v>45231</v>
      </c>
      <c r="G1783" t="s" s="11">
        <v>146</v>
      </c>
      <c r="H1783" s="43">
        <v>8</v>
      </c>
      <c r="I1783" s="43">
        <v>32</v>
      </c>
      <c r="J1783" t="s" s="11">
        <v>9215</v>
      </c>
      <c r="K1783" t="s" s="11">
        <v>9216</v>
      </c>
      <c r="L1783" s="17">
        <f>HYPERLINK("http://www.bluetape.com", "www.bluetape.com")</f>
      </c>
      <c r="M1783" s="17">
        <f>HYPERLINK("https://my.pitchbook.com?c=458581-06", "View Company Online")</f>
      </c>
    </row>
    <row r="1784">
      <c r="A1784" t="s" s="10">
        <v>9218</v>
      </c>
      <c r="B1784" t="s" s="10">
        <v>9219</v>
      </c>
      <c r="C1784" t="s" s="10">
        <v>144</v>
      </c>
      <c r="D1784" t="s" s="10">
        <v>297</v>
      </c>
      <c r="E1784" t="s" s="10">
        <v>137</v>
      </c>
      <c r="F1784" t="s" s="27">
        <v>30</v>
      </c>
      <c r="G1784" t="s" s="10">
        <v>48</v>
      </c>
      <c r="H1784" t="s" s="42">
        <v>30</v>
      </c>
      <c r="I1784" s="42">
        <v>32</v>
      </c>
      <c r="J1784" t="s" s="10">
        <v>9220</v>
      </c>
      <c r="K1784" t="s" s="10">
        <v>9221</v>
      </c>
      <c r="L1784" s="16">
        <f>HYPERLINK("http://www.getbraavo.com", "www.getbraavo.com")</f>
      </c>
      <c r="M1784" s="16">
        <f>HYPERLINK("https://my.pitchbook.com?c=181127-26", "View Company Online")</f>
      </c>
    </row>
    <row r="1785">
      <c r="A1785" t="s" s="11">
        <v>9223</v>
      </c>
      <c r="B1785" t="s" s="11">
        <v>9224</v>
      </c>
      <c r="C1785" t="s" s="11">
        <v>114</v>
      </c>
      <c r="D1785" t="s" s="11">
        <v>115</v>
      </c>
      <c r="E1785" t="s" s="11">
        <v>9225</v>
      </c>
      <c r="F1785" s="28">
        <v>45796</v>
      </c>
      <c r="G1785" t="s" s="11">
        <v>40</v>
      </c>
      <c r="H1785" s="43">
        <v>5</v>
      </c>
      <c r="I1785" s="43">
        <v>32</v>
      </c>
      <c r="J1785" t="s" s="11">
        <v>9226</v>
      </c>
      <c r="K1785" t="s" s="11">
        <v>9227</v>
      </c>
      <c r="L1785" s="17">
        <f>HYPERLINK("http://www.buttonfinance.com", "www.buttonfinance.com")</f>
      </c>
      <c r="M1785" s="17">
        <f>HYPERLINK("https://my.pitchbook.com?c=384714-19", "View Company Online")</f>
      </c>
    </row>
    <row r="1786">
      <c r="A1786" t="s" s="10">
        <v>9229</v>
      </c>
      <c r="B1786" t="s" s="10">
        <v>9230</v>
      </c>
      <c r="C1786" t="s" s="10">
        <v>114</v>
      </c>
      <c r="D1786" t="s" s="10">
        <v>136</v>
      </c>
      <c r="E1786" t="s" s="10">
        <v>137</v>
      </c>
      <c r="F1786" s="27">
        <v>46192</v>
      </c>
      <c r="G1786" t="s" s="10">
        <v>2051</v>
      </c>
      <c r="H1786" t="s" s="42">
        <v>30</v>
      </c>
      <c r="I1786" s="42">
        <v>32</v>
      </c>
      <c r="J1786" t="s" s="10">
        <v>9231</v>
      </c>
      <c r="K1786" t="s" s="10">
        <v>30</v>
      </c>
      <c r="L1786" s="16">
        <f>HYPERLINK("http://www.crowde.co", "www.crowde.co")</f>
      </c>
      <c r="M1786" s="16">
        <f>HYPERLINK("https://my.pitchbook.com?c=233944-93", "View Company Online")</f>
      </c>
    </row>
    <row r="1787">
      <c r="A1787" t="s" s="11">
        <v>9233</v>
      </c>
      <c r="B1787" t="s" s="11">
        <v>9234</v>
      </c>
      <c r="C1787" t="s" s="11">
        <v>164</v>
      </c>
      <c r="D1787" t="s" s="11">
        <v>206</v>
      </c>
      <c r="E1787" t="s" s="11">
        <v>1964</v>
      </c>
      <c r="F1787" s="28">
        <v>43641</v>
      </c>
      <c r="G1787" t="s" s="11">
        <v>4267</v>
      </c>
      <c r="H1787" s="43">
        <v>0.5</v>
      </c>
      <c r="I1787" s="43">
        <v>32</v>
      </c>
      <c r="J1787" t="s" s="11">
        <v>9235</v>
      </c>
      <c r="K1787" t="s" s="11">
        <v>9236</v>
      </c>
      <c r="L1787" s="17">
        <f>HYPERLINK("http://www.deep-forecast.com", "www.deep-forecast.com")</f>
      </c>
      <c r="M1787" s="17">
        <f>HYPERLINK("https://my.pitchbook.com?c=181843-39", "View Company Online")</f>
      </c>
    </row>
    <row r="1788">
      <c r="A1788" t="s" s="10">
        <v>9238</v>
      </c>
      <c r="B1788" t="s" s="10">
        <v>9239</v>
      </c>
      <c r="C1788" t="s" s="10">
        <v>164</v>
      </c>
      <c r="D1788" t="s" s="10">
        <v>165</v>
      </c>
      <c r="E1788" t="s" s="10">
        <v>373</v>
      </c>
      <c r="F1788" s="27">
        <v>46112</v>
      </c>
      <c r="G1788" t="s" s="10">
        <v>391</v>
      </c>
      <c r="H1788" t="s" s="42">
        <v>30</v>
      </c>
      <c r="I1788" s="42">
        <v>32</v>
      </c>
      <c r="J1788" t="s" s="10">
        <v>9240</v>
      </c>
      <c r="K1788" t="s" s="10">
        <v>30</v>
      </c>
      <c r="L1788" s="16">
        <f>HYPERLINK("http://www.neuralpayments.com", "www.neuralpayments.com")</f>
      </c>
      <c r="M1788" s="16">
        <f>HYPERLINK("https://my.pitchbook.com?c=442860-85", "View Company Online")</f>
      </c>
    </row>
    <row r="1789">
      <c r="A1789" t="s" s="11">
        <v>9242</v>
      </c>
      <c r="B1789" t="s" s="11">
        <v>9243</v>
      </c>
      <c r="C1789" t="s" s="11">
        <v>46</v>
      </c>
      <c r="D1789" t="s" s="11">
        <v>47</v>
      </c>
      <c r="E1789" t="s" s="11">
        <v>373</v>
      </c>
      <c r="F1789" s="28">
        <v>46239</v>
      </c>
      <c r="G1789" t="s" s="11">
        <v>40</v>
      </c>
      <c r="H1789" s="43">
        <v>20</v>
      </c>
      <c r="I1789" s="43">
        <v>32</v>
      </c>
      <c r="J1789" t="s" s="11">
        <v>9244</v>
      </c>
      <c r="K1789" t="s" s="11">
        <v>9245</v>
      </c>
      <c r="L1789" s="17">
        <f>HYPERLINK("http://www.ordwaylabs.com", "www.ordwaylabs.com")</f>
      </c>
      <c r="M1789" s="17">
        <f>HYPERLINK("https://my.pitchbook.com?c=229943-62", "View Company Online")</f>
      </c>
    </row>
    <row r="1790">
      <c r="A1790" t="s" s="10">
        <v>9247</v>
      </c>
      <c r="B1790" t="s" s="10">
        <v>9248</v>
      </c>
      <c r="C1790" t="s" s="10">
        <v>27</v>
      </c>
      <c r="D1790" t="s" s="10">
        <v>28</v>
      </c>
      <c r="E1790" t="s" s="10">
        <v>332</v>
      </c>
      <c r="F1790" s="27">
        <v>46054</v>
      </c>
      <c r="G1790" t="s" s="10">
        <v>40</v>
      </c>
      <c r="H1790" t="s" s="42">
        <v>30</v>
      </c>
      <c r="I1790" s="42">
        <v>32</v>
      </c>
      <c r="J1790" t="s" s="10">
        <v>9249</v>
      </c>
      <c r="K1790" t="s" s="10">
        <v>9250</v>
      </c>
      <c r="L1790" s="16">
        <f>HYPERLINK("http://www.reloadly.com", "www.reloadly.com")</f>
      </c>
      <c r="M1790" s="16">
        <f>HYPERLINK("https://my.pitchbook.com?c=309585-61", "View Company Online")</f>
      </c>
    </row>
    <row r="1791">
      <c r="A1791" t="s" s="11">
        <v>9252</v>
      </c>
      <c r="B1791" t="s" s="11">
        <v>9253</v>
      </c>
      <c r="C1791" t="s" s="11">
        <v>46</v>
      </c>
      <c r="D1791" t="s" s="11">
        <v>47</v>
      </c>
      <c r="E1791" t="s" s="11">
        <v>5883</v>
      </c>
      <c r="F1791" s="28">
        <v>45266</v>
      </c>
      <c r="G1791" t="s" s="11">
        <v>607</v>
      </c>
      <c r="H1791" t="s" s="43">
        <v>30</v>
      </c>
      <c r="I1791" s="43">
        <v>32</v>
      </c>
      <c r="J1791" t="s" s="11">
        <v>9254</v>
      </c>
      <c r="K1791" t="s" s="11">
        <v>9255</v>
      </c>
      <c r="L1791" s="17">
        <f>HYPERLINK("http://www.getvergo.com", "www.getvergo.com")</f>
      </c>
      <c r="M1791" s="17">
        <f>HYPERLINK("https://my.pitchbook.com?c=472337-47", "View Company Online")</f>
      </c>
    </row>
    <row r="1792">
      <c r="A1792" t="s" s="10">
        <v>9257</v>
      </c>
      <c r="B1792" t="s" s="10">
        <v>9258</v>
      </c>
      <c r="C1792" t="s" s="10">
        <v>172</v>
      </c>
      <c r="D1792" t="s" s="10">
        <v>338</v>
      </c>
      <c r="E1792" t="s" s="10">
        <v>9259</v>
      </c>
      <c r="F1792" t="s" s="27">
        <v>30</v>
      </c>
      <c r="G1792" t="s" s="10">
        <v>31</v>
      </c>
      <c r="H1792" t="s" s="42">
        <v>30</v>
      </c>
      <c r="I1792" s="42">
        <v>32</v>
      </c>
      <c r="J1792" t="s" s="10">
        <v>9260</v>
      </c>
      <c r="K1792" t="s" s="10">
        <v>9261</v>
      </c>
      <c r="L1792" s="16">
        <f>HYPERLINK("http://www.verif-y.com", "www.verif-y.com")</f>
      </c>
      <c r="M1792" s="16">
        <f>HYPERLINK("https://my.pitchbook.com?c=268459-30", "View Company Online")</f>
      </c>
    </row>
    <row r="1793">
      <c r="A1793" t="s" s="11">
        <v>9263</v>
      </c>
      <c r="B1793" t="s" s="11">
        <v>9264</v>
      </c>
      <c r="C1793" t="s" s="11">
        <v>172</v>
      </c>
      <c r="D1793" t="s" s="11">
        <v>1454</v>
      </c>
      <c r="E1793" t="s" s="11">
        <v>137</v>
      </c>
      <c r="F1793" s="28">
        <v>44986</v>
      </c>
      <c r="G1793" t="s" s="11">
        <v>40</v>
      </c>
      <c r="H1793" s="43">
        <v>7</v>
      </c>
      <c r="I1793" s="43">
        <v>32</v>
      </c>
      <c r="J1793" t="s" s="11">
        <v>9265</v>
      </c>
      <c r="K1793" t="s" s="11">
        <v>9266</v>
      </c>
      <c r="L1793" s="17">
        <f>HYPERLINK("http://www.x-claim.com", "www.x-claim.com")</f>
      </c>
      <c r="M1793" s="17">
        <f>HYPERLINK("https://my.pitchbook.com?c=398969-02", "View Company Online")</f>
      </c>
    </row>
    <row r="1794">
      <c r="A1794" t="s" s="10">
        <v>9268</v>
      </c>
      <c r="B1794" t="s" s="10">
        <v>9269</v>
      </c>
      <c r="C1794" t="s" s="10">
        <v>172</v>
      </c>
      <c r="D1794" t="s" s="10">
        <v>338</v>
      </c>
      <c r="E1794" t="s" s="10">
        <v>1207</v>
      </c>
      <c r="F1794" s="27">
        <v>44390</v>
      </c>
      <c r="G1794" t="s" s="10">
        <v>40</v>
      </c>
      <c r="H1794" s="42">
        <v>4.13</v>
      </c>
      <c r="I1794" s="42">
        <v>31.94</v>
      </c>
      <c r="J1794" t="s" s="10">
        <v>9270</v>
      </c>
      <c r="K1794" t="s" s="10">
        <v>9271</v>
      </c>
      <c r="L1794" s="16">
        <f>HYPERLINK("http://www.fna.fi", "www.fna.fi")</f>
      </c>
      <c r="M1794" s="16">
        <f>HYPERLINK("https://my.pitchbook.com?c=84580-03", "View Company Online")</f>
      </c>
    </row>
    <row r="1795">
      <c r="A1795" t="s" s="11">
        <v>9273</v>
      </c>
      <c r="B1795" t="s" s="11">
        <v>9274</v>
      </c>
      <c r="C1795" t="s" s="11">
        <v>114</v>
      </c>
      <c r="D1795" t="s" s="11">
        <v>136</v>
      </c>
      <c r="E1795" t="s" s="11">
        <v>137</v>
      </c>
      <c r="F1795" s="28">
        <v>46186</v>
      </c>
      <c r="G1795" t="s" s="11">
        <v>2051</v>
      </c>
      <c r="H1795" t="s" s="43">
        <v>30</v>
      </c>
      <c r="I1795" s="43">
        <v>31.8</v>
      </c>
      <c r="J1795" t="s" s="11">
        <v>9275</v>
      </c>
      <c r="K1795" t="s" s="11">
        <v>30</v>
      </c>
      <c r="L1795" s="17">
        <f>HYPERLINK("http://www.carcapital.com", "www.carcapital.com")</f>
      </c>
      <c r="M1795" s="17">
        <f>HYPERLINK("https://my.pitchbook.com?c=434279-89", "View Company Online")</f>
      </c>
    </row>
    <row r="1796">
      <c r="A1796" t="s" s="10">
        <v>9277</v>
      </c>
      <c r="B1796" t="s" s="10">
        <v>9278</v>
      </c>
      <c r="C1796" t="s" s="10">
        <v>37</v>
      </c>
      <c r="D1796" t="s" s="10">
        <v>38</v>
      </c>
      <c r="E1796" t="s" s="10">
        <v>29</v>
      </c>
      <c r="F1796" s="27">
        <v>46224</v>
      </c>
      <c r="G1796" t="s" s="10">
        <v>40</v>
      </c>
      <c r="H1796" s="42">
        <v>5</v>
      </c>
      <c r="I1796" s="42">
        <v>31.8</v>
      </c>
      <c r="J1796" t="s" s="10">
        <v>9279</v>
      </c>
      <c r="K1796" t="s" s="10">
        <v>9280</v>
      </c>
      <c r="L1796" s="16">
        <f>HYPERLINK("http://www.getcopper.com", "www.getcopper.com")</f>
      </c>
      <c r="M1796" s="16">
        <f>HYPERLINK("https://my.pitchbook.com?c=434174-68", "View Company Online")</f>
      </c>
    </row>
    <row r="1797">
      <c r="A1797" t="s" s="11">
        <v>9282</v>
      </c>
      <c r="B1797" t="s" s="11">
        <v>9283</v>
      </c>
      <c r="C1797" t="s" s="11">
        <v>172</v>
      </c>
      <c r="D1797" t="s" s="11">
        <v>338</v>
      </c>
      <c r="E1797" t="s" s="11">
        <v>9284</v>
      </c>
      <c r="F1797" s="28">
        <v>45323</v>
      </c>
      <c r="G1797" t="s" s="11">
        <v>607</v>
      </c>
      <c r="H1797" t="s" s="43">
        <v>30</v>
      </c>
      <c r="I1797" s="43">
        <v>31.73</v>
      </c>
      <c r="J1797" t="s" s="11">
        <v>9285</v>
      </c>
      <c r="K1797" t="s" s="11">
        <v>9286</v>
      </c>
      <c r="L1797" s="17">
        <f>HYPERLINK("http://www.apiax.com", "www.apiax.com")</f>
      </c>
      <c r="M1797" s="17">
        <f>HYPERLINK("https://my.pitchbook.com?c=184666-87", "View Company Online")</f>
      </c>
    </row>
    <row r="1798">
      <c r="A1798" t="s" s="10">
        <v>9288</v>
      </c>
      <c r="B1798" t="s" s="10">
        <v>9289</v>
      </c>
      <c r="C1798" t="s" s="10">
        <v>60</v>
      </c>
      <c r="D1798" t="s" s="10">
        <v>246</v>
      </c>
      <c r="E1798" t="s" s="10">
        <v>2411</v>
      </c>
      <c r="F1798" s="27">
        <v>46140</v>
      </c>
      <c r="G1798" t="s" s="10">
        <v>40</v>
      </c>
      <c r="H1798" s="42">
        <v>1.08</v>
      </c>
      <c r="I1798" s="42">
        <v>31.65</v>
      </c>
      <c r="J1798" t="s" s="10">
        <v>9290</v>
      </c>
      <c r="K1798" t="s" s="10">
        <v>9291</v>
      </c>
      <c r="L1798" s="16">
        <f>HYPERLINK("http://novio.in", "novio.in")</f>
      </c>
      <c r="M1798" s="16">
        <f>HYPERLINK("https://my.pitchbook.com?c=494011-72", "View Company Online")</f>
      </c>
    </row>
    <row r="1799">
      <c r="A1799" t="s" s="11">
        <v>9293</v>
      </c>
      <c r="B1799" t="s" s="11">
        <v>9294</v>
      </c>
      <c r="C1799" t="s" s="11">
        <v>128</v>
      </c>
      <c r="D1799" t="s" s="11">
        <v>129</v>
      </c>
      <c r="E1799" t="s" s="11">
        <v>158</v>
      </c>
      <c r="F1799" s="28">
        <v>44637</v>
      </c>
      <c r="G1799" t="s" s="11">
        <v>4267</v>
      </c>
      <c r="H1799" s="43">
        <v>5</v>
      </c>
      <c r="I1799" s="43">
        <v>31.64</v>
      </c>
      <c r="J1799" t="s" s="11">
        <v>9295</v>
      </c>
      <c r="K1799" t="s" s="11">
        <v>30</v>
      </c>
      <c r="L1799" s="17">
        <f>HYPERLINK("http://www.dosh.nz", "www.dosh.nz")</f>
      </c>
      <c r="M1799" s="17">
        <f>HYPERLINK("https://my.pitchbook.com?c=493755-67", "View Company Online")</f>
      </c>
    </row>
    <row r="1800">
      <c r="A1800" t="s" s="10">
        <v>9297</v>
      </c>
      <c r="B1800" t="s" s="10">
        <v>9298</v>
      </c>
      <c r="C1800" t="s" s="10">
        <v>27</v>
      </c>
      <c r="D1800" t="s" s="10">
        <v>28</v>
      </c>
      <c r="E1800" t="s" s="10">
        <v>158</v>
      </c>
      <c r="F1800" s="27">
        <v>45689</v>
      </c>
      <c r="G1800" t="s" s="10">
        <v>48</v>
      </c>
      <c r="H1800" t="s" s="42">
        <v>30</v>
      </c>
      <c r="I1800" s="42">
        <v>31.63</v>
      </c>
      <c r="J1800" t="s" s="10">
        <v>9299</v>
      </c>
      <c r="K1800" t="s" s="10">
        <v>9300</v>
      </c>
      <c r="L1800" s="16">
        <f>HYPERLINK("http://www.omnyway.com", "www.omnyway.com")</f>
      </c>
      <c r="M1800" s="16">
        <f>HYPERLINK("https://my.pitchbook.com?c=97740-73", "View Company Online")</f>
      </c>
    </row>
    <row r="1801">
      <c r="A1801" t="s" s="11">
        <v>9302</v>
      </c>
      <c r="B1801" t="s" s="11">
        <v>9303</v>
      </c>
      <c r="C1801" t="s" s="11">
        <v>114</v>
      </c>
      <c r="D1801" t="s" s="11">
        <v>136</v>
      </c>
      <c r="E1801" t="s" s="11">
        <v>137</v>
      </c>
      <c r="F1801" s="28">
        <v>45925</v>
      </c>
      <c r="G1801" t="s" s="11">
        <v>4267</v>
      </c>
      <c r="H1801" s="43">
        <v>6.59</v>
      </c>
      <c r="I1801" s="43">
        <v>31.59</v>
      </c>
      <c r="J1801" t="s" s="11">
        <v>9304</v>
      </c>
      <c r="K1801" t="s" s="11">
        <v>9305</v>
      </c>
      <c r="L1801" s="17">
        <f>HYPERLINK("http://www.divine.inc", "www.divine.inc")</f>
      </c>
      <c r="M1801" s="17">
        <f>HYPERLINK("https://my.pitchbook.com?c=896918-59", "View Company Online")</f>
      </c>
    </row>
    <row r="1802">
      <c r="A1802" t="s" s="10">
        <v>9307</v>
      </c>
      <c r="B1802" t="s" s="10">
        <v>9308</v>
      </c>
      <c r="C1802" t="s" s="10">
        <v>164</v>
      </c>
      <c r="D1802" t="s" s="10">
        <v>165</v>
      </c>
      <c r="E1802" t="s" s="10">
        <v>414</v>
      </c>
      <c r="F1802" s="27">
        <v>44666</v>
      </c>
      <c r="G1802" t="s" s="10">
        <v>48</v>
      </c>
      <c r="H1802" t="s" s="42">
        <v>30</v>
      </c>
      <c r="I1802" s="42">
        <v>31.41</v>
      </c>
      <c r="J1802" t="s" s="10">
        <v>9309</v>
      </c>
      <c r="K1802" t="s" s="10">
        <v>9310</v>
      </c>
      <c r="L1802" s="16">
        <f>HYPERLINK("http://www.card91.io", "www.card91.io")</f>
      </c>
      <c r="M1802" s="16">
        <f>HYPERLINK("https://my.pitchbook.com?c=455095-90", "View Company Online")</f>
      </c>
    </row>
    <row r="1803">
      <c r="A1803" t="s" s="11">
        <v>9312</v>
      </c>
      <c r="B1803" t="s" s="11">
        <v>9313</v>
      </c>
      <c r="C1803" t="s" s="11">
        <v>46</v>
      </c>
      <c r="D1803" t="s" s="11">
        <v>915</v>
      </c>
      <c r="E1803" t="s" s="11">
        <v>373</v>
      </c>
      <c r="F1803" s="28">
        <v>45791</v>
      </c>
      <c r="G1803" t="s" s="11">
        <v>607</v>
      </c>
      <c r="H1803" t="s" s="43">
        <v>30</v>
      </c>
      <c r="I1803" s="43">
        <v>31.4</v>
      </c>
      <c r="J1803" t="s" s="11">
        <v>9314</v>
      </c>
      <c r="K1803" t="s" s="11">
        <v>9315</v>
      </c>
      <c r="L1803" s="17">
        <f>HYPERLINK("http://www.panax.com", "www.panax.com")</f>
      </c>
      <c r="M1803" s="17">
        <f>HYPERLINK("https://my.pitchbook.com?c=534557-17", "View Company Online")</f>
      </c>
    </row>
    <row r="1804">
      <c r="A1804" t="s" s="10">
        <v>9317</v>
      </c>
      <c r="B1804" t="s" s="10">
        <v>9318</v>
      </c>
      <c r="C1804" t="s" s="10">
        <v>60</v>
      </c>
      <c r="D1804" t="s" s="10">
        <v>192</v>
      </c>
      <c r="E1804" t="s" s="10">
        <v>116</v>
      </c>
      <c r="F1804" s="27">
        <v>45985</v>
      </c>
      <c r="G1804" t="s" s="10">
        <v>40</v>
      </c>
      <c r="H1804" s="42">
        <v>14.5</v>
      </c>
      <c r="I1804" s="42">
        <v>31.32</v>
      </c>
      <c r="J1804" t="s" s="10">
        <v>9319</v>
      </c>
      <c r="K1804" t="s" s="10">
        <v>9320</v>
      </c>
      <c r="L1804" s="16">
        <f>HYPERLINK("http://www.wealthy.in", "www.wealthy.in")</f>
      </c>
      <c r="M1804" s="16">
        <f>HYPERLINK("https://my.pitchbook.com?c=155662-57", "View Company Online")</f>
      </c>
    </row>
    <row r="1805">
      <c r="A1805" t="s" s="11">
        <v>9322</v>
      </c>
      <c r="B1805" t="s" s="11">
        <v>9323</v>
      </c>
      <c r="C1805" t="s" s="11">
        <v>114</v>
      </c>
      <c r="D1805" t="s" s="11">
        <v>136</v>
      </c>
      <c r="E1805" t="s" s="11">
        <v>137</v>
      </c>
      <c r="F1805" t="s" s="28">
        <v>30</v>
      </c>
      <c r="G1805" t="s" s="11">
        <v>607</v>
      </c>
      <c r="H1805" t="s" s="43">
        <v>30</v>
      </c>
      <c r="I1805" s="43">
        <v>31.25</v>
      </c>
      <c r="J1805" t="s" s="11">
        <v>9324</v>
      </c>
      <c r="K1805" t="s" s="11">
        <v>9325</v>
      </c>
      <c r="L1805" s="17">
        <f>HYPERLINK("http://www.pintek.id", "www.pintek.id")</f>
      </c>
      <c r="M1805" s="17">
        <f>HYPERLINK("https://my.pitchbook.com?c=268747-39", "View Company Online")</f>
      </c>
    </row>
    <row r="1806">
      <c r="A1806" t="s" s="10">
        <v>9327</v>
      </c>
      <c r="B1806" t="s" s="10">
        <v>9328</v>
      </c>
      <c r="C1806" t="s" s="10">
        <v>128</v>
      </c>
      <c r="D1806" t="s" s="10">
        <v>276</v>
      </c>
      <c r="E1806" t="s" s="10">
        <v>1054</v>
      </c>
      <c r="F1806" s="27">
        <v>44509</v>
      </c>
      <c r="G1806" t="s" s="10">
        <v>271</v>
      </c>
      <c r="H1806" s="42">
        <v>1.38</v>
      </c>
      <c r="I1806" s="42">
        <v>31.2</v>
      </c>
      <c r="J1806" t="s" s="10">
        <v>9329</v>
      </c>
      <c r="K1806" t="s" s="10">
        <v>30</v>
      </c>
      <c r="L1806" s="16">
        <f>HYPERLINK("http://www.maslife.com", "www.maslife.com")</f>
      </c>
      <c r="M1806" s="16">
        <f>HYPERLINK("https://my.pitchbook.com?c=461983-69", "View Company Online")</f>
      </c>
    </row>
    <row r="1807">
      <c r="A1807" t="s" s="11">
        <v>9331</v>
      </c>
      <c r="B1807" t="s" s="11">
        <v>9332</v>
      </c>
      <c r="C1807" t="s" s="11">
        <v>164</v>
      </c>
      <c r="D1807" t="s" s="11">
        <v>165</v>
      </c>
      <c r="E1807" t="s" s="11">
        <v>253</v>
      </c>
      <c r="F1807" s="28">
        <v>42736</v>
      </c>
      <c r="G1807" t="s" s="11">
        <v>2651</v>
      </c>
      <c r="H1807" s="43">
        <v>0.01</v>
      </c>
      <c r="I1807" s="43">
        <v>31.17</v>
      </c>
      <c r="J1807" t="s" s="11">
        <v>9333</v>
      </c>
      <c r="K1807" t="s" s="11">
        <v>9334</v>
      </c>
      <c r="L1807" s="17">
        <f>HYPERLINK("http://www.spotlightreporting.com", "www.spotlightreporting.com")</f>
      </c>
      <c r="M1807" s="17">
        <f>HYPERLINK("https://my.pitchbook.com?c=88560-55", "View Company Online")</f>
      </c>
    </row>
    <row r="1808">
      <c r="A1808" t="s" s="10">
        <v>9336</v>
      </c>
      <c r="B1808" t="s" s="10">
        <v>9337</v>
      </c>
      <c r="C1808" t="s" s="10">
        <v>144</v>
      </c>
      <c r="D1808" t="s" s="10">
        <v>38</v>
      </c>
      <c r="E1808" t="s" s="10">
        <v>9338</v>
      </c>
      <c r="F1808" s="27">
        <v>45484</v>
      </c>
      <c r="G1808" t="s" s="10">
        <v>40</v>
      </c>
      <c r="H1808" s="42">
        <v>6.1</v>
      </c>
      <c r="I1808" s="42">
        <v>31.15</v>
      </c>
      <c r="J1808" t="s" s="10">
        <v>9339</v>
      </c>
      <c r="K1808" t="s" s="10">
        <v>9340</v>
      </c>
      <c r="L1808" s="16">
        <f>HYPERLINK("http://www.rabc.sg", "www.rabc.sg")</f>
      </c>
      <c r="M1808" s="16">
        <f>HYPERLINK("https://my.pitchbook.com?c=439901-92", "View Company Online")</f>
      </c>
    </row>
    <row r="1809">
      <c r="A1809" t="s" s="11">
        <v>9342</v>
      </c>
      <c r="B1809" t="s" s="11">
        <v>9343</v>
      </c>
      <c r="C1809" t="s" s="11">
        <v>164</v>
      </c>
      <c r="D1809" t="s" s="11">
        <v>206</v>
      </c>
      <c r="E1809" t="s" s="11">
        <v>373</v>
      </c>
      <c r="F1809" s="28">
        <v>46023</v>
      </c>
      <c r="G1809" t="s" s="11">
        <v>607</v>
      </c>
      <c r="H1809" t="s" s="43">
        <v>30</v>
      </c>
      <c r="I1809" s="43">
        <v>31</v>
      </c>
      <c r="J1809" t="s" s="11">
        <v>9344</v>
      </c>
      <c r="K1809" t="s" s="11">
        <v>9345</v>
      </c>
      <c r="L1809" s="17">
        <f>HYPERLINK("http://www.artian.ai", "www.artian.ai")</f>
      </c>
      <c r="M1809" s="17">
        <f>HYPERLINK("https://my.pitchbook.com?c=592761-97", "View Company Online")</f>
      </c>
    </row>
    <row r="1810">
      <c r="A1810" t="s" s="10">
        <v>9347</v>
      </c>
      <c r="B1810" t="s" s="10">
        <v>9348</v>
      </c>
      <c r="C1810" t="s" s="10">
        <v>114</v>
      </c>
      <c r="D1810" t="s" s="10">
        <v>1386</v>
      </c>
      <c r="E1810" t="s" s="10">
        <v>137</v>
      </c>
      <c r="F1810" s="27">
        <v>45684</v>
      </c>
      <c r="G1810" t="s" s="10">
        <v>40</v>
      </c>
      <c r="H1810" s="42">
        <v>4</v>
      </c>
      <c r="I1810" s="42">
        <v>31</v>
      </c>
      <c r="J1810" t="s" s="10">
        <v>9349</v>
      </c>
      <c r="K1810" t="s" s="10">
        <v>9350</v>
      </c>
      <c r="L1810" s="16">
        <f>HYPERLINK("http://www.vikartech.com", "www.vikartech.com")</f>
      </c>
      <c r="M1810" s="16">
        <f>HYPERLINK("https://my.pitchbook.com?c=436258-90", "View Company Online")</f>
      </c>
    </row>
    <row r="1811">
      <c r="A1811" t="s" s="11">
        <v>9352</v>
      </c>
      <c r="B1811" t="s" s="11">
        <v>9353</v>
      </c>
      <c r="C1811" t="s" s="11">
        <v>60</v>
      </c>
      <c r="D1811" t="s" s="11">
        <v>246</v>
      </c>
      <c r="E1811" t="s" s="11">
        <v>116</v>
      </c>
      <c r="F1811" s="28">
        <v>45020</v>
      </c>
      <c r="G1811" t="s" s="11">
        <v>40</v>
      </c>
      <c r="H1811" s="43">
        <v>13.96</v>
      </c>
      <c r="I1811" s="43">
        <v>30.93</v>
      </c>
      <c r="J1811" t="s" s="11">
        <v>9354</v>
      </c>
      <c r="K1811" t="s" s="11">
        <v>9355</v>
      </c>
      <c r="L1811" s="17">
        <f>HYPERLINK("http://www.finanzguru.de", "www.finanzguru.de")</f>
      </c>
      <c r="M1811" s="17">
        <f>HYPERLINK("https://my.pitchbook.com?c=221734-00", "View Company Online")</f>
      </c>
    </row>
    <row r="1812">
      <c r="A1812" t="s" s="10">
        <v>9357</v>
      </c>
      <c r="B1812" t="s" s="10">
        <v>9358</v>
      </c>
      <c r="C1812" t="s" s="10">
        <v>114</v>
      </c>
      <c r="D1812" t="s" s="10">
        <v>136</v>
      </c>
      <c r="E1812" t="s" s="10">
        <v>270</v>
      </c>
      <c r="F1812" s="27">
        <v>45846</v>
      </c>
      <c r="G1812" t="s" s="10">
        <v>40</v>
      </c>
      <c r="H1812" s="42">
        <v>13.97</v>
      </c>
      <c r="I1812" s="42">
        <v>30.85</v>
      </c>
      <c r="J1812" t="s" s="10">
        <v>9359</v>
      </c>
      <c r="K1812" t="s" s="10">
        <v>9360</v>
      </c>
      <c r="L1812" s="16">
        <f>HYPERLINK("http://www.creditwisecapital.com", "www.creditwisecapital.com")</f>
      </c>
      <c r="M1812" s="16">
        <f>HYPERLINK("https://my.pitchbook.com?c=399142-81", "View Company Online")</f>
      </c>
    </row>
    <row r="1813">
      <c r="A1813" t="s" s="11">
        <v>9362</v>
      </c>
      <c r="B1813" t="s" s="11">
        <v>9363</v>
      </c>
      <c r="C1813" t="s" s="11">
        <v>172</v>
      </c>
      <c r="D1813" t="s" s="11">
        <v>1454</v>
      </c>
      <c r="E1813" t="s" s="11">
        <v>259</v>
      </c>
      <c r="F1813" t="s" s="28">
        <v>30</v>
      </c>
      <c r="G1813" t="s" s="11">
        <v>48</v>
      </c>
      <c r="H1813" t="s" s="43">
        <v>30</v>
      </c>
      <c r="I1813" s="43">
        <v>30.83</v>
      </c>
      <c r="J1813" t="s" s="11">
        <v>9364</v>
      </c>
      <c r="K1813" t="s" s="11">
        <v>9365</v>
      </c>
      <c r="L1813" s="17">
        <f>HYPERLINK("http://www.envisso.com", "www.envisso.com")</f>
      </c>
      <c r="M1813" s="17">
        <f>HYPERLINK("https://my.pitchbook.com?c=539087-14", "View Company Online")</f>
      </c>
    </row>
    <row r="1814">
      <c r="A1814" t="s" s="10">
        <v>9367</v>
      </c>
      <c r="B1814" t="s" s="10">
        <v>9368</v>
      </c>
      <c r="C1814" t="s" s="10">
        <v>114</v>
      </c>
      <c r="D1814" t="s" s="10">
        <v>136</v>
      </c>
      <c r="E1814" t="s" s="10">
        <v>137</v>
      </c>
      <c r="F1814" s="27">
        <v>44833</v>
      </c>
      <c r="G1814" t="s" s="10">
        <v>4267</v>
      </c>
      <c r="H1814" s="42">
        <v>5.83</v>
      </c>
      <c r="I1814" s="42">
        <v>30.83</v>
      </c>
      <c r="J1814" t="s" s="10">
        <v>9369</v>
      </c>
      <c r="K1814" t="s" s="10">
        <v>9370</v>
      </c>
      <c r="L1814" s="16">
        <f>HYPERLINK("http://www.sparrowfi.com", "www.sparrowfi.com")</f>
      </c>
      <c r="M1814" s="16">
        <f>HYPERLINK("https://my.pitchbook.com?c=462621-97", "View Company Online")</f>
      </c>
    </row>
    <row r="1815">
      <c r="A1815" t="s" s="11">
        <v>9372</v>
      </c>
      <c r="B1815" t="s" s="11">
        <v>9373</v>
      </c>
      <c r="C1815" t="s" s="11">
        <v>27</v>
      </c>
      <c r="D1815" t="s" s="11">
        <v>122</v>
      </c>
      <c r="E1815" t="s" s="11">
        <v>253</v>
      </c>
      <c r="F1815" s="28">
        <v>45468</v>
      </c>
      <c r="G1815" t="s" s="11">
        <v>146</v>
      </c>
      <c r="H1815" s="43">
        <v>4.45</v>
      </c>
      <c r="I1815" s="43">
        <v>30.82</v>
      </c>
      <c r="J1815" t="s" s="11">
        <v>9374</v>
      </c>
      <c r="K1815" t="s" s="11">
        <v>9375</v>
      </c>
      <c r="L1815" s="17">
        <f>HYPERLINK("http://www.theloopfx.com", "www.theloopfx.com")</f>
      </c>
      <c r="M1815" s="17">
        <f>HYPERLINK("https://my.pitchbook.com?c=513311-32", "View Company Online")</f>
      </c>
    </row>
    <row r="1816">
      <c r="A1816" t="s" s="10">
        <v>9377</v>
      </c>
      <c r="B1816" t="s" s="10">
        <v>9378</v>
      </c>
      <c r="C1816" t="s" s="10">
        <v>37</v>
      </c>
      <c r="D1816" t="s" s="10">
        <v>304</v>
      </c>
      <c r="E1816" t="s" s="10">
        <v>270</v>
      </c>
      <c r="F1816" s="27">
        <v>45895</v>
      </c>
      <c r="G1816" t="s" s="10">
        <v>40</v>
      </c>
      <c r="H1816" s="42">
        <v>11.24</v>
      </c>
      <c r="I1816" s="42">
        <v>30.75</v>
      </c>
      <c r="J1816" t="s" s="10">
        <v>9379</v>
      </c>
      <c r="K1816" t="s" s="10">
        <v>9380</v>
      </c>
      <c r="L1816" s="16">
        <f>HYPERLINK("http://www.leanpay.com", "www.leanpay.com")</f>
      </c>
      <c r="M1816" s="16">
        <f>HYPERLINK("https://my.pitchbook.com?c=181959-67", "View Company Online")</f>
      </c>
    </row>
    <row r="1817">
      <c r="A1817" t="s" s="11">
        <v>9382</v>
      </c>
      <c r="B1817" t="s" s="11">
        <v>9383</v>
      </c>
      <c r="C1817" t="s" s="11">
        <v>222</v>
      </c>
      <c r="D1817" t="s" s="11">
        <v>252</v>
      </c>
      <c r="E1817" t="s" s="11">
        <v>373</v>
      </c>
      <c r="F1817" s="28">
        <v>45961</v>
      </c>
      <c r="G1817" t="s" s="11">
        <v>40</v>
      </c>
      <c r="H1817" t="s" s="43">
        <v>30</v>
      </c>
      <c r="I1817" s="43">
        <v>30.64</v>
      </c>
      <c r="J1817" t="s" s="11">
        <v>9384</v>
      </c>
      <c r="K1817" t="s" s="11">
        <v>9385</v>
      </c>
      <c r="L1817" s="17">
        <f>HYPERLINK("http://www.cmgx.io", "www.cmgx.io")</f>
      </c>
      <c r="M1817" s="17">
        <f>HYPERLINK("https://my.pitchbook.com?c=232455-34", "View Company Online")</f>
      </c>
    </row>
    <row r="1818">
      <c r="A1818" t="s" s="10">
        <v>9387</v>
      </c>
      <c r="B1818" t="s" s="10">
        <v>9388</v>
      </c>
      <c r="C1818" t="s" s="10">
        <v>222</v>
      </c>
      <c r="D1818" t="s" s="10">
        <v>223</v>
      </c>
      <c r="E1818" t="s" s="10">
        <v>373</v>
      </c>
      <c r="F1818" t="s" s="27">
        <v>30</v>
      </c>
      <c r="G1818" t="s" s="10">
        <v>48</v>
      </c>
      <c r="H1818" t="s" s="42">
        <v>30</v>
      </c>
      <c r="I1818" s="42">
        <v>30.52</v>
      </c>
      <c r="J1818" t="s" s="10">
        <v>9389</v>
      </c>
      <c r="K1818" t="s" s="10">
        <v>9390</v>
      </c>
      <c r="L1818" s="16">
        <f>HYPERLINK("http://www.netpurpose.com", "www.netpurpose.com")</f>
      </c>
      <c r="M1818" s="16">
        <f>HYPERLINK("https://my.pitchbook.com?c=454947-40", "View Company Online")</f>
      </c>
    </row>
    <row r="1819">
      <c r="A1819" t="s" s="11">
        <v>9392</v>
      </c>
      <c r="B1819" t="s" s="11">
        <v>9393</v>
      </c>
      <c r="C1819" t="s" s="11">
        <v>60</v>
      </c>
      <c r="D1819" t="s" s="11">
        <v>192</v>
      </c>
      <c r="E1819" t="s" s="11">
        <v>193</v>
      </c>
      <c r="F1819" s="28">
        <v>45617</v>
      </c>
      <c r="G1819" t="s" s="11">
        <v>4267</v>
      </c>
      <c r="H1819" s="43">
        <v>5.79</v>
      </c>
      <c r="I1819" s="43">
        <v>30.41</v>
      </c>
      <c r="J1819" t="s" s="11">
        <v>9394</v>
      </c>
      <c r="K1819" t="s" s="11">
        <v>9395</v>
      </c>
      <c r="L1819" s="17">
        <f>HYPERLINK("http://inveztor.com", "inveztor.com")</f>
      </c>
      <c r="M1819" s="17">
        <f>HYPERLINK("https://my.pitchbook.com?c=498408-04", "View Company Online")</f>
      </c>
    </row>
    <row r="1820">
      <c r="A1820" t="s" s="10">
        <v>9397</v>
      </c>
      <c r="B1820" t="s" s="10">
        <v>9398</v>
      </c>
      <c r="C1820" t="s" s="10">
        <v>27</v>
      </c>
      <c r="D1820" t="s" s="10">
        <v>122</v>
      </c>
      <c r="E1820" t="s" s="10">
        <v>973</v>
      </c>
      <c r="F1820" s="27">
        <v>45379</v>
      </c>
      <c r="G1820" t="s" s="10">
        <v>4267</v>
      </c>
      <c r="H1820" s="42">
        <v>8.65</v>
      </c>
      <c r="I1820" s="42">
        <v>30.4</v>
      </c>
      <c r="J1820" t="s" s="10">
        <v>9399</v>
      </c>
      <c r="K1820" t="s" s="10">
        <v>9400</v>
      </c>
      <c r="L1820" s="16">
        <f>HYPERLINK("http://www.kappapay.com", "www.kappapay.com")</f>
      </c>
      <c r="M1820" s="16">
        <f>HYPERLINK("https://my.pitchbook.com?c=481336-03", "View Company Online")</f>
      </c>
    </row>
    <row r="1821">
      <c r="A1821" t="s" s="11">
        <v>9402</v>
      </c>
      <c r="B1821" t="s" s="11">
        <v>9403</v>
      </c>
      <c r="C1821" t="s" s="11">
        <v>222</v>
      </c>
      <c r="D1821" t="s" s="11">
        <v>252</v>
      </c>
      <c r="E1821" t="s" s="11">
        <v>253</v>
      </c>
      <c r="F1821" s="28">
        <v>43522</v>
      </c>
      <c r="G1821" t="s" s="11">
        <v>40</v>
      </c>
      <c r="H1821" s="43">
        <v>4.81</v>
      </c>
      <c r="I1821" s="43">
        <v>30.37</v>
      </c>
      <c r="J1821" t="s" s="11">
        <v>9404</v>
      </c>
      <c r="K1821" t="s" s="11">
        <v>9405</v>
      </c>
      <c r="L1821" s="17">
        <f>HYPERLINK("http://www.planixs.com", "www.planixs.com")</f>
      </c>
      <c r="M1821" s="17">
        <f>HYPERLINK("https://my.pitchbook.com?c=233721-55", "View Company Online")</f>
      </c>
    </row>
    <row r="1822">
      <c r="A1822" t="s" s="10">
        <v>9407</v>
      </c>
      <c r="B1822" t="s" s="10">
        <v>9408</v>
      </c>
      <c r="C1822" t="s" s="10">
        <v>46</v>
      </c>
      <c r="D1822" t="s" s="10">
        <v>915</v>
      </c>
      <c r="E1822" t="s" s="10">
        <v>253</v>
      </c>
      <c r="F1822" s="27">
        <v>45463</v>
      </c>
      <c r="G1822" t="s" s="10">
        <v>607</v>
      </c>
      <c r="H1822" t="s" s="42">
        <v>30</v>
      </c>
      <c r="I1822" s="42">
        <v>30.32</v>
      </c>
      <c r="J1822" t="s" s="10">
        <v>9409</v>
      </c>
      <c r="K1822" t="s" s="10">
        <v>9410</v>
      </c>
      <c r="L1822" s="16">
        <f>HYPERLINK("http://www.crediwire.com", "www.crediwire.com")</f>
      </c>
      <c r="M1822" s="16">
        <f>HYPERLINK("https://my.pitchbook.com?c=172313-20", "View Company Online")</f>
      </c>
    </row>
    <row r="1823">
      <c r="A1823" t="s" s="11">
        <v>9412</v>
      </c>
      <c r="B1823" t="s" s="11">
        <v>9413</v>
      </c>
      <c r="C1823" t="s" s="11">
        <v>222</v>
      </c>
      <c r="D1823" t="s" s="11">
        <v>252</v>
      </c>
      <c r="E1823" t="s" s="11">
        <v>137</v>
      </c>
      <c r="F1823" s="28">
        <v>45492</v>
      </c>
      <c r="G1823" t="s" s="11">
        <v>146</v>
      </c>
      <c r="H1823" s="43">
        <v>9.58</v>
      </c>
      <c r="I1823" s="43">
        <v>30.31</v>
      </c>
      <c r="J1823" t="s" s="11">
        <v>9414</v>
      </c>
      <c r="K1823" t="s" s="11">
        <v>9415</v>
      </c>
      <c r="L1823" s="17">
        <f>HYPERLINK("http://www.primaryportal.com", "www.primaryportal.com")</f>
      </c>
      <c r="M1823" s="17">
        <f>HYPERLINK("https://my.pitchbook.com?c=504043-66", "View Company Online")</f>
      </c>
    </row>
    <row r="1824">
      <c r="A1824" t="s" s="10">
        <v>9417</v>
      </c>
      <c r="B1824" t="s" s="10">
        <v>9418</v>
      </c>
      <c r="C1824" t="s" s="10">
        <v>114</v>
      </c>
      <c r="D1824" t="s" s="10">
        <v>136</v>
      </c>
      <c r="E1824" t="s" s="10">
        <v>1207</v>
      </c>
      <c r="F1824" s="27">
        <v>46030</v>
      </c>
      <c r="G1824" t="s" s="10">
        <v>40</v>
      </c>
      <c r="H1824" s="42">
        <v>1.22</v>
      </c>
      <c r="I1824" s="42">
        <v>30.3</v>
      </c>
      <c r="J1824" t="s" s="10">
        <v>9419</v>
      </c>
      <c r="K1824" t="s" s="10">
        <v>9420</v>
      </c>
      <c r="L1824" s="16">
        <f>HYPERLINK("http://www.engate.co.jp", "www.engate.co.jp")</f>
      </c>
      <c r="M1824" s="16">
        <f>HYPERLINK("https://my.pitchbook.com?c=458780-41", "View Company Online")</f>
      </c>
    </row>
    <row r="1825">
      <c r="A1825" t="s" s="11">
        <v>9422</v>
      </c>
      <c r="B1825" t="s" s="11">
        <v>9423</v>
      </c>
      <c r="C1825" t="s" s="11">
        <v>164</v>
      </c>
      <c r="D1825" t="s" s="11">
        <v>206</v>
      </c>
      <c r="E1825" t="s" s="11">
        <v>137</v>
      </c>
      <c r="F1825" s="28">
        <v>45308</v>
      </c>
      <c r="G1825" t="s" s="11">
        <v>4267</v>
      </c>
      <c r="H1825" s="43">
        <v>4.19</v>
      </c>
      <c r="I1825" s="43">
        <v>30.3</v>
      </c>
      <c r="J1825" t="s" s="11">
        <v>9424</v>
      </c>
      <c r="K1825" t="s" s="11">
        <v>9425</v>
      </c>
      <c r="L1825" s="17">
        <f>HYPERLINK("http://www.upswing.one", "www.upswing.one")</f>
      </c>
      <c r="M1825" s="17">
        <f>HYPERLINK("https://my.pitchbook.com?c=492937-66", "View Company Online")</f>
      </c>
    </row>
    <row r="1826">
      <c r="A1826" t="s" s="10">
        <v>9427</v>
      </c>
      <c r="B1826" t="s" s="10">
        <v>9428</v>
      </c>
      <c r="C1826" t="s" s="10">
        <v>114</v>
      </c>
      <c r="D1826" t="s" s="10">
        <v>115</v>
      </c>
      <c r="E1826" t="s" s="10">
        <v>1625</v>
      </c>
      <c r="F1826" s="27">
        <v>45806</v>
      </c>
      <c r="G1826" t="s" s="10">
        <v>40</v>
      </c>
      <c r="H1826" t="s" s="42">
        <v>30</v>
      </c>
      <c r="I1826" s="42">
        <v>30.23</v>
      </c>
      <c r="J1826" t="s" s="10">
        <v>9429</v>
      </c>
      <c r="K1826" t="s" s="10">
        <v>9430</v>
      </c>
      <c r="L1826" s="16">
        <f>HYPERLINK("http://www.vontive.com", "www.vontive.com")</f>
      </c>
      <c r="M1826" s="16">
        <f>HYPERLINK("https://my.pitchbook.com?c=264391-75", "View Company Online")</f>
      </c>
    </row>
    <row r="1827">
      <c r="A1827" t="s" s="11">
        <v>9432</v>
      </c>
      <c r="B1827" t="s" s="11">
        <v>9433</v>
      </c>
      <c r="C1827" t="s" s="11">
        <v>60</v>
      </c>
      <c r="D1827" t="s" s="11">
        <v>192</v>
      </c>
      <c r="E1827" t="s" s="11">
        <v>253</v>
      </c>
      <c r="F1827" t="s" s="28">
        <v>30</v>
      </c>
      <c r="G1827" t="s" s="11">
        <v>48</v>
      </c>
      <c r="H1827" t="s" s="43">
        <v>30</v>
      </c>
      <c r="I1827" s="43">
        <v>30.14</v>
      </c>
      <c r="J1827" t="s" s="11">
        <v>9434</v>
      </c>
      <c r="K1827" t="s" s="11">
        <v>9435</v>
      </c>
      <c r="L1827" s="17">
        <f>HYPERLINK("http://www.bita.io", "www.bita.io")</f>
      </c>
      <c r="M1827" s="17">
        <f>HYPERLINK("https://my.pitchbook.com?c=264438-10", "View Company Online")</f>
      </c>
    </row>
    <row r="1828">
      <c r="A1828" t="s" s="10">
        <v>9437</v>
      </c>
      <c r="B1828" t="s" s="10">
        <v>9438</v>
      </c>
      <c r="C1828" t="s" s="10">
        <v>222</v>
      </c>
      <c r="D1828" t="s" s="10">
        <v>235</v>
      </c>
      <c r="E1828" t="s" s="10">
        <v>253</v>
      </c>
      <c r="F1828" s="27">
        <v>45755</v>
      </c>
      <c r="G1828" t="s" s="10">
        <v>4267</v>
      </c>
      <c r="H1828" s="42">
        <v>6.68</v>
      </c>
      <c r="I1828" s="42">
        <v>30.13</v>
      </c>
      <c r="J1828" t="s" s="10">
        <v>9439</v>
      </c>
      <c r="K1828" t="s" s="10">
        <v>9440</v>
      </c>
      <c r="L1828" s="16">
        <f>HYPERLINK("http://www.dealstack.io", "www.dealstack.io")</f>
      </c>
      <c r="M1828" s="16">
        <f>HYPERLINK("https://my.pitchbook.com?c=542359-90", "View Company Online")</f>
      </c>
    </row>
    <row r="1829">
      <c r="A1829" t="s" s="11">
        <v>9442</v>
      </c>
      <c r="B1829" t="s" s="11">
        <v>9443</v>
      </c>
      <c r="C1829" t="s" s="11">
        <v>60</v>
      </c>
      <c r="D1829" t="s" s="11">
        <v>246</v>
      </c>
      <c r="E1829" t="s" s="11">
        <v>253</v>
      </c>
      <c r="F1829" t="s" s="28">
        <v>30</v>
      </c>
      <c r="G1829" t="s" s="11">
        <v>40</v>
      </c>
      <c r="H1829" s="43">
        <v>1.2</v>
      </c>
      <c r="I1829" s="43">
        <v>30.05</v>
      </c>
      <c r="J1829" t="s" s="11">
        <v>9444</v>
      </c>
      <c r="K1829" t="s" s="11">
        <v>9445</v>
      </c>
      <c r="L1829" s="17">
        <f>HYPERLINK("http://www.quants.com", "www.quants.com")</f>
      </c>
      <c r="M1829" s="17">
        <f>HYPERLINK("https://my.pitchbook.com?c=109661-95", "View Company Online")</f>
      </c>
    </row>
    <row r="1830">
      <c r="A1830" t="s" s="10">
        <v>9447</v>
      </c>
      <c r="B1830" t="s" s="10">
        <v>9448</v>
      </c>
      <c r="C1830" t="s" s="10">
        <v>60</v>
      </c>
      <c r="D1830" t="s" s="10">
        <v>727</v>
      </c>
      <c r="E1830" t="s" s="10">
        <v>373</v>
      </c>
      <c r="F1830" s="27">
        <v>44820</v>
      </c>
      <c r="G1830" t="s" s="10">
        <v>40</v>
      </c>
      <c r="H1830" t="s" s="42">
        <v>30</v>
      </c>
      <c r="I1830" s="42">
        <v>30.02</v>
      </c>
      <c r="J1830" t="s" s="10">
        <v>9449</v>
      </c>
      <c r="K1830" t="s" s="10">
        <v>9450</v>
      </c>
      <c r="L1830" s="16">
        <f>HYPERLINK("http://www.quantumrock.group", "www.quantumrock.group")</f>
      </c>
      <c r="M1830" s="16">
        <f>HYPERLINK("https://my.pitchbook.com?c=234939-61", "View Company Online")</f>
      </c>
    </row>
    <row r="1831">
      <c r="A1831" t="s" s="11">
        <v>9452</v>
      </c>
      <c r="B1831" t="s" s="11">
        <v>9453</v>
      </c>
      <c r="C1831" t="s" s="11">
        <v>46</v>
      </c>
      <c r="D1831" t="s" s="11">
        <v>397</v>
      </c>
      <c r="E1831" t="s" s="11">
        <v>311</v>
      </c>
      <c r="F1831" s="28">
        <v>45120</v>
      </c>
      <c r="G1831" t="s" s="11">
        <v>40</v>
      </c>
      <c r="H1831" t="s" s="43">
        <v>30</v>
      </c>
      <c r="I1831" s="43">
        <v>30</v>
      </c>
      <c r="J1831" t="s" s="11">
        <v>9454</v>
      </c>
      <c r="K1831" t="s" s="11">
        <v>9455</v>
      </c>
      <c r="L1831" s="17">
        <f>HYPERLINK("http://www.auditchain.com", "www.auditchain.com")</f>
      </c>
      <c r="M1831" s="17">
        <f>HYPERLINK("https://my.pitchbook.com?c=470573-20", "View Company Online")</f>
      </c>
    </row>
    <row r="1832">
      <c r="A1832" t="s" s="10">
        <v>9457</v>
      </c>
      <c r="B1832" t="s" s="10">
        <v>9458</v>
      </c>
      <c r="C1832" t="s" s="10">
        <v>164</v>
      </c>
      <c r="D1832" t="s" s="10">
        <v>165</v>
      </c>
      <c r="E1832" t="s" s="10">
        <v>859</v>
      </c>
      <c r="F1832" s="27">
        <v>46143</v>
      </c>
      <c r="G1832" t="s" s="10">
        <v>391</v>
      </c>
      <c r="H1832" s="42">
        <v>30</v>
      </c>
      <c r="I1832" s="42">
        <v>30</v>
      </c>
      <c r="J1832" t="s" s="10">
        <v>9459</v>
      </c>
      <c r="K1832" t="s" s="10">
        <v>30</v>
      </c>
      <c r="L1832" s="16">
        <f>HYPERLINK("http://www.baanx.com", "www.baanx.com")</f>
      </c>
      <c r="M1832" s="16">
        <f>HYPERLINK("https://my.pitchbook.com?c=265407-94", "View Company Online")</f>
      </c>
    </row>
    <row r="1833">
      <c r="A1833" t="s" s="11">
        <v>9461</v>
      </c>
      <c r="B1833" t="s" s="11">
        <v>9462</v>
      </c>
      <c r="C1833" t="s" s="11">
        <v>222</v>
      </c>
      <c r="D1833" t="s" s="11">
        <v>223</v>
      </c>
      <c r="E1833" t="s" s="11">
        <v>1207</v>
      </c>
      <c r="F1833" s="28">
        <v>45852</v>
      </c>
      <c r="G1833" t="s" s="11">
        <v>40</v>
      </c>
      <c r="H1833" s="43">
        <v>3.62</v>
      </c>
      <c r="I1833" s="43">
        <v>30</v>
      </c>
      <c r="J1833" t="s" s="11">
        <v>9463</v>
      </c>
      <c r="K1833" t="s" s="11">
        <v>9464</v>
      </c>
      <c r="L1833" s="17">
        <f>HYPERLINK("http://www.bondcliq.com", "www.bondcliq.com")</f>
      </c>
      <c r="M1833" s="17">
        <f>HYPERLINK("https://my.pitchbook.com?c=168173-83", "View Company Online")</f>
      </c>
    </row>
    <row r="1834">
      <c r="A1834" t="s" s="10">
        <v>9466</v>
      </c>
      <c r="B1834" t="s" s="10">
        <v>9467</v>
      </c>
      <c r="C1834" t="s" s="10">
        <v>46</v>
      </c>
      <c r="D1834" t="s" s="10">
        <v>397</v>
      </c>
      <c r="E1834" t="s" s="10">
        <v>253</v>
      </c>
      <c r="F1834" s="27">
        <v>45756</v>
      </c>
      <c r="G1834" t="s" s="10">
        <v>40</v>
      </c>
      <c r="H1834" s="42">
        <v>7.91</v>
      </c>
      <c r="I1834" s="42">
        <v>30</v>
      </c>
      <c r="J1834" t="s" s="10">
        <v>9468</v>
      </c>
      <c r="K1834" t="s" s="10">
        <v>9469</v>
      </c>
      <c r="L1834" s="16">
        <f>HYPERLINK("http://www.ceretax.com", "www.ceretax.com")</f>
      </c>
      <c r="M1834" s="16">
        <f>HYPERLINK("https://my.pitchbook.com?c=501738-76", "View Company Online")</f>
      </c>
    </row>
    <row r="1835">
      <c r="A1835" t="s" s="11">
        <v>9471</v>
      </c>
      <c r="B1835" t="s" s="11">
        <v>9472</v>
      </c>
      <c r="C1835" t="s" s="11">
        <v>27</v>
      </c>
      <c r="D1835" t="s" s="11">
        <v>70</v>
      </c>
      <c r="E1835" t="s" s="11">
        <v>137</v>
      </c>
      <c r="F1835" t="s" s="28">
        <v>30</v>
      </c>
      <c r="G1835" t="s" s="11">
        <v>48</v>
      </c>
      <c r="H1835" t="s" s="43">
        <v>30</v>
      </c>
      <c r="I1835" s="43">
        <v>30</v>
      </c>
      <c r="J1835" t="s" s="11">
        <v>9473</v>
      </c>
      <c r="K1835" t="s" s="11">
        <v>9474</v>
      </c>
      <c r="L1835" s="17">
        <f>HYPERLINK("http://www.cfxlabs.com", "www.cfxlabs.com")</f>
      </c>
      <c r="M1835" s="17">
        <f>HYPERLINK("https://my.pitchbook.com?c=492746-14", "View Company Online")</f>
      </c>
    </row>
    <row r="1836">
      <c r="A1836" t="s" s="10">
        <v>9476</v>
      </c>
      <c r="B1836" t="s" s="10">
        <v>9477</v>
      </c>
      <c r="C1836" t="s" s="10">
        <v>222</v>
      </c>
      <c r="D1836" t="s" s="10">
        <v>252</v>
      </c>
      <c r="E1836" t="s" s="10">
        <v>137</v>
      </c>
      <c r="F1836" s="27">
        <v>46113</v>
      </c>
      <c r="G1836" t="s" s="10">
        <v>271</v>
      </c>
      <c r="H1836" s="42">
        <v>5.62</v>
      </c>
      <c r="I1836" s="42">
        <v>30</v>
      </c>
      <c r="J1836" t="s" s="10">
        <v>9478</v>
      </c>
      <c r="K1836" t="s" s="10">
        <v>9479</v>
      </c>
      <c r="L1836" s="16">
        <f>HYPERLINK("http://www.clearingbid.com", "www.clearingbid.com")</f>
      </c>
      <c r="M1836" s="16">
        <f>HYPERLINK("https://my.pitchbook.com?c=141779-08", "View Company Online")</f>
      </c>
    </row>
    <row r="1837">
      <c r="A1837" t="s" s="11">
        <v>9481</v>
      </c>
      <c r="B1837" t="s" s="11">
        <v>9482</v>
      </c>
      <c r="C1837" t="s" s="11">
        <v>128</v>
      </c>
      <c r="D1837" t="s" s="11">
        <v>276</v>
      </c>
      <c r="E1837" t="s" s="11">
        <v>270</v>
      </c>
      <c r="F1837" s="28">
        <v>44927</v>
      </c>
      <c r="G1837" t="s" s="11">
        <v>607</v>
      </c>
      <c r="H1837" t="s" s="43">
        <v>30</v>
      </c>
      <c r="I1837" s="43">
        <v>30</v>
      </c>
      <c r="J1837" t="s" s="11">
        <v>9483</v>
      </c>
      <c r="K1837" t="s" s="11">
        <v>9484</v>
      </c>
      <c r="L1837" s="17">
        <f>HYPERLINK("http://hellocozmo.ai", "hellocozmo.ai")</f>
      </c>
      <c r="M1837" s="17">
        <f>HYPERLINK("https://my.pitchbook.com?c=491326-57", "View Company Online")</f>
      </c>
    </row>
    <row r="1838">
      <c r="A1838" t="s" s="10">
        <v>9486</v>
      </c>
      <c r="B1838" t="s" s="10">
        <v>9487</v>
      </c>
      <c r="C1838" t="s" s="10">
        <v>172</v>
      </c>
      <c r="D1838" t="s" s="10">
        <v>338</v>
      </c>
      <c r="E1838" t="s" s="10">
        <v>9488</v>
      </c>
      <c r="F1838" s="27">
        <v>45201</v>
      </c>
      <c r="G1838" t="s" s="10">
        <v>4267</v>
      </c>
      <c r="H1838" s="42">
        <v>6.3</v>
      </c>
      <c r="I1838" s="42">
        <v>30</v>
      </c>
      <c r="J1838" t="s" s="10">
        <v>9489</v>
      </c>
      <c r="K1838" t="s" s="10">
        <v>9490</v>
      </c>
      <c r="L1838" s="16">
        <f>HYPERLINK("http://www.datamart.co", "www.datamart.co")</f>
      </c>
      <c r="M1838" s="16">
        <f>HYPERLINK("https://my.pitchbook.com?c=520480-00", "View Company Online")</f>
      </c>
    </row>
    <row r="1839">
      <c r="A1839" t="s" s="11">
        <v>9492</v>
      </c>
      <c r="B1839" t="s" s="11">
        <v>9493</v>
      </c>
      <c r="C1839" t="s" s="11">
        <v>164</v>
      </c>
      <c r="D1839" t="s" s="11">
        <v>206</v>
      </c>
      <c r="E1839" t="s" s="11">
        <v>1349</v>
      </c>
      <c r="F1839" s="28">
        <v>44561</v>
      </c>
      <c r="G1839" t="s" s="11">
        <v>40</v>
      </c>
      <c r="H1839" s="43">
        <v>5</v>
      </c>
      <c r="I1839" s="43">
        <v>30</v>
      </c>
      <c r="J1839" t="s" s="11">
        <v>9494</v>
      </c>
      <c r="K1839" t="s" s="11">
        <v>30</v>
      </c>
      <c r="L1839" s="17">
        <f>HYPERLINK("http://deephaven.io", "deephaven.io")</f>
      </c>
      <c r="M1839" s="17">
        <f>HYPERLINK("https://my.pitchbook.com?c=455181-40", "View Company Online")</f>
      </c>
    </row>
    <row r="1840">
      <c r="A1840" t="s" s="10">
        <v>9496</v>
      </c>
      <c r="B1840" t="s" s="10">
        <v>9497</v>
      </c>
      <c r="C1840" t="s" s="10">
        <v>60</v>
      </c>
      <c r="D1840" t="s" s="10">
        <v>246</v>
      </c>
      <c r="E1840" t="s" s="10">
        <v>414</v>
      </c>
      <c r="F1840" s="27">
        <v>45204</v>
      </c>
      <c r="G1840" t="s" s="10">
        <v>40</v>
      </c>
      <c r="H1840" t="s" s="42">
        <v>30</v>
      </c>
      <c r="I1840" s="42">
        <v>30</v>
      </c>
      <c r="J1840" t="s" s="10">
        <v>9498</v>
      </c>
      <c r="K1840" t="s" s="10">
        <v>9499</v>
      </c>
      <c r="L1840" s="16">
        <f>HYPERLINK("http://www.fintual.cl", "www.fintual.cl")</f>
      </c>
      <c r="M1840" s="16">
        <f>HYPERLINK("https://my.pitchbook.com?c=223547-77", "View Company Online")</f>
      </c>
    </row>
    <row r="1841">
      <c r="A1841" t="s" s="11">
        <v>9501</v>
      </c>
      <c r="B1841" t="s" s="11">
        <v>9502</v>
      </c>
      <c r="C1841" t="s" s="11">
        <v>128</v>
      </c>
      <c r="D1841" t="s" s="11">
        <v>276</v>
      </c>
      <c r="E1841" t="s" s="11">
        <v>253</v>
      </c>
      <c r="F1841" s="28">
        <v>44726</v>
      </c>
      <c r="G1841" t="s" s="11">
        <v>40</v>
      </c>
      <c r="H1841" s="43">
        <v>103</v>
      </c>
      <c r="I1841" s="43">
        <v>30</v>
      </c>
      <c r="J1841" t="s" s="11">
        <v>9503</v>
      </c>
      <c r="K1841" t="s" s="11">
        <v>9504</v>
      </c>
      <c r="L1841" s="17">
        <f>HYPERLINK("http://www.flip.id", "www.flip.id")</f>
      </c>
      <c r="M1841" s="17">
        <f>HYPERLINK("https://my.pitchbook.com?c=295069-69", "View Company Online")</f>
      </c>
    </row>
    <row r="1842">
      <c r="A1842" t="s" s="10">
        <v>9506</v>
      </c>
      <c r="B1842" t="s" s="10">
        <v>9507</v>
      </c>
      <c r="C1842" t="s" s="10">
        <v>27</v>
      </c>
      <c r="D1842" t="s" s="10">
        <v>70</v>
      </c>
      <c r="E1842" t="s" s="10">
        <v>253</v>
      </c>
      <c r="F1842" s="27">
        <v>45903</v>
      </c>
      <c r="G1842" t="s" s="10">
        <v>4267</v>
      </c>
      <c r="H1842" s="42">
        <v>6.8</v>
      </c>
      <c r="I1842" s="42">
        <v>30</v>
      </c>
      <c r="J1842" t="s" s="10">
        <v>9508</v>
      </c>
      <c r="K1842" t="s" s="10">
        <v>9509</v>
      </c>
      <c r="L1842" s="16">
        <f>HYPERLINK("http://www.flowglad.com", "www.flowglad.com")</f>
      </c>
      <c r="M1842" s="16">
        <f>HYPERLINK("https://my.pitchbook.com?c=896126-59", "View Company Online")</f>
      </c>
    </row>
    <row r="1843">
      <c r="A1843" t="s" s="11">
        <v>9511</v>
      </c>
      <c r="B1843" t="s" s="11">
        <v>9512</v>
      </c>
      <c r="C1843" t="s" s="11">
        <v>222</v>
      </c>
      <c r="D1843" t="s" s="11">
        <v>235</v>
      </c>
      <c r="E1843" t="s" s="11">
        <v>193</v>
      </c>
      <c r="F1843" s="28">
        <v>45887</v>
      </c>
      <c r="G1843" t="s" s="11">
        <v>40</v>
      </c>
      <c r="H1843" s="43">
        <v>7.82</v>
      </c>
      <c r="I1843" s="43">
        <v>30</v>
      </c>
      <c r="J1843" t="s" s="11">
        <v>9513</v>
      </c>
      <c r="K1843" t="s" s="11">
        <v>9514</v>
      </c>
      <c r="L1843" s="17">
        <f>HYPERLINK("http://www.givinga.com", "www.givinga.com")</f>
      </c>
      <c r="M1843" s="17">
        <f>HYPERLINK("https://my.pitchbook.com?c=343278-37", "View Company Online")</f>
      </c>
    </row>
    <row r="1844">
      <c r="A1844" t="s" s="10">
        <v>9516</v>
      </c>
      <c r="B1844" t="s" s="10">
        <v>9517</v>
      </c>
      <c r="C1844" t="s" s="10">
        <v>37</v>
      </c>
      <c r="D1844" t="s" s="10">
        <v>304</v>
      </c>
      <c r="E1844" t="s" s="10">
        <v>116</v>
      </c>
      <c r="F1844" t="s" s="27">
        <v>30</v>
      </c>
      <c r="G1844" t="s" s="10">
        <v>48</v>
      </c>
      <c r="H1844" t="s" s="42">
        <v>30</v>
      </c>
      <c r="I1844" s="42">
        <v>30</v>
      </c>
      <c r="J1844" t="s" s="10">
        <v>9518</v>
      </c>
      <c r="K1844" t="s" s="10">
        <v>9519</v>
      </c>
      <c r="L1844" s="16">
        <f>HYPERLINK("http://www.grain.credit", "www.grain.credit")</f>
      </c>
      <c r="M1844" s="16">
        <f>HYPERLINK("https://my.pitchbook.com?c=267265-45", "View Company Online")</f>
      </c>
    </row>
    <row r="1845">
      <c r="A1845" t="s" s="11">
        <v>9521</v>
      </c>
      <c r="B1845" t="s" s="11">
        <v>9522</v>
      </c>
      <c r="C1845" t="s" s="11">
        <v>222</v>
      </c>
      <c r="D1845" t="s" s="11">
        <v>252</v>
      </c>
      <c r="E1845" t="s" s="11">
        <v>629</v>
      </c>
      <c r="F1845" s="28">
        <v>46017</v>
      </c>
      <c r="G1845" t="s" s="11">
        <v>4267</v>
      </c>
      <c r="H1845" t="s" s="43">
        <v>30</v>
      </c>
      <c r="I1845" s="43">
        <v>30</v>
      </c>
      <c r="J1845" t="s" s="11">
        <v>9523</v>
      </c>
      <c r="K1845" t="s" s="11">
        <v>9524</v>
      </c>
      <c r="L1845" s="17">
        <f>HYPERLINK("http://www.haven.financial", "www.haven.financial")</f>
      </c>
      <c r="M1845" s="17">
        <f>HYPERLINK("https://my.pitchbook.com?c=1238626-99", "View Company Online")</f>
      </c>
    </row>
    <row r="1846">
      <c r="A1846" t="s" s="10">
        <v>9526</v>
      </c>
      <c r="B1846" t="s" s="10">
        <v>9527</v>
      </c>
      <c r="C1846" t="s" s="10">
        <v>46</v>
      </c>
      <c r="D1846" t="s" s="10">
        <v>397</v>
      </c>
      <c r="E1846" t="s" s="10">
        <v>373</v>
      </c>
      <c r="F1846" s="27">
        <v>45782</v>
      </c>
      <c r="G1846" t="s" s="10">
        <v>40</v>
      </c>
      <c r="H1846" s="42">
        <v>100</v>
      </c>
      <c r="I1846" s="42">
        <v>30</v>
      </c>
      <c r="J1846" t="s" s="10">
        <v>9528</v>
      </c>
      <c r="K1846" t="s" s="10">
        <v>9529</v>
      </c>
      <c r="L1846" s="16">
        <f>HYPERLINK("http://www.hubsync.com", "www.hubsync.com")</f>
      </c>
      <c r="M1846" s="16">
        <f>HYPERLINK("https://my.pitchbook.com?c=501317-20", "View Company Online")</f>
      </c>
    </row>
    <row r="1847">
      <c r="A1847" t="s" s="11">
        <v>9531</v>
      </c>
      <c r="B1847" t="s" s="11">
        <v>9532</v>
      </c>
      <c r="C1847" t="s" s="11">
        <v>114</v>
      </c>
      <c r="D1847" t="s" s="11">
        <v>136</v>
      </c>
      <c r="E1847" t="s" s="11">
        <v>137</v>
      </c>
      <c r="F1847" s="28">
        <v>44981</v>
      </c>
      <c r="G1847" t="s" s="11">
        <v>146</v>
      </c>
      <c r="H1847" s="43">
        <v>5</v>
      </c>
      <c r="I1847" s="43">
        <v>30</v>
      </c>
      <c r="J1847" t="s" s="11">
        <v>9533</v>
      </c>
      <c r="K1847" t="s" s="11">
        <v>9534</v>
      </c>
      <c r="L1847" s="17">
        <f>HYPERLINK("http://www.filmhedge.com", "www.filmhedge.com")</f>
      </c>
      <c r="M1847" s="17">
        <f>HYPERLINK("https://my.pitchbook.com?c=462380-23", "View Company Online")</f>
      </c>
    </row>
    <row r="1848">
      <c r="A1848" t="s" s="10">
        <v>9536</v>
      </c>
      <c r="B1848" t="s" s="10">
        <v>9537</v>
      </c>
      <c r="C1848" t="s" s="10">
        <v>164</v>
      </c>
      <c r="D1848" t="s" s="10">
        <v>165</v>
      </c>
      <c r="E1848" t="s" s="10">
        <v>373</v>
      </c>
      <c r="F1848" s="27">
        <v>45566</v>
      </c>
      <c r="G1848" t="s" s="10">
        <v>607</v>
      </c>
      <c r="H1848" t="s" s="42">
        <v>30</v>
      </c>
      <c r="I1848" s="42">
        <v>30</v>
      </c>
      <c r="J1848" t="s" s="10">
        <v>9538</v>
      </c>
      <c r="K1848" t="s" s="10">
        <v>9539</v>
      </c>
      <c r="L1848" s="16">
        <f>HYPERLINK("http://www.nayaone.com", "www.nayaone.com")</f>
      </c>
      <c r="M1848" s="16">
        <f>HYPERLINK("https://my.pitchbook.com?c=483067-45", "View Company Online")</f>
      </c>
    </row>
    <row r="1849">
      <c r="A1849" t="s" s="11">
        <v>9541</v>
      </c>
      <c r="B1849" t="s" s="11">
        <v>9542</v>
      </c>
      <c r="C1849" t="s" s="11">
        <v>60</v>
      </c>
      <c r="D1849" t="s" s="11">
        <v>246</v>
      </c>
      <c r="E1849" t="s" s="11">
        <v>270</v>
      </c>
      <c r="F1849" s="28">
        <v>44652</v>
      </c>
      <c r="G1849" t="s" s="11">
        <v>5274</v>
      </c>
      <c r="H1849" s="43">
        <v>0.75</v>
      </c>
      <c r="I1849" s="43">
        <v>30</v>
      </c>
      <c r="J1849" t="s" s="11">
        <v>9543</v>
      </c>
      <c r="K1849" t="s" s="11">
        <v>9544</v>
      </c>
      <c r="L1849" s="17">
        <f>HYPERLINK("http://www.onefi.io", "www.onefi.io")</f>
      </c>
      <c r="M1849" s="17">
        <f>HYPERLINK("https://my.pitchbook.com?c=434797-48", "View Company Online")</f>
      </c>
    </row>
    <row r="1850">
      <c r="A1850" t="s" s="10">
        <v>9546</v>
      </c>
      <c r="B1850" t="s" s="10">
        <v>9547</v>
      </c>
      <c r="C1850" t="s" s="10">
        <v>46</v>
      </c>
      <c r="D1850" t="s" s="10">
        <v>47</v>
      </c>
      <c r="E1850" t="s" s="10">
        <v>193</v>
      </c>
      <c r="F1850" s="27">
        <v>45505</v>
      </c>
      <c r="G1850" t="s" s="10">
        <v>146</v>
      </c>
      <c r="H1850" s="42">
        <v>4.1</v>
      </c>
      <c r="I1850" s="42">
        <v>30</v>
      </c>
      <c r="J1850" t="s" s="10">
        <v>9548</v>
      </c>
      <c r="K1850" t="s" s="10">
        <v>9549</v>
      </c>
      <c r="L1850" s="16">
        <f>HYPERLINK("http://www.getpluto.com", "www.getpluto.com")</f>
      </c>
      <c r="M1850" s="16">
        <f>HYPERLINK("https://my.pitchbook.com?c=490365-64", "View Company Online")</f>
      </c>
    </row>
    <row r="1851">
      <c r="A1851" t="s" s="11">
        <v>9551</v>
      </c>
      <c r="B1851" t="s" s="11">
        <v>9552</v>
      </c>
      <c r="C1851" t="s" s="11">
        <v>60</v>
      </c>
      <c r="D1851" t="s" s="11">
        <v>420</v>
      </c>
      <c r="E1851" t="s" s="11">
        <v>193</v>
      </c>
      <c r="F1851" s="28">
        <v>46122</v>
      </c>
      <c r="G1851" t="s" s="11">
        <v>40</v>
      </c>
      <c r="H1851" s="43">
        <v>13.78</v>
      </c>
      <c r="I1851" s="43">
        <v>30</v>
      </c>
      <c r="J1851" t="s" s="11">
        <v>9553</v>
      </c>
      <c r="K1851" t="s" s="11">
        <v>9554</v>
      </c>
      <c r="L1851" s="17">
        <f>HYPERLINK("http://www.retirable.com", "www.retirable.com")</f>
      </c>
      <c r="M1851" s="17">
        <f>HYPERLINK("https://my.pitchbook.com?c=431561-80", "View Company Online")</f>
      </c>
    </row>
    <row r="1852">
      <c r="A1852" t="s" s="10">
        <v>9556</v>
      </c>
      <c r="B1852" t="s" s="10">
        <v>9557</v>
      </c>
      <c r="C1852" t="s" s="10">
        <v>60</v>
      </c>
      <c r="D1852" t="s" s="10">
        <v>246</v>
      </c>
      <c r="E1852" t="s" s="10">
        <v>29</v>
      </c>
      <c r="F1852" s="27">
        <v>45703</v>
      </c>
      <c r="G1852" t="s" s="10">
        <v>146</v>
      </c>
      <c r="H1852" s="42">
        <v>4.5</v>
      </c>
      <c r="I1852" s="42">
        <v>30</v>
      </c>
      <c r="J1852" t="s" s="10">
        <v>9558</v>
      </c>
      <c r="K1852" t="s" s="10">
        <v>9559</v>
      </c>
      <c r="L1852" s="16">
        <f>HYPERLINK("http://www.sav.money", "www.sav.money")</f>
      </c>
      <c r="M1852" s="16">
        <f>HYPERLINK("https://my.pitchbook.com?c=513441-91", "View Company Online")</f>
      </c>
    </row>
    <row r="1853">
      <c r="A1853" t="s" s="11">
        <v>9561</v>
      </c>
      <c r="B1853" t="s" s="11">
        <v>9562</v>
      </c>
      <c r="C1853" t="s" s="11">
        <v>27</v>
      </c>
      <c r="D1853" t="s" s="11">
        <v>28</v>
      </c>
      <c r="E1853" t="s" s="11">
        <v>2184</v>
      </c>
      <c r="F1853" s="28">
        <v>45453</v>
      </c>
      <c r="G1853" t="s" s="11">
        <v>4267</v>
      </c>
      <c r="H1853" t="s" s="43">
        <v>30</v>
      </c>
      <c r="I1853" s="43">
        <v>30</v>
      </c>
      <c r="J1853" t="s" s="11">
        <v>9563</v>
      </c>
      <c r="K1853" t="s" s="11">
        <v>9564</v>
      </c>
      <c r="L1853" s="17">
        <f>HYPERLINK("http://www.shinkansen.finance", "www.shinkansen.finance")</f>
      </c>
      <c r="M1853" s="17">
        <f>HYPERLINK("https://my.pitchbook.com?c=498555-01", "View Company Online")</f>
      </c>
    </row>
    <row r="1854">
      <c r="A1854" t="s" s="10">
        <v>9566</v>
      </c>
      <c r="B1854" t="s" s="10">
        <v>9567</v>
      </c>
      <c r="C1854" t="s" s="10">
        <v>46</v>
      </c>
      <c r="D1854" t="s" s="10">
        <v>397</v>
      </c>
      <c r="E1854" t="s" s="10">
        <v>3138</v>
      </c>
      <c r="F1854" s="27">
        <v>44985</v>
      </c>
      <c r="G1854" t="s" s="10">
        <v>607</v>
      </c>
      <c r="H1854" s="42">
        <v>0.03</v>
      </c>
      <c r="I1854" s="42">
        <v>30</v>
      </c>
      <c r="J1854" t="s" s="10">
        <v>9568</v>
      </c>
      <c r="K1854" t="s" s="10">
        <v>9569</v>
      </c>
      <c r="L1854" s="16">
        <f>HYPERLINK("http://www.synder.com", "www.synder.com")</f>
      </c>
      <c r="M1854" s="16">
        <f>HYPERLINK("https://my.pitchbook.com?c=436040-56", "View Company Online")</f>
      </c>
    </row>
    <row r="1855">
      <c r="A1855" t="s" s="11">
        <v>9571</v>
      </c>
      <c r="B1855" t="s" s="11">
        <v>9572</v>
      </c>
      <c r="C1855" t="s" s="11">
        <v>60</v>
      </c>
      <c r="D1855" t="s" s="11">
        <v>192</v>
      </c>
      <c r="E1855" t="s" s="11">
        <v>96</v>
      </c>
      <c r="F1855" s="28">
        <v>46006</v>
      </c>
      <c r="G1855" t="s" s="11">
        <v>146</v>
      </c>
      <c r="H1855" t="s" s="43">
        <v>30</v>
      </c>
      <c r="I1855" s="43">
        <v>30</v>
      </c>
      <c r="J1855" t="s" s="11">
        <v>9573</v>
      </c>
      <c r="K1855" t="s" s="11">
        <v>9574</v>
      </c>
      <c r="L1855" s="17">
        <f>HYPERLINK("http://www.tradable.xyz", "www.tradable.xyz")</f>
      </c>
      <c r="M1855" s="17">
        <f>HYPERLINK("https://my.pitchbook.com?c=534520-54", "View Company Online")</f>
      </c>
    </row>
    <row r="1856">
      <c r="A1856" t="s" s="10">
        <v>9576</v>
      </c>
      <c r="B1856" t="s" s="10">
        <v>9577</v>
      </c>
      <c r="C1856" t="s" s="10">
        <v>60</v>
      </c>
      <c r="D1856" t="s" s="10">
        <v>246</v>
      </c>
      <c r="E1856" t="s" s="10">
        <v>137</v>
      </c>
      <c r="F1856" s="27">
        <v>46023</v>
      </c>
      <c r="G1856" t="s" s="10">
        <v>48</v>
      </c>
      <c r="H1856" t="s" s="42">
        <v>30</v>
      </c>
      <c r="I1856" s="42">
        <v>30</v>
      </c>
      <c r="J1856" t="s" s="10">
        <v>9578</v>
      </c>
      <c r="K1856" t="s" s="10">
        <v>9579</v>
      </c>
      <c r="L1856" s="16">
        <f>HYPERLINK("http://www.tuition.io", "www.tuition.io")</f>
      </c>
      <c r="M1856" s="16">
        <f>HYPERLINK("https://my.pitchbook.com?c=54888-04", "View Company Online")</f>
      </c>
    </row>
    <row r="1857">
      <c r="A1857" t="s" s="11">
        <v>9581</v>
      </c>
      <c r="B1857" t="s" s="11">
        <v>9582</v>
      </c>
      <c r="C1857" t="s" s="11">
        <v>46</v>
      </c>
      <c r="D1857" t="s" s="11">
        <v>397</v>
      </c>
      <c r="E1857" t="s" s="11">
        <v>373</v>
      </c>
      <c r="F1857" s="28">
        <v>45819</v>
      </c>
      <c r="G1857" t="s" s="11">
        <v>607</v>
      </c>
      <c r="H1857" t="s" s="43">
        <v>30</v>
      </c>
      <c r="I1857" s="43">
        <v>30</v>
      </c>
      <c r="J1857" t="s" s="11">
        <v>9583</v>
      </c>
      <c r="K1857" t="s" s="11">
        <v>9584</v>
      </c>
      <c r="L1857" s="17">
        <f>HYPERLINK("http://www.uplinq.com", "www.uplinq.com")</f>
      </c>
      <c r="M1857" s="17">
        <f>HYPERLINK("https://my.pitchbook.com?c=482654-35", "View Company Online")</f>
      </c>
    </row>
    <row r="1858">
      <c r="A1858" t="s" s="10">
        <v>9586</v>
      </c>
      <c r="B1858" t="s" s="10">
        <v>9587</v>
      </c>
      <c r="C1858" t="s" s="10">
        <v>60</v>
      </c>
      <c r="D1858" t="s" s="10">
        <v>727</v>
      </c>
      <c r="E1858" t="s" s="10">
        <v>373</v>
      </c>
      <c r="F1858" s="27">
        <v>45658</v>
      </c>
      <c r="G1858" t="s" s="10">
        <v>40</v>
      </c>
      <c r="H1858" s="42">
        <v>6</v>
      </c>
      <c r="I1858" s="42">
        <v>30</v>
      </c>
      <c r="J1858" t="s" s="10">
        <v>9588</v>
      </c>
      <c r="K1858" t="s" s="10">
        <v>9589</v>
      </c>
      <c r="L1858" s="16">
        <f>HYPERLINK("http://www.velvet.vc", "www.velvet.vc")</f>
      </c>
      <c r="M1858" s="16">
        <f>HYPERLINK("https://my.pitchbook.com?c=466936-57", "View Company Online")</f>
      </c>
    </row>
    <row r="1859">
      <c r="A1859" t="s" s="11">
        <v>9591</v>
      </c>
      <c r="B1859" t="s" s="11">
        <v>9592</v>
      </c>
      <c r="C1859" t="s" s="11">
        <v>37</v>
      </c>
      <c r="D1859" t="s" s="11">
        <v>304</v>
      </c>
      <c r="E1859" t="s" s="11">
        <v>137</v>
      </c>
      <c r="F1859" s="28">
        <v>45777</v>
      </c>
      <c r="G1859" t="s" s="11">
        <v>31</v>
      </c>
      <c r="H1859" s="43">
        <v>15.3</v>
      </c>
      <c r="I1859" s="43">
        <v>30</v>
      </c>
      <c r="J1859" t="s" s="11">
        <v>9593</v>
      </c>
      <c r="K1859" t="s" s="11">
        <v>9594</v>
      </c>
      <c r="L1859" s="17">
        <f>HYPERLINK("http://www.vexi.mx", "www.vexi.mx")</f>
      </c>
      <c r="M1859" s="17">
        <f>HYPERLINK("https://my.pitchbook.com?c=231711-85", "View Company Online")</f>
      </c>
    </row>
    <row r="1860">
      <c r="A1860" t="s" s="10">
        <v>9596</v>
      </c>
      <c r="B1860" t="s" s="10">
        <v>9597</v>
      </c>
      <c r="C1860" t="s" s="10">
        <v>37</v>
      </c>
      <c r="D1860" t="s" s="10">
        <v>38</v>
      </c>
      <c r="E1860" t="s" s="10">
        <v>193</v>
      </c>
      <c r="F1860" s="27">
        <v>45627</v>
      </c>
      <c r="G1860" t="s" s="10">
        <v>4267</v>
      </c>
      <c r="H1860" s="42">
        <v>5</v>
      </c>
      <c r="I1860" s="42">
        <v>30</v>
      </c>
      <c r="J1860" t="s" s="10">
        <v>9598</v>
      </c>
      <c r="K1860" t="s" s="10">
        <v>9599</v>
      </c>
      <c r="L1860" s="16">
        <f>HYPERLINK("http://www.getwaya.com", "www.getwaya.com")</f>
      </c>
      <c r="M1860" s="16">
        <f>HYPERLINK("https://my.pitchbook.com?c=498166-84", "View Company Online")</f>
      </c>
    </row>
    <row r="1861">
      <c r="A1861" t="s" s="11">
        <v>9601</v>
      </c>
      <c r="B1861" t="s" s="11">
        <v>9602</v>
      </c>
      <c r="C1861" t="s" s="11">
        <v>114</v>
      </c>
      <c r="D1861" t="s" s="11">
        <v>136</v>
      </c>
      <c r="E1861" t="s" s="11">
        <v>137</v>
      </c>
      <c r="F1861" s="28">
        <v>45951</v>
      </c>
      <c r="G1861" t="s" s="11">
        <v>146</v>
      </c>
      <c r="H1861" t="s" s="43">
        <v>30</v>
      </c>
      <c r="I1861" s="43">
        <v>30</v>
      </c>
      <c r="J1861" t="s" s="11">
        <v>9603</v>
      </c>
      <c r="K1861" t="s" s="11">
        <v>9604</v>
      </c>
      <c r="L1861" s="17">
        <f>HYPERLINK("http://www.welli.com.co", "www.welli.com.co")</f>
      </c>
      <c r="M1861" s="17">
        <f>HYPERLINK("https://my.pitchbook.com?c=538020-55", "View Company Online")</f>
      </c>
    </row>
    <row r="1862">
      <c r="A1862" t="s" s="10">
        <v>9606</v>
      </c>
      <c r="B1862" t="s" s="10">
        <v>9607</v>
      </c>
      <c r="C1862" t="s" s="10">
        <v>128</v>
      </c>
      <c r="D1862" t="s" s="10">
        <v>276</v>
      </c>
      <c r="E1862" t="s" s="10">
        <v>137</v>
      </c>
      <c r="F1862" s="27">
        <v>44851</v>
      </c>
      <c r="G1862" t="s" s="10">
        <v>4267</v>
      </c>
      <c r="H1862" s="42">
        <v>6</v>
      </c>
      <c r="I1862" s="42">
        <v>30</v>
      </c>
      <c r="J1862" t="s" s="10">
        <v>9608</v>
      </c>
      <c r="K1862" t="s" s="10">
        <v>9609</v>
      </c>
      <c r="L1862" s="16">
        <f>HYPERLINK("http://www.sendwirepay.com", "www.sendwirepay.com")</f>
      </c>
      <c r="M1862" s="16">
        <f>HYPERLINK("https://my.pitchbook.com?c=497514-61", "View Company Online")</f>
      </c>
    </row>
    <row r="1863">
      <c r="A1863" t="s" s="11">
        <v>9611</v>
      </c>
      <c r="B1863" t="s" s="11">
        <v>9612</v>
      </c>
      <c r="C1863" t="s" s="11">
        <v>60</v>
      </c>
      <c r="D1863" t="s" s="11">
        <v>246</v>
      </c>
      <c r="E1863" t="s" s="11">
        <v>253</v>
      </c>
      <c r="F1863" s="28">
        <v>45518</v>
      </c>
      <c r="G1863" t="s" s="11">
        <v>607</v>
      </c>
      <c r="H1863" t="s" s="43">
        <v>30</v>
      </c>
      <c r="I1863" s="43">
        <v>30</v>
      </c>
      <c r="J1863" t="s" s="11">
        <v>9613</v>
      </c>
      <c r="K1863" t="s" s="11">
        <v>9614</v>
      </c>
      <c r="L1863" s="17">
        <f>HYPERLINK("http://www.yourmoneyline.com", "www.yourmoneyline.com")</f>
      </c>
      <c r="M1863" s="17">
        <f>HYPERLINK("https://my.pitchbook.com?c=244708-30", "View Company Online")</f>
      </c>
    </row>
    <row r="1864">
      <c r="A1864" t="s" s="10">
        <v>9616</v>
      </c>
      <c r="B1864" t="s" s="10">
        <v>9617</v>
      </c>
      <c r="C1864" t="s" s="10">
        <v>222</v>
      </c>
      <c r="D1864" t="s" s="10">
        <v>223</v>
      </c>
      <c r="E1864" t="s" s="10">
        <v>253</v>
      </c>
      <c r="F1864" s="27">
        <v>45200</v>
      </c>
      <c r="G1864" t="s" s="10">
        <v>146</v>
      </c>
      <c r="H1864" s="42">
        <v>0.93</v>
      </c>
      <c r="I1864" s="42">
        <v>29.99</v>
      </c>
      <c r="J1864" t="s" s="10">
        <v>9618</v>
      </c>
      <c r="K1864" t="s" s="10">
        <v>9619</v>
      </c>
      <c r="L1864" s="16">
        <f>HYPERLINK("http://www.esgtech.co", "www.esgtech.co")</f>
      </c>
      <c r="M1864" s="16">
        <f>HYPERLINK("https://my.pitchbook.com?c=438576-76", "View Company Online")</f>
      </c>
    </row>
    <row r="1865">
      <c r="A1865" t="s" s="11">
        <v>9621</v>
      </c>
      <c r="B1865" t="s" s="11">
        <v>9622</v>
      </c>
      <c r="C1865" t="s" s="11">
        <v>114</v>
      </c>
      <c r="D1865" t="s" s="11">
        <v>136</v>
      </c>
      <c r="E1865" t="s" s="11">
        <v>137</v>
      </c>
      <c r="F1865" s="28">
        <v>44539</v>
      </c>
      <c r="G1865" t="s" s="11">
        <v>40</v>
      </c>
      <c r="H1865" s="43">
        <v>5.67</v>
      </c>
      <c r="I1865" s="43">
        <v>29.9</v>
      </c>
      <c r="J1865" t="s" s="11">
        <v>9623</v>
      </c>
      <c r="K1865" t="s" s="11">
        <v>9624</v>
      </c>
      <c r="L1865" s="17">
        <f>HYPERLINK("http://www.swisspeers.ch", "www.swisspeers.ch")</f>
      </c>
      <c r="M1865" s="17">
        <f>HYPERLINK("https://my.pitchbook.com?c=160681-33", "View Company Online")</f>
      </c>
    </row>
    <row r="1866">
      <c r="A1866" t="s" s="10">
        <v>9626</v>
      </c>
      <c r="B1866" t="s" s="10">
        <v>9627</v>
      </c>
      <c r="C1866" t="s" s="10">
        <v>172</v>
      </c>
      <c r="D1866" t="s" s="10">
        <v>173</v>
      </c>
      <c r="E1866" t="s" s="10">
        <v>1685</v>
      </c>
      <c r="F1866" s="27">
        <v>45898</v>
      </c>
      <c r="G1866" t="s" s="10">
        <v>146</v>
      </c>
      <c r="H1866" s="42">
        <v>4.9</v>
      </c>
      <c r="I1866" s="42">
        <v>29.89</v>
      </c>
      <c r="J1866" t="s" s="10">
        <v>9628</v>
      </c>
      <c r="K1866" t="s" s="10">
        <v>9629</v>
      </c>
      <c r="L1866" s="16">
        <f>HYPERLINK("http://www.bislab.io", "www.bislab.io")</f>
      </c>
      <c r="M1866" s="16">
        <f>HYPERLINK("https://my.pitchbook.com?c=631981-09", "View Company Online")</f>
      </c>
    </row>
    <row r="1867">
      <c r="A1867" t="s" s="11">
        <v>9631</v>
      </c>
      <c r="B1867" t="s" s="11">
        <v>9632</v>
      </c>
      <c r="C1867" t="s" s="11">
        <v>222</v>
      </c>
      <c r="D1867" t="s" s="11">
        <v>235</v>
      </c>
      <c r="E1867" t="s" s="11">
        <v>9633</v>
      </c>
      <c r="F1867" t="s" s="28">
        <v>30</v>
      </c>
      <c r="G1867" t="s" s="11">
        <v>138</v>
      </c>
      <c r="H1867" t="s" s="43">
        <v>30</v>
      </c>
      <c r="I1867" s="43">
        <v>29.75</v>
      </c>
      <c r="J1867" t="s" s="11">
        <v>9634</v>
      </c>
      <c r="K1867" t="s" s="11">
        <v>9635</v>
      </c>
      <c r="L1867" s="17">
        <f>HYPERLINK("http://www.globacap.com", "www.globacap.com")</f>
      </c>
      <c r="M1867" s="17">
        <f>HYPERLINK("https://my.pitchbook.com?c=229491-28", "View Company Online")</f>
      </c>
    </row>
    <row r="1868">
      <c r="A1868" t="s" s="10">
        <v>9637</v>
      </c>
      <c r="B1868" t="s" s="10">
        <v>9638</v>
      </c>
      <c r="C1868" t="s" s="10">
        <v>172</v>
      </c>
      <c r="D1868" t="s" s="10">
        <v>173</v>
      </c>
      <c r="E1868" t="s" s="10">
        <v>2071</v>
      </c>
      <c r="F1868" s="27">
        <v>45993</v>
      </c>
      <c r="G1868" t="s" s="10">
        <v>607</v>
      </c>
      <c r="H1868" t="s" s="42">
        <v>30</v>
      </c>
      <c r="I1868" s="42">
        <v>29.61</v>
      </c>
      <c r="J1868" t="s" s="10">
        <v>9639</v>
      </c>
      <c r="K1868" t="s" s="10">
        <v>9640</v>
      </c>
      <c r="L1868" s="16">
        <f>HYPERLINK("http://www.wearefortify.ai", "www.wearefortify.ai")</f>
      </c>
      <c r="M1868" s="16">
        <f>HYPERLINK("https://my.pitchbook.com?c=865980-64", "View Company Online")</f>
      </c>
    </row>
    <row r="1869">
      <c r="A1869" t="s" s="11">
        <v>9642</v>
      </c>
      <c r="B1869" t="s" s="11">
        <v>9643</v>
      </c>
      <c r="C1869" t="s" s="11">
        <v>164</v>
      </c>
      <c r="D1869" t="s" s="11">
        <v>206</v>
      </c>
      <c r="E1869" t="s" s="11">
        <v>253</v>
      </c>
      <c r="F1869" t="s" s="28">
        <v>30</v>
      </c>
      <c r="G1869" t="s" s="11">
        <v>391</v>
      </c>
      <c r="H1869" t="s" s="43">
        <v>30</v>
      </c>
      <c r="I1869" s="43">
        <v>29.58</v>
      </c>
      <c r="J1869" t="s" s="11">
        <v>9644</v>
      </c>
      <c r="K1869" t="s" s="11">
        <v>9645</v>
      </c>
      <c r="L1869" s="17">
        <f>HYPERLINK("http://www.onebrick.io", "www.onebrick.io")</f>
      </c>
      <c r="M1869" s="17">
        <f>HYPERLINK("https://my.pitchbook.com?c=437100-67", "View Company Online")</f>
      </c>
    </row>
    <row r="1870">
      <c r="A1870" t="s" s="10">
        <v>9647</v>
      </c>
      <c r="B1870" t="s" s="10">
        <v>9648</v>
      </c>
      <c r="C1870" t="s" s="10">
        <v>128</v>
      </c>
      <c r="D1870" t="s" s="10">
        <v>129</v>
      </c>
      <c r="E1870" t="s" s="10">
        <v>270</v>
      </c>
      <c r="F1870" s="27">
        <v>45554</v>
      </c>
      <c r="G1870" t="s" s="10">
        <v>4267</v>
      </c>
      <c r="H1870" s="42">
        <v>13</v>
      </c>
      <c r="I1870" s="42">
        <v>29.5</v>
      </c>
      <c r="J1870" t="s" s="10">
        <v>9649</v>
      </c>
      <c r="K1870" t="s" s="10">
        <v>9650</v>
      </c>
      <c r="L1870" s="16">
        <f>HYPERLINK("http://www.benjaminone.com", "www.benjaminone.com")</f>
      </c>
      <c r="M1870" s="16">
        <f>HYPERLINK("https://my.pitchbook.com?c=494958-52", "View Company Online")</f>
      </c>
    </row>
    <row r="1871">
      <c r="A1871" t="s" s="11">
        <v>9652</v>
      </c>
      <c r="B1871" t="s" s="11">
        <v>9653</v>
      </c>
      <c r="C1871" t="s" s="11">
        <v>60</v>
      </c>
      <c r="D1871" t="s" s="11">
        <v>246</v>
      </c>
      <c r="E1871" t="s" s="11">
        <v>137</v>
      </c>
      <c r="F1871" s="28">
        <v>45758</v>
      </c>
      <c r="G1871" t="s" s="11">
        <v>40</v>
      </c>
      <c r="H1871" s="43">
        <v>7.5</v>
      </c>
      <c r="I1871" s="43">
        <v>29.5</v>
      </c>
      <c r="J1871" t="s" s="11">
        <v>9654</v>
      </c>
      <c r="K1871" t="s" s="11">
        <v>9655</v>
      </c>
      <c r="L1871" s="17">
        <f>HYPERLINK("http://www.kuunda.com", "www.kuunda.com")</f>
      </c>
      <c r="M1871" s="17">
        <f>HYPERLINK("https://my.pitchbook.com?c=472510-09", "View Company Online")</f>
      </c>
    </row>
    <row r="1872">
      <c r="A1872" t="s" s="10">
        <v>9657</v>
      </c>
      <c r="B1872" t="s" s="10">
        <v>9658</v>
      </c>
      <c r="C1872" t="s" s="10">
        <v>164</v>
      </c>
      <c r="D1872" t="s" s="10">
        <v>206</v>
      </c>
      <c r="E1872" t="s" s="10">
        <v>253</v>
      </c>
      <c r="F1872" s="27">
        <v>45551</v>
      </c>
      <c r="G1872" t="s" s="10">
        <v>138</v>
      </c>
      <c r="H1872" t="s" s="42">
        <v>30</v>
      </c>
      <c r="I1872" s="42">
        <v>29.43</v>
      </c>
      <c r="J1872" t="s" s="10">
        <v>9659</v>
      </c>
      <c r="K1872" t="s" s="10">
        <v>30</v>
      </c>
      <c r="L1872" s="16">
        <f>HYPERLINK("http://www.investsuite.com", "www.investsuite.com")</f>
      </c>
      <c r="M1872" s="16">
        <f>HYPERLINK("https://my.pitchbook.com?c=233122-06", "View Company Online")</f>
      </c>
    </row>
    <row r="1873">
      <c r="A1873" t="s" s="11">
        <v>9661</v>
      </c>
      <c r="B1873" t="s" s="11">
        <v>9662</v>
      </c>
      <c r="C1873" t="s" s="11">
        <v>222</v>
      </c>
      <c r="D1873" t="s" s="11">
        <v>223</v>
      </c>
      <c r="E1873" t="s" s="11">
        <v>137</v>
      </c>
      <c r="F1873" s="28">
        <v>46010</v>
      </c>
      <c r="G1873" t="s" s="11">
        <v>271</v>
      </c>
      <c r="H1873" s="43">
        <v>0.6</v>
      </c>
      <c r="I1873" s="43">
        <v>29.4</v>
      </c>
      <c r="J1873" t="s" s="11">
        <v>9663</v>
      </c>
      <c r="K1873" t="s" s="11">
        <v>9664</v>
      </c>
      <c r="L1873" s="17">
        <f>HYPERLINK("http://www.kingscrowd.com", "www.kingscrowd.com")</f>
      </c>
      <c r="M1873" s="17">
        <f>HYPERLINK("https://my.pitchbook.com?c=231035-41", "View Company Online")</f>
      </c>
    </row>
    <row r="1874">
      <c r="A1874" t="s" s="10">
        <v>9666</v>
      </c>
      <c r="B1874" t="s" s="10">
        <v>9667</v>
      </c>
      <c r="C1874" t="s" s="10">
        <v>222</v>
      </c>
      <c r="D1874" t="s" s="10">
        <v>223</v>
      </c>
      <c r="E1874" t="s" s="10">
        <v>96</v>
      </c>
      <c r="F1874" s="27">
        <v>45985</v>
      </c>
      <c r="G1874" t="s" s="10">
        <v>146</v>
      </c>
      <c r="H1874" s="42">
        <v>120</v>
      </c>
      <c r="I1874" s="42">
        <v>29.39</v>
      </c>
      <c r="J1874" t="s" s="10">
        <v>9668</v>
      </c>
      <c r="K1874" t="s" s="10">
        <v>30</v>
      </c>
      <c r="L1874" s="16">
        <f>HYPERLINK("http://www.tradealgo.com", "www.tradealgo.com")</f>
      </c>
      <c r="M1874" s="16">
        <f>HYPERLINK("https://my.pitchbook.com?c=494496-55", "View Company Online")</f>
      </c>
    </row>
    <row r="1875">
      <c r="A1875" t="s" s="11">
        <v>9670</v>
      </c>
      <c r="B1875" t="s" s="11">
        <v>9671</v>
      </c>
      <c r="C1875" t="s" s="11">
        <v>114</v>
      </c>
      <c r="D1875" t="s" s="11">
        <v>1386</v>
      </c>
      <c r="E1875" t="s" s="11">
        <v>9672</v>
      </c>
      <c r="F1875" t="s" s="28">
        <v>30</v>
      </c>
      <c r="G1875" t="s" s="11">
        <v>48</v>
      </c>
      <c r="H1875" t="s" s="43">
        <v>30</v>
      </c>
      <c r="I1875" s="43">
        <v>29.33</v>
      </c>
      <c r="J1875" t="s" s="11">
        <v>9673</v>
      </c>
      <c r="K1875" t="s" s="11">
        <v>9674</v>
      </c>
      <c r="L1875" s="17">
        <f>HYPERLINK("http://www.credolab.com", "www.credolab.com")</f>
      </c>
      <c r="M1875" s="17">
        <f>HYPERLINK("https://my.pitchbook.com?c=182862-19", "View Company Online")</f>
      </c>
    </row>
    <row r="1876">
      <c r="A1876" t="s" s="10">
        <v>9676</v>
      </c>
      <c r="B1876" t="s" s="10">
        <v>9677</v>
      </c>
      <c r="C1876" t="s" s="10">
        <v>60</v>
      </c>
      <c r="D1876" t="s" s="10">
        <v>432</v>
      </c>
      <c r="E1876" t="s" s="10">
        <v>1349</v>
      </c>
      <c r="F1876" s="27">
        <v>44676</v>
      </c>
      <c r="G1876" t="s" s="10">
        <v>40</v>
      </c>
      <c r="H1876" s="42">
        <v>2.97</v>
      </c>
      <c r="I1876" s="42">
        <v>29.21</v>
      </c>
      <c r="J1876" t="s" s="10">
        <v>9678</v>
      </c>
      <c r="K1876" t="s" s="10">
        <v>9679</v>
      </c>
      <c r="L1876" s="16">
        <f>HYPERLINK("http://www.canopy.cloud", "www.canopy.cloud")</f>
      </c>
      <c r="M1876" s="16">
        <f>HYPERLINK("https://my.pitchbook.com?c=91733-77", "View Company Online")</f>
      </c>
    </row>
    <row r="1877">
      <c r="A1877" t="s" s="11">
        <v>9681</v>
      </c>
      <c r="B1877" t="s" s="11">
        <v>9682</v>
      </c>
      <c r="C1877" t="s" s="11">
        <v>46</v>
      </c>
      <c r="D1877" t="s" s="11">
        <v>397</v>
      </c>
      <c r="E1877" t="s" s="11">
        <v>1679</v>
      </c>
      <c r="F1877" t="s" s="28">
        <v>30</v>
      </c>
      <c r="G1877" t="s" s="11">
        <v>146</v>
      </c>
      <c r="H1877" t="s" s="43">
        <v>30</v>
      </c>
      <c r="I1877" s="43">
        <v>29.13</v>
      </c>
      <c r="J1877" t="s" s="11">
        <v>9683</v>
      </c>
      <c r="K1877" t="s" s="11">
        <v>9684</v>
      </c>
      <c r="L1877" s="17">
        <f>HYPERLINK("http://www.bhub.com", "www.bhub.com")</f>
      </c>
      <c r="M1877" s="17">
        <f>HYPERLINK("https://my.pitchbook.com?c=470587-78", "View Company Online")</f>
      </c>
    </row>
    <row r="1878">
      <c r="A1878" t="s" s="10">
        <v>9686</v>
      </c>
      <c r="B1878" t="s" s="10">
        <v>9687</v>
      </c>
      <c r="C1878" t="s" s="10">
        <v>27</v>
      </c>
      <c r="D1878" t="s" s="10">
        <v>28</v>
      </c>
      <c r="E1878" t="s" s="10">
        <v>270</v>
      </c>
      <c r="F1878" s="27">
        <v>45855</v>
      </c>
      <c r="G1878" t="s" s="10">
        <v>40</v>
      </c>
      <c r="H1878" s="42">
        <v>4.12</v>
      </c>
      <c r="I1878" s="42">
        <v>29.13</v>
      </c>
      <c r="J1878" t="s" s="10">
        <v>9688</v>
      </c>
      <c r="K1878" t="s" s="10">
        <v>9689</v>
      </c>
      <c r="L1878" s="16">
        <f>HYPERLINK("http://www.yetipay.me", "www.yetipay.me")</f>
      </c>
      <c r="M1878" s="16">
        <f>HYPERLINK("https://my.pitchbook.com?c=483286-96", "View Company Online")</f>
      </c>
    </row>
    <row r="1879">
      <c r="A1879" t="s" s="11">
        <v>9691</v>
      </c>
      <c r="B1879" t="s" s="11">
        <v>9692</v>
      </c>
      <c r="C1879" t="s" s="11">
        <v>114</v>
      </c>
      <c r="D1879" t="s" s="11">
        <v>136</v>
      </c>
      <c r="E1879" t="s" s="11">
        <v>2782</v>
      </c>
      <c r="F1879" s="28">
        <v>46189</v>
      </c>
      <c r="G1879" t="s" s="11">
        <v>146</v>
      </c>
      <c r="H1879" t="s" s="43">
        <v>30</v>
      </c>
      <c r="I1879" s="43">
        <v>29.09</v>
      </c>
      <c r="J1879" t="s" s="11">
        <v>9693</v>
      </c>
      <c r="K1879" t="s" s="11">
        <v>9694</v>
      </c>
      <c r="L1879" s="17">
        <f>HYPERLINK("http://www.rent2cash.it", "www.rent2cash.it")</f>
      </c>
      <c r="M1879" s="17">
        <f>HYPERLINK("https://my.pitchbook.com?c=589766-95", "View Company Online")</f>
      </c>
    </row>
    <row r="1880">
      <c r="A1880" t="s" s="10">
        <v>9696</v>
      </c>
      <c r="B1880" t="s" s="10">
        <v>9697</v>
      </c>
      <c r="C1880" t="s" s="10">
        <v>27</v>
      </c>
      <c r="D1880" t="s" s="10">
        <v>28</v>
      </c>
      <c r="E1880" t="s" s="10">
        <v>137</v>
      </c>
      <c r="F1880" s="27">
        <v>44105</v>
      </c>
      <c r="G1880" t="s" s="10">
        <v>40</v>
      </c>
      <c r="H1880" s="42">
        <v>2.95</v>
      </c>
      <c r="I1880" s="42">
        <v>29.07</v>
      </c>
      <c r="J1880" t="s" s="10">
        <v>9698</v>
      </c>
      <c r="K1880" t="s" s="10">
        <v>9699</v>
      </c>
      <c r="L1880" s="16">
        <f>HYPERLINK("http://www.theglue.com", "www.theglue.com")</f>
      </c>
      <c r="M1880" s="16">
        <f>HYPERLINK("https://my.pitchbook.com?c=179069-14", "View Company Online")</f>
      </c>
    </row>
    <row r="1881">
      <c r="A1881" t="s" s="11">
        <v>9701</v>
      </c>
      <c r="B1881" t="s" s="11">
        <v>9702</v>
      </c>
      <c r="C1881" t="s" s="11">
        <v>27</v>
      </c>
      <c r="D1881" t="s" s="11">
        <v>28</v>
      </c>
      <c r="E1881" t="s" s="11">
        <v>193</v>
      </c>
      <c r="F1881" s="28">
        <v>44562</v>
      </c>
      <c r="G1881" t="s" s="11">
        <v>40</v>
      </c>
      <c r="H1881" s="43">
        <v>6.02</v>
      </c>
      <c r="I1881" s="43">
        <v>29.06</v>
      </c>
      <c r="J1881" t="s" s="11">
        <v>9703</v>
      </c>
      <c r="K1881" t="s" s="11">
        <v>9704</v>
      </c>
      <c r="L1881" s="17">
        <f>HYPERLINK("http://www.pej.io", "www.pej.io")</f>
      </c>
      <c r="M1881" s="17">
        <f>HYPERLINK("https://my.pitchbook.com?c=169271-11", "View Company Online")</f>
      </c>
    </row>
    <row r="1882">
      <c r="A1882" t="s" s="10">
        <v>9706</v>
      </c>
      <c r="B1882" t="s" s="10">
        <v>9707</v>
      </c>
      <c r="C1882" t="s" s="10">
        <v>164</v>
      </c>
      <c r="D1882" t="s" s="10">
        <v>165</v>
      </c>
      <c r="E1882" t="s" s="10">
        <v>137</v>
      </c>
      <c r="F1882" s="27">
        <v>42793</v>
      </c>
      <c r="G1882" t="s" s="10">
        <v>146</v>
      </c>
      <c r="H1882" s="42">
        <v>4.36</v>
      </c>
      <c r="I1882" s="42">
        <v>29.04</v>
      </c>
      <c r="J1882" t="s" s="10">
        <v>9708</v>
      </c>
      <c r="K1882" t="s" s="10">
        <v>9709</v>
      </c>
      <c r="L1882" s="16">
        <f>HYPERLINK("http://www.ktjr.com", "www.ktjr.com")</f>
      </c>
      <c r="M1882" s="16">
        <f>HYPERLINK("https://my.pitchbook.com?c=399122-83", "View Company Online")</f>
      </c>
    </row>
    <row r="1883">
      <c r="A1883" t="s" s="11">
        <v>9711</v>
      </c>
      <c r="B1883" t="s" s="11">
        <v>9712</v>
      </c>
      <c r="C1883" t="s" s="11">
        <v>164</v>
      </c>
      <c r="D1883" t="s" s="11">
        <v>206</v>
      </c>
      <c r="E1883" t="s" s="11">
        <v>373</v>
      </c>
      <c r="F1883" s="28">
        <v>45980</v>
      </c>
      <c r="G1883" t="s" s="11">
        <v>40</v>
      </c>
      <c r="H1883" s="43">
        <v>80</v>
      </c>
      <c r="I1883" s="43">
        <v>29.03</v>
      </c>
      <c r="J1883" t="s" s="11">
        <v>9713</v>
      </c>
      <c r="K1883" t="s" s="11">
        <v>9714</v>
      </c>
      <c r="L1883" s="17">
        <f>HYPERLINK("http://www.sapi.com", "www.sapi.com")</f>
      </c>
      <c r="M1883" s="17">
        <f>HYPERLINK("https://my.pitchbook.com?c=500957-11", "View Company Online")</f>
      </c>
    </row>
    <row r="1884">
      <c r="A1884" t="s" s="10">
        <v>9716</v>
      </c>
      <c r="B1884" t="s" s="10">
        <v>9717</v>
      </c>
      <c r="C1884" t="s" s="10">
        <v>128</v>
      </c>
      <c r="D1884" t="s" s="10">
        <v>276</v>
      </c>
      <c r="E1884" t="s" s="10">
        <v>253</v>
      </c>
      <c r="F1884" s="27">
        <v>45115</v>
      </c>
      <c r="G1884" t="s" s="10">
        <v>4267</v>
      </c>
      <c r="H1884" s="42">
        <v>6.35</v>
      </c>
      <c r="I1884" s="42">
        <v>29</v>
      </c>
      <c r="J1884" t="s" s="10">
        <v>9718</v>
      </c>
      <c r="K1884" t="s" s="10">
        <v>9719</v>
      </c>
      <c r="L1884" s="16">
        <f>HYPERLINK("http://www.paywithatoa.co.uk", "www.paywithatoa.co.uk")</f>
      </c>
      <c r="M1884" s="16">
        <f>HYPERLINK("https://my.pitchbook.com?c=515147-05", "View Company Online")</f>
      </c>
    </row>
    <row r="1885">
      <c r="A1885" t="s" s="11">
        <v>9721</v>
      </c>
      <c r="B1885" t="s" s="11">
        <v>9722</v>
      </c>
      <c r="C1885" t="s" s="11">
        <v>27</v>
      </c>
      <c r="D1885" t="s" s="11">
        <v>28</v>
      </c>
      <c r="E1885" t="s" s="11">
        <v>137</v>
      </c>
      <c r="F1885" s="28">
        <v>45113</v>
      </c>
      <c r="G1885" t="s" s="11">
        <v>31</v>
      </c>
      <c r="H1885" s="43">
        <v>42.5</v>
      </c>
      <c r="I1885" s="43">
        <v>29</v>
      </c>
      <c r="J1885" t="s" s="11">
        <v>9723</v>
      </c>
      <c r="K1885" t="s" s="11">
        <v>30</v>
      </c>
      <c r="L1885" s="17">
        <f>HYPERLINK("http://www.cashrepublic.com", "www.cashrepublic.com")</f>
      </c>
      <c r="M1885" s="17">
        <f>HYPERLINK("https://my.pitchbook.com?c=483245-56", "View Company Online")</f>
      </c>
    </row>
    <row r="1886">
      <c r="A1886" t="s" s="10">
        <v>9725</v>
      </c>
      <c r="B1886" t="s" s="10">
        <v>9726</v>
      </c>
      <c r="C1886" t="s" s="10">
        <v>222</v>
      </c>
      <c r="D1886" t="s" s="10">
        <v>235</v>
      </c>
      <c r="E1886" t="s" s="10">
        <v>373</v>
      </c>
      <c r="F1886" s="27">
        <v>45322</v>
      </c>
      <c r="G1886" t="s" s="10">
        <v>40</v>
      </c>
      <c r="H1886" s="42">
        <v>15.7</v>
      </c>
      <c r="I1886" s="42">
        <v>29</v>
      </c>
      <c r="J1886" t="s" s="10">
        <v>9727</v>
      </c>
      <c r="K1886" t="s" s="10">
        <v>9728</v>
      </c>
      <c r="L1886" s="16">
        <f>HYPERLINK("http://www.clade.co", "www.clade.co")</f>
      </c>
      <c r="M1886" s="16">
        <f>HYPERLINK("https://my.pitchbook.com?c=178329-16", "View Company Online")</f>
      </c>
    </row>
    <row r="1887">
      <c r="A1887" t="s" s="11">
        <v>9730</v>
      </c>
      <c r="B1887" t="s" s="11">
        <v>9731</v>
      </c>
      <c r="C1887" t="s" s="11">
        <v>27</v>
      </c>
      <c r="D1887" t="s" s="11">
        <v>28</v>
      </c>
      <c r="E1887" t="s" s="11">
        <v>367</v>
      </c>
      <c r="F1887" s="28">
        <v>46205</v>
      </c>
      <c r="G1887" t="s" s="11">
        <v>40</v>
      </c>
      <c r="H1887" s="43">
        <v>7</v>
      </c>
      <c r="I1887" s="43">
        <v>29</v>
      </c>
      <c r="J1887" t="s" s="11">
        <v>9732</v>
      </c>
      <c r="K1887" t="s" s="11">
        <v>9733</v>
      </c>
      <c r="L1887" s="17">
        <f>HYPERLINK("http://www.kredosai.com", "www.kredosai.com")</f>
      </c>
      <c r="M1887" s="17">
        <f>HYPERLINK("https://my.pitchbook.com?c=521395-30", "View Company Online")</f>
      </c>
    </row>
    <row r="1888">
      <c r="A1888" t="s" s="10">
        <v>9735</v>
      </c>
      <c r="B1888" t="s" s="10">
        <v>9736</v>
      </c>
      <c r="C1888" t="s" s="10">
        <v>60</v>
      </c>
      <c r="D1888" t="s" s="10">
        <v>727</v>
      </c>
      <c r="E1888" t="s" s="10">
        <v>1552</v>
      </c>
      <c r="F1888" s="27">
        <v>45989</v>
      </c>
      <c r="G1888" t="s" s="10">
        <v>5274</v>
      </c>
      <c r="H1888" s="42">
        <v>2.63</v>
      </c>
      <c r="I1888" s="42">
        <v>28.91</v>
      </c>
      <c r="J1888" t="s" s="10">
        <v>9737</v>
      </c>
      <c r="K1888" t="s" s="10">
        <v>9738</v>
      </c>
      <c r="L1888" s="16">
        <f>HYPERLINK("http://www.creditnature.com", "www.creditnature.com")</f>
      </c>
      <c r="M1888" s="16">
        <f>HYPERLINK("https://my.pitchbook.com?c=515501-29", "View Company Online")</f>
      </c>
    </row>
    <row r="1889">
      <c r="A1889" t="s" s="11">
        <v>9740</v>
      </c>
      <c r="B1889" t="s" s="11">
        <v>9741</v>
      </c>
      <c r="C1889" t="s" s="11">
        <v>60</v>
      </c>
      <c r="D1889" t="s" s="11">
        <v>192</v>
      </c>
      <c r="E1889" t="s" s="11">
        <v>116</v>
      </c>
      <c r="F1889" s="28">
        <v>46237</v>
      </c>
      <c r="G1889" t="s" s="11">
        <v>40</v>
      </c>
      <c r="H1889" s="43">
        <v>2.68</v>
      </c>
      <c r="I1889" s="43">
        <v>28.87</v>
      </c>
      <c r="J1889" t="s" s="11">
        <v>9742</v>
      </c>
      <c r="K1889" t="s" s="11">
        <v>9743</v>
      </c>
      <c r="L1889" s="17">
        <f>HYPERLINK("http://pennypension.com", "pennypension.com")</f>
      </c>
      <c r="M1889" s="17">
        <f>HYPERLINK("https://my.pitchbook.com?c=491278-60", "View Company Online")</f>
      </c>
    </row>
    <row r="1890">
      <c r="A1890" t="s" s="10">
        <v>9745</v>
      </c>
      <c r="B1890" t="s" s="10">
        <v>9746</v>
      </c>
      <c r="C1890" t="s" s="10">
        <v>60</v>
      </c>
      <c r="D1890" t="s" s="10">
        <v>246</v>
      </c>
      <c r="E1890" t="s" s="10">
        <v>158</v>
      </c>
      <c r="F1890" t="s" s="27">
        <v>30</v>
      </c>
      <c r="G1890" t="s" s="10">
        <v>48</v>
      </c>
      <c r="H1890" t="s" s="42">
        <v>30</v>
      </c>
      <c r="I1890" s="42">
        <v>28.77</v>
      </c>
      <c r="J1890" t="s" s="10">
        <v>9747</v>
      </c>
      <c r="K1890" t="s" s="10">
        <v>9748</v>
      </c>
      <c r="L1890" s="16">
        <f>HYPERLINK("http://www.jassby.com", "www.jassby.com")</f>
      </c>
      <c r="M1890" s="16">
        <f>HYPERLINK("https://my.pitchbook.com?c=223873-84", "View Company Online")</f>
      </c>
    </row>
    <row r="1891">
      <c r="A1891" t="s" s="11">
        <v>9750</v>
      </c>
      <c r="B1891" t="s" s="11">
        <v>9751</v>
      </c>
      <c r="C1891" t="s" s="11">
        <v>114</v>
      </c>
      <c r="D1891" t="s" s="11">
        <v>136</v>
      </c>
      <c r="E1891" t="s" s="11">
        <v>193</v>
      </c>
      <c r="F1891" s="28">
        <v>46148</v>
      </c>
      <c r="G1891" t="s" s="11">
        <v>138</v>
      </c>
      <c r="H1891" t="s" s="43">
        <v>30</v>
      </c>
      <c r="I1891" s="43">
        <v>28.76</v>
      </c>
      <c r="J1891" t="s" s="11">
        <v>9752</v>
      </c>
      <c r="K1891" t="s" s="11">
        <v>9753</v>
      </c>
      <c r="L1891" s="17">
        <f>HYPERLINK("http://www.indialends.com", "www.indialends.com")</f>
      </c>
      <c r="M1891" s="17">
        <f>HYPERLINK("https://my.pitchbook.com?c=119268-01", "View Company Online")</f>
      </c>
    </row>
    <row r="1892">
      <c r="A1892" t="s" s="10">
        <v>9755</v>
      </c>
      <c r="B1892" t="s" s="10">
        <v>9756</v>
      </c>
      <c r="C1892" t="s" s="10">
        <v>144</v>
      </c>
      <c r="D1892" t="s" s="10">
        <v>38</v>
      </c>
      <c r="E1892" t="s" s="10">
        <v>137</v>
      </c>
      <c r="F1892" s="27">
        <v>45947</v>
      </c>
      <c r="G1892" t="s" s="10">
        <v>40</v>
      </c>
      <c r="H1892" s="42">
        <v>1.4</v>
      </c>
      <c r="I1892" s="42">
        <v>28.75</v>
      </c>
      <c r="J1892" t="s" s="10">
        <v>9757</v>
      </c>
      <c r="K1892" t="s" s="10">
        <v>9758</v>
      </c>
      <c r="L1892" s="16">
        <f>HYPERLINK("http://julaya.co", "julaya.co")</f>
      </c>
      <c r="M1892" s="16">
        <f>HYPERLINK("https://my.pitchbook.com?c=399268-18", "View Company Online")</f>
      </c>
    </row>
    <row r="1893">
      <c r="A1893" t="s" s="11">
        <v>9760</v>
      </c>
      <c r="B1893" t="s" s="11">
        <v>9761</v>
      </c>
      <c r="C1893" t="s" s="11">
        <v>46</v>
      </c>
      <c r="D1893" t="s" s="11">
        <v>915</v>
      </c>
      <c r="E1893" t="s" s="11">
        <v>759</v>
      </c>
      <c r="F1893" t="s" s="28">
        <v>30</v>
      </c>
      <c r="G1893" t="s" s="11">
        <v>40</v>
      </c>
      <c r="H1893" t="s" s="43">
        <v>30</v>
      </c>
      <c r="I1893" s="43">
        <v>28.73</v>
      </c>
      <c r="J1893" t="s" s="11">
        <v>9762</v>
      </c>
      <c r="K1893" t="s" s="11">
        <v>9763</v>
      </c>
      <c r="L1893" s="17">
        <f>HYPERLINK("http://www.emasphere.com", "www.emasphere.com")</f>
      </c>
      <c r="M1893" s="17">
        <f>HYPERLINK("https://my.pitchbook.com?c=163234-18", "View Company Online")</f>
      </c>
    </row>
    <row r="1894">
      <c r="A1894" t="s" s="10">
        <v>9765</v>
      </c>
      <c r="B1894" t="s" s="10">
        <v>9766</v>
      </c>
      <c r="C1894" t="s" s="10">
        <v>164</v>
      </c>
      <c r="D1894" t="s" s="10">
        <v>206</v>
      </c>
      <c r="E1894" t="s" s="10">
        <v>253</v>
      </c>
      <c r="F1894" s="27">
        <v>45929</v>
      </c>
      <c r="G1894" t="s" s="10">
        <v>40</v>
      </c>
      <c r="H1894" s="42">
        <v>3.42</v>
      </c>
      <c r="I1894" s="42">
        <v>28.69</v>
      </c>
      <c r="J1894" t="s" s="10">
        <v>9767</v>
      </c>
      <c r="K1894" t="s" s="10">
        <v>9768</v>
      </c>
      <c r="L1894" s="16">
        <f>HYPERLINK("http://www.integrated.finance", "www.integrated.finance")</f>
      </c>
      <c r="M1894" s="16">
        <f>HYPERLINK("https://my.pitchbook.com?c=458672-95", "View Company Online")</f>
      </c>
    </row>
    <row r="1895">
      <c r="A1895" t="s" s="11">
        <v>9770</v>
      </c>
      <c r="B1895" t="s" s="11">
        <v>9771</v>
      </c>
      <c r="C1895" t="s" s="11">
        <v>222</v>
      </c>
      <c r="D1895" t="s" s="11">
        <v>235</v>
      </c>
      <c r="E1895" t="s" s="11">
        <v>3604</v>
      </c>
      <c r="F1895" s="28">
        <v>45547</v>
      </c>
      <c r="G1895" t="s" s="11">
        <v>31</v>
      </c>
      <c r="H1895" s="43">
        <v>50</v>
      </c>
      <c r="I1895" s="43">
        <v>28.65</v>
      </c>
      <c r="J1895" t="s" s="11">
        <v>9772</v>
      </c>
      <c r="K1895" t="s" s="11">
        <v>9773</v>
      </c>
      <c r="L1895" s="17">
        <f>HYPERLINK("http://xencapital.com", "xencapital.com")</f>
      </c>
      <c r="M1895" s="17">
        <f>HYPERLINK("https://my.pitchbook.com?c=433515-70", "View Company Online")</f>
      </c>
    </row>
    <row r="1896">
      <c r="A1896" t="s" s="10">
        <v>9775</v>
      </c>
      <c r="B1896" t="s" s="10">
        <v>9776</v>
      </c>
      <c r="C1896" t="s" s="10">
        <v>27</v>
      </c>
      <c r="D1896" t="s" s="10">
        <v>70</v>
      </c>
      <c r="E1896" t="s" s="10">
        <v>259</v>
      </c>
      <c r="F1896" s="27">
        <v>45717</v>
      </c>
      <c r="G1896" t="s" s="10">
        <v>607</v>
      </c>
      <c r="H1896" t="s" s="42">
        <v>30</v>
      </c>
      <c r="I1896" s="42">
        <v>28.6</v>
      </c>
      <c r="J1896" t="s" s="10">
        <v>9777</v>
      </c>
      <c r="K1896" t="s" s="10">
        <v>9778</v>
      </c>
      <c r="L1896" s="16">
        <f>HYPERLINK("http://www.peloton-technologies.com", "www.peloton-technologies.com")</f>
      </c>
      <c r="M1896" s="16">
        <f>HYPERLINK("https://my.pitchbook.com?c=265595-41", "View Company Online")</f>
      </c>
    </row>
    <row r="1897">
      <c r="A1897" t="s" s="11">
        <v>9780</v>
      </c>
      <c r="B1897" t="s" s="11">
        <v>9781</v>
      </c>
      <c r="C1897" t="s" s="11">
        <v>172</v>
      </c>
      <c r="D1897" t="s" s="11">
        <v>173</v>
      </c>
      <c r="E1897" t="s" s="11">
        <v>373</v>
      </c>
      <c r="F1897" s="28">
        <v>45576</v>
      </c>
      <c r="G1897" t="s" s="11">
        <v>607</v>
      </c>
      <c r="H1897" t="s" s="43">
        <v>30</v>
      </c>
      <c r="I1897" s="43">
        <v>28.58</v>
      </c>
      <c r="J1897" t="s" s="11">
        <v>9782</v>
      </c>
      <c r="K1897" t="s" s="11">
        <v>9783</v>
      </c>
      <c r="L1897" s="17">
        <f>HYPERLINK("http://www.revioinsight.com", "www.revioinsight.com")</f>
      </c>
      <c r="M1897" s="17">
        <f>HYPERLINK("https://my.pitchbook.com?c=279714-16", "View Company Online")</f>
      </c>
    </row>
    <row r="1898">
      <c r="A1898" t="s" s="10">
        <v>9785</v>
      </c>
      <c r="B1898" t="s" s="10">
        <v>9786</v>
      </c>
      <c r="C1898" t="s" s="10">
        <v>60</v>
      </c>
      <c r="D1898" t="s" s="10">
        <v>246</v>
      </c>
      <c r="E1898" t="s" s="10">
        <v>270</v>
      </c>
      <c r="F1898" s="27">
        <v>45974</v>
      </c>
      <c r="G1898" t="s" s="10">
        <v>4267</v>
      </c>
      <c r="H1898" s="42">
        <v>5.58</v>
      </c>
      <c r="I1898" s="42">
        <v>28.5</v>
      </c>
      <c r="J1898" t="s" s="10">
        <v>9787</v>
      </c>
      <c r="K1898" t="s" s="10">
        <v>9788</v>
      </c>
      <c r="L1898" s="16">
        <f>HYPERLINK("http://www.sumawealth.com", "www.sumawealth.com")</f>
      </c>
      <c r="M1898" s="16">
        <f>HYPERLINK("https://my.pitchbook.com?c=443135-80", "View Company Online")</f>
      </c>
    </row>
    <row r="1899">
      <c r="A1899" t="s" s="11">
        <v>9790</v>
      </c>
      <c r="B1899" t="s" s="11">
        <v>9791</v>
      </c>
      <c r="C1899" t="s" s="11">
        <v>27</v>
      </c>
      <c r="D1899" t="s" s="11">
        <v>28</v>
      </c>
      <c r="E1899" t="s" s="11">
        <v>1859</v>
      </c>
      <c r="F1899" s="28">
        <v>45499</v>
      </c>
      <c r="G1899" t="s" s="11">
        <v>607</v>
      </c>
      <c r="H1899" t="s" s="43">
        <v>30</v>
      </c>
      <c r="I1899" s="43">
        <v>28.3</v>
      </c>
      <c r="J1899" t="s" s="11">
        <v>9792</v>
      </c>
      <c r="K1899" t="s" s="11">
        <v>9793</v>
      </c>
      <c r="L1899" s="17">
        <f>HYPERLINK("http://www.divilo.io", "www.divilo.io")</f>
      </c>
      <c r="M1899" s="17">
        <f>HYPERLINK("https://my.pitchbook.com?c=438307-39", "View Company Online")</f>
      </c>
    </row>
    <row r="1900">
      <c r="A1900" t="s" s="10">
        <v>9795</v>
      </c>
      <c r="B1900" t="s" s="10">
        <v>9796</v>
      </c>
      <c r="C1900" t="s" s="10">
        <v>60</v>
      </c>
      <c r="D1900" t="s" s="10">
        <v>246</v>
      </c>
      <c r="E1900" t="s" s="10">
        <v>414</v>
      </c>
      <c r="F1900" t="s" s="27">
        <v>30</v>
      </c>
      <c r="G1900" t="s" s="10">
        <v>40</v>
      </c>
      <c r="H1900" t="s" s="42">
        <v>30</v>
      </c>
      <c r="I1900" s="42">
        <v>28.28</v>
      </c>
      <c r="J1900" t="s" s="10">
        <v>9797</v>
      </c>
      <c r="K1900" t="s" s="10">
        <v>9798</v>
      </c>
      <c r="L1900" s="16">
        <f>HYPERLINK("http://www.aqumon.com", "www.aqumon.com")</f>
      </c>
      <c r="M1900" s="16">
        <f>HYPERLINK("https://my.pitchbook.com?c=182773-54", "View Company Online")</f>
      </c>
    </row>
    <row r="1901">
      <c r="A1901" t="s" s="11">
        <v>9800</v>
      </c>
      <c r="B1901" t="s" s="11">
        <v>9801</v>
      </c>
      <c r="C1901" t="s" s="11">
        <v>60</v>
      </c>
      <c r="D1901" t="s" s="11">
        <v>192</v>
      </c>
      <c r="E1901" t="s" s="11">
        <v>253</v>
      </c>
      <c r="F1901" s="28">
        <v>45169</v>
      </c>
      <c r="G1901" t="s" s="11">
        <v>40</v>
      </c>
      <c r="H1901" s="43">
        <v>13.83</v>
      </c>
      <c r="I1901" s="43">
        <v>28.26</v>
      </c>
      <c r="J1901" t="s" s="11">
        <v>9802</v>
      </c>
      <c r="K1901" t="s" s="11">
        <v>9803</v>
      </c>
      <c r="L1901" s="17">
        <f>HYPERLINK("http://www.comein.cn", "www.comein.cn")</f>
      </c>
      <c r="M1901" s="17">
        <f>HYPERLINK("https://my.pitchbook.com?c=149925-34", "View Company Online")</f>
      </c>
    </row>
    <row r="1902">
      <c r="A1902" t="s" s="10">
        <v>9805</v>
      </c>
      <c r="B1902" t="s" s="10">
        <v>9806</v>
      </c>
      <c r="C1902" t="s" s="10">
        <v>60</v>
      </c>
      <c r="D1902" t="s" s="10">
        <v>246</v>
      </c>
      <c r="E1902" t="s" s="10">
        <v>373</v>
      </c>
      <c r="F1902" s="27">
        <v>46113</v>
      </c>
      <c r="G1902" t="s" s="10">
        <v>271</v>
      </c>
      <c r="H1902" s="42">
        <v>0.32</v>
      </c>
      <c r="I1902" s="42">
        <v>28.16</v>
      </c>
      <c r="J1902" t="s" s="10">
        <v>9807</v>
      </c>
      <c r="K1902" t="s" s="10">
        <v>9808</v>
      </c>
      <c r="L1902" s="16">
        <f>HYPERLINK("http://www.predictiva.co.uk", "www.predictiva.co.uk")</f>
      </c>
      <c r="M1902" s="16">
        <f>HYPERLINK("https://my.pitchbook.com?c=442341-19", "View Company Online")</f>
      </c>
    </row>
    <row r="1903">
      <c r="A1903" t="s" s="11">
        <v>9810</v>
      </c>
      <c r="B1903" t="s" s="11">
        <v>9811</v>
      </c>
      <c r="C1903" t="s" s="11">
        <v>164</v>
      </c>
      <c r="D1903" t="s" s="11">
        <v>165</v>
      </c>
      <c r="E1903" t="s" s="11">
        <v>6920</v>
      </c>
      <c r="F1903" s="28">
        <v>45901</v>
      </c>
      <c r="G1903" t="s" s="11">
        <v>48</v>
      </c>
      <c r="H1903" t="s" s="43">
        <v>30</v>
      </c>
      <c r="I1903" s="43">
        <v>28.15</v>
      </c>
      <c r="J1903" t="s" s="11">
        <v>9812</v>
      </c>
      <c r="K1903" t="s" s="11">
        <v>9813</v>
      </c>
      <c r="L1903" s="17">
        <f>HYPERLINK("http://www.easyrewardz.com", "www.easyrewardz.com")</f>
      </c>
      <c r="M1903" s="17">
        <f>HYPERLINK("https://my.pitchbook.com?c=108724-69", "View Company Online")</f>
      </c>
    </row>
    <row r="1904">
      <c r="A1904" t="s" s="10">
        <v>9815</v>
      </c>
      <c r="B1904" t="s" s="10">
        <v>9816</v>
      </c>
      <c r="C1904" t="s" s="10">
        <v>164</v>
      </c>
      <c r="D1904" t="s" s="10">
        <v>165</v>
      </c>
      <c r="E1904" t="s" s="10">
        <v>9817</v>
      </c>
      <c r="F1904" t="s" s="27">
        <v>30</v>
      </c>
      <c r="G1904" t="s" s="10">
        <v>146</v>
      </c>
      <c r="H1904" s="42">
        <v>336.17</v>
      </c>
      <c r="I1904" s="42">
        <v>28.09</v>
      </c>
      <c r="J1904" t="s" s="10">
        <v>9818</v>
      </c>
      <c r="K1904" t="s" s="10">
        <v>9819</v>
      </c>
      <c r="L1904" s="16">
        <f>HYPERLINK("http://www.digidoe.com", "www.digidoe.com")</f>
      </c>
      <c r="M1904" s="16">
        <f>HYPERLINK("https://my.pitchbook.com?c=484682-86", "View Company Online")</f>
      </c>
    </row>
    <row r="1905">
      <c r="A1905" t="s" s="11">
        <v>9821</v>
      </c>
      <c r="B1905" t="s" s="11">
        <v>9822</v>
      </c>
      <c r="C1905" t="s" s="11">
        <v>46</v>
      </c>
      <c r="D1905" t="s" s="11">
        <v>47</v>
      </c>
      <c r="E1905" t="s" s="11">
        <v>29</v>
      </c>
      <c r="F1905" s="28">
        <v>45413</v>
      </c>
      <c r="G1905" t="s" s="11">
        <v>607</v>
      </c>
      <c r="H1905" t="s" s="43">
        <v>30</v>
      </c>
      <c r="I1905" s="43">
        <v>28.05</v>
      </c>
      <c r="J1905" t="s" s="11">
        <v>9823</v>
      </c>
      <c r="K1905" t="s" s="11">
        <v>9824</v>
      </c>
      <c r="L1905" s="17">
        <f>HYPERLINK("http://www.expend.com", "www.expend.com")</f>
      </c>
      <c r="M1905" s="17">
        <f>HYPERLINK("https://my.pitchbook.com?c=126677-35", "View Company Online")</f>
      </c>
    </row>
    <row r="1906">
      <c r="A1906" t="s" s="10">
        <v>9826</v>
      </c>
      <c r="B1906" t="s" s="10">
        <v>9827</v>
      </c>
      <c r="C1906" t="s" s="10">
        <v>60</v>
      </c>
      <c r="D1906" t="s" s="10">
        <v>192</v>
      </c>
      <c r="E1906" t="s" s="10">
        <v>137</v>
      </c>
      <c r="F1906" s="27">
        <v>46058</v>
      </c>
      <c r="G1906" t="s" s="10">
        <v>146</v>
      </c>
      <c r="H1906" s="42">
        <v>10.84</v>
      </c>
      <c r="I1906" s="42">
        <v>28.05</v>
      </c>
      <c r="J1906" t="s" s="10">
        <v>9828</v>
      </c>
      <c r="K1906" t="s" s="10">
        <v>9829</v>
      </c>
      <c r="L1906" s="16">
        <f>HYPERLINK("http://www.sidekickmoney.com", "www.sidekickmoney.com")</f>
      </c>
      <c r="M1906" s="16">
        <f>HYPERLINK("https://my.pitchbook.com?c=501166-45", "View Company Online")</f>
      </c>
    </row>
    <row r="1907">
      <c r="A1907" t="s" s="11">
        <v>9831</v>
      </c>
      <c r="B1907" t="s" s="11">
        <v>9832</v>
      </c>
      <c r="C1907" t="s" s="11">
        <v>60</v>
      </c>
      <c r="D1907" t="s" s="11">
        <v>192</v>
      </c>
      <c r="E1907" t="s" s="11">
        <v>137</v>
      </c>
      <c r="F1907" s="28">
        <v>45184</v>
      </c>
      <c r="G1907" t="s" s="11">
        <v>146</v>
      </c>
      <c r="H1907" s="43">
        <v>8.02</v>
      </c>
      <c r="I1907" s="43">
        <v>28.02</v>
      </c>
      <c r="J1907" t="s" s="11">
        <v>9833</v>
      </c>
      <c r="K1907" t="s" s="11">
        <v>9834</v>
      </c>
      <c r="L1907" s="17">
        <f>HYPERLINK("http://www.unlimitedfunds.com", "www.unlimitedfunds.com")</f>
      </c>
      <c r="M1907" s="17">
        <f>HYPERLINK("https://my.pitchbook.com?c=512108-47", "View Company Online")</f>
      </c>
    </row>
    <row r="1908">
      <c r="A1908" t="s" s="10">
        <v>9836</v>
      </c>
      <c r="B1908" t="s" s="10">
        <v>9837</v>
      </c>
      <c r="C1908" t="s" s="10">
        <v>164</v>
      </c>
      <c r="D1908" t="s" s="10">
        <v>165</v>
      </c>
      <c r="E1908" t="s" s="10">
        <v>859</v>
      </c>
      <c r="F1908" s="27">
        <v>46101</v>
      </c>
      <c r="G1908" t="s" s="10">
        <v>40</v>
      </c>
      <c r="H1908" s="42">
        <v>2</v>
      </c>
      <c r="I1908" s="42">
        <v>28</v>
      </c>
      <c r="J1908" t="s" s="10">
        <v>9838</v>
      </c>
      <c r="K1908" t="s" s="10">
        <v>9839</v>
      </c>
      <c r="L1908" s="16">
        <f>HYPERLINK("http://www.blocktimefinancial.com", "www.blocktimefinancial.com")</f>
      </c>
      <c r="M1908" s="16">
        <f>HYPERLINK("https://my.pitchbook.com?c=481414-15", "View Company Online")</f>
      </c>
    </row>
    <row r="1909">
      <c r="A1909" t="s" s="11">
        <v>9841</v>
      </c>
      <c r="B1909" t="s" s="11">
        <v>9842</v>
      </c>
      <c r="C1909" t="s" s="11">
        <v>46</v>
      </c>
      <c r="D1909" t="s" s="11">
        <v>47</v>
      </c>
      <c r="E1909" t="s" s="11">
        <v>1032</v>
      </c>
      <c r="F1909" s="28">
        <v>45322</v>
      </c>
      <c r="G1909" t="s" s="11">
        <v>4267</v>
      </c>
      <c r="H1909" t="s" s="43">
        <v>30</v>
      </c>
      <c r="I1909" s="43">
        <v>28</v>
      </c>
      <c r="J1909" t="s" s="11">
        <v>9843</v>
      </c>
      <c r="K1909" t="s" s="11">
        <v>9844</v>
      </c>
      <c r="L1909" s="17">
        <f>HYPERLINK("http://www.ender.com", "www.ender.com")</f>
      </c>
      <c r="M1909" s="17">
        <f>HYPERLINK("https://my.pitchbook.com?c=340777-18", "View Company Online")</f>
      </c>
    </row>
    <row r="1910">
      <c r="A1910" t="s" s="10">
        <v>9846</v>
      </c>
      <c r="B1910" t="s" s="10">
        <v>9847</v>
      </c>
      <c r="C1910" t="s" s="10">
        <v>128</v>
      </c>
      <c r="D1910" t="s" s="10">
        <v>129</v>
      </c>
      <c r="E1910" t="s" s="10">
        <v>623</v>
      </c>
      <c r="F1910" s="27">
        <v>44895</v>
      </c>
      <c r="G1910" t="s" s="10">
        <v>40</v>
      </c>
      <c r="H1910" s="42">
        <v>3</v>
      </c>
      <c r="I1910" s="42">
        <v>28</v>
      </c>
      <c r="J1910" t="s" s="10">
        <v>9848</v>
      </c>
      <c r="K1910" t="s" s="10">
        <v>9849</v>
      </c>
      <c r="L1910" s="16">
        <f>HYPERLINK("http://www.myfancard.com", "www.myfancard.com")</f>
      </c>
      <c r="M1910" s="16">
        <f>HYPERLINK("https://my.pitchbook.com?c=162199-00", "View Company Online")</f>
      </c>
    </row>
    <row r="1911">
      <c r="A1911" t="s" s="11">
        <v>9851</v>
      </c>
      <c r="B1911" t="s" s="11">
        <v>9852</v>
      </c>
      <c r="C1911" t="s" s="11">
        <v>114</v>
      </c>
      <c r="D1911" t="s" s="11">
        <v>1386</v>
      </c>
      <c r="E1911" t="s" s="11">
        <v>9853</v>
      </c>
      <c r="F1911" s="28">
        <v>45756</v>
      </c>
      <c r="G1911" t="s" s="11">
        <v>4267</v>
      </c>
      <c r="H1911" s="43">
        <v>6</v>
      </c>
      <c r="I1911" s="43">
        <v>28</v>
      </c>
      <c r="J1911" t="s" s="11">
        <v>9854</v>
      </c>
      <c r="K1911" t="s" s="11">
        <v>9855</v>
      </c>
      <c r="L1911" s="17">
        <f>HYPERLINK("http://www.fridayharbor.ai", "www.fridayharbor.ai")</f>
      </c>
      <c r="M1911" s="17">
        <f>HYPERLINK("https://my.pitchbook.com?c=606360-97", "View Company Online")</f>
      </c>
    </row>
    <row r="1912">
      <c r="A1912" t="s" s="10">
        <v>9857</v>
      </c>
      <c r="B1912" t="s" s="10">
        <v>9858</v>
      </c>
      <c r="C1912" t="s" s="10">
        <v>60</v>
      </c>
      <c r="D1912" t="s" s="10">
        <v>420</v>
      </c>
      <c r="E1912" t="s" s="10">
        <v>137</v>
      </c>
      <c r="F1912" s="27">
        <v>45261</v>
      </c>
      <c r="G1912" t="s" s="10">
        <v>607</v>
      </c>
      <c r="H1912" t="s" s="42">
        <v>30</v>
      </c>
      <c r="I1912" s="42">
        <v>28</v>
      </c>
      <c r="J1912" t="s" s="10">
        <v>9859</v>
      </c>
      <c r="K1912" t="s" s="10">
        <v>9860</v>
      </c>
      <c r="L1912" s="16">
        <f>HYPERLINK("http://www.futurecapital.com", "www.futurecapital.com")</f>
      </c>
      <c r="M1912" s="16">
        <f>HYPERLINK("https://my.pitchbook.com?c=56424-34", "View Company Online")</f>
      </c>
    </row>
    <row r="1913">
      <c r="A1913" t="s" s="11">
        <v>9862</v>
      </c>
      <c r="B1913" t="s" s="11">
        <v>9863</v>
      </c>
      <c r="C1913" t="s" s="11">
        <v>222</v>
      </c>
      <c r="D1913" t="s" s="11">
        <v>235</v>
      </c>
      <c r="E1913" t="s" s="11">
        <v>137</v>
      </c>
      <c r="F1913" s="28">
        <v>46028</v>
      </c>
      <c r="G1913" t="s" s="11">
        <v>4267</v>
      </c>
      <c r="H1913" s="43">
        <v>8.6</v>
      </c>
      <c r="I1913" s="43">
        <v>28</v>
      </c>
      <c r="J1913" t="s" s="11">
        <v>9864</v>
      </c>
      <c r="K1913" t="s" s="11">
        <v>9865</v>
      </c>
      <c r="L1913" s="17">
        <f>HYPERLINK("http://www.plutocredit.com", "www.plutocredit.com")</f>
      </c>
      <c r="M1913" s="17">
        <f>HYPERLINK("https://my.pitchbook.com?c=807588-55", "View Company Online")</f>
      </c>
    </row>
    <row r="1914">
      <c r="A1914" t="s" s="10">
        <v>9867</v>
      </c>
      <c r="B1914" t="s" s="10">
        <v>9868</v>
      </c>
      <c r="C1914" t="s" s="10">
        <v>114</v>
      </c>
      <c r="D1914" t="s" s="10">
        <v>870</v>
      </c>
      <c r="E1914" t="s" s="10">
        <v>137</v>
      </c>
      <c r="F1914" t="s" s="27">
        <v>30</v>
      </c>
      <c r="G1914" t="s" s="10">
        <v>40</v>
      </c>
      <c r="H1914" s="42">
        <v>36</v>
      </c>
      <c r="I1914" s="42">
        <v>27.91</v>
      </c>
      <c r="J1914" t="s" s="10">
        <v>9869</v>
      </c>
      <c r="K1914" t="s" s="10">
        <v>9870</v>
      </c>
      <c r="L1914" s="16">
        <f>HYPERLINK("http://orangeretailfinance.com", "orangeretailfinance.com")</f>
      </c>
      <c r="M1914" s="16">
        <f>HYPERLINK("https://my.pitchbook.com?c=142538-95", "View Company Online")</f>
      </c>
    </row>
    <row r="1915">
      <c r="A1915" t="s" s="11">
        <v>9872</v>
      </c>
      <c r="B1915" t="s" s="11">
        <v>9873</v>
      </c>
      <c r="C1915" t="s" s="11">
        <v>60</v>
      </c>
      <c r="D1915" t="s" s="11">
        <v>192</v>
      </c>
      <c r="E1915" t="s" s="11">
        <v>137</v>
      </c>
      <c r="F1915" s="28">
        <v>44539</v>
      </c>
      <c r="G1915" t="s" s="11">
        <v>146</v>
      </c>
      <c r="H1915" s="43">
        <v>6.46</v>
      </c>
      <c r="I1915" s="43">
        <v>27.89</v>
      </c>
      <c r="J1915" t="s" s="11">
        <v>9874</v>
      </c>
      <c r="K1915" t="s" s="11">
        <v>9875</v>
      </c>
      <c r="L1915" s="17">
        <f>HYPERLINK("http://www.trinkerr.com", "www.trinkerr.com")</f>
      </c>
      <c r="M1915" s="17">
        <f>HYPERLINK("https://my.pitchbook.com?c=467725-96", "View Company Online")</f>
      </c>
    </row>
    <row r="1916">
      <c r="A1916" t="s" s="10">
        <v>9877</v>
      </c>
      <c r="B1916" t="s" s="10">
        <v>9878</v>
      </c>
      <c r="C1916" t="s" s="10">
        <v>114</v>
      </c>
      <c r="D1916" t="s" s="10">
        <v>115</v>
      </c>
      <c r="E1916" t="s" s="10">
        <v>2293</v>
      </c>
      <c r="F1916" s="27">
        <v>46023</v>
      </c>
      <c r="G1916" t="s" s="10">
        <v>146</v>
      </c>
      <c r="H1916" t="s" s="42">
        <v>30</v>
      </c>
      <c r="I1916" s="42">
        <v>27.83</v>
      </c>
      <c r="J1916" t="s" s="10">
        <v>9879</v>
      </c>
      <c r="K1916" t="s" s="10">
        <v>9880</v>
      </c>
      <c r="L1916" s="16">
        <f>HYPERLINK("http://www.lnd.capital", "www.lnd.capital")</f>
      </c>
      <c r="M1916" s="16">
        <f>HYPERLINK("https://my.pitchbook.com?c=732133-81", "View Company Online")</f>
      </c>
    </row>
    <row r="1917">
      <c r="A1917" t="s" s="11">
        <v>9882</v>
      </c>
      <c r="B1917" t="s" s="11">
        <v>9883</v>
      </c>
      <c r="C1917" t="s" s="11">
        <v>164</v>
      </c>
      <c r="D1917" t="s" s="11">
        <v>165</v>
      </c>
      <c r="E1917" t="s" s="11">
        <v>3433</v>
      </c>
      <c r="F1917" s="28">
        <v>45694</v>
      </c>
      <c r="G1917" t="s" s="11">
        <v>4267</v>
      </c>
      <c r="H1917" s="43">
        <v>4.5</v>
      </c>
      <c r="I1917" s="43">
        <v>27.8</v>
      </c>
      <c r="J1917" t="s" s="11">
        <v>9884</v>
      </c>
      <c r="K1917" t="s" s="11">
        <v>9885</v>
      </c>
      <c r="L1917" s="17">
        <f>HYPERLINK("http://www.ardley.com", "www.ardley.com")</f>
      </c>
      <c r="M1917" s="17">
        <f>HYPERLINK("https://my.pitchbook.com?c=492785-47", "View Company Online")</f>
      </c>
    </row>
    <row r="1918">
      <c r="A1918" t="s" s="10">
        <v>9887</v>
      </c>
      <c r="B1918" t="s" s="10">
        <v>9888</v>
      </c>
      <c r="C1918" t="s" s="10">
        <v>222</v>
      </c>
      <c r="D1918" t="s" s="10">
        <v>223</v>
      </c>
      <c r="E1918" t="s" s="10">
        <v>9889</v>
      </c>
      <c r="F1918" s="27">
        <v>46062</v>
      </c>
      <c r="G1918" t="s" s="10">
        <v>138</v>
      </c>
      <c r="H1918" t="s" s="42">
        <v>30</v>
      </c>
      <c r="I1918" s="42">
        <v>27.8</v>
      </c>
      <c r="J1918" t="s" s="10">
        <v>9890</v>
      </c>
      <c r="K1918" t="s" s="10">
        <v>9891</v>
      </c>
      <c r="L1918" s="16">
        <f>HYPERLINK("http://www.noetica.ai", "www.noetica.ai")</f>
      </c>
      <c r="M1918" s="16">
        <f>HYPERLINK("https://my.pitchbook.com?c=530270-47", "View Company Online")</f>
      </c>
    </row>
    <row r="1919">
      <c r="A1919" t="s" s="11">
        <v>9893</v>
      </c>
      <c r="B1919" t="s" s="11">
        <v>9894</v>
      </c>
      <c r="C1919" t="s" s="11">
        <v>60</v>
      </c>
      <c r="D1919" t="s" s="11">
        <v>246</v>
      </c>
      <c r="E1919" t="s" s="11">
        <v>270</v>
      </c>
      <c r="F1919" s="28">
        <v>45859</v>
      </c>
      <c r="G1919" t="s" s="11">
        <v>40</v>
      </c>
      <c r="H1919" s="43">
        <v>5.89</v>
      </c>
      <c r="I1919" s="43">
        <v>27.79</v>
      </c>
      <c r="J1919" t="s" s="11">
        <v>9895</v>
      </c>
      <c r="K1919" t="s" s="11">
        <v>9896</v>
      </c>
      <c r="L1919" s="17">
        <f>HYPERLINK("http://www.edufund.in", "www.edufund.in")</f>
      </c>
      <c r="M1919" s="17">
        <f>HYPERLINK("https://my.pitchbook.com?c=460020-88", "View Company Online")</f>
      </c>
    </row>
    <row r="1920">
      <c r="A1920" t="s" s="10">
        <v>9898</v>
      </c>
      <c r="B1920" t="s" s="10">
        <v>9899</v>
      </c>
      <c r="C1920" t="s" s="10">
        <v>60</v>
      </c>
      <c r="D1920" t="s" s="10">
        <v>246</v>
      </c>
      <c r="E1920" t="s" s="10">
        <v>1349</v>
      </c>
      <c r="F1920" s="27">
        <v>44285</v>
      </c>
      <c r="G1920" t="s" s="10">
        <v>4267</v>
      </c>
      <c r="H1920" s="42">
        <v>4.66</v>
      </c>
      <c r="I1920" s="42">
        <v>27.66</v>
      </c>
      <c r="J1920" t="s" s="10">
        <v>9900</v>
      </c>
      <c r="K1920" t="s" s="10">
        <v>9901</v>
      </c>
      <c r="L1920" s="16">
        <f>HYPERLINK("http://www.kovocredit.com", "www.kovocredit.com")</f>
      </c>
      <c r="M1920" s="16">
        <f>HYPERLINK("https://my.pitchbook.com?c=458442-73", "View Company Online")</f>
      </c>
    </row>
    <row r="1921">
      <c r="A1921" t="s" s="11">
        <v>9903</v>
      </c>
      <c r="B1921" t="s" s="11">
        <v>9904</v>
      </c>
      <c r="C1921" t="s" s="11">
        <v>60</v>
      </c>
      <c r="D1921" t="s" s="11">
        <v>727</v>
      </c>
      <c r="E1921" t="s" s="11">
        <v>137</v>
      </c>
      <c r="F1921" s="28">
        <v>44840</v>
      </c>
      <c r="G1921" t="s" s="11">
        <v>146</v>
      </c>
      <c r="H1921" s="43">
        <v>2.66</v>
      </c>
      <c r="I1921" s="43">
        <v>27.66</v>
      </c>
      <c r="J1921" t="s" s="11">
        <v>9905</v>
      </c>
      <c r="K1921" t="s" s="11">
        <v>9906</v>
      </c>
      <c r="L1921" s="17">
        <f>HYPERLINK("http://www.trellisplatform.com", "www.trellisplatform.com")</f>
      </c>
      <c r="M1921" s="17">
        <f>HYPERLINK("https://my.pitchbook.com?c=499845-07", "View Company Online")</f>
      </c>
    </row>
    <row r="1922">
      <c r="A1922" t="s" s="10">
        <v>9908</v>
      </c>
      <c r="B1922" t="s" s="10">
        <v>9909</v>
      </c>
      <c r="C1922" t="s" s="10">
        <v>46</v>
      </c>
      <c r="D1922" t="s" s="10">
        <v>397</v>
      </c>
      <c r="E1922" t="s" s="10">
        <v>253</v>
      </c>
      <c r="F1922" s="27">
        <v>45617</v>
      </c>
      <c r="G1922" t="s" s="10">
        <v>40</v>
      </c>
      <c r="H1922" s="42">
        <v>3.56</v>
      </c>
      <c r="I1922" s="42">
        <v>27.57</v>
      </c>
      <c r="J1922" t="s" s="10">
        <v>9910</v>
      </c>
      <c r="K1922" t="s" s="10">
        <v>9911</v>
      </c>
      <c r="L1922" s="16">
        <f>HYPERLINK("http://credflow.in", "credflow.in")</f>
      </c>
      <c r="M1922" s="16">
        <f>HYPERLINK("https://my.pitchbook.com?c=464352-76", "View Company Online")</f>
      </c>
    </row>
    <row r="1923">
      <c r="A1923" t="s" s="11">
        <v>9913</v>
      </c>
      <c r="B1923" t="s" s="11">
        <v>9914</v>
      </c>
      <c r="C1923" t="s" s="11">
        <v>114</v>
      </c>
      <c r="D1923" t="s" s="11">
        <v>136</v>
      </c>
      <c r="E1923" t="s" s="11">
        <v>137</v>
      </c>
      <c r="F1923" s="28">
        <v>44925</v>
      </c>
      <c r="G1923" t="s" s="11">
        <v>4267</v>
      </c>
      <c r="H1923" s="43">
        <v>3.68</v>
      </c>
      <c r="I1923" s="43">
        <v>27.42</v>
      </c>
      <c r="J1923" t="s" s="11">
        <v>9915</v>
      </c>
      <c r="K1923" t="s" s="11">
        <v>9916</v>
      </c>
      <c r="L1923" s="17">
        <f>HYPERLINK("http://www.fundaztic.com", "www.fundaztic.com")</f>
      </c>
      <c r="M1923" s="17">
        <f>HYPERLINK("https://my.pitchbook.com?c=234059-14", "View Company Online")</f>
      </c>
    </row>
    <row r="1924">
      <c r="A1924" t="s" s="10">
        <v>9918</v>
      </c>
      <c r="B1924" t="s" s="10">
        <v>9919</v>
      </c>
      <c r="C1924" t="s" s="10">
        <v>128</v>
      </c>
      <c r="D1924" t="s" s="10">
        <v>129</v>
      </c>
      <c r="E1924" t="s" s="10">
        <v>137</v>
      </c>
      <c r="F1924" s="27">
        <v>45819</v>
      </c>
      <c r="G1924" t="s" s="10">
        <v>607</v>
      </c>
      <c r="H1924" t="s" s="42">
        <v>30</v>
      </c>
      <c r="I1924" s="42">
        <v>27.4</v>
      </c>
      <c r="J1924" t="s" s="10">
        <v>9920</v>
      </c>
      <c r="K1924" t="s" s="10">
        <v>9921</v>
      </c>
      <c r="L1924" s="16">
        <f>HYPERLINK("http://www.okyapp.com", "www.okyapp.com")</f>
      </c>
      <c r="M1924" s="16">
        <f>HYPERLINK("https://my.pitchbook.com?c=469009-00", "View Company Online")</f>
      </c>
    </row>
    <row r="1925">
      <c r="A1925" t="s" s="11">
        <v>9923</v>
      </c>
      <c r="B1925" t="s" s="11">
        <v>9924</v>
      </c>
      <c r="C1925" t="s" s="11">
        <v>60</v>
      </c>
      <c r="D1925" t="s" s="11">
        <v>192</v>
      </c>
      <c r="E1925" t="s" s="11">
        <v>137</v>
      </c>
      <c r="F1925" s="28">
        <v>45944</v>
      </c>
      <c r="G1925" t="s" s="11">
        <v>4267</v>
      </c>
      <c r="H1925" s="43">
        <v>14</v>
      </c>
      <c r="I1925" s="43">
        <v>27.34</v>
      </c>
      <c r="J1925" t="s" s="11">
        <v>9925</v>
      </c>
      <c r="K1925" t="s" s="11">
        <v>9926</v>
      </c>
      <c r="L1925" s="17">
        <f>HYPERLINK("http://www.clove.com", "www.clove.com")</f>
      </c>
      <c r="M1925" s="17">
        <f>HYPERLINK("https://my.pitchbook.com?c=1152724-96", "View Company Online")</f>
      </c>
    </row>
    <row r="1926">
      <c r="A1926" t="s" s="10">
        <v>9928</v>
      </c>
      <c r="B1926" t="s" s="10">
        <v>9929</v>
      </c>
      <c r="C1926" t="s" s="10">
        <v>222</v>
      </c>
      <c r="D1926" t="s" s="10">
        <v>235</v>
      </c>
      <c r="E1926" t="s" s="10">
        <v>137</v>
      </c>
      <c r="F1926" s="27">
        <v>46163</v>
      </c>
      <c r="G1926" t="s" s="10">
        <v>40</v>
      </c>
      <c r="H1926" s="42">
        <v>35</v>
      </c>
      <c r="I1926" s="42">
        <v>27.28</v>
      </c>
      <c r="J1926" t="s" s="10">
        <v>9930</v>
      </c>
      <c r="K1926" t="s" s="10">
        <v>9931</v>
      </c>
      <c r="L1926" s="16">
        <f>HYPERLINK("http://www.bunch.capital", "www.bunch.capital")</f>
      </c>
      <c r="M1926" s="16">
        <f>HYPERLINK("https://my.pitchbook.com?c=502698-97", "View Company Online")</f>
      </c>
    </row>
    <row r="1927">
      <c r="A1927" t="s" s="11">
        <v>9933</v>
      </c>
      <c r="B1927" t="s" s="11">
        <v>9934</v>
      </c>
      <c r="C1927" t="s" s="11">
        <v>27</v>
      </c>
      <c r="D1927" t="s" s="11">
        <v>70</v>
      </c>
      <c r="E1927" t="s" s="11">
        <v>193</v>
      </c>
      <c r="F1927" t="s" s="28">
        <v>30</v>
      </c>
      <c r="G1927" t="s" s="11">
        <v>48</v>
      </c>
      <c r="H1927" t="s" s="43">
        <v>30</v>
      </c>
      <c r="I1927" s="43">
        <v>27.24</v>
      </c>
      <c r="J1927" t="s" s="11">
        <v>9935</v>
      </c>
      <c r="K1927" t="s" s="11">
        <v>9936</v>
      </c>
      <c r="L1927" s="17">
        <f>HYPERLINK("http://www.ryftpay.com", "www.ryftpay.com")</f>
      </c>
      <c r="M1927" s="17">
        <f>HYPERLINK("https://my.pitchbook.com?c=462295-90", "View Company Online")</f>
      </c>
    </row>
    <row r="1928">
      <c r="A1928" t="s" s="10">
        <v>9938</v>
      </c>
      <c r="B1928" t="s" s="10">
        <v>9939</v>
      </c>
      <c r="C1928" t="s" s="10">
        <v>27</v>
      </c>
      <c r="D1928" t="s" s="10">
        <v>122</v>
      </c>
      <c r="E1928" t="s" s="10">
        <v>253</v>
      </c>
      <c r="F1928" t="s" s="27">
        <v>30</v>
      </c>
      <c r="G1928" t="s" s="10">
        <v>607</v>
      </c>
      <c r="H1928" t="s" s="42">
        <v>30</v>
      </c>
      <c r="I1928" s="42">
        <v>27.19</v>
      </c>
      <c r="J1928" t="s" s="10">
        <v>9940</v>
      </c>
      <c r="K1928" t="s" s="10">
        <v>9941</v>
      </c>
      <c r="L1928" s="16">
        <f>HYPERLINK("http://www.remitguru.com", "www.remitguru.com")</f>
      </c>
      <c r="M1928" s="16">
        <f>HYPERLINK("https://my.pitchbook.com?c=138619-18", "View Company Online")</f>
      </c>
    </row>
    <row r="1929">
      <c r="A1929" t="s" s="11">
        <v>9943</v>
      </c>
      <c r="B1929" t="s" s="11">
        <v>9944</v>
      </c>
      <c r="C1929" t="s" s="11">
        <v>164</v>
      </c>
      <c r="D1929" t="s" s="11">
        <v>165</v>
      </c>
      <c r="E1929" t="s" s="11">
        <v>5189</v>
      </c>
      <c r="F1929" s="28">
        <v>44750</v>
      </c>
      <c r="G1929" t="s" s="11">
        <v>146</v>
      </c>
      <c r="H1929" s="43">
        <v>11.46</v>
      </c>
      <c r="I1929" s="43">
        <v>27.18</v>
      </c>
      <c r="J1929" t="s" s="11">
        <v>9945</v>
      </c>
      <c r="K1929" t="s" s="11">
        <v>9946</v>
      </c>
      <c r="L1929" s="17">
        <f>HYPERLINK("http://assetclass.ai", "assetclass.ai")</f>
      </c>
      <c r="M1929" s="17">
        <f>HYPERLINK("https://my.pitchbook.com?c=466843-15", "View Company Online")</f>
      </c>
    </row>
    <row r="1930">
      <c r="A1930" t="s" s="10">
        <v>9948</v>
      </c>
      <c r="B1930" t="s" s="10">
        <v>9949</v>
      </c>
      <c r="C1930" t="s" s="10">
        <v>114</v>
      </c>
      <c r="D1930" t="s" s="10">
        <v>136</v>
      </c>
      <c r="E1930" t="s" s="10">
        <v>759</v>
      </c>
      <c r="F1930" t="s" s="27">
        <v>30</v>
      </c>
      <c r="G1930" t="s" s="10">
        <v>48</v>
      </c>
      <c r="H1930" t="s" s="42">
        <v>30</v>
      </c>
      <c r="I1930" s="42">
        <v>27.03</v>
      </c>
      <c r="J1930" t="s" s="10">
        <v>9950</v>
      </c>
      <c r="K1930" t="s" s="10">
        <v>9951</v>
      </c>
      <c r="L1930" s="16">
        <f>HYPERLINK("http://www.faircent.com", "www.faircent.com")</f>
      </c>
      <c r="M1930" s="16">
        <f>HYPERLINK("https://my.pitchbook.com?c=106866-82", "View Company Online")</f>
      </c>
    </row>
    <row r="1931">
      <c r="A1931" t="s" s="11">
        <v>9953</v>
      </c>
      <c r="B1931" t="s" s="11">
        <v>9954</v>
      </c>
      <c r="C1931" t="s" s="11">
        <v>164</v>
      </c>
      <c r="D1931" t="s" s="11">
        <v>206</v>
      </c>
      <c r="E1931" t="s" s="11">
        <v>1964</v>
      </c>
      <c r="F1931" t="s" s="28">
        <v>30</v>
      </c>
      <c r="G1931" t="s" s="11">
        <v>40</v>
      </c>
      <c r="H1931" s="43">
        <v>0.59</v>
      </c>
      <c r="I1931" s="43">
        <v>27.01</v>
      </c>
      <c r="J1931" t="s" s="11">
        <v>9955</v>
      </c>
      <c r="K1931" t="s" s="11">
        <v>30</v>
      </c>
      <c r="L1931" s="17">
        <f>HYPERLINK("http://airboard.tech", "airboard.tech")</f>
      </c>
      <c r="M1931" s="17">
        <f>HYPERLINK("https://my.pitchbook.com?c=484012-18", "View Company Online")</f>
      </c>
    </row>
    <row r="1932">
      <c r="A1932" t="s" s="10">
        <v>9957</v>
      </c>
      <c r="B1932" t="s" s="10">
        <v>9958</v>
      </c>
      <c r="C1932" t="s" s="10">
        <v>60</v>
      </c>
      <c r="D1932" t="s" s="10">
        <v>61</v>
      </c>
      <c r="E1932" t="s" s="10">
        <v>193</v>
      </c>
      <c r="F1932" s="27">
        <v>44679</v>
      </c>
      <c r="G1932" t="s" s="10">
        <v>146</v>
      </c>
      <c r="H1932" t="s" s="42">
        <v>30</v>
      </c>
      <c r="I1932" s="42">
        <v>27</v>
      </c>
      <c r="J1932" t="s" s="10">
        <v>9959</v>
      </c>
      <c r="K1932" t="s" s="10">
        <v>9960</v>
      </c>
      <c r="L1932" s="16">
        <f>HYPERLINK("http://www.beanstox.com", "www.beanstox.com")</f>
      </c>
      <c r="M1932" s="16">
        <f>HYPERLINK("https://my.pitchbook.com?c=438801-04", "View Company Online")</f>
      </c>
    </row>
    <row r="1933">
      <c r="A1933" t="s" s="11">
        <v>9962</v>
      </c>
      <c r="B1933" t="s" s="11">
        <v>9963</v>
      </c>
      <c r="C1933" t="s" s="11">
        <v>164</v>
      </c>
      <c r="D1933" t="s" s="11">
        <v>165</v>
      </c>
      <c r="E1933" t="s" s="11">
        <v>3320</v>
      </c>
      <c r="F1933" s="28">
        <v>44586</v>
      </c>
      <c r="G1933" t="s" s="11">
        <v>48</v>
      </c>
      <c r="H1933" t="s" s="43">
        <v>30</v>
      </c>
      <c r="I1933" s="43">
        <v>27</v>
      </c>
      <c r="J1933" t="s" s="11">
        <v>9964</v>
      </c>
      <c r="K1933" t="s" s="11">
        <v>9965</v>
      </c>
      <c r="L1933" s="17">
        <f>HYPERLINK("http://www.bipsync.com", "www.bipsync.com")</f>
      </c>
      <c r="M1933" s="17">
        <f>HYPERLINK("https://my.pitchbook.com?c=83896-12", "View Company Online")</f>
      </c>
    </row>
    <row r="1934">
      <c r="A1934" t="s" s="10">
        <v>9967</v>
      </c>
      <c r="B1934" t="s" s="10">
        <v>9968</v>
      </c>
      <c r="C1934" t="s" s="10">
        <v>60</v>
      </c>
      <c r="D1934" t="s" s="10">
        <v>192</v>
      </c>
      <c r="E1934" t="s" s="10">
        <v>253</v>
      </c>
      <c r="F1934" s="27">
        <v>44249</v>
      </c>
      <c r="G1934" t="s" s="10">
        <v>146</v>
      </c>
      <c r="H1934" s="42">
        <v>5</v>
      </c>
      <c r="I1934" s="42">
        <v>27</v>
      </c>
      <c r="J1934" t="s" s="10">
        <v>9969</v>
      </c>
      <c r="K1934" t="s" s="10">
        <v>9970</v>
      </c>
      <c r="L1934" s="16">
        <f>HYPERLINK("http://www.equitydatascience.com", "www.equitydatascience.com")</f>
      </c>
      <c r="M1934" s="16">
        <f>HYPERLINK("https://my.pitchbook.com?c=178494-58", "View Company Online")</f>
      </c>
    </row>
    <row r="1935">
      <c r="A1935" t="s" s="11">
        <v>9972</v>
      </c>
      <c r="B1935" t="s" s="11">
        <v>9973</v>
      </c>
      <c r="C1935" t="s" s="11">
        <v>27</v>
      </c>
      <c r="D1935" t="s" s="11">
        <v>28</v>
      </c>
      <c r="E1935" t="s" s="11">
        <v>3352</v>
      </c>
      <c r="F1935" s="28">
        <v>46143</v>
      </c>
      <c r="G1935" t="s" s="11">
        <v>48</v>
      </c>
      <c r="H1935" t="s" s="43">
        <v>30</v>
      </c>
      <c r="I1935" s="43">
        <v>27</v>
      </c>
      <c r="J1935" t="s" s="11">
        <v>9974</v>
      </c>
      <c r="K1935" t="s" s="11">
        <v>9975</v>
      </c>
      <c r="L1935" s="17">
        <f>HYPERLINK("http://www.healthhere.com", "www.healthhere.com")</f>
      </c>
      <c r="M1935" s="17">
        <f>HYPERLINK("https://my.pitchbook.com?c=222932-71", "View Company Online")</f>
      </c>
    </row>
    <row r="1936">
      <c r="A1936" t="s" s="10">
        <v>9977</v>
      </c>
      <c r="B1936" t="s" s="10">
        <v>9978</v>
      </c>
      <c r="C1936" t="s" s="10">
        <v>27</v>
      </c>
      <c r="D1936" t="s" s="10">
        <v>70</v>
      </c>
      <c r="E1936" t="s" s="10">
        <v>137</v>
      </c>
      <c r="F1936" s="27">
        <v>45750</v>
      </c>
      <c r="G1936" t="s" s="10">
        <v>4267</v>
      </c>
      <c r="H1936" s="42">
        <v>6.6</v>
      </c>
      <c r="I1936" s="42">
        <v>27</v>
      </c>
      <c r="J1936" t="s" s="10">
        <v>9979</v>
      </c>
      <c r="K1936" t="s" s="10">
        <v>9980</v>
      </c>
      <c r="L1936" s="16">
        <f>HYPERLINK("http://www.lorum.com", "www.lorum.com")</f>
      </c>
      <c r="M1936" s="16">
        <f>HYPERLINK("https://my.pitchbook.com?c=529108-48", "View Company Online")</f>
      </c>
    </row>
    <row r="1937">
      <c r="A1937" t="s" s="11">
        <v>9982</v>
      </c>
      <c r="B1937" t="s" s="11">
        <v>9983</v>
      </c>
      <c r="C1937" t="s" s="11">
        <v>114</v>
      </c>
      <c r="D1937" t="s" s="11">
        <v>136</v>
      </c>
      <c r="E1937" t="s" s="11">
        <v>270</v>
      </c>
      <c r="F1937" s="28">
        <v>45149</v>
      </c>
      <c r="G1937" t="s" s="11">
        <v>40</v>
      </c>
      <c r="H1937" s="43">
        <v>7</v>
      </c>
      <c r="I1937" s="43">
        <v>27</v>
      </c>
      <c r="J1937" t="s" s="11">
        <v>9984</v>
      </c>
      <c r="K1937" t="s" s="11">
        <v>9985</v>
      </c>
      <c r="L1937" s="17">
        <f>HYPERLINK("http://www.zirtue.com", "www.zirtue.com")</f>
      </c>
      <c r="M1937" s="17">
        <f>HYPERLINK("https://my.pitchbook.com?c=290540-26", "View Company Online")</f>
      </c>
    </row>
    <row r="1938">
      <c r="A1938" t="s" s="10">
        <v>9987</v>
      </c>
      <c r="B1938" t="s" s="10">
        <v>9988</v>
      </c>
      <c r="C1938" t="s" s="10">
        <v>114</v>
      </c>
      <c r="D1938" t="s" s="10">
        <v>1386</v>
      </c>
      <c r="E1938" t="s" s="10">
        <v>623</v>
      </c>
      <c r="F1938" s="27">
        <v>45842</v>
      </c>
      <c r="G1938" t="s" s="10">
        <v>40</v>
      </c>
      <c r="H1938" s="42">
        <v>0.98</v>
      </c>
      <c r="I1938" s="42">
        <v>26.95</v>
      </c>
      <c r="J1938" t="s" s="10">
        <v>9989</v>
      </c>
      <c r="K1938" t="s" s="10">
        <v>9990</v>
      </c>
      <c r="L1938" s="16">
        <f>HYPERLINK("http://www.mogoplus.ai", "www.mogoplus.ai")</f>
      </c>
      <c r="M1938" s="16">
        <f>HYPERLINK("https://my.pitchbook.com?c=123123-79", "View Company Online")</f>
      </c>
    </row>
    <row r="1939">
      <c r="A1939" t="s" s="11">
        <v>9992</v>
      </c>
      <c r="B1939" t="s" s="11">
        <v>9993</v>
      </c>
      <c r="C1939" t="s" s="11">
        <v>46</v>
      </c>
      <c r="D1939" t="s" s="11">
        <v>397</v>
      </c>
      <c r="E1939" t="s" s="11">
        <v>253</v>
      </c>
      <c r="F1939" s="28">
        <v>46049</v>
      </c>
      <c r="G1939" t="s" s="11">
        <v>40</v>
      </c>
      <c r="H1939" s="43">
        <v>22</v>
      </c>
      <c r="I1939" s="43">
        <v>26.9</v>
      </c>
      <c r="J1939" t="s" s="11">
        <v>9994</v>
      </c>
      <c r="K1939" t="s" s="11">
        <v>9995</v>
      </c>
      <c r="L1939" s="17">
        <f>HYPERLINK("http://www.circit.io", "www.circit.io")</f>
      </c>
      <c r="M1939" s="17">
        <f>HYPERLINK("https://my.pitchbook.com?c=437133-43", "View Company Online")</f>
      </c>
    </row>
    <row r="1940">
      <c r="A1940" t="s" s="10">
        <v>9997</v>
      </c>
      <c r="B1940" t="s" s="10">
        <v>9998</v>
      </c>
      <c r="C1940" t="s" s="10">
        <v>164</v>
      </c>
      <c r="D1940" t="s" s="10">
        <v>165</v>
      </c>
      <c r="E1940" t="s" s="10">
        <v>253</v>
      </c>
      <c r="F1940" s="27">
        <v>45209</v>
      </c>
      <c r="G1940" t="s" s="10">
        <v>146</v>
      </c>
      <c r="H1940" s="42">
        <v>12.65</v>
      </c>
      <c r="I1940" s="42">
        <v>26.85</v>
      </c>
      <c r="J1940" t="s" s="10">
        <v>9999</v>
      </c>
      <c r="K1940" t="s" s="10">
        <v>10000</v>
      </c>
      <c r="L1940" s="16">
        <f>HYPERLINK("http://www.kennek.io", "www.kennek.io")</f>
      </c>
      <c r="M1940" s="16">
        <f>HYPERLINK("https://my.pitchbook.com?c=503251-48", "View Company Online")</f>
      </c>
    </row>
    <row r="1941">
      <c r="A1941" t="s" s="11">
        <v>10002</v>
      </c>
      <c r="B1941" t="s" s="11">
        <v>10003</v>
      </c>
      <c r="C1941" t="s" s="11">
        <v>164</v>
      </c>
      <c r="D1941" t="s" s="11">
        <v>165</v>
      </c>
      <c r="E1941" t="s" s="11">
        <v>1162</v>
      </c>
      <c r="F1941" t="s" s="28">
        <v>30</v>
      </c>
      <c r="G1941" t="s" s="11">
        <v>607</v>
      </c>
      <c r="H1941" t="s" s="43">
        <v>30</v>
      </c>
      <c r="I1941" s="43">
        <v>26.82</v>
      </c>
      <c r="J1941" t="s" s="11">
        <v>10004</v>
      </c>
      <c r="K1941" t="s" s="11">
        <v>10005</v>
      </c>
      <c r="L1941" s="17">
        <f>HYPERLINK("http://www.paypaplane.com", "www.paypaplane.com")</f>
      </c>
      <c r="M1941" s="17">
        <f>HYPERLINK("https://my.pitchbook.com?c=489157-66", "View Company Online")</f>
      </c>
    </row>
    <row r="1942">
      <c r="A1942" t="s" s="10">
        <v>10007</v>
      </c>
      <c r="B1942" t="s" s="10">
        <v>10008</v>
      </c>
      <c r="C1942" t="s" s="10">
        <v>222</v>
      </c>
      <c r="D1942" t="s" s="10">
        <v>235</v>
      </c>
      <c r="E1942" t="s" s="10">
        <v>634</v>
      </c>
      <c r="F1942" s="27">
        <v>45910</v>
      </c>
      <c r="G1942" t="s" s="10">
        <v>40</v>
      </c>
      <c r="H1942" s="42">
        <v>1.69</v>
      </c>
      <c r="I1942" s="42">
        <v>26.81</v>
      </c>
      <c r="J1942" t="s" s="10">
        <v>10009</v>
      </c>
      <c r="K1942" t="s" s="10">
        <v>10010</v>
      </c>
      <c r="L1942" s="16">
        <f>HYPERLINK("http://www.ilex.sg", "www.ilex.sg")</f>
      </c>
      <c r="M1942" s="16">
        <f>HYPERLINK("https://my.pitchbook.com?c=436319-47", "View Company Online")</f>
      </c>
    </row>
    <row r="1943">
      <c r="A1943" t="s" s="11">
        <v>10012</v>
      </c>
      <c r="B1943" t="s" s="11">
        <v>10013</v>
      </c>
      <c r="C1943" t="s" s="11">
        <v>164</v>
      </c>
      <c r="D1943" t="s" s="11">
        <v>206</v>
      </c>
      <c r="E1943" t="s" s="11">
        <v>259</v>
      </c>
      <c r="F1943" s="28">
        <v>46113</v>
      </c>
      <c r="G1943" t="s" s="11">
        <v>40</v>
      </c>
      <c r="H1943" t="s" s="43">
        <v>30</v>
      </c>
      <c r="I1943" s="43">
        <v>26.78</v>
      </c>
      <c r="J1943" t="s" s="11">
        <v>10014</v>
      </c>
      <c r="K1943" t="s" s="11">
        <v>10015</v>
      </c>
      <c r="L1943" s="17">
        <f>HYPERLINK("http://www.hub2.io", "www.hub2.io")</f>
      </c>
      <c r="M1943" s="17">
        <f>HYPERLINK("https://my.pitchbook.com?c=452705-68", "View Company Online")</f>
      </c>
    </row>
    <row r="1944">
      <c r="A1944" t="s" s="10">
        <v>10017</v>
      </c>
      <c r="B1944" t="s" s="10">
        <v>10018</v>
      </c>
      <c r="C1944" t="s" s="10">
        <v>172</v>
      </c>
      <c r="D1944" t="s" s="10">
        <v>338</v>
      </c>
      <c r="E1944" t="s" s="10">
        <v>1964</v>
      </c>
      <c r="F1944" s="27">
        <v>45608</v>
      </c>
      <c r="G1944" t="s" s="10">
        <v>146</v>
      </c>
      <c r="H1944" s="42">
        <v>26.35</v>
      </c>
      <c r="I1944" s="42">
        <v>26.77</v>
      </c>
      <c r="J1944" t="s" s="10">
        <v>10019</v>
      </c>
      <c r="K1944" t="s" s="10">
        <v>10020</v>
      </c>
      <c r="L1944" s="16">
        <f>HYPERLINK("http://www.simpleform.co.jp", "www.simpleform.co.jp")</f>
      </c>
      <c r="M1944" s="16">
        <f>HYPERLINK("https://my.pitchbook.com?c=493847-11", "View Company Online")</f>
      </c>
    </row>
    <row r="1945">
      <c r="A1945" t="s" s="11">
        <v>10022</v>
      </c>
      <c r="B1945" t="s" s="11">
        <v>10023</v>
      </c>
      <c r="C1945" t="s" s="11">
        <v>60</v>
      </c>
      <c r="D1945" t="s" s="11">
        <v>727</v>
      </c>
      <c r="E1945" t="s" s="11">
        <v>10024</v>
      </c>
      <c r="F1945" s="28">
        <v>46133</v>
      </c>
      <c r="G1945" t="s" s="11">
        <v>40</v>
      </c>
      <c r="H1945" s="43">
        <v>1.34</v>
      </c>
      <c r="I1945" s="43">
        <v>26.74</v>
      </c>
      <c r="J1945" t="s" s="11">
        <v>10025</v>
      </c>
      <c r="K1945" t="s" s="11">
        <v>10026</v>
      </c>
      <c r="L1945" s="17">
        <f>HYPERLINK("http://curveblock.uk", "curveblock.uk")</f>
      </c>
      <c r="M1945" s="17">
        <f>HYPERLINK("https://my.pitchbook.com?c=264829-87", "View Company Online")</f>
      </c>
    </row>
    <row r="1946">
      <c r="A1946" t="s" s="10">
        <v>10028</v>
      </c>
      <c r="B1946" t="s" s="10">
        <v>10029</v>
      </c>
      <c r="C1946" t="s" s="10">
        <v>114</v>
      </c>
      <c r="D1946" t="s" s="10">
        <v>136</v>
      </c>
      <c r="E1946" t="s" s="10">
        <v>253</v>
      </c>
      <c r="F1946" s="27">
        <v>45180</v>
      </c>
      <c r="G1946" t="s" s="10">
        <v>391</v>
      </c>
      <c r="H1946" t="s" s="42">
        <v>30</v>
      </c>
      <c r="I1946" s="42">
        <v>26.67</v>
      </c>
      <c r="J1946" t="s" s="10">
        <v>10030</v>
      </c>
      <c r="K1946" t="s" s="10">
        <v>30</v>
      </c>
      <c r="L1946" s="16">
        <f>HYPERLINK("http://www.bridgemarketplace.com", "www.bridgemarketplace.com")</f>
      </c>
      <c r="M1946" s="16">
        <f>HYPERLINK("https://my.pitchbook.com?c=494703-10", "View Company Online")</f>
      </c>
    </row>
    <row r="1947">
      <c r="A1947" t="s" s="11">
        <v>10032</v>
      </c>
      <c r="B1947" t="s" s="11">
        <v>10033</v>
      </c>
      <c r="C1947" t="s" s="11">
        <v>222</v>
      </c>
      <c r="D1947" t="s" s="11">
        <v>235</v>
      </c>
      <c r="E1947" t="s" s="11">
        <v>373</v>
      </c>
      <c r="F1947" s="28">
        <v>45588</v>
      </c>
      <c r="G1947" t="s" s="11">
        <v>40</v>
      </c>
      <c r="H1947" s="43">
        <v>1.75</v>
      </c>
      <c r="I1947" s="43">
        <v>26.64</v>
      </c>
      <c r="J1947" t="s" s="11">
        <v>10034</v>
      </c>
      <c r="K1947" t="s" s="11">
        <v>10035</v>
      </c>
      <c r="L1947" s="17">
        <f>HYPERLINK("http://www.actelligent-capital.com", "www.actelligent-capital.com")</f>
      </c>
      <c r="M1947" s="17">
        <f>HYPERLINK("https://my.pitchbook.com?c=664199-83", "View Company Online")</f>
      </c>
    </row>
    <row r="1948">
      <c r="A1948" t="s" s="10">
        <v>10037</v>
      </c>
      <c r="B1948" t="s" s="10">
        <v>10038</v>
      </c>
      <c r="C1948" t="s" s="10">
        <v>164</v>
      </c>
      <c r="D1948" t="s" s="10">
        <v>165</v>
      </c>
      <c r="E1948" t="s" s="10">
        <v>3138</v>
      </c>
      <c r="F1948" s="27">
        <v>44377</v>
      </c>
      <c r="G1948" t="s" s="10">
        <v>40</v>
      </c>
      <c r="H1948" s="42">
        <v>5.32</v>
      </c>
      <c r="I1948" s="42">
        <v>26.62</v>
      </c>
      <c r="J1948" t="s" s="10">
        <v>10039</v>
      </c>
      <c r="K1948" t="s" s="10">
        <v>10040</v>
      </c>
      <c r="L1948" s="16">
        <f>HYPERLINK("http://www.subaio.com", "www.subaio.com")</f>
      </c>
      <c r="M1948" s="16">
        <f>HYPERLINK("https://my.pitchbook.com?c=229685-05", "View Company Online")</f>
      </c>
    </row>
    <row r="1949">
      <c r="A1949" t="s" s="11">
        <v>10042</v>
      </c>
      <c r="B1949" t="s" s="11">
        <v>10043</v>
      </c>
      <c r="C1949" t="s" s="11">
        <v>164</v>
      </c>
      <c r="D1949" t="s" s="11">
        <v>165</v>
      </c>
      <c r="E1949" t="s" s="11">
        <v>253</v>
      </c>
      <c r="F1949" s="28">
        <v>45958</v>
      </c>
      <c r="G1949" t="s" s="11">
        <v>40</v>
      </c>
      <c r="H1949" s="43">
        <v>3.95</v>
      </c>
      <c r="I1949" s="43">
        <v>26.56</v>
      </c>
      <c r="J1949" t="s" s="11">
        <v>10044</v>
      </c>
      <c r="K1949" t="s" s="11">
        <v>10045</v>
      </c>
      <c r="L1949" s="17">
        <f>HYPERLINK("http://www.cybrilla.com", "www.cybrilla.com")</f>
      </c>
      <c r="M1949" s="17">
        <f>HYPERLINK("https://my.pitchbook.com?c=83348-74", "View Company Online")</f>
      </c>
    </row>
    <row r="1950">
      <c r="A1950" t="s" s="10">
        <v>10047</v>
      </c>
      <c r="B1950" t="s" s="10">
        <v>10048</v>
      </c>
      <c r="C1950" t="s" s="10">
        <v>60</v>
      </c>
      <c r="D1950" t="s" s="10">
        <v>192</v>
      </c>
      <c r="E1950" t="s" s="10">
        <v>5253</v>
      </c>
      <c r="F1950" s="27">
        <v>45627</v>
      </c>
      <c r="G1950" t="s" s="10">
        <v>40</v>
      </c>
      <c r="H1950" s="42">
        <v>5.31</v>
      </c>
      <c r="I1950" s="42">
        <v>26.56</v>
      </c>
      <c r="J1950" t="s" s="10">
        <v>10049</v>
      </c>
      <c r="K1950" t="s" s="10">
        <v>10050</v>
      </c>
      <c r="L1950" s="16">
        <f>HYPERLINK("http://www.inbestme.com", "www.inbestme.com")</f>
      </c>
      <c r="M1950" s="16">
        <f>HYPERLINK("https://my.pitchbook.com?c=266434-21", "View Company Online")</f>
      </c>
    </row>
    <row r="1951">
      <c r="A1951" t="s" s="11">
        <v>10052</v>
      </c>
      <c r="B1951" t="s" s="11">
        <v>10053</v>
      </c>
      <c r="C1951" t="s" s="11">
        <v>114</v>
      </c>
      <c r="D1951" t="s" s="11">
        <v>115</v>
      </c>
      <c r="E1951" t="s" s="11">
        <v>1853</v>
      </c>
      <c r="F1951" t="s" s="28">
        <v>30</v>
      </c>
      <c r="G1951" t="s" s="11">
        <v>48</v>
      </c>
      <c r="H1951" t="s" s="43">
        <v>30</v>
      </c>
      <c r="I1951" s="43">
        <v>26.55</v>
      </c>
      <c r="J1951" t="s" s="11">
        <v>10054</v>
      </c>
      <c r="K1951" t="s" s="11">
        <v>10055</v>
      </c>
      <c r="L1951" s="17">
        <f>HYPERLINK("http://www.squirrel.co.nz", "www.squirrel.co.nz")</f>
      </c>
      <c r="M1951" s="17">
        <f>HYPERLINK("https://my.pitchbook.com?c=157666-51", "View Company Online")</f>
      </c>
    </row>
    <row r="1952">
      <c r="A1952" t="s" s="10">
        <v>10057</v>
      </c>
      <c r="B1952" t="s" s="10">
        <v>10058</v>
      </c>
      <c r="C1952" t="s" s="10">
        <v>114</v>
      </c>
      <c r="D1952" t="s" s="10">
        <v>136</v>
      </c>
      <c r="E1952" t="s" s="10">
        <v>759</v>
      </c>
      <c r="F1952" s="27">
        <v>45992</v>
      </c>
      <c r="G1952" t="s" s="10">
        <v>48</v>
      </c>
      <c r="H1952" t="s" s="42">
        <v>30</v>
      </c>
      <c r="I1952" s="42">
        <v>26.51</v>
      </c>
      <c r="J1952" t="s" s="10">
        <v>10059</v>
      </c>
      <c r="K1952" t="s" s="10">
        <v>10060</v>
      </c>
      <c r="L1952" s="16">
        <f>HYPERLINK("http://www.crowdstacker.com", "www.crowdstacker.com")</f>
      </c>
      <c r="M1952" s="16">
        <f>HYPERLINK("https://my.pitchbook.com?c=83339-56", "View Company Online")</f>
      </c>
    </row>
    <row r="1953">
      <c r="A1953" t="s" s="11">
        <v>10062</v>
      </c>
      <c r="B1953" t="s" s="11">
        <v>10063</v>
      </c>
      <c r="C1953" t="s" s="11">
        <v>27</v>
      </c>
      <c r="D1953" t="s" s="11">
        <v>122</v>
      </c>
      <c r="E1953" t="s" s="11">
        <v>200</v>
      </c>
      <c r="F1953" s="28">
        <v>45784</v>
      </c>
      <c r="G1953" t="s" s="11">
        <v>40</v>
      </c>
      <c r="H1953" s="43">
        <v>14.55</v>
      </c>
      <c r="I1953" s="43">
        <v>26.5</v>
      </c>
      <c r="J1953" t="s" s="11">
        <v>10064</v>
      </c>
      <c r="K1953" t="s" s="11">
        <v>10065</v>
      </c>
      <c r="L1953" s="17">
        <f>HYPERLINK("http://www.palla.com", "www.palla.com")</f>
      </c>
      <c r="M1953" s="17">
        <f>HYPERLINK("https://my.pitchbook.com?c=465683-14", "View Company Online")</f>
      </c>
    </row>
    <row r="1954">
      <c r="A1954" t="s" s="10">
        <v>10067</v>
      </c>
      <c r="B1954" t="s" s="10">
        <v>10068</v>
      </c>
      <c r="C1954" t="s" s="10">
        <v>222</v>
      </c>
      <c r="D1954" t="s" s="10">
        <v>537</v>
      </c>
      <c r="E1954" t="s" s="10">
        <v>137</v>
      </c>
      <c r="F1954" s="27">
        <v>44943</v>
      </c>
      <c r="G1954" t="s" s="10">
        <v>40</v>
      </c>
      <c r="H1954" s="42">
        <v>1.5</v>
      </c>
      <c r="I1954" s="42">
        <v>26.5</v>
      </c>
      <c r="J1954" t="s" s="10">
        <v>10069</v>
      </c>
      <c r="K1954" t="s" s="10">
        <v>10070</v>
      </c>
      <c r="L1954" s="16">
        <f>HYPERLINK("http://www.quantconnect.com", "www.quantconnect.com")</f>
      </c>
      <c r="M1954" s="16">
        <f>HYPERLINK("https://my.pitchbook.com?c=89152-21", "View Company Online")</f>
      </c>
    </row>
    <row r="1955">
      <c r="A1955" t="s" s="11">
        <v>10072</v>
      </c>
      <c r="B1955" t="s" s="11">
        <v>10073</v>
      </c>
      <c r="C1955" t="s" s="11">
        <v>164</v>
      </c>
      <c r="D1955" t="s" s="11">
        <v>206</v>
      </c>
      <c r="E1955" t="s" s="11">
        <v>270</v>
      </c>
      <c r="F1955" s="28">
        <v>45524</v>
      </c>
      <c r="G1955" t="s" s="11">
        <v>146</v>
      </c>
      <c r="H1955" s="43">
        <v>3.52</v>
      </c>
      <c r="I1955" s="43">
        <v>26.5</v>
      </c>
      <c r="J1955" t="s" s="11">
        <v>10074</v>
      </c>
      <c r="K1955" t="s" s="11">
        <v>10075</v>
      </c>
      <c r="L1955" s="17">
        <f>HYPERLINK("http://www.stellarfi.com", "www.stellarfi.com")</f>
      </c>
      <c r="M1955" s="17">
        <f>HYPERLINK("https://my.pitchbook.com?c=484635-25", "View Company Online")</f>
      </c>
    </row>
    <row r="1956">
      <c r="A1956" t="s" s="10">
        <v>10077</v>
      </c>
      <c r="B1956" t="s" s="10">
        <v>10078</v>
      </c>
      <c r="C1956" t="s" s="10">
        <v>222</v>
      </c>
      <c r="D1956" t="s" s="10">
        <v>223</v>
      </c>
      <c r="E1956" t="s" s="10">
        <v>10079</v>
      </c>
      <c r="F1956" s="27">
        <v>45769</v>
      </c>
      <c r="G1956" t="s" s="10">
        <v>607</v>
      </c>
      <c r="H1956" t="s" s="42">
        <v>30</v>
      </c>
      <c r="I1956" s="42">
        <v>26.46</v>
      </c>
      <c r="J1956" t="s" s="10">
        <v>10080</v>
      </c>
      <c r="K1956" t="s" s="10">
        <v>10081</v>
      </c>
      <c r="L1956" s="16">
        <f>HYPERLINK("http://www.deepki.com", "www.deepki.com")</f>
      </c>
      <c r="M1956" s="16">
        <f>HYPERLINK("https://my.pitchbook.com?c=107972-29", "View Company Online")</f>
      </c>
    </row>
    <row r="1957">
      <c r="A1957" t="s" s="11">
        <v>10083</v>
      </c>
      <c r="B1957" t="s" s="11">
        <v>10084</v>
      </c>
      <c r="C1957" t="s" s="11">
        <v>114</v>
      </c>
      <c r="D1957" t="s" s="11">
        <v>136</v>
      </c>
      <c r="E1957" t="s" s="11">
        <v>759</v>
      </c>
      <c r="F1957" s="28">
        <v>45992</v>
      </c>
      <c r="G1957" t="s" s="11">
        <v>48</v>
      </c>
      <c r="H1957" t="s" s="43">
        <v>30</v>
      </c>
      <c r="I1957" s="43">
        <v>26.46</v>
      </c>
      <c r="J1957" t="s" s="11">
        <v>10085</v>
      </c>
      <c r="K1957" t="s" s="11">
        <v>30</v>
      </c>
      <c r="L1957" s="17">
        <f>HYPERLINK("http://www.linkedfinance.com", "www.linkedfinance.com")</f>
      </c>
      <c r="M1957" s="17">
        <f>HYPERLINK("https://my.pitchbook.com?c=93796-84", "View Company Online")</f>
      </c>
    </row>
    <row r="1958">
      <c r="A1958" t="s" s="10">
        <v>10087</v>
      </c>
      <c r="B1958" t="s" s="10">
        <v>10088</v>
      </c>
      <c r="C1958" t="s" s="10">
        <v>164</v>
      </c>
      <c r="D1958" t="s" s="10">
        <v>165</v>
      </c>
      <c r="E1958" t="s" s="10">
        <v>4087</v>
      </c>
      <c r="F1958" s="27">
        <v>43403</v>
      </c>
      <c r="G1958" t="s" s="10">
        <v>146</v>
      </c>
      <c r="H1958" s="42">
        <v>1.97</v>
      </c>
      <c r="I1958" s="42">
        <v>26.21</v>
      </c>
      <c r="J1958" t="s" s="10">
        <v>10089</v>
      </c>
      <c r="K1958" t="s" s="10">
        <v>10090</v>
      </c>
      <c r="L1958" s="16">
        <f>HYPERLINK("http://www.trustt.com", "www.trustt.com")</f>
      </c>
      <c r="M1958" s="16">
        <f>HYPERLINK("https://my.pitchbook.com?c=163581-76", "View Company Online")</f>
      </c>
    </row>
    <row r="1959">
      <c r="A1959" t="s" s="11">
        <v>10092</v>
      </c>
      <c r="B1959" t="s" s="11">
        <v>10093</v>
      </c>
      <c r="C1959" t="s" s="11">
        <v>222</v>
      </c>
      <c r="D1959" t="s" s="11">
        <v>223</v>
      </c>
      <c r="E1959" t="s" s="11">
        <v>995</v>
      </c>
      <c r="F1959" s="28">
        <v>45456</v>
      </c>
      <c r="G1959" t="s" s="11">
        <v>40</v>
      </c>
      <c r="H1959" t="s" s="43">
        <v>30</v>
      </c>
      <c r="I1959" s="43">
        <v>26.04</v>
      </c>
      <c r="J1959" t="s" s="11">
        <v>10094</v>
      </c>
      <c r="K1959" t="s" s="11">
        <v>10095</v>
      </c>
      <c r="L1959" s="17">
        <f>HYPERLINK("http://www.aries.com", "www.aries.com")</f>
      </c>
      <c r="M1959" s="17">
        <f>HYPERLINK("https://my.pitchbook.com?c=509501-98", "View Company Online")</f>
      </c>
    </row>
    <row r="1960">
      <c r="A1960" t="s" s="10">
        <v>10097</v>
      </c>
      <c r="B1960" t="s" s="10">
        <v>10098</v>
      </c>
      <c r="C1960" t="s" s="10">
        <v>222</v>
      </c>
      <c r="D1960" t="s" s="10">
        <v>252</v>
      </c>
      <c r="E1960" t="s" s="10">
        <v>859</v>
      </c>
      <c r="F1960" s="27">
        <v>45960</v>
      </c>
      <c r="G1960" t="s" s="10">
        <v>40</v>
      </c>
      <c r="H1960" s="42">
        <v>3.14</v>
      </c>
      <c r="I1960" s="42">
        <v>26.04</v>
      </c>
      <c r="J1960" t="s" s="10">
        <v>10099</v>
      </c>
      <c r="K1960" t="s" s="10">
        <v>10100</v>
      </c>
      <c r="L1960" s="16">
        <f>HYPERLINK("http://www.obligate.com", "www.obligate.com")</f>
      </c>
      <c r="M1960" s="16">
        <f>HYPERLINK("https://my.pitchbook.com?c=466521-76", "View Company Online")</f>
      </c>
    </row>
    <row r="1961">
      <c r="A1961" t="s" s="11">
        <v>10102</v>
      </c>
      <c r="B1961" t="s" s="11">
        <v>10103</v>
      </c>
      <c r="C1961" t="s" s="11">
        <v>60</v>
      </c>
      <c r="D1961" t="s" s="11">
        <v>420</v>
      </c>
      <c r="E1961" t="s" s="11">
        <v>414</v>
      </c>
      <c r="F1961" s="28">
        <v>45975</v>
      </c>
      <c r="G1961" t="s" s="11">
        <v>4267</v>
      </c>
      <c r="H1961" s="43">
        <v>17.5</v>
      </c>
      <c r="I1961" s="43">
        <v>26</v>
      </c>
      <c r="J1961" t="s" s="11">
        <v>10104</v>
      </c>
      <c r="K1961" t="s" s="11">
        <v>10105</v>
      </c>
      <c r="L1961" s="17">
        <f>HYPERLINK("http://www.aboon.com", "www.aboon.com")</f>
      </c>
      <c r="M1961" s="17">
        <f>HYPERLINK("https://my.pitchbook.com?c=553112-20", "View Company Online")</f>
      </c>
    </row>
    <row r="1962">
      <c r="A1962" t="s" s="10">
        <v>10107</v>
      </c>
      <c r="B1962" t="s" s="10">
        <v>10108</v>
      </c>
      <c r="C1962" t="s" s="10">
        <v>144</v>
      </c>
      <c r="D1962" t="s" s="10">
        <v>38</v>
      </c>
      <c r="E1962" t="s" s="10">
        <v>1800</v>
      </c>
      <c r="F1962" s="27">
        <v>44531</v>
      </c>
      <c r="G1962" t="s" s="10">
        <v>48</v>
      </c>
      <c r="H1962" t="s" s="42">
        <v>30</v>
      </c>
      <c r="I1962" s="42">
        <v>26</v>
      </c>
      <c r="J1962" t="s" s="10">
        <v>10109</v>
      </c>
      <c r="K1962" t="s" s="10">
        <v>10110</v>
      </c>
      <c r="L1962" s="16">
        <f>HYPERLINK("http://www.andomoney.com", "www.andomoney.com")</f>
      </c>
      <c r="M1962" s="16">
        <f>HYPERLINK("https://my.pitchbook.com?c=460229-95", "View Company Online")</f>
      </c>
    </row>
    <row r="1963">
      <c r="A1963" t="s" s="11">
        <v>10112</v>
      </c>
      <c r="B1963" t="s" s="11">
        <v>10113</v>
      </c>
      <c r="C1963" t="s" s="11">
        <v>222</v>
      </c>
      <c r="D1963" t="s" s="11">
        <v>252</v>
      </c>
      <c r="E1963" t="s" s="11">
        <v>10114</v>
      </c>
      <c r="F1963" s="28">
        <v>45335</v>
      </c>
      <c r="G1963" t="s" s="11">
        <v>4267</v>
      </c>
      <c r="H1963" s="43">
        <v>1.3</v>
      </c>
      <c r="I1963" s="43">
        <v>26</v>
      </c>
      <c r="J1963" t="s" s="11">
        <v>10115</v>
      </c>
      <c r="K1963" t="s" s="11">
        <v>10116</v>
      </c>
      <c r="L1963" s="17">
        <f>HYPERLINK("http://exponentialmarkets.com", "exponentialmarkets.com")</f>
      </c>
      <c r="M1963" s="17">
        <f>HYPERLINK("https://my.pitchbook.com?c=509299-84", "View Company Online")</f>
      </c>
    </row>
    <row r="1964">
      <c r="A1964" t="s" s="10">
        <v>10118</v>
      </c>
      <c r="B1964" t="s" s="10">
        <v>10119</v>
      </c>
      <c r="C1964" t="s" s="10">
        <v>27</v>
      </c>
      <c r="D1964" t="s" s="10">
        <v>70</v>
      </c>
      <c r="E1964" t="s" s="10">
        <v>137</v>
      </c>
      <c r="F1964" s="27">
        <v>45902</v>
      </c>
      <c r="G1964" t="s" s="10">
        <v>146</v>
      </c>
      <c r="H1964" s="42">
        <v>15</v>
      </c>
      <c r="I1964" s="42">
        <v>26</v>
      </c>
      <c r="J1964" t="s" s="10">
        <v>10120</v>
      </c>
      <c r="K1964" t="s" s="10">
        <v>10121</v>
      </c>
      <c r="L1964" s="16">
        <f>HYPERLINK("http://www.withflex.com", "www.withflex.com")</f>
      </c>
      <c r="M1964" s="16">
        <f>HYPERLINK("https://my.pitchbook.com?c=534439-00", "View Company Online")</f>
      </c>
    </row>
    <row r="1965">
      <c r="A1965" t="s" s="11">
        <v>10123</v>
      </c>
      <c r="B1965" t="s" s="11">
        <v>10124</v>
      </c>
      <c r="C1965" t="s" s="11">
        <v>60</v>
      </c>
      <c r="D1965" t="s" s="11">
        <v>432</v>
      </c>
      <c r="E1965" t="s" s="11">
        <v>373</v>
      </c>
      <c r="F1965" s="28">
        <v>45267</v>
      </c>
      <c r="G1965" t="s" s="11">
        <v>4267</v>
      </c>
      <c r="H1965" s="43">
        <v>6</v>
      </c>
      <c r="I1965" s="43">
        <v>26</v>
      </c>
      <c r="J1965" t="s" s="11">
        <v>10125</v>
      </c>
      <c r="K1965" t="s" s="11">
        <v>10126</v>
      </c>
      <c r="L1965" s="17">
        <f>HYPERLINK("http://www.helixbyhl.com", "www.helixbyhl.com")</f>
      </c>
      <c r="M1965" s="17">
        <f>HYPERLINK("https://my.pitchbook.com?c=541594-36", "View Company Online")</f>
      </c>
    </row>
    <row r="1966">
      <c r="A1966" t="s" s="10">
        <v>10128</v>
      </c>
      <c r="B1966" t="s" s="10">
        <v>10129</v>
      </c>
      <c r="C1966" t="s" s="10">
        <v>60</v>
      </c>
      <c r="D1966" t="s" s="10">
        <v>727</v>
      </c>
      <c r="E1966" t="s" s="10">
        <v>270</v>
      </c>
      <c r="F1966" s="27">
        <v>46106</v>
      </c>
      <c r="G1966" t="s" s="10">
        <v>40</v>
      </c>
      <c r="H1966" s="42">
        <v>2.07</v>
      </c>
      <c r="I1966" s="42">
        <v>26</v>
      </c>
      <c r="J1966" t="s" s="10">
        <v>10130</v>
      </c>
      <c r="K1966" t="s" s="10">
        <v>10131</v>
      </c>
      <c r="L1966" s="16">
        <f>HYPERLINK("http://www.monetary-metals.com", "www.monetary-metals.com")</f>
      </c>
      <c r="M1966" s="16">
        <f>HYPERLINK("https://my.pitchbook.com?c=155796-94", "View Company Online")</f>
      </c>
    </row>
    <row r="1967">
      <c r="A1967" t="s" s="11">
        <v>10133</v>
      </c>
      <c r="B1967" t="s" s="11">
        <v>10134</v>
      </c>
      <c r="C1967" t="s" s="11">
        <v>128</v>
      </c>
      <c r="D1967" t="s" s="11">
        <v>199</v>
      </c>
      <c r="E1967" t="s" s="11">
        <v>137</v>
      </c>
      <c r="F1967" s="28">
        <v>46145</v>
      </c>
      <c r="G1967" t="s" s="11">
        <v>2051</v>
      </c>
      <c r="H1967" t="s" s="43">
        <v>30</v>
      </c>
      <c r="I1967" s="43">
        <v>26</v>
      </c>
      <c r="J1967" t="s" s="11">
        <v>10135</v>
      </c>
      <c r="K1967" t="s" s="11">
        <v>30</v>
      </c>
      <c r="L1967" s="17">
        <f>HYPERLINK("http://www.mypaybycar.com", "www.mypaybycar.com")</f>
      </c>
      <c r="M1967" s="17">
        <f>HYPERLINK("https://my.pitchbook.com?c=103422-16", "View Company Online")</f>
      </c>
    </row>
    <row r="1968">
      <c r="A1968" t="s" s="10">
        <v>10137</v>
      </c>
      <c r="B1968" t="s" s="10">
        <v>10138</v>
      </c>
      <c r="C1968" t="s" s="10">
        <v>172</v>
      </c>
      <c r="D1968" t="s" s="10">
        <v>1454</v>
      </c>
      <c r="E1968" t="s" s="10">
        <v>10139</v>
      </c>
      <c r="F1968" s="27">
        <v>45940</v>
      </c>
      <c r="G1968" t="s" s="10">
        <v>2174</v>
      </c>
      <c r="H1968" s="42">
        <v>3.04</v>
      </c>
      <c r="I1968" s="42">
        <v>26</v>
      </c>
      <c r="J1968" t="s" s="10">
        <v>10140</v>
      </c>
      <c r="K1968" t="s" s="10">
        <v>10141</v>
      </c>
      <c r="L1968" s="16">
        <f>HYPERLINK("http://www.sepiocyber.com", "www.sepiocyber.com")</f>
      </c>
      <c r="M1968" s="16">
        <f>HYPERLINK("https://my.pitchbook.com?c=170495-29", "View Company Online")</f>
      </c>
    </row>
    <row r="1969">
      <c r="A1969" t="s" s="11">
        <v>10143</v>
      </c>
      <c r="B1969" t="s" s="11">
        <v>10144</v>
      </c>
      <c r="C1969" t="s" s="11">
        <v>46</v>
      </c>
      <c r="D1969" t="s" s="11">
        <v>47</v>
      </c>
      <c r="E1969" t="s" s="11">
        <v>253</v>
      </c>
      <c r="F1969" s="28">
        <v>45999</v>
      </c>
      <c r="G1969" t="s" s="11">
        <v>146</v>
      </c>
      <c r="H1969" s="43">
        <v>6.3</v>
      </c>
      <c r="I1969" s="43">
        <v>26</v>
      </c>
      <c r="J1969" t="s" s="11">
        <v>10145</v>
      </c>
      <c r="K1969" t="s" s="11">
        <v>10146</v>
      </c>
      <c r="L1969" s="17">
        <f>HYPERLINK("http://www.getvaas.com", "www.getvaas.com")</f>
      </c>
      <c r="M1969" s="17">
        <f>HYPERLINK("https://my.pitchbook.com?c=501208-12", "View Company Online")</f>
      </c>
    </row>
    <row r="1970">
      <c r="A1970" t="s" s="10">
        <v>10148</v>
      </c>
      <c r="B1970" t="s" s="10">
        <v>10149</v>
      </c>
      <c r="C1970" t="s" s="10">
        <v>222</v>
      </c>
      <c r="D1970" t="s" s="10">
        <v>223</v>
      </c>
      <c r="E1970" t="s" s="10">
        <v>373</v>
      </c>
      <c r="F1970" s="27">
        <v>46065</v>
      </c>
      <c r="G1970" t="s" s="10">
        <v>4267</v>
      </c>
      <c r="H1970" s="42">
        <v>6.93</v>
      </c>
      <c r="I1970" s="42">
        <v>25.93</v>
      </c>
      <c r="J1970" t="s" s="10">
        <v>10150</v>
      </c>
      <c r="K1970" t="s" s="10">
        <v>10151</v>
      </c>
      <c r="L1970" s="16">
        <f>HYPERLINK("http://www.bracket.co.uk", "www.bracket.co.uk")</f>
      </c>
      <c r="M1970" s="16">
        <f>HYPERLINK("https://my.pitchbook.com?c=700774-39", "View Company Online")</f>
      </c>
    </row>
    <row r="1971">
      <c r="A1971" t="s" s="11">
        <v>10153</v>
      </c>
      <c r="B1971" t="s" s="11">
        <v>10154</v>
      </c>
      <c r="C1971" t="s" s="11">
        <v>128</v>
      </c>
      <c r="D1971" t="s" s="11">
        <v>129</v>
      </c>
      <c r="E1971" t="s" s="11">
        <v>270</v>
      </c>
      <c r="F1971" s="28">
        <v>44781</v>
      </c>
      <c r="G1971" t="s" s="11">
        <v>4267</v>
      </c>
      <c r="H1971" s="43">
        <v>6.88</v>
      </c>
      <c r="I1971" s="43">
        <v>25.88</v>
      </c>
      <c r="J1971" t="s" s="11">
        <v>10155</v>
      </c>
      <c r="K1971" t="s" s="11">
        <v>10156</v>
      </c>
      <c r="L1971" s="17">
        <f>HYPERLINK("http://www.taekus.com", "www.taekus.com")</f>
      </c>
      <c r="M1971" s="17">
        <f>HYPERLINK("https://my.pitchbook.com?c=502954-39", "View Company Online")</f>
      </c>
    </row>
    <row r="1972">
      <c r="A1972" t="s" s="10">
        <v>10158</v>
      </c>
      <c r="B1972" t="s" s="10">
        <v>10159</v>
      </c>
      <c r="C1972" t="s" s="10">
        <v>114</v>
      </c>
      <c r="D1972" t="s" s="10">
        <v>1386</v>
      </c>
      <c r="E1972" t="s" s="10">
        <v>193</v>
      </c>
      <c r="F1972" s="27">
        <v>43922</v>
      </c>
      <c r="G1972" t="s" s="10">
        <v>31</v>
      </c>
      <c r="H1972" t="s" s="42">
        <v>30</v>
      </c>
      <c r="I1972" s="42">
        <v>25.85</v>
      </c>
      <c r="J1972" t="s" s="10">
        <v>10160</v>
      </c>
      <c r="K1972" t="s" s="10">
        <v>10161</v>
      </c>
      <c r="L1972" s="16">
        <f>HYPERLINK("http://www.paveapp.com", "www.paveapp.com")</f>
      </c>
      <c r="M1972" s="16">
        <f>HYPERLINK("https://my.pitchbook.com?c=182305-54", "View Company Online")</f>
      </c>
    </row>
    <row r="1973">
      <c r="A1973" t="s" s="11">
        <v>10163</v>
      </c>
      <c r="B1973" t="s" s="11">
        <v>10164</v>
      </c>
      <c r="C1973" t="s" s="11">
        <v>60</v>
      </c>
      <c r="D1973" t="s" s="11">
        <v>192</v>
      </c>
      <c r="E1973" t="s" s="11">
        <v>137</v>
      </c>
      <c r="F1973" s="28">
        <v>44772</v>
      </c>
      <c r="G1973" t="s" s="11">
        <v>271</v>
      </c>
      <c r="H1973" s="43">
        <v>0.5</v>
      </c>
      <c r="I1973" s="43">
        <v>25.84</v>
      </c>
      <c r="J1973" t="s" s="11">
        <v>10165</v>
      </c>
      <c r="K1973" t="s" s="11">
        <v>30</v>
      </c>
      <c r="L1973" s="17">
        <f>HYPERLINK("http://www.taylorhoffman.com", "www.taylorhoffman.com")</f>
      </c>
      <c r="M1973" s="17">
        <f>HYPERLINK("https://my.pitchbook.com?c=463017-25", "View Company Online")</f>
      </c>
    </row>
    <row r="1974">
      <c r="A1974" t="s" s="10">
        <v>10167</v>
      </c>
      <c r="B1974" t="s" s="10">
        <v>10168</v>
      </c>
      <c r="C1974" t="s" s="10">
        <v>222</v>
      </c>
      <c r="D1974" t="s" s="10">
        <v>223</v>
      </c>
      <c r="E1974" t="s" s="10">
        <v>373</v>
      </c>
      <c r="F1974" s="27">
        <v>45128</v>
      </c>
      <c r="G1974" t="s" s="10">
        <v>40</v>
      </c>
      <c r="H1974" s="42">
        <v>7.84</v>
      </c>
      <c r="I1974" s="42">
        <v>25.82</v>
      </c>
      <c r="J1974" t="s" s="10">
        <v>10169</v>
      </c>
      <c r="K1974" t="s" s="10">
        <v>10170</v>
      </c>
      <c r="L1974" s="16">
        <f>HYPERLINK("http://www.impaakt.com", "www.impaakt.com")</f>
      </c>
      <c r="M1974" s="16">
        <f>HYPERLINK("https://my.pitchbook.com?c=343103-50", "View Company Online")</f>
      </c>
    </row>
    <row r="1975">
      <c r="A1975" t="s" s="11">
        <v>10172</v>
      </c>
      <c r="B1975" t="s" s="11">
        <v>10173</v>
      </c>
      <c r="C1975" t="s" s="11">
        <v>60</v>
      </c>
      <c r="D1975" t="s" s="11">
        <v>246</v>
      </c>
      <c r="E1975" t="s" s="11">
        <v>116</v>
      </c>
      <c r="F1975" t="s" s="28">
        <v>30</v>
      </c>
      <c r="G1975" t="s" s="11">
        <v>607</v>
      </c>
      <c r="H1975" t="s" s="43">
        <v>30</v>
      </c>
      <c r="I1975" s="43">
        <v>25.72</v>
      </c>
      <c r="J1975" t="s" s="11">
        <v>10174</v>
      </c>
      <c r="K1975" t="s" s="11">
        <v>10175</v>
      </c>
      <c r="L1975" s="17">
        <f>HYPERLINK("http://www.bysavi.com", "www.bysavi.com")</f>
      </c>
      <c r="M1975" s="17">
        <f>HYPERLINK("https://my.pitchbook.com?c=230113-81", "View Company Online")</f>
      </c>
    </row>
    <row r="1976">
      <c r="A1976" t="s" s="10">
        <v>10177</v>
      </c>
      <c r="B1976" t="s" s="10">
        <v>10178</v>
      </c>
      <c r="C1976" t="s" s="10">
        <v>46</v>
      </c>
      <c r="D1976" t="s" s="10">
        <v>915</v>
      </c>
      <c r="E1976" t="s" s="10">
        <v>373</v>
      </c>
      <c r="F1976" t="s" s="27">
        <v>30</v>
      </c>
      <c r="G1976" t="s" s="10">
        <v>31</v>
      </c>
      <c r="H1976" s="42">
        <v>0.29</v>
      </c>
      <c r="I1976" s="42">
        <v>25.65</v>
      </c>
      <c r="J1976" t="s" s="10">
        <v>10179</v>
      </c>
      <c r="K1976" t="s" s="10">
        <v>10180</v>
      </c>
      <c r="L1976" s="16">
        <f>HYPERLINK("http://www.scaleup.finance", "www.scaleup.finance")</f>
      </c>
      <c r="M1976" s="16">
        <f>HYPERLINK("https://my.pitchbook.com?c=471293-20", "View Company Online")</f>
      </c>
    </row>
    <row r="1977">
      <c r="A1977" t="s" s="11">
        <v>10182</v>
      </c>
      <c r="B1977" t="s" s="11">
        <v>10183</v>
      </c>
      <c r="C1977" t="s" s="11">
        <v>60</v>
      </c>
      <c r="D1977" t="s" s="11">
        <v>246</v>
      </c>
      <c r="E1977" t="s" s="11">
        <v>1093</v>
      </c>
      <c r="F1977" t="s" s="28">
        <v>30</v>
      </c>
      <c r="G1977" t="s" s="11">
        <v>48</v>
      </c>
      <c r="H1977" t="s" s="43">
        <v>30</v>
      </c>
      <c r="I1977" s="43">
        <v>25.57</v>
      </c>
      <c r="J1977" t="s" s="11">
        <v>10184</v>
      </c>
      <c r="K1977" t="s" s="11">
        <v>10185</v>
      </c>
      <c r="L1977" s="17">
        <f>HYPERLINK("http://www.nalo.fr", "www.nalo.fr")</f>
      </c>
      <c r="M1977" s="17">
        <f>HYPERLINK("https://my.pitchbook.com?c=279659-44", "View Company Online")</f>
      </c>
    </row>
    <row r="1978">
      <c r="A1978" t="s" s="10">
        <v>10187</v>
      </c>
      <c r="B1978" t="s" s="10">
        <v>10188</v>
      </c>
      <c r="C1978" t="s" s="10">
        <v>60</v>
      </c>
      <c r="D1978" t="s" s="10">
        <v>246</v>
      </c>
      <c r="E1978" t="s" s="10">
        <v>270</v>
      </c>
      <c r="F1978" s="27">
        <v>44733</v>
      </c>
      <c r="G1978" t="s" s="10">
        <v>146</v>
      </c>
      <c r="H1978" s="42">
        <v>5.68</v>
      </c>
      <c r="I1978" s="42">
        <v>25.56</v>
      </c>
      <c r="J1978" t="s" s="10">
        <v>10189</v>
      </c>
      <c r="K1978" t="s" s="10">
        <v>10190</v>
      </c>
      <c r="L1978" s="16">
        <f>HYPERLINK("http://www.lista.com.ph", "www.lista.com.ph")</f>
      </c>
      <c r="M1978" s="16">
        <f>HYPERLINK("https://my.pitchbook.com?c=483691-24", "View Company Online")</f>
      </c>
    </row>
    <row r="1979">
      <c r="A1979" t="s" s="11">
        <v>10192</v>
      </c>
      <c r="B1979" t="s" s="11">
        <v>10193</v>
      </c>
      <c r="C1979" t="s" s="11">
        <v>144</v>
      </c>
      <c r="D1979" t="s" s="11">
        <v>38</v>
      </c>
      <c r="E1979" t="s" s="11">
        <v>253</v>
      </c>
      <c r="F1979" s="28">
        <v>45245</v>
      </c>
      <c r="G1979" t="s" s="11">
        <v>146</v>
      </c>
      <c r="H1979" s="43">
        <v>5.5</v>
      </c>
      <c r="I1979" s="43">
        <v>25.5</v>
      </c>
      <c r="J1979" t="s" s="11">
        <v>10194</v>
      </c>
      <c r="K1979" t="s" s="11">
        <v>10195</v>
      </c>
      <c r="L1979" s="17">
        <f>HYPERLINK("http://www.workmade.com", "www.workmade.com")</f>
      </c>
      <c r="M1979" s="17">
        <f>HYPERLINK("https://my.pitchbook.com?c=507428-92", "View Company Online")</f>
      </c>
    </row>
    <row r="1980">
      <c r="A1980" t="s" s="10">
        <v>10197</v>
      </c>
      <c r="B1980" t="s" s="10">
        <v>10198</v>
      </c>
      <c r="C1980" t="s" s="10">
        <v>27</v>
      </c>
      <c r="D1980" t="s" s="10">
        <v>28</v>
      </c>
      <c r="E1980" t="s" s="10">
        <v>193</v>
      </c>
      <c r="F1980" s="27">
        <v>44656</v>
      </c>
      <c r="G1980" t="s" s="10">
        <v>40</v>
      </c>
      <c r="H1980" s="42">
        <v>11.4</v>
      </c>
      <c r="I1980" s="42">
        <v>25.5</v>
      </c>
      <c r="J1980" t="s" s="10">
        <v>10199</v>
      </c>
      <c r="K1980" t="s" s="10">
        <v>10200</v>
      </c>
      <c r="L1980" s="16">
        <f>HYPERLINK("http://www.ziroopay.com", "www.ziroopay.com")</f>
      </c>
      <c r="M1980" s="16">
        <f>HYPERLINK("https://my.pitchbook.com?c=96246-01", "View Company Online")</f>
      </c>
    </row>
    <row r="1981">
      <c r="A1981" t="s" s="11">
        <v>10202</v>
      </c>
      <c r="B1981" t="s" s="11">
        <v>10203</v>
      </c>
      <c r="C1981" t="s" s="11">
        <v>27</v>
      </c>
      <c r="D1981" t="s" s="11">
        <v>28</v>
      </c>
      <c r="E1981" t="s" s="11">
        <v>193</v>
      </c>
      <c r="F1981" s="28">
        <v>45923</v>
      </c>
      <c r="G1981" t="s" s="11">
        <v>607</v>
      </c>
      <c r="H1981" t="s" s="43">
        <v>30</v>
      </c>
      <c r="I1981" s="43">
        <v>25.46</v>
      </c>
      <c r="J1981" t="s" s="11">
        <v>10204</v>
      </c>
      <c r="K1981" t="s" s="11">
        <v>10205</v>
      </c>
      <c r="L1981" s="17">
        <f>HYPERLINK("http://www.amnistreasury.com", "www.amnistreasury.com")</f>
      </c>
      <c r="M1981" s="17">
        <f>HYPERLINK("https://my.pitchbook.com?c=168310-81", "View Company Online")</f>
      </c>
    </row>
    <row r="1982">
      <c r="A1982" t="s" s="10">
        <v>10207</v>
      </c>
      <c r="B1982" t="s" s="10">
        <v>10208</v>
      </c>
      <c r="C1982" t="s" s="10">
        <v>222</v>
      </c>
      <c r="D1982" t="s" s="10">
        <v>235</v>
      </c>
      <c r="E1982" t="s" s="10">
        <v>137</v>
      </c>
      <c r="F1982" s="27">
        <v>45170</v>
      </c>
      <c r="G1982" t="s" s="10">
        <v>271</v>
      </c>
      <c r="H1982" t="s" s="42">
        <v>30</v>
      </c>
      <c r="I1982" s="42">
        <v>25.45</v>
      </c>
      <c r="J1982" t="s" s="10">
        <v>10209</v>
      </c>
      <c r="K1982" t="s" s="10">
        <v>10210</v>
      </c>
      <c r="L1982" s="16">
        <f>HYPERLINK("http://www.squarebook.com", "www.squarebook.com")</f>
      </c>
      <c r="M1982" s="16">
        <f>HYPERLINK("https://my.pitchbook.com?c=234768-34", "View Company Online")</f>
      </c>
    </row>
    <row r="1983">
      <c r="A1983" t="s" s="11">
        <v>10212</v>
      </c>
      <c r="B1983" t="s" s="11">
        <v>10213</v>
      </c>
      <c r="C1983" t="s" s="11">
        <v>164</v>
      </c>
      <c r="D1983" t="s" s="11">
        <v>206</v>
      </c>
      <c r="E1983" t="s" s="11">
        <v>414</v>
      </c>
      <c r="F1983" s="28">
        <v>45917</v>
      </c>
      <c r="G1983" t="s" s="11">
        <v>4267</v>
      </c>
      <c r="H1983" s="43">
        <v>6.5</v>
      </c>
      <c r="I1983" s="43">
        <v>25.34</v>
      </c>
      <c r="J1983" t="s" s="11">
        <v>10214</v>
      </c>
      <c r="K1983" t="s" s="11">
        <v>10215</v>
      </c>
      <c r="L1983" s="17">
        <f>HYPERLINK("http://www.covecta.io", "www.covecta.io")</f>
      </c>
      <c r="M1983" s="17">
        <f>HYPERLINK("https://my.pitchbook.com?c=681718-69", "View Company Online")</f>
      </c>
    </row>
    <row r="1984">
      <c r="A1984" t="s" s="10">
        <v>10217</v>
      </c>
      <c r="B1984" t="s" s="10">
        <v>10218</v>
      </c>
      <c r="C1984" t="s" s="10">
        <v>60</v>
      </c>
      <c r="D1984" t="s" s="10">
        <v>192</v>
      </c>
      <c r="E1984" t="s" s="10">
        <v>137</v>
      </c>
      <c r="F1984" s="27">
        <v>44874</v>
      </c>
      <c r="G1984" t="s" s="10">
        <v>146</v>
      </c>
      <c r="H1984" s="42">
        <v>4.9</v>
      </c>
      <c r="I1984" s="42">
        <v>25.33</v>
      </c>
      <c r="J1984" t="s" s="10">
        <v>10219</v>
      </c>
      <c r="K1984" t="s" s="10">
        <v>30</v>
      </c>
      <c r="L1984" s="16">
        <f>HYPERLINK("http://www.ambrpayments.com", "www.ambrpayments.com")</f>
      </c>
      <c r="M1984" s="16">
        <f>HYPERLINK("https://my.pitchbook.com?c=510487-12", "View Company Online")</f>
      </c>
    </row>
    <row r="1985">
      <c r="A1985" t="s" s="11">
        <v>10221</v>
      </c>
      <c r="B1985" t="s" s="11">
        <v>10222</v>
      </c>
      <c r="C1985" t="s" s="11">
        <v>46</v>
      </c>
      <c r="D1985" t="s" s="11">
        <v>47</v>
      </c>
      <c r="E1985" t="s" s="11">
        <v>10223</v>
      </c>
      <c r="F1985" t="s" s="28">
        <v>30</v>
      </c>
      <c r="G1985" t="s" s="11">
        <v>40</v>
      </c>
      <c r="H1985" s="43">
        <v>9</v>
      </c>
      <c r="I1985" s="43">
        <v>25.32</v>
      </c>
      <c r="J1985" t="s" s="11">
        <v>10224</v>
      </c>
      <c r="K1985" t="s" s="11">
        <v>10225</v>
      </c>
      <c r="L1985" s="17">
        <f>HYPERLINK("http://www.aqwire.co", "www.aqwire.co")</f>
      </c>
      <c r="M1985" s="17">
        <f>HYPERLINK("https://my.pitchbook.com?c=108604-90", "View Company Online")</f>
      </c>
    </row>
    <row r="1986">
      <c r="A1986" t="s" s="10">
        <v>10227</v>
      </c>
      <c r="B1986" t="s" s="10">
        <v>10228</v>
      </c>
      <c r="C1986" t="s" s="10">
        <v>46</v>
      </c>
      <c r="D1986" t="s" s="10">
        <v>47</v>
      </c>
      <c r="E1986" t="s" s="10">
        <v>253</v>
      </c>
      <c r="F1986" s="27">
        <v>45161</v>
      </c>
      <c r="G1986" t="s" s="10">
        <v>271</v>
      </c>
      <c r="H1986" s="42">
        <v>0.27</v>
      </c>
      <c r="I1986" s="42">
        <v>25.27</v>
      </c>
      <c r="J1986" t="s" s="10">
        <v>10229</v>
      </c>
      <c r="K1986" t="s" s="10">
        <v>30</v>
      </c>
      <c r="L1986" s="16">
        <f>HYPERLINK("http://www.teamup.money", "www.teamup.money")</f>
      </c>
      <c r="M1986" s="16">
        <f>HYPERLINK("https://my.pitchbook.com?c=515076-85", "View Company Online")</f>
      </c>
    </row>
    <row r="1987">
      <c r="A1987" t="s" s="11">
        <v>10231</v>
      </c>
      <c r="B1987" t="s" s="11">
        <v>10232</v>
      </c>
      <c r="C1987" t="s" s="11">
        <v>37</v>
      </c>
      <c r="D1987" t="s" s="11">
        <v>38</v>
      </c>
      <c r="E1987" t="s" s="11">
        <v>193</v>
      </c>
      <c r="F1987" s="28">
        <v>45456</v>
      </c>
      <c r="G1987" t="s" s="11">
        <v>146</v>
      </c>
      <c r="H1987" s="43">
        <v>9.6</v>
      </c>
      <c r="I1987" s="43">
        <v>25.07</v>
      </c>
      <c r="J1987" t="s" s="11">
        <v>10233</v>
      </c>
      <c r="K1987" t="s" s="11">
        <v>10234</v>
      </c>
      <c r="L1987" s="17">
        <f>HYPERLINK("http://www.bayanipay.com", "www.bayanipay.com")</f>
      </c>
      <c r="M1987" s="17">
        <f>HYPERLINK("https://my.pitchbook.com?c=483630-40", "View Company Online")</f>
      </c>
    </row>
    <row r="1988">
      <c r="A1988" t="s" s="10">
        <v>10236</v>
      </c>
      <c r="B1988" t="s" s="10">
        <v>10237</v>
      </c>
      <c r="C1988" t="s" s="10">
        <v>222</v>
      </c>
      <c r="D1988" t="s" s="10">
        <v>235</v>
      </c>
      <c r="E1988" t="s" s="10">
        <v>253</v>
      </c>
      <c r="F1988" s="27">
        <v>45842</v>
      </c>
      <c r="G1988" t="s" s="10">
        <v>40</v>
      </c>
      <c r="H1988" s="42">
        <v>0.62</v>
      </c>
      <c r="I1988" s="42">
        <v>25.07</v>
      </c>
      <c r="J1988" t="s" s="10">
        <v>10238</v>
      </c>
      <c r="K1988" t="s" s="10">
        <v>10239</v>
      </c>
      <c r="L1988" s="16">
        <f>HYPERLINK("http://www.joinodin.com", "www.joinodin.com")</f>
      </c>
      <c r="M1988" s="16">
        <f>HYPERLINK("https://my.pitchbook.com?c=471892-51", "View Company Online")</f>
      </c>
    </row>
    <row r="1989">
      <c r="A1989" t="s" s="11">
        <v>10241</v>
      </c>
      <c r="B1989" t="s" s="11">
        <v>10242</v>
      </c>
      <c r="C1989" t="s" s="11">
        <v>60</v>
      </c>
      <c r="D1989" t="s" s="11">
        <v>192</v>
      </c>
      <c r="E1989" t="s" s="11">
        <v>270</v>
      </c>
      <c r="F1989" s="28">
        <v>45627</v>
      </c>
      <c r="G1989" t="s" s="11">
        <v>146</v>
      </c>
      <c r="H1989" s="43">
        <v>11.73</v>
      </c>
      <c r="I1989" s="43">
        <v>25.02</v>
      </c>
      <c r="J1989" t="s" s="11">
        <v>10243</v>
      </c>
      <c r="K1989" t="s" s="11">
        <v>10244</v>
      </c>
      <c r="L1989" s="17">
        <f>HYPERLINK("http://www.habitto.com", "www.habitto.com")</f>
      </c>
      <c r="M1989" s="17">
        <f>HYPERLINK("https://my.pitchbook.com?c=491696-74", "View Company Online")</f>
      </c>
    </row>
    <row r="1990">
      <c r="A1990" t="s" s="10">
        <v>10246</v>
      </c>
      <c r="B1990" t="s" s="10">
        <v>10247</v>
      </c>
      <c r="C1990" t="s" s="10">
        <v>222</v>
      </c>
      <c r="D1990" t="s" s="10">
        <v>235</v>
      </c>
      <c r="E1990" t="s" s="10">
        <v>137</v>
      </c>
      <c r="F1990" s="27">
        <v>45789</v>
      </c>
      <c r="G1990" t="s" s="10">
        <v>146</v>
      </c>
      <c r="H1990" s="42">
        <v>5.82</v>
      </c>
      <c r="I1990" s="42">
        <v>25.01</v>
      </c>
      <c r="J1990" t="s" s="10">
        <v>10248</v>
      </c>
      <c r="K1990" t="s" s="10">
        <v>10249</v>
      </c>
      <c r="L1990" s="16">
        <f>HYPERLINK("http://www.retailbook.com", "www.retailbook.com")</f>
      </c>
      <c r="M1990" s="16">
        <f>HYPERLINK("https://my.pitchbook.com?c=551769-04", "View Company Online")</f>
      </c>
    </row>
    <row r="1991">
      <c r="A1991" t="s" s="11">
        <v>10251</v>
      </c>
      <c r="B1991" t="s" s="11">
        <v>10252</v>
      </c>
      <c r="C1991" t="s" s="11">
        <v>60</v>
      </c>
      <c r="D1991" t="s" s="11">
        <v>727</v>
      </c>
      <c r="E1991" t="s" s="11">
        <v>414</v>
      </c>
      <c r="F1991" s="28">
        <v>45060</v>
      </c>
      <c r="G1991" t="s" s="11">
        <v>5274</v>
      </c>
      <c r="H1991" s="43">
        <v>15</v>
      </c>
      <c r="I1991" s="43">
        <v>25</v>
      </c>
      <c r="J1991" t="s" s="11">
        <v>10253</v>
      </c>
      <c r="K1991" t="s" s="11">
        <v>10254</v>
      </c>
      <c r="L1991" s="17">
        <f>HYPERLINK("http://www.alliocapital.com", "www.alliocapital.com")</f>
      </c>
      <c r="M1991" s="17">
        <f>HYPERLINK("https://my.pitchbook.com?c=466968-43", "View Company Online")</f>
      </c>
    </row>
    <row r="1992">
      <c r="A1992" t="s" s="10">
        <v>10256</v>
      </c>
      <c r="B1992" t="s" s="10">
        <v>10257</v>
      </c>
      <c r="C1992" t="s" s="10">
        <v>164</v>
      </c>
      <c r="D1992" t="s" s="10">
        <v>206</v>
      </c>
      <c r="E1992" t="s" s="10">
        <v>859</v>
      </c>
      <c r="F1992" s="27">
        <v>45672</v>
      </c>
      <c r="G1992" t="s" s="10">
        <v>607</v>
      </c>
      <c r="H1992" t="s" s="42">
        <v>30</v>
      </c>
      <c r="I1992" s="42">
        <v>25</v>
      </c>
      <c r="J1992" t="s" s="10">
        <v>10258</v>
      </c>
      <c r="K1992" t="s" s="10">
        <v>10259</v>
      </c>
      <c r="L1992" s="16">
        <f>HYPERLINK("http://www.alphaledger.com", "www.alphaledger.com")</f>
      </c>
      <c r="M1992" s="16">
        <f>HYPERLINK("https://my.pitchbook.com?c=435876-67", "View Company Online")</f>
      </c>
    </row>
    <row r="1993">
      <c r="A1993" t="s" s="11">
        <v>10261</v>
      </c>
      <c r="B1993" t="s" s="11">
        <v>10262</v>
      </c>
      <c r="C1993" t="s" s="11">
        <v>46</v>
      </c>
      <c r="D1993" t="s" s="11">
        <v>915</v>
      </c>
      <c r="E1993" t="s" s="11">
        <v>373</v>
      </c>
      <c r="F1993" t="s" s="28">
        <v>30</v>
      </c>
      <c r="G1993" t="s" s="11">
        <v>607</v>
      </c>
      <c r="H1993" t="s" s="43">
        <v>30</v>
      </c>
      <c r="I1993" s="43">
        <v>25</v>
      </c>
      <c r="J1993" t="s" s="11">
        <v>10263</v>
      </c>
      <c r="K1993" t="s" s="11">
        <v>10264</v>
      </c>
      <c r="L1993" s="17">
        <f>HYPERLINK("http://www.drivepoint.ai", "www.drivepoint.ai")</f>
      </c>
      <c r="M1993" s="17">
        <f>HYPERLINK("https://my.pitchbook.com?c=437902-75", "View Company Online")</f>
      </c>
    </row>
    <row r="1994">
      <c r="A1994" t="s" s="10">
        <v>10266</v>
      </c>
      <c r="B1994" t="s" s="10">
        <v>10267</v>
      </c>
      <c r="C1994" t="s" s="10">
        <v>46</v>
      </c>
      <c r="D1994" t="s" s="10">
        <v>78</v>
      </c>
      <c r="E1994" t="s" s="10">
        <v>96</v>
      </c>
      <c r="F1994" s="27">
        <v>45174</v>
      </c>
      <c r="G1994" t="s" s="10">
        <v>4267</v>
      </c>
      <c r="H1994" t="s" s="42">
        <v>30</v>
      </c>
      <c r="I1994" s="42">
        <v>25</v>
      </c>
      <c r="J1994" t="s" s="10">
        <v>10268</v>
      </c>
      <c r="K1994" t="s" s="10">
        <v>10269</v>
      </c>
      <c r="L1994" s="16">
        <f>HYPERLINK("http://www.trybeem.com", "www.trybeem.com")</f>
      </c>
      <c r="M1994" s="16">
        <f>HYPERLINK("https://my.pitchbook.com?c=453364-75", "View Company Online")</f>
      </c>
    </row>
    <row r="1995">
      <c r="A1995" t="s" s="11">
        <v>10271</v>
      </c>
      <c r="B1995" t="s" s="11">
        <v>10272</v>
      </c>
      <c r="C1995" t="s" s="11">
        <v>27</v>
      </c>
      <c r="D1995" t="s" s="11">
        <v>70</v>
      </c>
      <c r="E1995" t="s" s="11">
        <v>145</v>
      </c>
      <c r="F1995" s="28">
        <v>45987</v>
      </c>
      <c r="G1995" t="s" s="11">
        <v>4267</v>
      </c>
      <c r="H1995" s="43">
        <v>0.5</v>
      </c>
      <c r="I1995" s="43">
        <v>25</v>
      </c>
      <c r="J1995" t="s" s="11">
        <v>10273</v>
      </c>
      <c r="K1995" t="s" s="11">
        <v>10274</v>
      </c>
      <c r="L1995" s="17">
        <f>HYPERLINK("http://www.justbeep.it", "www.justbeep.it")</f>
      </c>
      <c r="M1995" s="17">
        <f>HYPERLINK("https://my.pitchbook.com?c=1231697-62", "View Company Online")</f>
      </c>
    </row>
    <row r="1996">
      <c r="A1996" t="s" s="10">
        <v>10276</v>
      </c>
      <c r="B1996" t="s" s="10">
        <v>10277</v>
      </c>
      <c r="C1996" t="s" s="10">
        <v>128</v>
      </c>
      <c r="D1996" t="s" s="10">
        <v>276</v>
      </c>
      <c r="E1996" t="s" s="10">
        <v>373</v>
      </c>
      <c r="F1996" s="27">
        <v>46000</v>
      </c>
      <c r="G1996" t="s" s="10">
        <v>4267</v>
      </c>
      <c r="H1996" s="42">
        <v>2.5</v>
      </c>
      <c r="I1996" s="42">
        <v>25</v>
      </c>
      <c r="J1996" t="s" s="10">
        <v>10278</v>
      </c>
      <c r="K1996" t="s" s="10">
        <v>30</v>
      </c>
      <c r="L1996" s="16">
        <f>HYPERLINK("http://www.bloxley.com", "www.bloxley.com")</f>
      </c>
      <c r="M1996" s="16">
        <f>HYPERLINK("https://my.pitchbook.com?c=556127-11", "View Company Online")</f>
      </c>
    </row>
    <row r="1997">
      <c r="A1997" t="s" s="11">
        <v>10280</v>
      </c>
      <c r="B1997" t="s" s="11">
        <v>10281</v>
      </c>
      <c r="C1997" t="s" s="11">
        <v>27</v>
      </c>
      <c r="D1997" t="s" s="11">
        <v>28</v>
      </c>
      <c r="E1997" t="s" s="11">
        <v>414</v>
      </c>
      <c r="F1997" s="28">
        <v>45931</v>
      </c>
      <c r="G1997" t="s" s="11">
        <v>146</v>
      </c>
      <c r="H1997" t="s" s="43">
        <v>30</v>
      </c>
      <c r="I1997" s="43">
        <v>25</v>
      </c>
      <c r="J1997" t="s" s="11">
        <v>10282</v>
      </c>
      <c r="K1997" t="s" s="11">
        <v>10283</v>
      </c>
      <c r="L1997" s="17">
        <f>HYPERLINK("http://www.chargeup.ai", "www.chargeup.ai")</f>
      </c>
      <c r="M1997" s="17">
        <f>HYPERLINK("https://my.pitchbook.com?c=548348-59", "View Company Online")</f>
      </c>
    </row>
    <row r="1998">
      <c r="A1998" t="s" s="10">
        <v>10285</v>
      </c>
      <c r="B1998" t="s" s="10">
        <v>10286</v>
      </c>
      <c r="C1998" t="s" s="10">
        <v>114</v>
      </c>
      <c r="D1998" t="s" s="10">
        <v>115</v>
      </c>
      <c r="E1998" t="s" s="10">
        <v>10287</v>
      </c>
      <c r="F1998" s="27">
        <v>45420</v>
      </c>
      <c r="G1998" t="s" s="10">
        <v>40</v>
      </c>
      <c r="H1998" s="42">
        <v>0.9</v>
      </c>
      <c r="I1998" s="42">
        <v>25</v>
      </c>
      <c r="J1998" t="s" s="10">
        <v>10288</v>
      </c>
      <c r="K1998" t="s" s="10">
        <v>10289</v>
      </c>
      <c r="L1998" s="16">
        <f>HYPERLINK("http://www.cofilending.com", "www.cofilending.com")</f>
      </c>
      <c r="M1998" s="16">
        <f>HYPERLINK("https://my.pitchbook.com?c=399117-25", "View Company Online")</f>
      </c>
    </row>
    <row r="1999">
      <c r="A1999" t="s" s="11">
        <v>10291</v>
      </c>
      <c r="B1999" t="s" s="11">
        <v>10292</v>
      </c>
      <c r="C1999" t="s" s="11">
        <v>60</v>
      </c>
      <c r="D1999" t="s" s="11">
        <v>246</v>
      </c>
      <c r="E1999" t="s" s="11">
        <v>193</v>
      </c>
      <c r="F1999" s="28">
        <v>45090</v>
      </c>
      <c r="G1999" t="s" s="11">
        <v>4267</v>
      </c>
      <c r="H1999" s="43">
        <v>5</v>
      </c>
      <c r="I1999" s="43">
        <v>25</v>
      </c>
      <c r="J1999" t="s" s="11">
        <v>10293</v>
      </c>
      <c r="K1999" t="s" s="11">
        <v>10294</v>
      </c>
      <c r="L1999" s="17">
        <f>HYPERLINK("http://www.collectibles.com", "www.collectibles.com")</f>
      </c>
      <c r="M1999" s="17">
        <f>HYPERLINK("https://my.pitchbook.com?c=469689-85", "View Company Online")</f>
      </c>
    </row>
    <row r="2000">
      <c r="A2000" t="s" s="10">
        <v>10296</v>
      </c>
      <c r="B2000" t="s" s="10">
        <v>10297</v>
      </c>
      <c r="C2000" t="s" s="10">
        <v>164</v>
      </c>
      <c r="D2000" t="s" s="10">
        <v>165</v>
      </c>
      <c r="E2000" t="s" s="10">
        <v>414</v>
      </c>
      <c r="F2000" s="27">
        <v>45708</v>
      </c>
      <c r="G2000" t="s" s="10">
        <v>146</v>
      </c>
      <c r="H2000" s="42">
        <v>2</v>
      </c>
      <c r="I2000" s="42">
        <v>25</v>
      </c>
      <c r="J2000" t="s" s="10">
        <v>10298</v>
      </c>
      <c r="K2000" t="s" s="10">
        <v>10299</v>
      </c>
      <c r="L2000" s="16">
        <f>HYPERLINK("http://collectwise.com", "collectwise.com")</f>
      </c>
      <c r="M2000" s="16">
        <f>HYPERLINK("https://my.pitchbook.com?c=608800-24", "View Company Online")</f>
      </c>
    </row>
    <row r="2001">
      <c r="A2001" t="s" s="11">
        <v>10301</v>
      </c>
      <c r="B2001" t="s" s="11">
        <v>10302</v>
      </c>
      <c r="C2001" t="s" s="11">
        <v>27</v>
      </c>
      <c r="D2001" t="s" s="11">
        <v>28</v>
      </c>
      <c r="E2001" t="s" s="11">
        <v>259</v>
      </c>
      <c r="F2001" t="s" s="28">
        <v>30</v>
      </c>
      <c r="G2001" t="s" s="11">
        <v>48</v>
      </c>
      <c r="H2001" t="s" s="43">
        <v>30</v>
      </c>
      <c r="I2001" s="43">
        <v>25</v>
      </c>
      <c r="J2001" t="s" s="11">
        <v>10303</v>
      </c>
      <c r="K2001" t="s" s="11">
        <v>10304</v>
      </c>
      <c r="L2001" s="17">
        <f>HYPERLINK("http://www.connexpay.com", "www.connexpay.com")</f>
      </c>
      <c r="M2001" s="17">
        <f>HYPERLINK("https://my.pitchbook.com?c=183245-95", "View Company Online")</f>
      </c>
    </row>
    <row r="2002">
      <c r="A2002" t="s" s="10">
        <v>10306</v>
      </c>
      <c r="B2002" t="s" s="10">
        <v>10307</v>
      </c>
      <c r="C2002" t="s" s="10">
        <v>46</v>
      </c>
      <c r="D2002" t="s" s="10">
        <v>915</v>
      </c>
      <c r="E2002" t="s" s="10">
        <v>152</v>
      </c>
      <c r="F2002" s="27">
        <v>44791</v>
      </c>
      <c r="G2002" t="s" s="10">
        <v>146</v>
      </c>
      <c r="H2002" s="42">
        <v>0.3</v>
      </c>
      <c r="I2002" s="42">
        <v>25</v>
      </c>
      <c r="J2002" t="s" s="10">
        <v>10308</v>
      </c>
      <c r="K2002" t="s" s="10">
        <v>10309</v>
      </c>
      <c r="L2002" s="16">
        <f>HYPERLINK("http://www.doublefin.com", "www.doublefin.com")</f>
      </c>
      <c r="M2002" s="16">
        <f>HYPERLINK("https://my.pitchbook.com?c=465321-43", "View Company Online")</f>
      </c>
    </row>
    <row r="2003">
      <c r="A2003" t="s" s="11">
        <v>10311</v>
      </c>
      <c r="B2003" t="s" s="11">
        <v>10312</v>
      </c>
      <c r="C2003" t="s" s="11">
        <v>60</v>
      </c>
      <c r="D2003" t="s" s="11">
        <v>246</v>
      </c>
      <c r="E2003" t="s" s="11">
        <v>373</v>
      </c>
      <c r="F2003" s="28">
        <v>45700</v>
      </c>
      <c r="G2003" t="s" s="11">
        <v>4267</v>
      </c>
      <c r="H2003" s="43">
        <v>9.36</v>
      </c>
      <c r="I2003" s="43">
        <v>25</v>
      </c>
      <c r="J2003" t="s" s="11">
        <v>10313</v>
      </c>
      <c r="K2003" t="s" s="11">
        <v>10314</v>
      </c>
      <c r="L2003" s="17">
        <f>HYPERLINK("http://www.era.app", "www.era.app")</f>
      </c>
      <c r="M2003" s="17">
        <f>HYPERLINK("https://my.pitchbook.com?c=538134-67", "View Company Online")</f>
      </c>
    </row>
    <row r="2004">
      <c r="A2004" t="s" s="10">
        <v>10316</v>
      </c>
      <c r="B2004" t="s" s="10">
        <v>10317</v>
      </c>
      <c r="C2004" t="s" s="10">
        <v>60</v>
      </c>
      <c r="D2004" t="s" s="10">
        <v>246</v>
      </c>
      <c r="E2004" t="s" s="10">
        <v>29</v>
      </c>
      <c r="F2004" t="s" s="27">
        <v>30</v>
      </c>
      <c r="G2004" t="s" s="10">
        <v>4427</v>
      </c>
      <c r="H2004" t="s" s="42">
        <v>30</v>
      </c>
      <c r="I2004" s="42">
        <v>25</v>
      </c>
      <c r="J2004" t="s" s="10">
        <v>10318</v>
      </c>
      <c r="K2004" t="s" s="10">
        <v>30</v>
      </c>
      <c r="L2004" s="16">
        <f>HYPERLINK("http://www.figgwealth.com", "www.figgwealth.com")</f>
      </c>
      <c r="M2004" s="16">
        <f>HYPERLINK("https://my.pitchbook.com?c=458770-78", "View Company Online")</f>
      </c>
    </row>
    <row r="2005">
      <c r="A2005" t="s" s="11">
        <v>10320</v>
      </c>
      <c r="B2005" t="s" s="11">
        <v>10321</v>
      </c>
      <c r="C2005" t="s" s="11">
        <v>37</v>
      </c>
      <c r="D2005" t="s" s="11">
        <v>304</v>
      </c>
      <c r="E2005" t="s" s="11">
        <v>623</v>
      </c>
      <c r="F2005" s="28">
        <v>46169</v>
      </c>
      <c r="G2005" t="s" s="11">
        <v>607</v>
      </c>
      <c r="H2005" t="s" s="43">
        <v>30</v>
      </c>
      <c r="I2005" s="43">
        <v>25</v>
      </c>
      <c r="J2005" t="s" s="11">
        <v>10322</v>
      </c>
      <c r="K2005" t="s" s="11">
        <v>10323</v>
      </c>
      <c r="L2005" s="17">
        <f>HYPERLINK("http://www.flexpay.co.ke", "www.flexpay.co.ke")</f>
      </c>
      <c r="M2005" s="17">
        <f>HYPERLINK("https://my.pitchbook.com?c=225825-31", "View Company Online")</f>
      </c>
    </row>
    <row r="2006">
      <c r="A2006" t="s" s="10">
        <v>10325</v>
      </c>
      <c r="B2006" t="s" s="10">
        <v>10326</v>
      </c>
      <c r="C2006" t="s" s="10">
        <v>222</v>
      </c>
      <c r="D2006" t="s" s="10">
        <v>223</v>
      </c>
      <c r="E2006" t="s" s="10">
        <v>414</v>
      </c>
      <c r="F2006" s="27">
        <v>45867</v>
      </c>
      <c r="G2006" t="s" s="10">
        <v>4267</v>
      </c>
      <c r="H2006" s="42">
        <v>5</v>
      </c>
      <c r="I2006" s="42">
        <v>25</v>
      </c>
      <c r="J2006" t="s" s="10">
        <v>10327</v>
      </c>
      <c r="K2006" t="s" s="10">
        <v>10328</v>
      </c>
      <c r="L2006" s="16">
        <f>HYPERLINK("http://www.keye.co", "www.keye.co")</f>
      </c>
      <c r="M2006" s="16">
        <f>HYPERLINK("https://my.pitchbook.com?c=497922-76", "View Company Online")</f>
      </c>
    </row>
    <row r="2007">
      <c r="A2007" t="s" s="11">
        <v>10330</v>
      </c>
      <c r="B2007" t="s" s="11">
        <v>10331</v>
      </c>
      <c r="C2007" t="s" s="11">
        <v>46</v>
      </c>
      <c r="D2007" t="s" s="11">
        <v>47</v>
      </c>
      <c r="E2007" t="s" s="11">
        <v>2788</v>
      </c>
      <c r="F2007" s="28">
        <v>45784</v>
      </c>
      <c r="G2007" t="s" s="11">
        <v>4267</v>
      </c>
      <c r="H2007" s="43">
        <v>7</v>
      </c>
      <c r="I2007" s="43">
        <v>25</v>
      </c>
      <c r="J2007" t="s" s="11">
        <v>10332</v>
      </c>
      <c r="K2007" t="s" s="11">
        <v>10333</v>
      </c>
      <c r="L2007" s="17">
        <f>HYPERLINK("http://www.limitedapp.com", "www.limitedapp.com")</f>
      </c>
      <c r="M2007" s="17">
        <f>HYPERLINK("https://my.pitchbook.com?c=707769-55", "View Company Online")</f>
      </c>
    </row>
    <row r="2008">
      <c r="A2008" t="s" s="10">
        <v>10335</v>
      </c>
      <c r="B2008" t="s" s="10">
        <v>10336</v>
      </c>
      <c r="C2008" t="s" s="10">
        <v>60</v>
      </c>
      <c r="D2008" t="s" s="10">
        <v>727</v>
      </c>
      <c r="E2008" t="s" s="10">
        <v>137</v>
      </c>
      <c r="F2008" s="27">
        <v>46037</v>
      </c>
      <c r="G2008" t="s" s="10">
        <v>146</v>
      </c>
      <c r="H2008" s="42">
        <v>1</v>
      </c>
      <c r="I2008" s="42">
        <v>25</v>
      </c>
      <c r="J2008" t="s" s="10">
        <v>10337</v>
      </c>
      <c r="K2008" t="s" s="10">
        <v>10338</v>
      </c>
      <c r="L2008" s="16">
        <f>HYPERLINK("http://www.luxusco.com", "www.luxusco.com")</f>
      </c>
      <c r="M2008" s="16">
        <f>HYPERLINK("https://my.pitchbook.com?c=496402-84", "View Company Online")</f>
      </c>
    </row>
    <row r="2009">
      <c r="A2009" t="s" s="11">
        <v>10340</v>
      </c>
      <c r="B2009" t="s" s="11">
        <v>10341</v>
      </c>
      <c r="C2009" t="s" s="11">
        <v>114</v>
      </c>
      <c r="D2009" t="s" s="11">
        <v>852</v>
      </c>
      <c r="E2009" t="s" s="11">
        <v>108</v>
      </c>
      <c r="F2009" s="28">
        <v>45903</v>
      </c>
      <c r="G2009" t="s" s="11">
        <v>31</v>
      </c>
      <c r="H2009" s="43">
        <v>50</v>
      </c>
      <c r="I2009" s="43">
        <v>25</v>
      </c>
      <c r="J2009" t="s" s="11">
        <v>10342</v>
      </c>
      <c r="K2009" t="s" s="11">
        <v>10343</v>
      </c>
      <c r="L2009" s="17">
        <f>HYPERLINK("http://www.mattilda.io", "www.mattilda.io")</f>
      </c>
      <c r="M2009" s="17">
        <f>HYPERLINK("https://my.pitchbook.com?c=497838-16", "View Company Online")</f>
      </c>
    </row>
    <row r="2010">
      <c r="A2010" t="s" s="10">
        <v>10345</v>
      </c>
      <c r="B2010" t="s" s="10">
        <v>10346</v>
      </c>
      <c r="C2010" t="s" s="10">
        <v>60</v>
      </c>
      <c r="D2010" t="s" s="10">
        <v>727</v>
      </c>
      <c r="E2010" t="s" s="10">
        <v>116</v>
      </c>
      <c r="F2010" t="s" s="27">
        <v>30</v>
      </c>
      <c r="G2010" t="s" s="10">
        <v>40</v>
      </c>
      <c r="H2010" s="42">
        <v>3</v>
      </c>
      <c r="I2010" s="42">
        <v>25</v>
      </c>
      <c r="J2010" t="s" s="10">
        <v>10347</v>
      </c>
      <c r="K2010" t="s" s="10">
        <v>10348</v>
      </c>
      <c r="L2010" s="16">
        <f>HYPERLINK("http://www.moneyclubber.com", "www.moneyclubber.com")</f>
      </c>
      <c r="M2010" s="16">
        <f>HYPERLINK("https://my.pitchbook.com?c=434891-53", "View Company Online")</f>
      </c>
    </row>
    <row r="2011">
      <c r="A2011" t="s" s="11">
        <v>10350</v>
      </c>
      <c r="B2011" t="s" s="11">
        <v>10351</v>
      </c>
      <c r="C2011" t="s" s="11">
        <v>60</v>
      </c>
      <c r="D2011" t="s" s="11">
        <v>727</v>
      </c>
      <c r="E2011" t="s" s="11">
        <v>137</v>
      </c>
      <c r="F2011" s="28">
        <v>46148</v>
      </c>
      <c r="G2011" t="s" s="11">
        <v>4267</v>
      </c>
      <c r="H2011" s="43">
        <v>2.5</v>
      </c>
      <c r="I2011" s="43">
        <v>25</v>
      </c>
      <c r="J2011" t="s" s="11">
        <v>10352</v>
      </c>
      <c r="K2011" t="s" s="11">
        <v>10353</v>
      </c>
      <c r="L2011" s="17">
        <f>HYPERLINK("http://www.morningline.io", "www.morningline.io")</f>
      </c>
      <c r="M2011" s="17">
        <f>HYPERLINK("https://my.pitchbook.com?c=528444-73", "View Company Online")</f>
      </c>
    </row>
    <row r="2012">
      <c r="A2012" t="s" s="10">
        <v>10355</v>
      </c>
      <c r="B2012" t="s" s="10">
        <v>10356</v>
      </c>
      <c r="C2012" t="s" s="10">
        <v>222</v>
      </c>
      <c r="D2012" t="s" s="10">
        <v>223</v>
      </c>
      <c r="E2012" t="s" s="10">
        <v>373</v>
      </c>
      <c r="F2012" s="27">
        <v>45870</v>
      </c>
      <c r="G2012" t="s" s="10">
        <v>4267</v>
      </c>
      <c r="H2012" s="42">
        <v>5</v>
      </c>
      <c r="I2012" s="42">
        <v>25</v>
      </c>
      <c r="J2012" t="s" s="10">
        <v>10357</v>
      </c>
      <c r="K2012" t="s" s="10">
        <v>10358</v>
      </c>
      <c r="L2012" s="16">
        <f>HYPERLINK("http://www.nvestiv.com", "www.nvestiv.com")</f>
      </c>
      <c r="M2012" s="16">
        <f>HYPERLINK("https://my.pitchbook.com?c=435588-49", "View Company Online")</f>
      </c>
    </row>
    <row r="2013">
      <c r="A2013" t="s" s="11">
        <v>10360</v>
      </c>
      <c r="B2013" t="s" s="11">
        <v>10361</v>
      </c>
      <c r="C2013" t="s" s="11">
        <v>27</v>
      </c>
      <c r="D2013" t="s" s="11">
        <v>28</v>
      </c>
      <c r="E2013" t="s" s="11">
        <v>10362</v>
      </c>
      <c r="F2013" s="28">
        <v>45846</v>
      </c>
      <c r="G2013" t="s" s="11">
        <v>4267</v>
      </c>
      <c r="H2013" s="43">
        <v>4.5</v>
      </c>
      <c r="I2013" s="43">
        <v>25</v>
      </c>
      <c r="J2013" t="s" s="11">
        <v>10363</v>
      </c>
      <c r="K2013" t="s" s="11">
        <v>10364</v>
      </c>
      <c r="L2013" s="17">
        <f>HYPERLINK("http://home.onetext.com", "home.onetext.com")</f>
      </c>
      <c r="M2013" s="17">
        <f>HYPERLINK("https://my.pitchbook.com?c=515849-23", "View Company Online")</f>
      </c>
    </row>
    <row r="2014">
      <c r="A2014" t="s" s="10">
        <v>10366</v>
      </c>
      <c r="B2014" t="s" s="10">
        <v>10367</v>
      </c>
      <c r="C2014" t="s" s="10">
        <v>27</v>
      </c>
      <c r="D2014" t="s" s="10">
        <v>28</v>
      </c>
      <c r="E2014" t="s" s="10">
        <v>137</v>
      </c>
      <c r="F2014" s="27">
        <v>45323</v>
      </c>
      <c r="G2014" t="s" s="10">
        <v>40</v>
      </c>
      <c r="H2014" t="s" s="42">
        <v>30</v>
      </c>
      <c r="I2014" s="42">
        <v>25</v>
      </c>
      <c r="J2014" t="s" s="10">
        <v>10368</v>
      </c>
      <c r="K2014" t="s" s="10">
        <v>10369</v>
      </c>
      <c r="L2014" s="16">
        <f>HYPERLINK("http://www.payze.io", "www.payze.io")</f>
      </c>
      <c r="M2014" s="16">
        <f>HYPERLINK("https://my.pitchbook.com?c=471555-73", "View Company Online")</f>
      </c>
    </row>
    <row r="2015">
      <c r="A2015" t="s" s="11">
        <v>10371</v>
      </c>
      <c r="B2015" t="s" s="11">
        <v>10372</v>
      </c>
      <c r="C2015" t="s" s="11">
        <v>114</v>
      </c>
      <c r="D2015" t="s" s="11">
        <v>115</v>
      </c>
      <c r="E2015" t="s" s="11">
        <v>373</v>
      </c>
      <c r="F2015" t="s" s="28">
        <v>30</v>
      </c>
      <c r="G2015" t="s" s="11">
        <v>146</v>
      </c>
      <c r="H2015" t="s" s="43">
        <v>30</v>
      </c>
      <c r="I2015" s="43">
        <v>25</v>
      </c>
      <c r="J2015" t="s" s="11">
        <v>10373</v>
      </c>
      <c r="K2015" t="s" s="11">
        <v>10374</v>
      </c>
      <c r="L2015" s="17">
        <f>HYPERLINK("http://www.pillarlab.ai", "www.pillarlab.ai")</f>
      </c>
      <c r="M2015" s="17">
        <f>HYPERLINK("https://my.pitchbook.com?c=499327-39", "View Company Online")</f>
      </c>
    </row>
    <row r="2016">
      <c r="A2016" t="s" s="10">
        <v>10376</v>
      </c>
      <c r="B2016" t="s" s="10">
        <v>10377</v>
      </c>
      <c r="C2016" t="s" s="10">
        <v>222</v>
      </c>
      <c r="D2016" t="s" s="10">
        <v>235</v>
      </c>
      <c r="E2016" t="s" s="10">
        <v>634</v>
      </c>
      <c r="F2016" s="27">
        <v>45609</v>
      </c>
      <c r="G2016" t="s" s="10">
        <v>40</v>
      </c>
      <c r="H2016" s="42">
        <v>1.5</v>
      </c>
      <c r="I2016" s="42">
        <v>25</v>
      </c>
      <c r="J2016" t="s" s="10">
        <v>10378</v>
      </c>
      <c r="K2016" t="s" s="10">
        <v>10379</v>
      </c>
      <c r="L2016" s="16">
        <f>HYPERLINK("http://www.pitchly.com", "www.pitchly.com")</f>
      </c>
      <c r="M2016" s="16">
        <f>HYPERLINK("https://my.pitchbook.com?c=228737-62", "View Company Online")</f>
      </c>
    </row>
    <row r="2017">
      <c r="A2017" t="s" s="11">
        <v>10381</v>
      </c>
      <c r="B2017" t="s" s="11">
        <v>10382</v>
      </c>
      <c r="C2017" t="s" s="11">
        <v>46</v>
      </c>
      <c r="D2017" t="s" s="11">
        <v>397</v>
      </c>
      <c r="E2017" t="s" s="11">
        <v>373</v>
      </c>
      <c r="F2017" t="s" s="28">
        <v>30</v>
      </c>
      <c r="G2017" t="s" s="11">
        <v>4267</v>
      </c>
      <c r="H2017" t="s" s="43">
        <v>30</v>
      </c>
      <c r="I2017" s="43">
        <v>25</v>
      </c>
      <c r="J2017" t="s" s="11">
        <v>10383</v>
      </c>
      <c r="K2017" t="s" s="11">
        <v>10384</v>
      </c>
      <c r="L2017" s="17">
        <f>HYPERLINK("http://www.remitian.com", "www.remitian.com")</f>
      </c>
      <c r="M2017" s="17">
        <f>HYPERLINK("https://my.pitchbook.com?c=597100-78", "View Company Online")</f>
      </c>
    </row>
    <row r="2018">
      <c r="A2018" t="s" s="10">
        <v>10386</v>
      </c>
      <c r="B2018" t="s" s="10">
        <v>10387</v>
      </c>
      <c r="C2018" t="s" s="10">
        <v>222</v>
      </c>
      <c r="D2018" t="s" s="10">
        <v>223</v>
      </c>
      <c r="E2018" t="s" s="10">
        <v>367</v>
      </c>
      <c r="F2018" s="27">
        <v>46078</v>
      </c>
      <c r="G2018" t="s" s="10">
        <v>391</v>
      </c>
      <c r="H2018" t="s" s="42">
        <v>30</v>
      </c>
      <c r="I2018" s="42">
        <v>25</v>
      </c>
      <c r="J2018" t="s" s="10">
        <v>10388</v>
      </c>
      <c r="K2018" t="s" s="10">
        <v>10389</v>
      </c>
      <c r="L2018" s="16">
        <f>HYPERLINK("http://www.thesfactor.co", "www.thesfactor.co")</f>
      </c>
      <c r="M2018" s="16">
        <f>HYPERLINK("https://my.pitchbook.com?c=152509-51", "View Company Online")</f>
      </c>
    </row>
    <row r="2019">
      <c r="A2019" t="s" s="11">
        <v>10391</v>
      </c>
      <c r="B2019" t="s" s="11">
        <v>10392</v>
      </c>
      <c r="C2019" t="s" s="11">
        <v>37</v>
      </c>
      <c r="D2019" t="s" s="11">
        <v>38</v>
      </c>
      <c r="E2019" t="s" s="11">
        <v>137</v>
      </c>
      <c r="F2019" s="28">
        <v>46138</v>
      </c>
      <c r="G2019" t="s" s="11">
        <v>2051</v>
      </c>
      <c r="H2019" t="s" s="43">
        <v>30</v>
      </c>
      <c r="I2019" s="43">
        <v>25</v>
      </c>
      <c r="J2019" t="s" s="11">
        <v>10393</v>
      </c>
      <c r="K2019" t="s" s="11">
        <v>30</v>
      </c>
      <c r="L2019" s="17">
        <f>HYPERLINK("http://www.swellmoney.com", "www.swellmoney.com")</f>
      </c>
      <c r="M2019" s="17">
        <f>HYPERLINK("https://my.pitchbook.com?c=491692-78", "View Company Online")</f>
      </c>
    </row>
    <row r="2020">
      <c r="A2020" t="s" s="10">
        <v>10395</v>
      </c>
      <c r="B2020" t="s" s="10">
        <v>10396</v>
      </c>
      <c r="C2020" t="s" s="10">
        <v>37</v>
      </c>
      <c r="D2020" t="s" s="10">
        <v>38</v>
      </c>
      <c r="E2020" t="s" s="10">
        <v>270</v>
      </c>
      <c r="F2020" s="27">
        <v>45756</v>
      </c>
      <c r="G2020" t="s" s="10">
        <v>31</v>
      </c>
      <c r="H2020" s="42">
        <v>5</v>
      </c>
      <c r="I2020" s="42">
        <v>25</v>
      </c>
      <c r="J2020" t="s" s="10">
        <v>10397</v>
      </c>
      <c r="K2020" t="s" s="10">
        <v>10398</v>
      </c>
      <c r="L2020" s="16">
        <f>HYPERLINK("http://www.umba.com", "www.umba.com")</f>
      </c>
      <c r="M2020" s="16">
        <f>HYPERLINK("https://my.pitchbook.com?c=266019-13", "View Company Online")</f>
      </c>
    </row>
    <row r="2021">
      <c r="A2021" t="s" s="11">
        <v>10400</v>
      </c>
      <c r="B2021" t="s" s="11">
        <v>10401</v>
      </c>
      <c r="C2021" t="s" s="11">
        <v>60</v>
      </c>
      <c r="D2021" t="s" s="11">
        <v>246</v>
      </c>
      <c r="E2021" t="s" s="11">
        <v>270</v>
      </c>
      <c r="F2021" s="28">
        <v>44656</v>
      </c>
      <c r="G2021" t="s" s="11">
        <v>146</v>
      </c>
      <c r="H2021" s="43">
        <v>12</v>
      </c>
      <c r="I2021" s="43">
        <v>25</v>
      </c>
      <c r="J2021" t="s" s="11">
        <v>10402</v>
      </c>
      <c r="K2021" t="s" s="11">
        <v>10403</v>
      </c>
      <c r="L2021" s="17">
        <f>HYPERLINK("http://www.vestedfinance.com", "www.vestedfinance.com")</f>
      </c>
      <c r="M2021" s="17">
        <f>HYPERLINK("https://my.pitchbook.com?c=277288-84", "View Company Online")</f>
      </c>
    </row>
    <row r="2022">
      <c r="A2022" t="s" s="10">
        <v>10405</v>
      </c>
      <c r="B2022" t="s" s="10">
        <v>10406</v>
      </c>
      <c r="C2022" t="s" s="10">
        <v>60</v>
      </c>
      <c r="D2022" t="s" s="10">
        <v>246</v>
      </c>
      <c r="E2022" t="s" s="10">
        <v>414</v>
      </c>
      <c r="F2022" s="27">
        <v>43908</v>
      </c>
      <c r="G2022" t="s" s="10">
        <v>4267</v>
      </c>
      <c r="H2022" s="42">
        <v>1.7</v>
      </c>
      <c r="I2022" s="42">
        <v>25</v>
      </c>
      <c r="J2022" t="s" s="10">
        <v>10407</v>
      </c>
      <c r="K2022" t="s" s="10">
        <v>10408</v>
      </c>
      <c r="L2022" s="16">
        <f>HYPERLINK("http://www.wealthyplanet.com", "www.wealthyplanet.com")</f>
      </c>
      <c r="M2022" s="16">
        <f>HYPERLINK("https://my.pitchbook.com?c=433294-12", "View Company Online")</f>
      </c>
    </row>
    <row r="2023">
      <c r="A2023" t="s" s="11">
        <v>10410</v>
      </c>
      <c r="B2023" t="s" s="11">
        <v>10411</v>
      </c>
      <c r="C2023" t="s" s="11">
        <v>27</v>
      </c>
      <c r="D2023" t="s" s="11">
        <v>28</v>
      </c>
      <c r="E2023" t="s" s="11">
        <v>137</v>
      </c>
      <c r="F2023" s="28">
        <v>44693</v>
      </c>
      <c r="G2023" t="s" s="11">
        <v>146</v>
      </c>
      <c r="H2023" s="43">
        <v>3.11</v>
      </c>
      <c r="I2023" s="43">
        <v>24.86</v>
      </c>
      <c r="J2023" t="s" s="11">
        <v>10412</v>
      </c>
      <c r="K2023" t="s" s="11">
        <v>10413</v>
      </c>
      <c r="L2023" s="17">
        <f>HYPERLINK("http://www.bivial.com", "www.bivial.com")</f>
      </c>
      <c r="M2023" s="17">
        <f>HYPERLINK("https://my.pitchbook.com?c=481419-01", "View Company Online")</f>
      </c>
    </row>
    <row r="2024">
      <c r="A2024" t="s" s="10">
        <v>10415</v>
      </c>
      <c r="B2024" t="s" s="10">
        <v>10416</v>
      </c>
      <c r="C2024" t="s" s="10">
        <v>46</v>
      </c>
      <c r="D2024" t="s" s="10">
        <v>47</v>
      </c>
      <c r="E2024" t="s" s="10">
        <v>373</v>
      </c>
      <c r="F2024" s="27">
        <v>45352</v>
      </c>
      <c r="G2024" t="s" s="10">
        <v>607</v>
      </c>
      <c r="H2024" t="s" s="42">
        <v>30</v>
      </c>
      <c r="I2024" s="42">
        <v>24.82</v>
      </c>
      <c r="J2024" t="s" s="10">
        <v>10417</v>
      </c>
      <c r="K2024" t="s" s="10">
        <v>10418</v>
      </c>
      <c r="L2024" s="16">
        <f>HYPERLINK("http://www.kolleno.com", "www.kolleno.com")</f>
      </c>
      <c r="M2024" s="16">
        <f>HYPERLINK("https://my.pitchbook.com?c=438797-35", "View Company Online")</f>
      </c>
    </row>
    <row r="2025">
      <c r="A2025" t="s" s="11">
        <v>10420</v>
      </c>
      <c r="B2025" t="s" s="11">
        <v>10421</v>
      </c>
      <c r="C2025" t="s" s="11">
        <v>164</v>
      </c>
      <c r="D2025" t="s" s="11">
        <v>165</v>
      </c>
      <c r="E2025" t="s" s="11">
        <v>1054</v>
      </c>
      <c r="F2025" s="28">
        <v>45261</v>
      </c>
      <c r="G2025" t="s" s="11">
        <v>48</v>
      </c>
      <c r="H2025" t="s" s="43">
        <v>30</v>
      </c>
      <c r="I2025" s="43">
        <v>24.81</v>
      </c>
      <c r="J2025" t="s" s="11">
        <v>10422</v>
      </c>
      <c r="K2025" t="s" s="11">
        <v>10423</v>
      </c>
      <c r="L2025" s="17">
        <f>HYPERLINK("http://www.firstaccess.co", "www.firstaccess.co")</f>
      </c>
      <c r="M2025" s="17">
        <f>HYPERLINK("https://my.pitchbook.com?c=107270-38", "View Company Online")</f>
      </c>
    </row>
    <row r="2026">
      <c r="A2026" t="s" s="10">
        <v>10425</v>
      </c>
      <c r="B2026" t="s" s="10">
        <v>10426</v>
      </c>
      <c r="C2026" t="s" s="10">
        <v>27</v>
      </c>
      <c r="D2026" t="s" s="10">
        <v>28</v>
      </c>
      <c r="E2026" t="s" s="10">
        <v>253</v>
      </c>
      <c r="F2026" s="27">
        <v>45621</v>
      </c>
      <c r="G2026" t="s" s="10">
        <v>146</v>
      </c>
      <c r="H2026" s="42">
        <v>7.16</v>
      </c>
      <c r="I2026" s="42">
        <v>24.73</v>
      </c>
      <c r="J2026" t="s" s="10">
        <v>10427</v>
      </c>
      <c r="K2026" t="s" s="10">
        <v>10428</v>
      </c>
      <c r="L2026" s="16">
        <f>HYPERLINK("http://lecto.co.jp", "lecto.co.jp")</f>
      </c>
      <c r="M2026" s="16">
        <f>HYPERLINK("https://my.pitchbook.com?c=493194-16", "View Company Online")</f>
      </c>
    </row>
    <row r="2027">
      <c r="A2027" t="s" s="11">
        <v>10430</v>
      </c>
      <c r="B2027" t="s" s="11">
        <v>10431</v>
      </c>
      <c r="C2027" t="s" s="11">
        <v>172</v>
      </c>
      <c r="D2027" t="s" s="11">
        <v>338</v>
      </c>
      <c r="E2027" t="s" s="11">
        <v>10432</v>
      </c>
      <c r="F2027" s="28">
        <v>45505</v>
      </c>
      <c r="G2027" t="s" s="11">
        <v>4267</v>
      </c>
      <c r="H2027" s="43">
        <v>2.15</v>
      </c>
      <c r="I2027" s="43">
        <v>24.65</v>
      </c>
      <c r="J2027" t="s" s="11">
        <v>10433</v>
      </c>
      <c r="K2027" t="s" s="11">
        <v>10434</v>
      </c>
      <c r="L2027" s="17">
        <f>HYPERLINK("http://www.triangle.digital", "www.triangle.digital")</f>
      </c>
      <c r="M2027" s="17">
        <f>HYPERLINK("https://my.pitchbook.com?c=437158-63", "View Company Online")</f>
      </c>
    </row>
    <row r="2028">
      <c r="A2028" t="s" s="10">
        <v>10436</v>
      </c>
      <c r="B2028" t="s" s="10">
        <v>10437</v>
      </c>
      <c r="C2028" t="s" s="10">
        <v>27</v>
      </c>
      <c r="D2028" t="s" s="10">
        <v>28</v>
      </c>
      <c r="E2028" t="s" s="10">
        <v>193</v>
      </c>
      <c r="F2028" s="27">
        <v>45964</v>
      </c>
      <c r="G2028" t="s" s="10">
        <v>40</v>
      </c>
      <c r="H2028" s="42">
        <v>4.98</v>
      </c>
      <c r="I2028" s="42">
        <v>24.64</v>
      </c>
      <c r="J2028" t="s" s="10">
        <v>10438</v>
      </c>
      <c r="K2028" t="s" s="10">
        <v>10439</v>
      </c>
      <c r="L2028" s="16">
        <f>HYPERLINK("http://www.givestar.io", "www.givestar.io")</f>
      </c>
      <c r="M2028" s="16">
        <f>HYPERLINK("https://my.pitchbook.com?c=459329-14", "View Company Online")</f>
      </c>
    </row>
    <row r="2029">
      <c r="A2029" t="s" s="11">
        <v>10441</v>
      </c>
      <c r="B2029" t="s" s="11">
        <v>10442</v>
      </c>
      <c r="C2029" t="s" s="11">
        <v>27</v>
      </c>
      <c r="D2029" t="s" s="11">
        <v>70</v>
      </c>
      <c r="E2029" t="s" s="11">
        <v>193</v>
      </c>
      <c r="F2029" s="28">
        <v>45887</v>
      </c>
      <c r="G2029" t="s" s="11">
        <v>40</v>
      </c>
      <c r="H2029" s="43">
        <v>2.48</v>
      </c>
      <c r="I2029" s="43">
        <v>24.64</v>
      </c>
      <c r="J2029" t="s" s="11">
        <v>10443</v>
      </c>
      <c r="K2029" t="s" s="11">
        <v>10444</v>
      </c>
      <c r="L2029" s="17">
        <f>HYPERLINK("http://www.omg.one", "www.omg.one")</f>
      </c>
      <c r="M2029" s="17">
        <f>HYPERLINK("https://my.pitchbook.com?c=436140-19", "View Company Online")</f>
      </c>
    </row>
    <row r="2030">
      <c r="A2030" t="s" s="10">
        <v>10446</v>
      </c>
      <c r="B2030" t="s" s="10">
        <v>10447</v>
      </c>
      <c r="C2030" t="s" s="10">
        <v>164</v>
      </c>
      <c r="D2030" t="s" s="10">
        <v>165</v>
      </c>
      <c r="E2030" t="s" s="10">
        <v>253</v>
      </c>
      <c r="F2030" s="27">
        <v>45854</v>
      </c>
      <c r="G2030" t="s" s="10">
        <v>40</v>
      </c>
      <c r="H2030" s="42">
        <v>5</v>
      </c>
      <c r="I2030" s="42">
        <v>24.63</v>
      </c>
      <c r="J2030" t="s" s="10">
        <v>10448</v>
      </c>
      <c r="K2030" t="s" s="10">
        <v>30</v>
      </c>
      <c r="L2030" s="16">
        <f>HYPERLINK("http://www.fynxt.com", "www.fynxt.com")</f>
      </c>
      <c r="M2030" s="16">
        <f>HYPERLINK("https://my.pitchbook.com?c=509891-32", "View Company Online")</f>
      </c>
    </row>
    <row r="2031">
      <c r="A2031" t="s" s="11">
        <v>10450</v>
      </c>
      <c r="B2031" t="s" s="11">
        <v>10451</v>
      </c>
      <c r="C2031" t="s" s="11">
        <v>114</v>
      </c>
      <c r="D2031" t="s" s="11">
        <v>136</v>
      </c>
      <c r="E2031" t="s" s="11">
        <v>137</v>
      </c>
      <c r="F2031" s="28">
        <v>46143</v>
      </c>
      <c r="G2031" t="s" s="11">
        <v>48</v>
      </c>
      <c r="H2031" t="s" s="43">
        <v>30</v>
      </c>
      <c r="I2031" s="43">
        <v>24.6</v>
      </c>
      <c r="J2031" t="s" s="11">
        <v>10452</v>
      </c>
      <c r="K2031" t="s" s="11">
        <v>10453</v>
      </c>
      <c r="L2031" s="17">
        <f>HYPERLINK("http://www.brocc.se", "www.brocc.se")</f>
      </c>
      <c r="M2031" s="17">
        <f>HYPERLINK("https://my.pitchbook.com?c=226051-30", "View Company Online")</f>
      </c>
    </row>
    <row r="2032">
      <c r="A2032" t="s" s="10">
        <v>10455</v>
      </c>
      <c r="B2032" t="s" s="10">
        <v>10456</v>
      </c>
      <c r="C2032" t="s" s="10">
        <v>37</v>
      </c>
      <c r="D2032" t="s" s="10">
        <v>38</v>
      </c>
      <c r="E2032" t="s" s="10">
        <v>10457</v>
      </c>
      <c r="F2032" s="27">
        <v>46190</v>
      </c>
      <c r="G2032" t="s" s="10">
        <v>271</v>
      </c>
      <c r="H2032" s="42">
        <v>9.28</v>
      </c>
      <c r="I2032" s="42">
        <v>24.57</v>
      </c>
      <c r="J2032" t="s" s="10">
        <v>10458</v>
      </c>
      <c r="K2032" t="s" s="10">
        <v>10459</v>
      </c>
      <c r="L2032" s="16">
        <f>HYPERLINK("http://www.green-got.com", "www.green-got.com")</f>
      </c>
      <c r="M2032" s="16">
        <f>HYPERLINK("https://my.pitchbook.com?c=463166-65", "View Company Online")</f>
      </c>
    </row>
    <row r="2033">
      <c r="A2033" t="s" s="11">
        <v>10461</v>
      </c>
      <c r="B2033" t="s" s="11">
        <v>10462</v>
      </c>
      <c r="C2033" t="s" s="11">
        <v>222</v>
      </c>
      <c r="D2033" t="s" s="11">
        <v>252</v>
      </c>
      <c r="E2033" t="s" s="11">
        <v>253</v>
      </c>
      <c r="F2033" s="28">
        <v>43524</v>
      </c>
      <c r="G2033" t="s" s="11">
        <v>40</v>
      </c>
      <c r="H2033" s="43">
        <v>2.58</v>
      </c>
      <c r="I2033" s="43">
        <v>24.51</v>
      </c>
      <c r="J2033" t="s" s="11">
        <v>10463</v>
      </c>
      <c r="K2033" t="s" s="11">
        <v>10464</v>
      </c>
      <c r="L2033" s="17">
        <f>HYPERLINK("http://www.murex.com", "www.murex.com")</f>
      </c>
      <c r="M2033" s="17">
        <f>HYPERLINK("https://my.pitchbook.com?c=158420-62", "View Company Online")</f>
      </c>
    </row>
    <row r="2034">
      <c r="A2034" t="s" s="10">
        <v>10466</v>
      </c>
      <c r="B2034" t="s" s="10">
        <v>10467</v>
      </c>
      <c r="C2034" t="s" s="10">
        <v>172</v>
      </c>
      <c r="D2034" t="s" s="10">
        <v>338</v>
      </c>
      <c r="E2034" t="s" s="10">
        <v>1679</v>
      </c>
      <c r="F2034" s="27">
        <v>45881</v>
      </c>
      <c r="G2034" t="s" s="10">
        <v>40</v>
      </c>
      <c r="H2034" s="42">
        <v>5.32</v>
      </c>
      <c r="I2034" s="42">
        <v>24.51</v>
      </c>
      <c r="J2034" t="s" s="10">
        <v>10468</v>
      </c>
      <c r="K2034" t="s" s="10">
        <v>10469</v>
      </c>
      <c r="L2034" s="16">
        <f>HYPERLINK("http://www.regask.com", "www.regask.com")</f>
      </c>
      <c r="M2034" s="16">
        <f>HYPERLINK("https://my.pitchbook.com?c=265004-02", "View Company Online")</f>
      </c>
    </row>
    <row r="2035">
      <c r="A2035" t="s" s="11">
        <v>10471</v>
      </c>
      <c r="B2035" t="s" s="11">
        <v>10472</v>
      </c>
      <c r="C2035" t="s" s="11">
        <v>144</v>
      </c>
      <c r="D2035" t="s" s="11">
        <v>297</v>
      </c>
      <c r="E2035" t="s" s="11">
        <v>5289</v>
      </c>
      <c r="F2035" s="28">
        <v>45944</v>
      </c>
      <c r="G2035" t="s" s="11">
        <v>4267</v>
      </c>
      <c r="H2035" s="43">
        <v>1.42</v>
      </c>
      <c r="I2035" s="43">
        <v>24.5</v>
      </c>
      <c r="J2035" t="s" s="11">
        <v>10473</v>
      </c>
      <c r="K2035" t="s" s="11">
        <v>10474</v>
      </c>
      <c r="L2035" s="17">
        <f>HYPERLINK("http://www.calculum.ai", "www.calculum.ai")</f>
      </c>
      <c r="M2035" s="17">
        <f>HYPERLINK("https://my.pitchbook.com?c=492987-70", "View Company Online")</f>
      </c>
    </row>
    <row r="2036">
      <c r="A2036" t="s" s="10">
        <v>10476</v>
      </c>
      <c r="B2036" t="s" s="10">
        <v>10477</v>
      </c>
      <c r="C2036" t="s" s="10">
        <v>46</v>
      </c>
      <c r="D2036" t="s" s="10">
        <v>47</v>
      </c>
      <c r="E2036" t="s" s="10">
        <v>10478</v>
      </c>
      <c r="F2036" s="27">
        <v>45763</v>
      </c>
      <c r="G2036" t="s" s="10">
        <v>4267</v>
      </c>
      <c r="H2036" s="42">
        <v>4.22</v>
      </c>
      <c r="I2036" s="42">
        <v>24.45</v>
      </c>
      <c r="J2036" t="s" s="10">
        <v>10479</v>
      </c>
      <c r="K2036" t="s" s="10">
        <v>10480</v>
      </c>
      <c r="L2036" s="16">
        <f>HYPERLINK("http://www.youlify.ai", "www.youlify.ai")</f>
      </c>
      <c r="M2036" s="16">
        <f>HYPERLINK("https://my.pitchbook.com?c=714080-26", "View Company Online")</f>
      </c>
    </row>
    <row r="2037">
      <c r="A2037" t="s" s="11">
        <v>10482</v>
      </c>
      <c r="B2037" t="s" s="11">
        <v>10483</v>
      </c>
      <c r="C2037" t="s" s="11">
        <v>60</v>
      </c>
      <c r="D2037" t="s" s="11">
        <v>727</v>
      </c>
      <c r="E2037" t="s" s="11">
        <v>1032</v>
      </c>
      <c r="F2037" s="28">
        <v>45735</v>
      </c>
      <c r="G2037" t="s" s="11">
        <v>40</v>
      </c>
      <c r="H2037" t="s" s="43">
        <v>30</v>
      </c>
      <c r="I2037" s="43">
        <v>24.39</v>
      </c>
      <c r="J2037" t="s" s="11">
        <v>10484</v>
      </c>
      <c r="K2037" t="s" s="11">
        <v>10485</v>
      </c>
      <c r="L2037" s="17">
        <f>HYPERLINK("http://www.gloprop.com", "www.gloprop.com")</f>
      </c>
      <c r="M2037" s="17">
        <f>HYPERLINK("https://my.pitchbook.com?c=103164-04", "View Company Online")</f>
      </c>
    </row>
    <row r="2038">
      <c r="A2038" t="s" s="10">
        <v>10487</v>
      </c>
      <c r="B2038" t="s" s="10">
        <v>10488</v>
      </c>
      <c r="C2038" t="s" s="10">
        <v>60</v>
      </c>
      <c r="D2038" t="s" s="10">
        <v>246</v>
      </c>
      <c r="E2038" t="s" s="10">
        <v>137</v>
      </c>
      <c r="F2038" s="27">
        <v>44197</v>
      </c>
      <c r="G2038" t="s" s="10">
        <v>2651</v>
      </c>
      <c r="H2038" s="42">
        <v>0.97</v>
      </c>
      <c r="I2038" s="42">
        <v>24.38</v>
      </c>
      <c r="J2038" t="s" s="10">
        <v>10489</v>
      </c>
      <c r="K2038" t="s" s="10">
        <v>10490</v>
      </c>
      <c r="L2038" s="16">
        <f>HYPERLINK("http://www.investify.com", "www.investify.com")</f>
      </c>
      <c r="M2038" s="16">
        <f>HYPERLINK("https://my.pitchbook.com?c=168389-29", "View Company Online")</f>
      </c>
    </row>
    <row r="2039">
      <c r="A2039" t="s" s="11">
        <v>10492</v>
      </c>
      <c r="B2039" t="s" s="11">
        <v>10493</v>
      </c>
      <c r="C2039" t="s" s="11">
        <v>27</v>
      </c>
      <c r="D2039" t="s" s="11">
        <v>28</v>
      </c>
      <c r="E2039" t="s" s="11">
        <v>270</v>
      </c>
      <c r="F2039" s="28">
        <v>45021</v>
      </c>
      <c r="G2039" t="s" s="11">
        <v>4267</v>
      </c>
      <c r="H2039" s="43">
        <v>1.28</v>
      </c>
      <c r="I2039" s="43">
        <v>24.31</v>
      </c>
      <c r="J2039" t="s" s="11">
        <v>10494</v>
      </c>
      <c r="K2039" t="s" s="11">
        <v>30</v>
      </c>
      <c r="L2039" s="17">
        <f>HYPERLINK("http://www.paysharp.in", "www.paysharp.in")</f>
      </c>
      <c r="M2039" s="17">
        <f>HYPERLINK("https://my.pitchbook.com?c=522768-52", "View Company Online")</f>
      </c>
    </row>
    <row r="2040">
      <c r="A2040" t="s" s="10">
        <v>10496</v>
      </c>
      <c r="B2040" t="s" s="10">
        <v>10497</v>
      </c>
      <c r="C2040" t="s" s="10">
        <v>27</v>
      </c>
      <c r="D2040" t="s" s="10">
        <v>28</v>
      </c>
      <c r="E2040" t="s" s="10">
        <v>10114</v>
      </c>
      <c r="F2040" s="27">
        <v>44197</v>
      </c>
      <c r="G2040" t="s" s="10">
        <v>40</v>
      </c>
      <c r="H2040" s="42">
        <v>6.5</v>
      </c>
      <c r="I2040" s="42">
        <v>24.3</v>
      </c>
      <c r="J2040" t="s" s="10">
        <v>10498</v>
      </c>
      <c r="K2040" t="s" s="10">
        <v>10499</v>
      </c>
      <c r="L2040" s="16">
        <f>HYPERLINK("http://www.carpay.com", "www.carpay.com")</f>
      </c>
      <c r="M2040" s="16">
        <f>HYPERLINK("https://my.pitchbook.com?c=185902-03", "View Company Online")</f>
      </c>
    </row>
    <row r="2041">
      <c r="A2041" t="s" s="11">
        <v>10501</v>
      </c>
      <c r="B2041" t="s" s="11">
        <v>10502</v>
      </c>
      <c r="C2041" t="s" s="11">
        <v>60</v>
      </c>
      <c r="D2041" t="s" s="11">
        <v>727</v>
      </c>
      <c r="E2041" t="s" s="11">
        <v>193</v>
      </c>
      <c r="F2041" s="28">
        <v>46023</v>
      </c>
      <c r="G2041" t="s" s="11">
        <v>40</v>
      </c>
      <c r="H2041" t="s" s="43">
        <v>30</v>
      </c>
      <c r="I2041" s="43">
        <v>24.26</v>
      </c>
      <c r="J2041" t="s" s="11">
        <v>10503</v>
      </c>
      <c r="K2041" t="s" s="11">
        <v>10504</v>
      </c>
      <c r="L2041" s="17">
        <f>HYPERLINK("http://www.ramify.fr", "www.ramify.fr")</f>
      </c>
      <c r="M2041" s="17">
        <f>HYPERLINK("https://my.pitchbook.com?c=490752-64", "View Company Online")</f>
      </c>
    </row>
    <row r="2042">
      <c r="A2042" t="s" s="10">
        <v>10506</v>
      </c>
      <c r="B2042" t="s" s="10">
        <v>10507</v>
      </c>
      <c r="C2042" t="s" s="10">
        <v>27</v>
      </c>
      <c r="D2042" t="s" s="10">
        <v>28</v>
      </c>
      <c r="E2042" t="s" s="10">
        <v>332</v>
      </c>
      <c r="F2042" s="27">
        <v>45510</v>
      </c>
      <c r="G2042" t="s" s="10">
        <v>5274</v>
      </c>
      <c r="H2042" s="42">
        <v>2.3</v>
      </c>
      <c r="I2042" s="42">
        <v>24.24</v>
      </c>
      <c r="J2042" t="s" s="10">
        <v>10508</v>
      </c>
      <c r="K2042" t="s" s="10">
        <v>10509</v>
      </c>
      <c r="L2042" s="16">
        <f>HYPERLINK("http://www.ippopay.com", "www.ippopay.com")</f>
      </c>
      <c r="M2042" s="16">
        <f>HYPERLINK("https://my.pitchbook.com?c=464225-50", "View Company Online")</f>
      </c>
    </row>
    <row r="2043">
      <c r="A2043" t="s" s="11">
        <v>10511</v>
      </c>
      <c r="B2043" t="s" s="11">
        <v>10512</v>
      </c>
      <c r="C2043" t="s" s="11">
        <v>46</v>
      </c>
      <c r="D2043" t="s" s="11">
        <v>397</v>
      </c>
      <c r="E2043" t="s" s="11">
        <v>373</v>
      </c>
      <c r="F2043" s="28">
        <v>45805</v>
      </c>
      <c r="G2043" t="s" s="11">
        <v>40</v>
      </c>
      <c r="H2043" s="43">
        <v>5.94</v>
      </c>
      <c r="I2043" s="43">
        <v>24.22</v>
      </c>
      <c r="J2043" t="s" s="11">
        <v>10513</v>
      </c>
      <c r="K2043" t="s" s="11">
        <v>10514</v>
      </c>
      <c r="L2043" s="17">
        <f>HYPERLINK("http://www.outmin.io", "www.outmin.io")</f>
      </c>
      <c r="M2043" s="17">
        <f>HYPERLINK("https://my.pitchbook.com?c=483878-62", "View Company Online")</f>
      </c>
    </row>
    <row r="2044">
      <c r="A2044" t="s" s="10">
        <v>10516</v>
      </c>
      <c r="B2044" t="s" s="10">
        <v>10517</v>
      </c>
      <c r="C2044" t="s" s="10">
        <v>144</v>
      </c>
      <c r="D2044" t="s" s="10">
        <v>297</v>
      </c>
      <c r="E2044" t="s" s="10">
        <v>137</v>
      </c>
      <c r="F2044" s="27">
        <v>44782</v>
      </c>
      <c r="G2044" t="s" s="10">
        <v>146</v>
      </c>
      <c r="H2044" s="42">
        <v>145</v>
      </c>
      <c r="I2044" s="42">
        <v>24.16</v>
      </c>
      <c r="J2044" t="s" s="10">
        <v>10518</v>
      </c>
      <c r="K2044" t="s" s="10">
        <v>10519</v>
      </c>
      <c r="L2044" s="16">
        <f>HYPERLINK("http://www.founderpath.com", "www.founderpath.com")</f>
      </c>
      <c r="M2044" s="16">
        <f>HYPERLINK("https://my.pitchbook.com?c=416542-78", "View Company Online")</f>
      </c>
    </row>
    <row r="2045">
      <c r="A2045" t="s" s="11">
        <v>10521</v>
      </c>
      <c r="B2045" t="s" s="11">
        <v>10522</v>
      </c>
      <c r="C2045" t="s" s="11">
        <v>222</v>
      </c>
      <c r="D2045" t="s" s="11">
        <v>223</v>
      </c>
      <c r="E2045" t="s" s="11">
        <v>10523</v>
      </c>
      <c r="F2045" s="28">
        <v>45986</v>
      </c>
      <c r="G2045" t="s" s="11">
        <v>4267</v>
      </c>
      <c r="H2045" s="43">
        <v>6.05</v>
      </c>
      <c r="I2045" s="43">
        <v>24.11</v>
      </c>
      <c r="J2045" t="s" s="11">
        <v>10524</v>
      </c>
      <c r="K2045" t="s" s="11">
        <v>10525</v>
      </c>
      <c r="L2045" s="17">
        <f>HYPERLINK("http://www.alphageo.ai", "www.alphageo.ai")</f>
      </c>
      <c r="M2045" s="17">
        <f>HYPERLINK("https://my.pitchbook.com?c=507281-32", "View Company Online")</f>
      </c>
    </row>
    <row r="2046">
      <c r="A2046" t="s" s="10">
        <v>10527</v>
      </c>
      <c r="B2046" t="s" s="10">
        <v>10528</v>
      </c>
      <c r="C2046" t="s" s="10">
        <v>114</v>
      </c>
      <c r="D2046" t="s" s="10">
        <v>136</v>
      </c>
      <c r="E2046" t="s" s="10">
        <v>253</v>
      </c>
      <c r="F2046" s="27">
        <v>45334</v>
      </c>
      <c r="G2046" t="s" s="10">
        <v>4267</v>
      </c>
      <c r="H2046" s="42">
        <v>1</v>
      </c>
      <c r="I2046" s="42">
        <v>24.1</v>
      </c>
      <c r="J2046" t="s" s="10">
        <v>10529</v>
      </c>
      <c r="K2046" t="s" s="10">
        <v>10530</v>
      </c>
      <c r="L2046" s="16">
        <f>HYPERLINK("http://edly.com", "edly.com")</f>
      </c>
      <c r="M2046" s="16">
        <f>HYPERLINK("https://my.pitchbook.com?c=268205-41", "View Company Online")</f>
      </c>
    </row>
    <row r="2047">
      <c r="A2047" t="s" s="11">
        <v>10532</v>
      </c>
      <c r="B2047" t="s" s="11">
        <v>10533</v>
      </c>
      <c r="C2047" t="s" s="11">
        <v>114</v>
      </c>
      <c r="D2047" t="s" s="11">
        <v>136</v>
      </c>
      <c r="E2047" t="s" s="11">
        <v>137</v>
      </c>
      <c r="F2047" t="s" s="28">
        <v>30</v>
      </c>
      <c r="G2047" t="s" s="11">
        <v>48</v>
      </c>
      <c r="H2047" t="s" s="43">
        <v>30</v>
      </c>
      <c r="I2047" s="43">
        <v>24.02</v>
      </c>
      <c r="J2047" t="s" s="11">
        <v>10534</v>
      </c>
      <c r="K2047" t="s" s="11">
        <v>10535</v>
      </c>
      <c r="L2047" s="17">
        <f>HYPERLINK("http://www.sg.lendela.com", "www.sg.lendela.com")</f>
      </c>
      <c r="M2047" s="17">
        <f>HYPERLINK("https://my.pitchbook.com?c=232713-46", "View Company Online")</f>
      </c>
    </row>
    <row r="2048">
      <c r="A2048" t="s" s="10">
        <v>10537</v>
      </c>
      <c r="B2048" t="s" s="10">
        <v>10538</v>
      </c>
      <c r="C2048" t="s" s="10">
        <v>37</v>
      </c>
      <c r="D2048" t="s" s="10">
        <v>304</v>
      </c>
      <c r="E2048" t="s" s="10">
        <v>10539</v>
      </c>
      <c r="F2048" s="27">
        <v>45814</v>
      </c>
      <c r="G2048" t="s" s="10">
        <v>4267</v>
      </c>
      <c r="H2048" s="42">
        <v>7.5</v>
      </c>
      <c r="I2048" s="42">
        <v>24</v>
      </c>
      <c r="J2048" t="s" s="10">
        <v>10540</v>
      </c>
      <c r="K2048" t="s" s="10">
        <v>10541</v>
      </c>
      <c r="L2048" s="16">
        <f>HYPERLINK("http://www.coverd.us", "www.coverd.us")</f>
      </c>
      <c r="M2048" s="16">
        <f>HYPERLINK("https://my.pitchbook.com?c=756005-41", "View Company Online")</f>
      </c>
    </row>
    <row r="2049">
      <c r="A2049" t="s" s="11">
        <v>10543</v>
      </c>
      <c r="B2049" t="s" s="11">
        <v>10544</v>
      </c>
      <c r="C2049" t="s" s="11">
        <v>46</v>
      </c>
      <c r="D2049" t="s" s="11">
        <v>47</v>
      </c>
      <c r="E2049" t="s" s="11">
        <v>2226</v>
      </c>
      <c r="F2049" t="s" s="28">
        <v>30</v>
      </c>
      <c r="G2049" t="s" s="11">
        <v>607</v>
      </c>
      <c r="H2049" t="s" s="43">
        <v>30</v>
      </c>
      <c r="I2049" s="43">
        <v>24</v>
      </c>
      <c r="J2049" t="s" s="11">
        <v>10545</v>
      </c>
      <c r="K2049" t="s" s="11">
        <v>10546</v>
      </c>
      <c r="L2049" s="17">
        <f>HYPERLINK("http://www.haulpay.io", "www.haulpay.io")</f>
      </c>
      <c r="M2049" s="17">
        <f>HYPERLINK("https://my.pitchbook.com?c=101171-62", "View Company Online")</f>
      </c>
    </row>
    <row r="2050">
      <c r="A2050" t="s" s="10">
        <v>10548</v>
      </c>
      <c r="B2050" t="s" s="10">
        <v>10549</v>
      </c>
      <c r="C2050" t="s" s="10">
        <v>114</v>
      </c>
      <c r="D2050" t="s" s="10">
        <v>852</v>
      </c>
      <c r="E2050" t="s" s="10">
        <v>10550</v>
      </c>
      <c r="F2050" s="27">
        <v>44545</v>
      </c>
      <c r="G2050" t="s" s="10">
        <v>40</v>
      </c>
      <c r="H2050" s="42">
        <v>10</v>
      </c>
      <c r="I2050" s="42">
        <v>24</v>
      </c>
      <c r="J2050" t="s" s="10">
        <v>10551</v>
      </c>
      <c r="K2050" t="s" s="10">
        <v>10552</v>
      </c>
      <c r="L2050" s="16">
        <f>HYPERLINK("http://www.thisisocean.com", "www.thisisocean.com")</f>
      </c>
      <c r="M2050" s="16">
        <f>HYPERLINK("https://my.pitchbook.com?c=510738-13", "View Company Online")</f>
      </c>
    </row>
    <row r="2051">
      <c r="A2051" t="s" s="11">
        <v>10554</v>
      </c>
      <c r="B2051" t="s" s="11">
        <v>10555</v>
      </c>
      <c r="C2051" t="s" s="11">
        <v>222</v>
      </c>
      <c r="D2051" t="s" s="11">
        <v>252</v>
      </c>
      <c r="E2051" t="s" s="11">
        <v>759</v>
      </c>
      <c r="F2051" t="s" s="28">
        <v>30</v>
      </c>
      <c r="G2051" t="s" s="11">
        <v>48</v>
      </c>
      <c r="H2051" t="s" s="43">
        <v>30</v>
      </c>
      <c r="I2051" s="43">
        <v>24</v>
      </c>
      <c r="J2051" t="s" s="11">
        <v>10556</v>
      </c>
      <c r="K2051" t="s" s="11">
        <v>10557</v>
      </c>
      <c r="L2051" s="17">
        <f>HYPERLINK("http://www.originmarkets.com", "www.originmarkets.com")</f>
      </c>
      <c r="M2051" s="17">
        <f>HYPERLINK("https://my.pitchbook.com?c=121749-49", "View Company Online")</f>
      </c>
    </row>
    <row r="2052">
      <c r="A2052" t="s" s="10">
        <v>10559</v>
      </c>
      <c r="B2052" t="s" s="10">
        <v>10560</v>
      </c>
      <c r="C2052" t="s" s="10">
        <v>172</v>
      </c>
      <c r="D2052" t="s" s="10">
        <v>173</v>
      </c>
      <c r="E2052" t="s" s="10">
        <v>253</v>
      </c>
      <c r="F2052" s="27">
        <v>45715</v>
      </c>
      <c r="G2052" t="s" s="10">
        <v>40</v>
      </c>
      <c r="H2052" s="42">
        <v>4.71</v>
      </c>
      <c r="I2052" s="42">
        <v>24</v>
      </c>
      <c r="J2052" t="s" s="10">
        <v>10561</v>
      </c>
      <c r="K2052" t="s" s="10">
        <v>10562</v>
      </c>
      <c r="L2052" s="16">
        <f>HYPERLINK("http://www.valid8financial.com", "www.valid8financial.com")</f>
      </c>
      <c r="M2052" s="16">
        <f>HYPERLINK("https://my.pitchbook.com?c=167096-26", "View Company Online")</f>
      </c>
    </row>
    <row r="2053">
      <c r="A2053" t="s" s="11">
        <v>10564</v>
      </c>
      <c r="B2053" t="s" s="11">
        <v>10565</v>
      </c>
      <c r="C2053" t="s" s="11">
        <v>172</v>
      </c>
      <c r="D2053" t="s" s="11">
        <v>338</v>
      </c>
      <c r="E2053" t="s" s="11">
        <v>10566</v>
      </c>
      <c r="F2053" s="28">
        <v>46113</v>
      </c>
      <c r="G2053" t="s" s="11">
        <v>391</v>
      </c>
      <c r="H2053" t="s" s="43">
        <v>30</v>
      </c>
      <c r="I2053" s="43">
        <v>24</v>
      </c>
      <c r="J2053" t="s" s="11">
        <v>10567</v>
      </c>
      <c r="K2053" t="s" s="11">
        <v>10568</v>
      </c>
      <c r="L2053" s="17">
        <f>HYPERLINK("http://www.venteur.com", "www.venteur.com")</f>
      </c>
      <c r="M2053" s="17">
        <f>HYPERLINK("https://my.pitchbook.com?c=459673-75", "View Company Online")</f>
      </c>
    </row>
    <row r="2054">
      <c r="A2054" t="s" s="10">
        <v>10570</v>
      </c>
      <c r="B2054" t="s" s="10">
        <v>10571</v>
      </c>
      <c r="C2054" t="s" s="10">
        <v>60</v>
      </c>
      <c r="D2054" t="s" s="10">
        <v>727</v>
      </c>
      <c r="E2054" t="s" s="10">
        <v>270</v>
      </c>
      <c r="F2054" s="27">
        <v>44774</v>
      </c>
      <c r="G2054" t="s" s="10">
        <v>146</v>
      </c>
      <c r="H2054" t="s" s="42">
        <v>30</v>
      </c>
      <c r="I2054" s="42">
        <v>24</v>
      </c>
      <c r="J2054" t="s" s="10">
        <v>10572</v>
      </c>
      <c r="K2054" t="s" s="10">
        <v>10573</v>
      </c>
      <c r="L2054" s="16">
        <f>HYPERLINK("http://www.withvincent.com", "www.withvincent.com")</f>
      </c>
      <c r="M2054" s="16">
        <f>HYPERLINK("https://my.pitchbook.com?c=454716-10", "View Company Online")</f>
      </c>
    </row>
    <row r="2055">
      <c r="A2055" t="s" s="11">
        <v>10575</v>
      </c>
      <c r="B2055" t="s" s="11">
        <v>10576</v>
      </c>
      <c r="C2055" t="s" s="11">
        <v>164</v>
      </c>
      <c r="D2055" t="s" s="11">
        <v>165</v>
      </c>
      <c r="E2055" t="s" s="11">
        <v>10577</v>
      </c>
      <c r="F2055" s="28">
        <v>45939</v>
      </c>
      <c r="G2055" t="s" s="11">
        <v>607</v>
      </c>
      <c r="H2055" t="s" s="43">
        <v>30</v>
      </c>
      <c r="I2055" s="43">
        <v>23.91</v>
      </c>
      <c r="J2055" t="s" s="11">
        <v>10578</v>
      </c>
      <c r="K2055" t="s" s="11">
        <v>10579</v>
      </c>
      <c r="L2055" s="17">
        <f>HYPERLINK("http://www.staple.ai", "www.staple.ai")</f>
      </c>
      <c r="M2055" s="17">
        <f>HYPERLINK("https://my.pitchbook.com?c=268497-19", "View Company Online")</f>
      </c>
    </row>
    <row r="2056">
      <c r="A2056" t="s" s="10">
        <v>10581</v>
      </c>
      <c r="B2056" t="s" s="10">
        <v>10582</v>
      </c>
      <c r="C2056" t="s" s="10">
        <v>27</v>
      </c>
      <c r="D2056" t="s" s="10">
        <v>122</v>
      </c>
      <c r="E2056" t="s" s="10">
        <v>253</v>
      </c>
      <c r="F2056" s="27">
        <v>45881</v>
      </c>
      <c r="G2056" t="s" s="10">
        <v>4267</v>
      </c>
      <c r="H2056" s="42">
        <v>4.9</v>
      </c>
      <c r="I2056" s="42">
        <v>23.9</v>
      </c>
      <c r="J2056" t="s" s="10">
        <v>10583</v>
      </c>
      <c r="K2056" t="s" s="10">
        <v>10584</v>
      </c>
      <c r="L2056" s="16">
        <f>HYPERLINK("http://honeycoin.app", "honeycoin.app")</f>
      </c>
      <c r="M2056" s="16">
        <f>HYPERLINK("https://my.pitchbook.com?c=481446-37", "View Company Online")</f>
      </c>
    </row>
    <row r="2057">
      <c r="A2057" t="s" s="11">
        <v>10586</v>
      </c>
      <c r="B2057" t="s" s="11">
        <v>10587</v>
      </c>
      <c r="C2057" t="s" s="11">
        <v>46</v>
      </c>
      <c r="D2057" t="s" s="11">
        <v>47</v>
      </c>
      <c r="E2057" t="s" s="11">
        <v>193</v>
      </c>
      <c r="F2057" s="28">
        <v>45839</v>
      </c>
      <c r="G2057" t="s" s="11">
        <v>40</v>
      </c>
      <c r="H2057" t="s" s="43">
        <v>30</v>
      </c>
      <c r="I2057" s="43">
        <v>23.88</v>
      </c>
      <c r="J2057" t="s" s="11">
        <v>10588</v>
      </c>
      <c r="K2057" t="s" s="11">
        <v>10589</v>
      </c>
      <c r="L2057" s="17">
        <f>HYPERLINK("http://www.riviahealth.com", "www.riviahealth.com")</f>
      </c>
      <c r="M2057" s="17">
        <f>HYPERLINK("https://my.pitchbook.com?c=233507-53", "View Company Online")</f>
      </c>
    </row>
    <row r="2058">
      <c r="A2058" t="s" s="10">
        <v>10591</v>
      </c>
      <c r="B2058" t="s" s="10">
        <v>10592</v>
      </c>
      <c r="C2058" t="s" s="10">
        <v>164</v>
      </c>
      <c r="D2058" t="s" s="10">
        <v>206</v>
      </c>
      <c r="E2058" t="s" s="10">
        <v>137</v>
      </c>
      <c r="F2058" s="27">
        <v>45870</v>
      </c>
      <c r="G2058" t="s" s="10">
        <v>40</v>
      </c>
      <c r="H2058" t="s" s="42">
        <v>30</v>
      </c>
      <c r="I2058" s="42">
        <v>23.83</v>
      </c>
      <c r="J2058" t="s" s="10">
        <v>10593</v>
      </c>
      <c r="K2058" t="s" s="10">
        <v>10594</v>
      </c>
      <c r="L2058" s="16">
        <f>HYPERLINK("http://www.ezifin.com", "www.ezifin.com")</f>
      </c>
      <c r="M2058" s="16">
        <f>HYPERLINK("https://my.pitchbook.com?c=547985-17", "View Company Online")</f>
      </c>
    </row>
    <row r="2059">
      <c r="A2059" t="s" s="11">
        <v>10596</v>
      </c>
      <c r="B2059" t="s" s="11">
        <v>10597</v>
      </c>
      <c r="C2059" t="s" s="11">
        <v>164</v>
      </c>
      <c r="D2059" t="s" s="11">
        <v>165</v>
      </c>
      <c r="E2059" t="s" s="11">
        <v>3055</v>
      </c>
      <c r="F2059" s="28">
        <v>45020</v>
      </c>
      <c r="G2059" t="s" s="11">
        <v>40</v>
      </c>
      <c r="H2059" t="s" s="43">
        <v>30</v>
      </c>
      <c r="I2059" s="43">
        <v>23.82</v>
      </c>
      <c r="J2059" t="s" s="11">
        <v>10598</v>
      </c>
      <c r="K2059" t="s" s="11">
        <v>10599</v>
      </c>
      <c r="L2059" s="17">
        <f>HYPERLINK("http://www.rabbet.com", "www.rabbet.com")</f>
      </c>
      <c r="M2059" s="17">
        <f>HYPERLINK("https://my.pitchbook.com?c=119320-30", "View Company Online")</f>
      </c>
    </row>
    <row r="2060">
      <c r="A2060" t="s" s="10">
        <v>10601</v>
      </c>
      <c r="B2060" t="s" s="10">
        <v>10602</v>
      </c>
      <c r="C2060" t="s" s="10">
        <v>114</v>
      </c>
      <c r="D2060" t="s" s="10">
        <v>136</v>
      </c>
      <c r="E2060" t="s" s="10">
        <v>367</v>
      </c>
      <c r="F2060" s="27">
        <v>44440</v>
      </c>
      <c r="G2060" t="s" s="10">
        <v>146</v>
      </c>
      <c r="H2060" s="42">
        <v>1.16</v>
      </c>
      <c r="I2060" s="42">
        <v>23.81</v>
      </c>
      <c r="J2060" t="s" s="10">
        <v>10603</v>
      </c>
      <c r="K2060" t="s" s="10">
        <v>10604</v>
      </c>
      <c r="L2060" s="16">
        <f>HYPERLINK("http://www.prestalo.com", "www.prestalo.com")</f>
      </c>
      <c r="M2060" s="16">
        <f>HYPERLINK("https://my.pitchbook.com?c=442740-61", "View Company Online")</f>
      </c>
    </row>
    <row r="2061">
      <c r="A2061" t="s" s="11">
        <v>10606</v>
      </c>
      <c r="B2061" t="s" s="11">
        <v>10607</v>
      </c>
      <c r="C2061" t="s" s="11">
        <v>114</v>
      </c>
      <c r="D2061" t="s" s="11">
        <v>852</v>
      </c>
      <c r="E2061" t="s" s="11">
        <v>10608</v>
      </c>
      <c r="F2061" t="s" s="28">
        <v>30</v>
      </c>
      <c r="G2061" t="s" s="11">
        <v>391</v>
      </c>
      <c r="H2061" t="s" s="43">
        <v>30</v>
      </c>
      <c r="I2061" s="43">
        <v>23.72</v>
      </c>
      <c r="J2061" t="s" s="11">
        <v>10609</v>
      </c>
      <c r="K2061" t="s" s="11">
        <v>10610</v>
      </c>
      <c r="L2061" s="17">
        <f>HYPERLINK("http://www.commloan.com", "www.commloan.com")</f>
      </c>
      <c r="M2061" s="17">
        <f>HYPERLINK("https://my.pitchbook.com?c=114597-28", "View Company Online")</f>
      </c>
    </row>
    <row r="2062">
      <c r="A2062" t="s" s="10">
        <v>10612</v>
      </c>
      <c r="B2062" t="s" s="10">
        <v>10613</v>
      </c>
      <c r="C2062" t="s" s="10">
        <v>222</v>
      </c>
      <c r="D2062" t="s" s="10">
        <v>235</v>
      </c>
      <c r="E2062" t="s" s="10">
        <v>253</v>
      </c>
      <c r="F2062" s="27">
        <v>45809</v>
      </c>
      <c r="G2062" t="s" s="10">
        <v>48</v>
      </c>
      <c r="H2062" t="s" s="42">
        <v>30</v>
      </c>
      <c r="I2062" s="42">
        <v>23.64</v>
      </c>
      <c r="J2062" t="s" s="10">
        <v>10614</v>
      </c>
      <c r="K2062" t="s" s="10">
        <v>10615</v>
      </c>
      <c r="L2062" s="16">
        <f>HYPERLINK("http://www.crowdfunder.co.uk", "www.crowdfunder.co.uk")</f>
      </c>
      <c r="M2062" s="16">
        <f>HYPERLINK("https://my.pitchbook.com?c=63130-33", "View Company Online")</f>
      </c>
    </row>
    <row r="2063">
      <c r="A2063" t="s" s="11">
        <v>10617</v>
      </c>
      <c r="B2063" t="s" s="11">
        <v>10618</v>
      </c>
      <c r="C2063" t="s" s="11">
        <v>172</v>
      </c>
      <c r="D2063" t="s" s="11">
        <v>173</v>
      </c>
      <c r="E2063" t="s" s="11">
        <v>414</v>
      </c>
      <c r="F2063" s="28">
        <v>46177</v>
      </c>
      <c r="G2063" t="s" s="11">
        <v>4267</v>
      </c>
      <c r="H2063" s="43">
        <v>9.57</v>
      </c>
      <c r="I2063" s="43">
        <v>23.57</v>
      </c>
      <c r="J2063" t="s" s="11">
        <v>10619</v>
      </c>
      <c r="K2063" t="s" s="11">
        <v>10620</v>
      </c>
      <c r="L2063" s="17">
        <f>HYPERLINK("http://www.discai.com", "www.discai.com")</f>
      </c>
      <c r="M2063" s="17">
        <f>HYPERLINK("https://my.pitchbook.com?c=518497-84", "View Company Online")</f>
      </c>
    </row>
    <row r="2064">
      <c r="A2064" t="s" s="10">
        <v>10622</v>
      </c>
      <c r="B2064" t="s" s="10">
        <v>10623</v>
      </c>
      <c r="C2064" t="s" s="10">
        <v>27</v>
      </c>
      <c r="D2064" t="s" s="10">
        <v>70</v>
      </c>
      <c r="E2064" t="s" s="10">
        <v>5289</v>
      </c>
      <c r="F2064" t="s" s="27">
        <v>30</v>
      </c>
      <c r="G2064" t="s" s="10">
        <v>48</v>
      </c>
      <c r="H2064" t="s" s="42">
        <v>30</v>
      </c>
      <c r="I2064" s="42">
        <v>23.55</v>
      </c>
      <c r="J2064" t="s" s="10">
        <v>10624</v>
      </c>
      <c r="K2064" t="s" s="10">
        <v>10625</v>
      </c>
      <c r="L2064" s="16">
        <f>HYPERLINK("http://www.prima.trade", "www.prima.trade")</f>
      </c>
      <c r="M2064" s="16">
        <f>HYPERLINK("https://my.pitchbook.com?c=306387-91", "View Company Online")</f>
      </c>
    </row>
    <row r="2065">
      <c r="A2065" t="s" s="11">
        <v>10627</v>
      </c>
      <c r="B2065" t="s" s="11">
        <v>10628</v>
      </c>
      <c r="C2065" t="s" s="11">
        <v>46</v>
      </c>
      <c r="D2065" t="s" s="11">
        <v>78</v>
      </c>
      <c r="E2065" t="s" s="11">
        <v>193</v>
      </c>
      <c r="F2065" s="28">
        <v>44777</v>
      </c>
      <c r="G2065" t="s" s="11">
        <v>4267</v>
      </c>
      <c r="H2065" s="43">
        <v>10.2</v>
      </c>
      <c r="I2065" s="43">
        <v>23.55</v>
      </c>
      <c r="J2065" t="s" s="11">
        <v>10629</v>
      </c>
      <c r="K2065" t="s" s="11">
        <v>10630</v>
      </c>
      <c r="L2065" s="17">
        <f>HYPERLINK("http://www.rosaly.com", "www.rosaly.com")</f>
      </c>
      <c r="M2065" s="17">
        <f>HYPERLINK("https://my.pitchbook.com?c=439459-03", "View Company Online")</f>
      </c>
    </row>
    <row r="2066">
      <c r="A2066" t="s" s="10">
        <v>10632</v>
      </c>
      <c r="B2066" t="s" s="10">
        <v>10633</v>
      </c>
      <c r="C2066" t="s" s="10">
        <v>164</v>
      </c>
      <c r="D2066" t="s" s="10">
        <v>165</v>
      </c>
      <c r="E2066" t="s" s="10">
        <v>634</v>
      </c>
      <c r="F2066" s="27">
        <v>45586</v>
      </c>
      <c r="G2066" t="s" s="10">
        <v>40</v>
      </c>
      <c r="H2066" s="42">
        <v>0.9</v>
      </c>
      <c r="I2066" s="42">
        <v>23.53</v>
      </c>
      <c r="J2066" t="s" s="10">
        <v>10634</v>
      </c>
      <c r="K2066" t="s" s="10">
        <v>10635</v>
      </c>
      <c r="L2066" s="16">
        <f>HYPERLINK("http://eligen.io", "eligen.io")</f>
      </c>
      <c r="M2066" s="16">
        <f>HYPERLINK("https://my.pitchbook.com?c=51699-88", "View Company Online")</f>
      </c>
    </row>
    <row r="2067">
      <c r="A2067" t="s" s="11">
        <v>10637</v>
      </c>
      <c r="B2067" t="s" s="11">
        <v>10638</v>
      </c>
      <c r="C2067" t="s" s="11">
        <v>60</v>
      </c>
      <c r="D2067" t="s" s="11">
        <v>420</v>
      </c>
      <c r="E2067" t="s" s="11">
        <v>137</v>
      </c>
      <c r="F2067" s="28">
        <v>44631</v>
      </c>
      <c r="G2067" t="s" s="11">
        <v>40</v>
      </c>
      <c r="H2067" s="43">
        <v>4.77</v>
      </c>
      <c r="I2067" s="43">
        <v>23.51</v>
      </c>
      <c r="J2067" t="s" s="11">
        <v>10639</v>
      </c>
      <c r="K2067" t="s" s="11">
        <v>10640</v>
      </c>
      <c r="L2067" s="17">
        <f>HYPERLINK("http://www.mr-c.jp", "www.mr-c.jp")</f>
      </c>
      <c r="M2067" s="17">
        <f>HYPERLINK("https://my.pitchbook.com?c=467734-06", "View Company Online")</f>
      </c>
    </row>
    <row r="2068">
      <c r="A2068" t="s" s="10">
        <v>10642</v>
      </c>
      <c r="B2068" t="s" s="10">
        <v>10643</v>
      </c>
      <c r="C2068" t="s" s="10">
        <v>46</v>
      </c>
      <c r="D2068" t="s" s="10">
        <v>47</v>
      </c>
      <c r="E2068" t="s" s="10">
        <v>137</v>
      </c>
      <c r="F2068" s="27">
        <v>46022</v>
      </c>
      <c r="G2068" t="s" s="10">
        <v>31</v>
      </c>
      <c r="H2068" s="42">
        <v>1.88</v>
      </c>
      <c r="I2068" s="42">
        <v>23.5</v>
      </c>
      <c r="J2068" t="s" s="10">
        <v>10644</v>
      </c>
      <c r="K2068" t="s" s="10">
        <v>10645</v>
      </c>
      <c r="L2068" s="16">
        <f>HYPERLINK("http://bankingcrowded.com", "bankingcrowded.com")</f>
      </c>
      <c r="M2068" s="16">
        <f>HYPERLINK("https://my.pitchbook.com?c=489313-45", "View Company Online")</f>
      </c>
    </row>
    <row r="2069">
      <c r="A2069" t="s" s="11">
        <v>10647</v>
      </c>
      <c r="B2069" t="s" s="11">
        <v>10648</v>
      </c>
      <c r="C2069" t="s" s="11">
        <v>60</v>
      </c>
      <c r="D2069" t="s" s="11">
        <v>246</v>
      </c>
      <c r="E2069" t="s" s="11">
        <v>1093</v>
      </c>
      <c r="F2069" s="28">
        <v>45236</v>
      </c>
      <c r="G2069" t="s" s="11">
        <v>40</v>
      </c>
      <c r="H2069" t="s" s="43">
        <v>30</v>
      </c>
      <c r="I2069" s="43">
        <v>23.5</v>
      </c>
      <c r="J2069" t="s" s="11">
        <v>10649</v>
      </c>
      <c r="K2069" t="s" s="11">
        <v>10650</v>
      </c>
      <c r="L2069" s="17">
        <f>HYPERLINK("http://www.listofin.com", "www.listofin.com")</f>
      </c>
      <c r="M2069" s="17">
        <f>HYPERLINK("https://my.pitchbook.com?c=126189-01", "View Company Online")</f>
      </c>
    </row>
    <row r="2070">
      <c r="A2070" t="s" s="10">
        <v>10652</v>
      </c>
      <c r="B2070" t="s" s="10">
        <v>10653</v>
      </c>
      <c r="C2070" t="s" s="10">
        <v>172</v>
      </c>
      <c r="D2070" t="s" s="10">
        <v>338</v>
      </c>
      <c r="E2070" t="s" s="10">
        <v>253</v>
      </c>
      <c r="F2070" s="27">
        <v>45692</v>
      </c>
      <c r="G2070" t="s" s="10">
        <v>40</v>
      </c>
      <c r="H2070" s="42">
        <v>8.05</v>
      </c>
      <c r="I2070" s="42">
        <v>23.5</v>
      </c>
      <c r="J2070" t="s" s="10">
        <v>10654</v>
      </c>
      <c r="K2070" t="s" s="10">
        <v>10655</v>
      </c>
      <c r="L2070" s="16">
        <f>HYPERLINK("http://www.verdata.com", "www.verdata.com")</f>
      </c>
      <c r="M2070" s="16">
        <f>HYPERLINK("https://my.pitchbook.com?c=460105-84", "View Company Online")</f>
      </c>
    </row>
    <row r="2071">
      <c r="A2071" t="s" s="11">
        <v>10657</v>
      </c>
      <c r="B2071" t="s" s="11">
        <v>10658</v>
      </c>
      <c r="C2071" t="s" s="11">
        <v>222</v>
      </c>
      <c r="D2071" t="s" s="11">
        <v>252</v>
      </c>
      <c r="E2071" t="s" s="11">
        <v>859</v>
      </c>
      <c r="F2071" s="28">
        <v>46099</v>
      </c>
      <c r="G2071" t="s" s="11">
        <v>607</v>
      </c>
      <c r="H2071" t="s" s="43">
        <v>30</v>
      </c>
      <c r="I2071" s="43">
        <v>23.49</v>
      </c>
      <c r="J2071" t="s" s="11">
        <v>10659</v>
      </c>
      <c r="K2071" t="s" s="11">
        <v>10660</v>
      </c>
      <c r="L2071" s="17">
        <f>HYPERLINK("http://www.axiology.lt", "www.axiology.lt")</f>
      </c>
      <c r="M2071" s="17">
        <f>HYPERLINK("https://my.pitchbook.com?c=539621-83", "View Company Online")</f>
      </c>
    </row>
    <row r="2072">
      <c r="A2072" t="s" s="10">
        <v>10662</v>
      </c>
      <c r="B2072" t="s" s="10">
        <v>10663</v>
      </c>
      <c r="C2072" t="s" s="10">
        <v>114</v>
      </c>
      <c r="D2072" t="s" s="10">
        <v>136</v>
      </c>
      <c r="E2072" t="s" s="10">
        <v>137</v>
      </c>
      <c r="F2072" s="27">
        <v>44502</v>
      </c>
      <c r="G2072" t="s" s="10">
        <v>40</v>
      </c>
      <c r="H2072" s="42">
        <v>2.13</v>
      </c>
      <c r="I2072" s="42">
        <v>23.48</v>
      </c>
      <c r="J2072" t="s" s="10">
        <v>10664</v>
      </c>
      <c r="K2072" t="s" s="10">
        <v>10665</v>
      </c>
      <c r="L2072" s="16">
        <f>HYPERLINK("http://www.ruptok.com", "www.ruptok.com")</f>
      </c>
      <c r="M2072" s="16">
        <f>HYPERLINK("https://my.pitchbook.com?c=442583-65", "View Company Online")</f>
      </c>
    </row>
    <row r="2073">
      <c r="A2073" t="s" s="11">
        <v>10667</v>
      </c>
      <c r="B2073" t="s" s="11">
        <v>10668</v>
      </c>
      <c r="C2073" t="s" s="11">
        <v>144</v>
      </c>
      <c r="D2073" t="s" s="11">
        <v>38</v>
      </c>
      <c r="E2073" t="s" s="11">
        <v>193</v>
      </c>
      <c r="F2073" t="s" s="28">
        <v>30</v>
      </c>
      <c r="G2073" t="s" s="11">
        <v>4267</v>
      </c>
      <c r="H2073" s="43">
        <v>3</v>
      </c>
      <c r="I2073" s="43">
        <v>23.45</v>
      </c>
      <c r="J2073" t="s" s="11">
        <v>10669</v>
      </c>
      <c r="K2073" t="s" s="11">
        <v>10670</v>
      </c>
      <c r="L2073" s="17">
        <f>HYPERLINK("http://www.edfundo.com", "www.edfundo.com")</f>
      </c>
      <c r="M2073" s="17">
        <f>HYPERLINK("https://my.pitchbook.com?c=465164-11", "View Company Online")</f>
      </c>
    </row>
    <row r="2074">
      <c r="A2074" t="s" s="10">
        <v>10672</v>
      </c>
      <c r="B2074" t="s" s="10">
        <v>10673</v>
      </c>
      <c r="C2074" t="s" s="10">
        <v>27</v>
      </c>
      <c r="D2074" t="s" s="10">
        <v>28</v>
      </c>
      <c r="E2074" t="s" s="10">
        <v>859</v>
      </c>
      <c r="F2074" s="27">
        <v>46091</v>
      </c>
      <c r="G2074" t="s" s="10">
        <v>40</v>
      </c>
      <c r="H2074" s="42">
        <v>1.35</v>
      </c>
      <c r="I2074" s="42">
        <v>23.44</v>
      </c>
      <c r="J2074" t="s" s="10">
        <v>10674</v>
      </c>
      <c r="K2074" t="s" s="10">
        <v>10675</v>
      </c>
      <c r="L2074" s="16">
        <f>HYPERLINK("http://www.standage.co.jp", "www.standage.co.jp")</f>
      </c>
      <c r="M2074" s="16">
        <f>HYPERLINK("https://my.pitchbook.com?c=277299-73", "View Company Online")</f>
      </c>
    </row>
    <row r="2075">
      <c r="A2075" t="s" s="11">
        <v>10677</v>
      </c>
      <c r="B2075" t="s" s="11">
        <v>10678</v>
      </c>
      <c r="C2075" t="s" s="11">
        <v>27</v>
      </c>
      <c r="D2075" t="s" s="11">
        <v>70</v>
      </c>
      <c r="E2075" t="s" s="11">
        <v>137</v>
      </c>
      <c r="F2075" s="28">
        <v>45371</v>
      </c>
      <c r="G2075" t="s" s="11">
        <v>4267</v>
      </c>
      <c r="H2075" s="43">
        <v>5.09</v>
      </c>
      <c r="I2075" s="43">
        <v>23.4</v>
      </c>
      <c r="J2075" t="s" s="11">
        <v>10679</v>
      </c>
      <c r="K2075" t="s" s="11">
        <v>10680</v>
      </c>
      <c r="L2075" s="17">
        <f>HYPERLINK("http://tuza.ai", "tuza.ai")</f>
      </c>
      <c r="M2075" s="17">
        <f>HYPERLINK("https://my.pitchbook.com?c=523004-95", "View Company Online")</f>
      </c>
    </row>
    <row r="2076">
      <c r="A2076" t="s" s="10">
        <v>10682</v>
      </c>
      <c r="B2076" t="s" s="10">
        <v>10683</v>
      </c>
      <c r="C2076" t="s" s="10">
        <v>172</v>
      </c>
      <c r="D2076" t="s" s="10">
        <v>338</v>
      </c>
      <c r="E2076" t="s" s="10">
        <v>367</v>
      </c>
      <c r="F2076" t="s" s="27">
        <v>30</v>
      </c>
      <c r="G2076" t="s" s="10">
        <v>48</v>
      </c>
      <c r="H2076" t="s" s="42">
        <v>30</v>
      </c>
      <c r="I2076" s="42">
        <v>23.32</v>
      </c>
      <c r="J2076" t="s" s="10">
        <v>10684</v>
      </c>
      <c r="K2076" t="s" s="10">
        <v>10685</v>
      </c>
      <c r="L2076" s="16">
        <f>HYPERLINK("http://www.6estates.com", "www.6estates.com")</f>
      </c>
      <c r="M2076" s="16">
        <f>HYPERLINK("https://my.pitchbook.com?c=122390-83", "View Company Online")</f>
      </c>
    </row>
    <row r="2077">
      <c r="A2077" t="s" s="11">
        <v>10687</v>
      </c>
      <c r="B2077" t="s" s="11">
        <v>10688</v>
      </c>
      <c r="C2077" t="s" s="11">
        <v>222</v>
      </c>
      <c r="D2077" t="s" s="11">
        <v>235</v>
      </c>
      <c r="E2077" t="s" s="11">
        <v>253</v>
      </c>
      <c r="F2077" s="28">
        <v>46182</v>
      </c>
      <c r="G2077" t="s" s="11">
        <v>40</v>
      </c>
      <c r="H2077" t="s" s="43">
        <v>30</v>
      </c>
      <c r="I2077" s="43">
        <v>23.3</v>
      </c>
      <c r="J2077" t="s" s="11">
        <v>10689</v>
      </c>
      <c r="K2077" t="s" s="11">
        <v>10690</v>
      </c>
      <c r="L2077" s="17">
        <f>HYPERLINK("http://www.vestd.com", "www.vestd.com")</f>
      </c>
      <c r="M2077" s="17">
        <f>HYPERLINK("https://my.pitchbook.com?c=437594-32", "View Company Online")</f>
      </c>
    </row>
    <row r="2078">
      <c r="A2078" t="s" s="10">
        <v>10692</v>
      </c>
      <c r="B2078" t="s" s="10">
        <v>10693</v>
      </c>
      <c r="C2078" t="s" s="10">
        <v>46</v>
      </c>
      <c r="D2078" t="s" s="10">
        <v>47</v>
      </c>
      <c r="E2078" t="s" s="10">
        <v>193</v>
      </c>
      <c r="F2078" s="27">
        <v>45329</v>
      </c>
      <c r="G2078" t="s" s="10">
        <v>40</v>
      </c>
      <c r="H2078" s="42">
        <v>3.4</v>
      </c>
      <c r="I2078" s="42">
        <v>23.25</v>
      </c>
      <c r="J2078" t="s" s="10">
        <v>10694</v>
      </c>
      <c r="K2078" t="s" s="10">
        <v>10695</v>
      </c>
      <c r="L2078" s="16">
        <f>HYPERLINK("http://www.cashinvoice.in", "www.cashinvoice.in")</f>
      </c>
      <c r="M2078" s="16">
        <f>HYPERLINK("https://my.pitchbook.com?c=483315-94", "View Company Online")</f>
      </c>
    </row>
    <row r="2079">
      <c r="A2079" t="s" s="11">
        <v>10697</v>
      </c>
      <c r="B2079" t="s" s="11">
        <v>10698</v>
      </c>
      <c r="C2079" t="s" s="11">
        <v>46</v>
      </c>
      <c r="D2079" t="s" s="11">
        <v>78</v>
      </c>
      <c r="E2079" t="s" s="11">
        <v>253</v>
      </c>
      <c r="F2079" s="28">
        <v>45383</v>
      </c>
      <c r="G2079" t="s" s="11">
        <v>40</v>
      </c>
      <c r="H2079" s="43">
        <v>8.25</v>
      </c>
      <c r="I2079" s="43">
        <v>23.25</v>
      </c>
      <c r="J2079" t="s" s="11">
        <v>10699</v>
      </c>
      <c r="K2079" t="s" s="11">
        <v>10700</v>
      </c>
      <c r="L2079" s="17">
        <f>HYPERLINK("http://www.gigwage.com", "www.gigwage.com")</f>
      </c>
      <c r="M2079" s="17">
        <f>HYPERLINK("https://my.pitchbook.com?c=102839-05", "View Company Online")</f>
      </c>
    </row>
    <row r="2080">
      <c r="A2080" t="s" s="10">
        <v>10702</v>
      </c>
      <c r="B2080" t="s" s="10">
        <v>10703</v>
      </c>
      <c r="C2080" t="s" s="10">
        <v>164</v>
      </c>
      <c r="D2080" t="s" s="10">
        <v>206</v>
      </c>
      <c r="E2080" t="s" s="10">
        <v>1859</v>
      </c>
      <c r="F2080" t="s" s="27">
        <v>30</v>
      </c>
      <c r="G2080" t="s" s="10">
        <v>146</v>
      </c>
      <c r="H2080" s="42">
        <v>3.4</v>
      </c>
      <c r="I2080" s="42">
        <v>23.25</v>
      </c>
      <c r="J2080" t="s" s="10">
        <v>10704</v>
      </c>
      <c r="K2080" t="s" s="10">
        <v>10705</v>
      </c>
      <c r="L2080" s="16">
        <f>HYPERLINK("http://www.ztlpay.io", "www.ztlpay.io")</f>
      </c>
      <c r="M2080" s="16">
        <f>HYPERLINK("https://my.pitchbook.com?c=399675-43", "View Company Online")</f>
      </c>
    </row>
    <row r="2081">
      <c r="A2081" t="s" s="11">
        <v>10707</v>
      </c>
      <c r="B2081" t="s" s="11">
        <v>10708</v>
      </c>
      <c r="C2081" t="s" s="11">
        <v>27</v>
      </c>
      <c r="D2081" t="s" s="11">
        <v>28</v>
      </c>
      <c r="E2081" t="s" s="11">
        <v>253</v>
      </c>
      <c r="F2081" s="28">
        <v>43434</v>
      </c>
      <c r="G2081" t="s" s="11">
        <v>607</v>
      </c>
      <c r="H2081" t="s" s="43">
        <v>30</v>
      </c>
      <c r="I2081" s="43">
        <v>23.24</v>
      </c>
      <c r="J2081" t="s" s="11">
        <v>10709</v>
      </c>
      <c r="K2081" t="s" s="11">
        <v>10710</v>
      </c>
      <c r="L2081" s="17">
        <f>HYPERLINK("http://alterrabills.id", "alterrabills.id")</f>
      </c>
      <c r="M2081" s="17">
        <f>HYPERLINK("https://my.pitchbook.com?c=154309-78", "View Company Online")</f>
      </c>
    </row>
    <row r="2082">
      <c r="A2082" t="s" s="10">
        <v>10712</v>
      </c>
      <c r="B2082" t="s" s="10">
        <v>10713</v>
      </c>
      <c r="C2082" t="s" s="10">
        <v>222</v>
      </c>
      <c r="D2082" t="s" s="10">
        <v>223</v>
      </c>
      <c r="E2082" t="s" s="10">
        <v>4075</v>
      </c>
      <c r="F2082" s="27">
        <v>44700</v>
      </c>
      <c r="G2082" t="s" s="10">
        <v>40</v>
      </c>
      <c r="H2082" s="42">
        <v>4.27</v>
      </c>
      <c r="I2082" s="42">
        <v>23.23</v>
      </c>
      <c r="J2082" t="s" s="10">
        <v>10714</v>
      </c>
      <c r="K2082" t="s" s="10">
        <v>10715</v>
      </c>
      <c r="L2082" s="16">
        <f>HYPERLINK("http://www.mywallst.com", "www.mywallst.com")</f>
      </c>
      <c r="M2082" s="16">
        <f>HYPERLINK("https://my.pitchbook.com?c=102748-33", "View Company Online")</f>
      </c>
    </row>
    <row r="2083">
      <c r="A2083" t="s" s="11">
        <v>10717</v>
      </c>
      <c r="B2083" t="s" s="11">
        <v>10718</v>
      </c>
      <c r="C2083" t="s" s="11">
        <v>60</v>
      </c>
      <c r="D2083" t="s" s="11">
        <v>192</v>
      </c>
      <c r="E2083" t="s" s="11">
        <v>634</v>
      </c>
      <c r="F2083" s="28">
        <v>45453</v>
      </c>
      <c r="G2083" t="s" s="11">
        <v>4267</v>
      </c>
      <c r="H2083" s="43">
        <v>3</v>
      </c>
      <c r="I2083" s="43">
        <v>23.18</v>
      </c>
      <c r="J2083" t="s" s="11">
        <v>10719</v>
      </c>
      <c r="K2083" t="s" s="11">
        <v>10720</v>
      </c>
      <c r="L2083" s="17">
        <f>HYPERLINK("http://www.forwardlane.com", "www.forwardlane.com")</f>
      </c>
      <c r="M2083" s="17">
        <f>HYPERLINK("https://my.pitchbook.com?c=90145-54", "View Company Online")</f>
      </c>
    </row>
    <row r="2084">
      <c r="A2084" t="s" s="10">
        <v>10722</v>
      </c>
      <c r="B2084" t="s" s="10">
        <v>10723</v>
      </c>
      <c r="C2084" t="s" s="10">
        <v>60</v>
      </c>
      <c r="D2084" t="s" s="10">
        <v>727</v>
      </c>
      <c r="E2084" t="s" s="10">
        <v>414</v>
      </c>
      <c r="F2084" s="27">
        <v>46148</v>
      </c>
      <c r="G2084" t="s" s="10">
        <v>146</v>
      </c>
      <c r="H2084" s="42">
        <v>0.06</v>
      </c>
      <c r="I2084" s="42">
        <v>23.15</v>
      </c>
      <c r="J2084" t="s" s="10">
        <v>10724</v>
      </c>
      <c r="K2084" t="s" s="10">
        <v>30</v>
      </c>
      <c r="L2084" s="16">
        <f>HYPERLINK("http://www.marsmarkets.com", "www.marsmarkets.com")</f>
      </c>
      <c r="M2084" s="16">
        <f>HYPERLINK("https://my.pitchbook.com?c=493749-82", "View Company Online")</f>
      </c>
    </row>
    <row r="2085">
      <c r="A2085" t="s" s="11">
        <v>10726</v>
      </c>
      <c r="B2085" t="s" s="11">
        <v>10727</v>
      </c>
      <c r="C2085" t="s" s="11">
        <v>114</v>
      </c>
      <c r="D2085" t="s" s="11">
        <v>136</v>
      </c>
      <c r="E2085" t="s" s="11">
        <v>3191</v>
      </c>
      <c r="F2085" s="28">
        <v>44728</v>
      </c>
      <c r="G2085" t="s" s="11">
        <v>40</v>
      </c>
      <c r="H2085" s="43">
        <v>2.34</v>
      </c>
      <c r="I2085" s="43">
        <v>23.06</v>
      </c>
      <c r="J2085" t="s" s="11">
        <v>10728</v>
      </c>
      <c r="K2085" t="s" s="11">
        <v>10729</v>
      </c>
      <c r="L2085" s="17">
        <f>HYPERLINK("http://www.capbay.com", "www.capbay.com")</f>
      </c>
      <c r="M2085" s="17">
        <f>HYPERLINK("https://my.pitchbook.com?c=267492-25", "View Company Online")</f>
      </c>
    </row>
    <row r="2086">
      <c r="A2086" t="s" s="10">
        <v>10731</v>
      </c>
      <c r="B2086" t="s" s="10">
        <v>10732</v>
      </c>
      <c r="C2086" t="s" s="10">
        <v>27</v>
      </c>
      <c r="D2086" t="s" s="10">
        <v>28</v>
      </c>
      <c r="E2086" t="s" s="10">
        <v>634</v>
      </c>
      <c r="F2086" s="27">
        <v>45689</v>
      </c>
      <c r="G2086" t="s" s="10">
        <v>146</v>
      </c>
      <c r="H2086" s="42">
        <v>18.5</v>
      </c>
      <c r="I2086" s="42">
        <v>23.05</v>
      </c>
      <c r="J2086" t="s" s="10">
        <v>10733</v>
      </c>
      <c r="K2086" t="s" s="10">
        <v>10734</v>
      </c>
      <c r="L2086" s="16">
        <f>HYPERLINK("http://www.finmo.net", "www.finmo.net")</f>
      </c>
      <c r="M2086" s="16">
        <f>HYPERLINK("https://my.pitchbook.com?c=491388-22", "View Company Online")</f>
      </c>
    </row>
    <row r="2087">
      <c r="A2087" t="s" s="11">
        <v>10736</v>
      </c>
      <c r="B2087" t="s" s="11">
        <v>10737</v>
      </c>
      <c r="C2087" t="s" s="11">
        <v>222</v>
      </c>
      <c r="D2087" t="s" s="11">
        <v>235</v>
      </c>
      <c r="E2087" t="s" s="11">
        <v>137</v>
      </c>
      <c r="F2087" s="28">
        <v>45387</v>
      </c>
      <c r="G2087" t="s" s="11">
        <v>4267</v>
      </c>
      <c r="H2087" s="43">
        <v>4.5</v>
      </c>
      <c r="I2087" s="43">
        <v>23</v>
      </c>
      <c r="J2087" t="s" s="11">
        <v>10738</v>
      </c>
      <c r="K2087" t="s" s="11">
        <v>10739</v>
      </c>
      <c r="L2087" s="17">
        <f>HYPERLINK("http://www.cascadedebt.com", "www.cascadedebt.com")</f>
      </c>
      <c r="M2087" s="17">
        <f>HYPERLINK("https://my.pitchbook.com?c=503456-05", "View Company Online")</f>
      </c>
    </row>
    <row r="2088">
      <c r="A2088" t="s" s="10">
        <v>10741</v>
      </c>
      <c r="B2088" t="s" s="10">
        <v>10742</v>
      </c>
      <c r="C2088" t="s" s="10">
        <v>60</v>
      </c>
      <c r="D2088" t="s" s="10">
        <v>420</v>
      </c>
      <c r="E2088" t="s" s="10">
        <v>253</v>
      </c>
      <c r="F2088" s="27">
        <v>45559</v>
      </c>
      <c r="G2088" t="s" s="10">
        <v>4267</v>
      </c>
      <c r="H2088" s="42">
        <v>9.14</v>
      </c>
      <c r="I2088" s="42">
        <v>23</v>
      </c>
      <c r="J2088" t="s" s="10">
        <v>10743</v>
      </c>
      <c r="K2088" t="s" s="10">
        <v>10744</v>
      </c>
      <c r="L2088" s="16">
        <f>HYPERLINK("http://www.iconsavingsplan.com", "www.iconsavingsplan.com")</f>
      </c>
      <c r="M2088" s="16">
        <f>HYPERLINK("https://my.pitchbook.com?c=265159-27", "View Company Online")</f>
      </c>
    </row>
    <row r="2089">
      <c r="A2089" t="s" s="11">
        <v>10746</v>
      </c>
      <c r="B2089" t="s" s="11">
        <v>10747</v>
      </c>
      <c r="C2089" t="s" s="11">
        <v>222</v>
      </c>
      <c r="D2089" t="s" s="11">
        <v>235</v>
      </c>
      <c r="E2089" t="s" s="11">
        <v>137</v>
      </c>
      <c r="F2089" s="28">
        <v>45748</v>
      </c>
      <c r="G2089" t="s" s="11">
        <v>10748</v>
      </c>
      <c r="H2089" t="s" s="43">
        <v>30</v>
      </c>
      <c r="I2089" s="43">
        <v>23</v>
      </c>
      <c r="J2089" t="s" s="11">
        <v>10749</v>
      </c>
      <c r="K2089" t="s" s="11">
        <v>10750</v>
      </c>
      <c r="L2089" s="17">
        <f>HYPERLINK("http://www.microventures.com", "www.microventures.com")</f>
      </c>
      <c r="M2089" s="17">
        <f>HYPERLINK("https://my.pitchbook.com?c=54556-57", "View Company Online")</f>
      </c>
    </row>
    <row r="2090">
      <c r="A2090" t="s" s="10">
        <v>10752</v>
      </c>
      <c r="B2090" t="s" s="10">
        <v>10753</v>
      </c>
      <c r="C2090" t="s" s="10">
        <v>128</v>
      </c>
      <c r="D2090" t="s" s="10">
        <v>129</v>
      </c>
      <c r="E2090" t="s" s="10">
        <v>373</v>
      </c>
      <c r="F2090" s="27">
        <v>46097</v>
      </c>
      <c r="G2090" t="s" s="10">
        <v>4267</v>
      </c>
      <c r="H2090" s="42">
        <v>9.6</v>
      </c>
      <c r="I2090" s="42">
        <v>23</v>
      </c>
      <c r="J2090" t="s" s="10">
        <v>10754</v>
      </c>
      <c r="K2090" t="s" s="10">
        <v>10755</v>
      </c>
      <c r="L2090" s="16">
        <f>HYPERLINK("http://www.odynn.com", "www.odynn.com")</f>
      </c>
      <c r="M2090" s="16">
        <f>HYPERLINK("https://my.pitchbook.com?c=459822-70", "View Company Online")</f>
      </c>
    </row>
    <row r="2091">
      <c r="A2091" t="s" s="11">
        <v>10757</v>
      </c>
      <c r="B2091" t="s" s="11">
        <v>10758</v>
      </c>
      <c r="C2091" t="s" s="11">
        <v>46</v>
      </c>
      <c r="D2091" t="s" s="11">
        <v>47</v>
      </c>
      <c r="E2091" t="s" s="11">
        <v>10759</v>
      </c>
      <c r="F2091" s="28">
        <v>46020</v>
      </c>
      <c r="G2091" t="s" s="11">
        <v>4267</v>
      </c>
      <c r="H2091" s="43">
        <v>6</v>
      </c>
      <c r="I2091" s="43">
        <v>23</v>
      </c>
      <c r="J2091" t="s" s="11">
        <v>10760</v>
      </c>
      <c r="K2091" t="s" s="11">
        <v>10761</v>
      </c>
      <c r="L2091" s="17">
        <f>HYPERLINK("http://www.opalspend.com", "www.opalspend.com")</f>
      </c>
      <c r="M2091" s="17">
        <f>HYPERLINK("https://my.pitchbook.com?c=704051-56", "View Company Online")</f>
      </c>
    </row>
    <row r="2092">
      <c r="A2092" t="s" s="10">
        <v>10763</v>
      </c>
      <c r="B2092" t="s" s="10">
        <v>10764</v>
      </c>
      <c r="C2092" t="s" s="10">
        <v>60</v>
      </c>
      <c r="D2092" t="s" s="10">
        <v>420</v>
      </c>
      <c r="E2092" t="s" s="10">
        <v>253</v>
      </c>
      <c r="F2092" s="27">
        <v>46066</v>
      </c>
      <c r="G2092" t="s" s="10">
        <v>40</v>
      </c>
      <c r="H2092" s="42">
        <v>3.75</v>
      </c>
      <c r="I2092" s="42">
        <v>23</v>
      </c>
      <c r="J2092" t="s" s="10">
        <v>10765</v>
      </c>
      <c r="K2092" t="s" s="10">
        <v>10766</v>
      </c>
      <c r="L2092" s="16">
        <f>HYPERLINK("http://www.silvur.com", "www.silvur.com")</f>
      </c>
      <c r="M2092" s="16">
        <f>HYPERLINK("https://my.pitchbook.com?c=186662-35", "View Company Online")</f>
      </c>
    </row>
    <row r="2093">
      <c r="A2093" t="s" s="11">
        <v>10768</v>
      </c>
      <c r="B2093" t="s" s="11">
        <v>10769</v>
      </c>
      <c r="C2093" t="s" s="11">
        <v>60</v>
      </c>
      <c r="D2093" t="s" s="11">
        <v>432</v>
      </c>
      <c r="E2093" t="s" s="11">
        <v>137</v>
      </c>
      <c r="F2093" s="28">
        <v>45912</v>
      </c>
      <c r="G2093" t="s" s="11">
        <v>40</v>
      </c>
      <c r="H2093" s="43">
        <v>1.76</v>
      </c>
      <c r="I2093" s="43">
        <v>23</v>
      </c>
      <c r="J2093" t="s" s="11">
        <v>10770</v>
      </c>
      <c r="K2093" t="s" s="11">
        <v>30</v>
      </c>
      <c r="L2093" s="17">
        <f>HYPERLINK("http://www.stirlingshire.com", "www.stirlingshire.com")</f>
      </c>
      <c r="M2093" s="17">
        <f>HYPERLINK("https://my.pitchbook.com?c=454846-60", "View Company Online")</f>
      </c>
    </row>
    <row r="2094">
      <c r="A2094" t="s" s="10">
        <v>10772</v>
      </c>
      <c r="B2094" t="s" s="10">
        <v>10773</v>
      </c>
      <c r="C2094" t="s" s="10">
        <v>60</v>
      </c>
      <c r="D2094" t="s" s="10">
        <v>61</v>
      </c>
      <c r="E2094" t="s" s="10">
        <v>373</v>
      </c>
      <c r="F2094" s="27">
        <v>45287</v>
      </c>
      <c r="G2094" t="s" s="10">
        <v>40</v>
      </c>
      <c r="H2094" t="s" s="42">
        <v>30</v>
      </c>
      <c r="I2094" s="42">
        <v>23</v>
      </c>
      <c r="J2094" t="s" s="10">
        <v>10774</v>
      </c>
      <c r="K2094" t="s" s="10">
        <v>10775</v>
      </c>
      <c r="L2094" s="16">
        <f>HYPERLINK("http://www.tornado.com", "www.tornado.com")</f>
      </c>
      <c r="M2094" s="16">
        <f>HYPERLINK("https://my.pitchbook.com?c=158220-64", "View Company Online")</f>
      </c>
    </row>
    <row r="2095">
      <c r="A2095" t="s" s="11">
        <v>10777</v>
      </c>
      <c r="B2095" t="s" s="11">
        <v>10778</v>
      </c>
      <c r="C2095" t="s" s="11">
        <v>27</v>
      </c>
      <c r="D2095" t="s" s="11">
        <v>70</v>
      </c>
      <c r="E2095" t="s" s="11">
        <v>1859</v>
      </c>
      <c r="F2095" s="28">
        <v>44839</v>
      </c>
      <c r="G2095" t="s" s="11">
        <v>40</v>
      </c>
      <c r="H2095" s="43">
        <v>9.34</v>
      </c>
      <c r="I2095" s="43">
        <v>22.98</v>
      </c>
      <c r="J2095" t="s" s="11">
        <v>10779</v>
      </c>
      <c r="K2095" t="s" s="11">
        <v>10780</v>
      </c>
      <c r="L2095" s="17">
        <f>HYPERLINK("http://www.ipaymy.com", "www.ipaymy.com")</f>
      </c>
      <c r="M2095" s="17">
        <f>HYPERLINK("https://my.pitchbook.com?c=222226-30", "View Company Online")</f>
      </c>
    </row>
    <row r="2096">
      <c r="A2096" t="s" s="10">
        <v>10782</v>
      </c>
      <c r="B2096" t="s" s="10">
        <v>10783</v>
      </c>
      <c r="C2096" t="s" s="10">
        <v>27</v>
      </c>
      <c r="D2096" t="s" s="10">
        <v>28</v>
      </c>
      <c r="E2096" t="s" s="10">
        <v>137</v>
      </c>
      <c r="F2096" s="27">
        <v>45432</v>
      </c>
      <c r="G2096" t="s" s="10">
        <v>607</v>
      </c>
      <c r="H2096" t="s" s="42">
        <v>30</v>
      </c>
      <c r="I2096" s="42">
        <v>22.85</v>
      </c>
      <c r="J2096" t="s" s="10">
        <v>10784</v>
      </c>
      <c r="K2096" t="s" s="10">
        <v>10785</v>
      </c>
      <c r="L2096" s="16">
        <f>HYPERLINK("http://www.bizao.com", "www.bizao.com")</f>
      </c>
      <c r="M2096" s="16">
        <f>HYPERLINK("https://my.pitchbook.com?c=437880-97", "View Company Online")</f>
      </c>
    </row>
    <row r="2097">
      <c r="A2097" t="s" s="11">
        <v>10787</v>
      </c>
      <c r="B2097" t="s" s="11">
        <v>10788</v>
      </c>
      <c r="C2097" t="s" s="11">
        <v>60</v>
      </c>
      <c r="D2097" t="s" s="11">
        <v>727</v>
      </c>
      <c r="E2097" t="s" s="11">
        <v>10789</v>
      </c>
      <c r="F2097" s="28">
        <v>44166</v>
      </c>
      <c r="G2097" t="s" s="11">
        <v>271</v>
      </c>
      <c r="H2097" s="43">
        <v>0.93</v>
      </c>
      <c r="I2097" s="43">
        <v>22.8</v>
      </c>
      <c r="J2097" t="s" s="11">
        <v>10790</v>
      </c>
      <c r="K2097" t="s" s="11">
        <v>10791</v>
      </c>
      <c r="L2097" s="17">
        <f>HYPERLINK("http://www.abundanceinvestment.com", "www.abundanceinvestment.com")</f>
      </c>
      <c r="M2097" s="17">
        <f>HYPERLINK("https://my.pitchbook.com?c=82116-82", "View Company Online")</f>
      </c>
    </row>
    <row r="2098">
      <c r="A2098" t="s" s="10">
        <v>10793</v>
      </c>
      <c r="B2098" t="s" s="10">
        <v>10794</v>
      </c>
      <c r="C2098" t="s" s="10">
        <v>144</v>
      </c>
      <c r="D2098" t="s" s="10">
        <v>38</v>
      </c>
      <c r="E2098" t="s" s="10">
        <v>10795</v>
      </c>
      <c r="F2098" s="27">
        <v>44753</v>
      </c>
      <c r="G2098" t="s" s="10">
        <v>31</v>
      </c>
      <c r="H2098" s="42">
        <v>1.02</v>
      </c>
      <c r="I2098" s="42">
        <v>22.78</v>
      </c>
      <c r="J2098" t="s" s="10">
        <v>10796</v>
      </c>
      <c r="K2098" t="s" s="10">
        <v>10797</v>
      </c>
      <c r="L2098" s="16">
        <f>HYPERLINK("http://www.chqbook.com", "www.chqbook.com")</f>
      </c>
      <c r="M2098" s="16">
        <f>HYPERLINK("https://my.pitchbook.com?c=187504-03", "View Company Online")</f>
      </c>
    </row>
    <row r="2099">
      <c r="A2099" t="s" s="11">
        <v>10799</v>
      </c>
      <c r="B2099" t="s" s="11">
        <v>10800</v>
      </c>
      <c r="C2099" t="s" s="11">
        <v>164</v>
      </c>
      <c r="D2099" t="s" s="11">
        <v>206</v>
      </c>
      <c r="E2099" t="s" s="11">
        <v>253</v>
      </c>
      <c r="F2099" s="28">
        <v>45160</v>
      </c>
      <c r="G2099" t="s" s="11">
        <v>271</v>
      </c>
      <c r="H2099" s="43">
        <v>0.69</v>
      </c>
      <c r="I2099" s="43">
        <v>22.77</v>
      </c>
      <c r="J2099" t="s" s="11">
        <v>10801</v>
      </c>
      <c r="K2099" t="s" s="11">
        <v>10802</v>
      </c>
      <c r="L2099" s="17">
        <f>HYPERLINK("http://www.dmalink.com", "www.dmalink.com")</f>
      </c>
      <c r="M2099" s="17">
        <f>HYPERLINK("https://my.pitchbook.com?c=469347-49", "View Company Online")</f>
      </c>
    </row>
    <row r="2100">
      <c r="A2100" t="s" s="10">
        <v>10804</v>
      </c>
      <c r="B2100" t="s" s="10">
        <v>10805</v>
      </c>
      <c r="C2100" t="s" s="10">
        <v>37</v>
      </c>
      <c r="D2100" t="s" s="10">
        <v>304</v>
      </c>
      <c r="E2100" t="s" s="10">
        <v>10806</v>
      </c>
      <c r="F2100" s="27">
        <v>45953</v>
      </c>
      <c r="G2100" t="s" s="10">
        <v>146</v>
      </c>
      <c r="H2100" s="42">
        <v>3</v>
      </c>
      <c r="I2100" s="42">
        <v>22.7</v>
      </c>
      <c r="J2100" t="s" s="10">
        <v>10807</v>
      </c>
      <c r="K2100" t="s" s="10">
        <v>10808</v>
      </c>
      <c r="L2100" s="16">
        <f>HYPERLINK("http://givzey.com", "givzey.com")</f>
      </c>
      <c r="M2100" s="16">
        <f>HYPERLINK("https://my.pitchbook.com?c=494372-98", "View Company Online")</f>
      </c>
    </row>
    <row r="2101">
      <c r="A2101" t="s" s="11">
        <v>10810</v>
      </c>
      <c r="B2101" t="s" s="11">
        <v>10811</v>
      </c>
      <c r="C2101" t="s" s="11">
        <v>114</v>
      </c>
      <c r="D2101" t="s" s="11">
        <v>136</v>
      </c>
      <c r="E2101" t="s" s="11">
        <v>2782</v>
      </c>
      <c r="F2101" s="28">
        <v>44589</v>
      </c>
      <c r="G2101" t="s" s="11">
        <v>4267</v>
      </c>
      <c r="H2101" s="43">
        <v>3.75</v>
      </c>
      <c r="I2101" s="43">
        <v>22.69</v>
      </c>
      <c r="J2101" t="s" s="11">
        <v>10812</v>
      </c>
      <c r="K2101" t="s" s="11">
        <v>10813</v>
      </c>
      <c r="L2101" s="17">
        <f>HYPERLINK("http://www.justhome.com", "www.justhome.com")</f>
      </c>
      <c r="M2101" s="17">
        <f>HYPERLINK("https://my.pitchbook.com?c=506762-92", "View Company Online")</f>
      </c>
    </row>
    <row r="2102">
      <c r="A2102" t="s" s="10">
        <v>10815</v>
      </c>
      <c r="B2102" t="s" s="10">
        <v>10816</v>
      </c>
      <c r="C2102" t="s" s="10">
        <v>114</v>
      </c>
      <c r="D2102" t="s" s="10">
        <v>1386</v>
      </c>
      <c r="E2102" t="s" s="10">
        <v>493</v>
      </c>
      <c r="F2102" s="27">
        <v>46212</v>
      </c>
      <c r="G2102" t="s" s="10">
        <v>607</v>
      </c>
      <c r="H2102" t="s" s="42">
        <v>30</v>
      </c>
      <c r="I2102" s="42">
        <v>22.65</v>
      </c>
      <c r="J2102" t="s" s="10">
        <v>10817</v>
      </c>
      <c r="K2102" t="s" s="10">
        <v>10818</v>
      </c>
      <c r="L2102" s="16">
        <f>HYPERLINK("http://www.tartanhq.com", "www.tartanhq.com")</f>
      </c>
      <c r="M2102" s="16">
        <f>HYPERLINK("https://my.pitchbook.com?c=482159-08", "View Company Online")</f>
      </c>
    </row>
    <row r="2103">
      <c r="A2103" t="s" s="11">
        <v>10820</v>
      </c>
      <c r="B2103" t="s" s="11">
        <v>10821</v>
      </c>
      <c r="C2103" t="s" s="11">
        <v>27</v>
      </c>
      <c r="D2103" t="s" s="11">
        <v>28</v>
      </c>
      <c r="E2103" t="s" s="11">
        <v>108</v>
      </c>
      <c r="F2103" s="28">
        <v>45859</v>
      </c>
      <c r="G2103" t="s" s="11">
        <v>40</v>
      </c>
      <c r="H2103" s="43">
        <v>160</v>
      </c>
      <c r="I2103" s="43">
        <v>22.64</v>
      </c>
      <c r="J2103" t="s" s="11">
        <v>10822</v>
      </c>
      <c r="K2103" t="s" s="11">
        <v>10823</v>
      </c>
      <c r="L2103" s="17">
        <f>HYPERLINK("http://www.xelix.com", "www.xelix.com")</f>
      </c>
      <c r="M2103" s="17">
        <f>HYPERLINK("https://my.pitchbook.com?c=178915-06", "View Company Online")</f>
      </c>
    </row>
    <row r="2104">
      <c r="A2104" t="s" s="10">
        <v>10825</v>
      </c>
      <c r="B2104" t="s" s="10">
        <v>10826</v>
      </c>
      <c r="C2104" t="s" s="10">
        <v>222</v>
      </c>
      <c r="D2104" t="s" s="10">
        <v>235</v>
      </c>
      <c r="E2104" t="s" s="10">
        <v>29</v>
      </c>
      <c r="F2104" t="s" s="27">
        <v>30</v>
      </c>
      <c r="G2104" t="s" s="10">
        <v>391</v>
      </c>
      <c r="H2104" t="s" s="42">
        <v>30</v>
      </c>
      <c r="I2104" s="42">
        <v>22.59</v>
      </c>
      <c r="J2104" t="s" s="10">
        <v>10827</v>
      </c>
      <c r="K2104" t="s" s="10">
        <v>30</v>
      </c>
      <c r="L2104" s="16">
        <f>HYPERLINK("http://www.pledge.to", "www.pledge.to")</f>
      </c>
      <c r="M2104" s="16">
        <f>HYPERLINK("https://my.pitchbook.com?c=101981-89", "View Company Online")</f>
      </c>
    </row>
    <row r="2105">
      <c r="A2105" t="s" s="11">
        <v>10829</v>
      </c>
      <c r="B2105" t="s" s="11">
        <v>10830</v>
      </c>
      <c r="C2105" t="s" s="11">
        <v>164</v>
      </c>
      <c r="D2105" t="s" s="11">
        <v>206</v>
      </c>
      <c r="E2105" t="s" s="11">
        <v>137</v>
      </c>
      <c r="F2105" s="28">
        <v>45000</v>
      </c>
      <c r="G2105" t="s" s="11">
        <v>146</v>
      </c>
      <c r="H2105" s="43">
        <v>6.71</v>
      </c>
      <c r="I2105" s="43">
        <v>22.53</v>
      </c>
      <c r="J2105" t="s" s="11">
        <v>10831</v>
      </c>
      <c r="K2105" t="s" s="11">
        <v>10832</v>
      </c>
      <c r="L2105" s="17">
        <f>HYPERLINK("http://www.carddynamics.io", "www.carddynamics.io")</f>
      </c>
      <c r="M2105" s="17">
        <f>HYPERLINK("https://my.pitchbook.com?c=459799-75", "View Company Online")</f>
      </c>
    </row>
    <row r="2106">
      <c r="A2106" t="s" s="10">
        <v>10834</v>
      </c>
      <c r="B2106" t="s" s="10">
        <v>10835</v>
      </c>
      <c r="C2106" t="s" s="10">
        <v>164</v>
      </c>
      <c r="D2106" t="s" s="10">
        <v>165</v>
      </c>
      <c r="E2106" t="s" s="10">
        <v>253</v>
      </c>
      <c r="F2106" s="27">
        <v>44614</v>
      </c>
      <c r="G2106" t="s" s="10">
        <v>4267</v>
      </c>
      <c r="H2106" s="42">
        <v>6.4</v>
      </c>
      <c r="I2106" s="42">
        <v>22.5</v>
      </c>
      <c r="J2106" t="s" s="10">
        <v>10836</v>
      </c>
      <c r="K2106" t="s" s="10">
        <v>10837</v>
      </c>
      <c r="L2106" s="16">
        <f>HYPERLINK("http://www.koxa.io", "www.koxa.io")</f>
      </c>
      <c r="M2106" s="16">
        <f>HYPERLINK("https://my.pitchbook.com?c=492732-37", "View Company Online")</f>
      </c>
    </row>
    <row r="2107">
      <c r="A2107" t="s" s="11">
        <v>10839</v>
      </c>
      <c r="B2107" t="s" s="11">
        <v>10840</v>
      </c>
      <c r="C2107" t="s" s="11">
        <v>46</v>
      </c>
      <c r="D2107" t="s" s="11">
        <v>397</v>
      </c>
      <c r="E2107" t="s" s="11">
        <v>253</v>
      </c>
      <c r="F2107" s="28">
        <v>46007</v>
      </c>
      <c r="G2107" t="s" s="11">
        <v>146</v>
      </c>
      <c r="H2107" s="43">
        <v>3.84</v>
      </c>
      <c r="I2107" s="43">
        <v>22.5</v>
      </c>
      <c r="J2107" t="s" s="11">
        <v>10841</v>
      </c>
      <c r="K2107" t="s" s="11">
        <v>10842</v>
      </c>
      <c r="L2107" s="17">
        <f>HYPERLINK("http://www.paperstack.ai", "www.paperstack.ai")</f>
      </c>
      <c r="M2107" s="17">
        <f>HYPERLINK("https://my.pitchbook.com?c=481205-26", "View Company Online")</f>
      </c>
    </row>
    <row r="2108">
      <c r="A2108" t="s" s="10">
        <v>10844</v>
      </c>
      <c r="B2108" t="s" s="10">
        <v>10845</v>
      </c>
      <c r="C2108" t="s" s="10">
        <v>164</v>
      </c>
      <c r="D2108" t="s" s="10">
        <v>206</v>
      </c>
      <c r="E2108" t="s" s="10">
        <v>185</v>
      </c>
      <c r="F2108" s="27">
        <v>45969</v>
      </c>
      <c r="G2108" t="s" s="10">
        <v>4267</v>
      </c>
      <c r="H2108" s="42">
        <v>2.51</v>
      </c>
      <c r="I2108" s="42">
        <v>22.5</v>
      </c>
      <c r="J2108" t="s" s="10">
        <v>10846</v>
      </c>
      <c r="K2108" t="s" s="10">
        <v>10847</v>
      </c>
      <c r="L2108" s="16">
        <f>HYPERLINK("http://www.quiltt.io", "www.quiltt.io")</f>
      </c>
      <c r="M2108" s="16">
        <f>HYPERLINK("https://my.pitchbook.com?c=264800-98", "View Company Online")</f>
      </c>
    </row>
    <row r="2109">
      <c r="A2109" t="s" s="11">
        <v>10849</v>
      </c>
      <c r="B2109" t="s" s="11">
        <v>10850</v>
      </c>
      <c r="C2109" t="s" s="11">
        <v>27</v>
      </c>
      <c r="D2109" t="s" s="11">
        <v>28</v>
      </c>
      <c r="E2109" t="s" s="11">
        <v>4087</v>
      </c>
      <c r="F2109" s="28">
        <v>45231</v>
      </c>
      <c r="G2109" t="s" s="11">
        <v>146</v>
      </c>
      <c r="H2109" s="43">
        <v>14.6</v>
      </c>
      <c r="I2109" s="43">
        <v>22.47</v>
      </c>
      <c r="J2109" t="s" s="11">
        <v>10851</v>
      </c>
      <c r="K2109" t="s" s="11">
        <v>10852</v>
      </c>
      <c r="L2109" s="17">
        <f>HYPERLINK("http://www.crezco.com", "www.crezco.com")</f>
      </c>
      <c r="M2109" s="17">
        <f>HYPERLINK("https://my.pitchbook.com?c=469386-73", "View Company Online")</f>
      </c>
    </row>
    <row r="2110">
      <c r="A2110" t="s" s="10">
        <v>10854</v>
      </c>
      <c r="B2110" t="s" s="10">
        <v>10855</v>
      </c>
      <c r="C2110" t="s" s="10">
        <v>164</v>
      </c>
      <c r="D2110" t="s" s="10">
        <v>165</v>
      </c>
      <c r="E2110" t="s" s="10">
        <v>185</v>
      </c>
      <c r="F2110" t="s" s="27">
        <v>30</v>
      </c>
      <c r="G2110" t="s" s="10">
        <v>40</v>
      </c>
      <c r="H2110" s="42">
        <v>0.81</v>
      </c>
      <c r="I2110" s="42">
        <v>22.45</v>
      </c>
      <c r="J2110" t="s" s="10">
        <v>10856</v>
      </c>
      <c r="K2110" t="s" s="10">
        <v>10857</v>
      </c>
      <c r="L2110" s="16">
        <f>HYPERLINK("http://www.jointriple.com", "www.jointriple.com")</f>
      </c>
      <c r="M2110" s="16">
        <f>HYPERLINK("https://my.pitchbook.com?c=495653-59", "View Company Online")</f>
      </c>
    </row>
    <row r="2111">
      <c r="A2111" t="s" s="11">
        <v>10859</v>
      </c>
      <c r="B2111" t="s" s="11">
        <v>10860</v>
      </c>
      <c r="C2111" t="s" s="11">
        <v>128</v>
      </c>
      <c r="D2111" t="s" s="11">
        <v>199</v>
      </c>
      <c r="E2111" t="s" s="11">
        <v>634</v>
      </c>
      <c r="F2111" s="28">
        <v>45217</v>
      </c>
      <c r="G2111" t="s" s="11">
        <v>607</v>
      </c>
      <c r="H2111" s="43">
        <v>0.92</v>
      </c>
      <c r="I2111" s="43">
        <v>22.42</v>
      </c>
      <c r="J2111" t="s" s="11">
        <v>10861</v>
      </c>
      <c r="K2111" t="s" s="11">
        <v>10862</v>
      </c>
      <c r="L2111" s="17">
        <f>HYPERLINK("http://www.yondr.money", "www.yondr.money")</f>
      </c>
      <c r="M2111" s="17">
        <f>HYPERLINK("https://my.pitchbook.com?c=494516-53", "View Company Online")</f>
      </c>
    </row>
    <row r="2112">
      <c r="A2112" t="s" s="10">
        <v>10864</v>
      </c>
      <c r="B2112" t="s" s="10">
        <v>10865</v>
      </c>
      <c r="C2112" t="s" s="10">
        <v>60</v>
      </c>
      <c r="D2112" t="s" s="10">
        <v>246</v>
      </c>
      <c r="E2112" t="s" s="10">
        <v>253</v>
      </c>
      <c r="F2112" s="27">
        <v>43948</v>
      </c>
      <c r="G2112" t="s" s="10">
        <v>5311</v>
      </c>
      <c r="H2112" t="s" s="42">
        <v>30</v>
      </c>
      <c r="I2112" s="42">
        <v>22.32</v>
      </c>
      <c r="J2112" t="s" s="10">
        <v>10866</v>
      </c>
      <c r="K2112" t="s" s="10">
        <v>10867</v>
      </c>
      <c r="L2112" s="16">
        <f>HYPERLINK("http://www.rightcapital.com", "www.rightcapital.com")</f>
      </c>
      <c r="M2112" s="16">
        <f>HYPERLINK("https://my.pitchbook.com?c=119937-07", "View Company Online")</f>
      </c>
    </row>
    <row r="2113">
      <c r="A2113" t="s" s="11">
        <v>10869</v>
      </c>
      <c r="B2113" t="s" s="11">
        <v>10870</v>
      </c>
      <c r="C2113" t="s" s="11">
        <v>37</v>
      </c>
      <c r="D2113" t="s" s="11">
        <v>304</v>
      </c>
      <c r="E2113" t="s" s="11">
        <v>2411</v>
      </c>
      <c r="F2113" s="28">
        <v>44760</v>
      </c>
      <c r="G2113" t="s" s="11">
        <v>146</v>
      </c>
      <c r="H2113" s="43">
        <v>12.01</v>
      </c>
      <c r="I2113" s="43">
        <v>22.29</v>
      </c>
      <c r="J2113" t="s" s="11">
        <v>10871</v>
      </c>
      <c r="K2113" t="s" s="11">
        <v>10872</v>
      </c>
      <c r="L2113" s="17">
        <f>HYPERLINK("http://www.refundid.com", "www.refundid.com")</f>
      </c>
      <c r="M2113" s="17">
        <f>HYPERLINK("https://my.pitchbook.com?c=472230-01", "View Company Online")</f>
      </c>
    </row>
    <row r="2114">
      <c r="A2114" t="s" s="10">
        <v>10874</v>
      </c>
      <c r="B2114" t="s" s="10">
        <v>10875</v>
      </c>
      <c r="C2114" t="s" s="10">
        <v>164</v>
      </c>
      <c r="D2114" t="s" s="10">
        <v>206</v>
      </c>
      <c r="E2114" t="s" s="10">
        <v>1054</v>
      </c>
      <c r="F2114" s="27">
        <v>44629</v>
      </c>
      <c r="G2114" t="s" s="10">
        <v>40</v>
      </c>
      <c r="H2114" s="42">
        <v>6.09</v>
      </c>
      <c r="I2114" s="42">
        <v>22.24</v>
      </c>
      <c r="J2114" t="s" s="10">
        <v>10876</v>
      </c>
      <c r="K2114" t="s" s="10">
        <v>10877</v>
      </c>
      <c r="L2114" s="16">
        <f>HYPERLINK("http://www.cardlay.com", "www.cardlay.com")</f>
      </c>
      <c r="M2114" s="16">
        <f>HYPERLINK("https://my.pitchbook.com?c=165938-14", "View Company Online")</f>
      </c>
    </row>
    <row r="2115">
      <c r="A2115" t="s" s="11">
        <v>10879</v>
      </c>
      <c r="B2115" t="s" s="11">
        <v>10880</v>
      </c>
      <c r="C2115" t="s" s="11">
        <v>60</v>
      </c>
      <c r="D2115" t="s" s="11">
        <v>727</v>
      </c>
      <c r="E2115" t="s" s="11">
        <v>2782</v>
      </c>
      <c r="F2115" s="28">
        <v>44810</v>
      </c>
      <c r="G2115" t="s" s="11">
        <v>48</v>
      </c>
      <c r="H2115" t="s" s="43">
        <v>30</v>
      </c>
      <c r="I2115" s="43">
        <v>22.24</v>
      </c>
      <c r="J2115" t="s" s="11">
        <v>10881</v>
      </c>
      <c r="K2115" t="s" s="11">
        <v>10882</v>
      </c>
      <c r="L2115" s="17">
        <f>HYPERLINK("http://www.housers.com", "www.housers.com")</f>
      </c>
      <c r="M2115" s="17">
        <f>HYPERLINK("https://my.pitchbook.com?c=170489-44", "View Company Online")</f>
      </c>
    </row>
    <row r="2116">
      <c r="A2116" t="s" s="10">
        <v>10884</v>
      </c>
      <c r="B2116" t="s" s="10">
        <v>10885</v>
      </c>
      <c r="C2116" t="s" s="10">
        <v>114</v>
      </c>
      <c r="D2116" t="s" s="10">
        <v>136</v>
      </c>
      <c r="E2116" t="s" s="10">
        <v>373</v>
      </c>
      <c r="F2116" t="s" s="27">
        <v>30</v>
      </c>
      <c r="G2116" t="s" s="10">
        <v>48</v>
      </c>
      <c r="H2116" t="s" s="42">
        <v>30</v>
      </c>
      <c r="I2116" s="42">
        <v>22.23</v>
      </c>
      <c r="J2116" t="s" s="10">
        <v>10886</v>
      </c>
      <c r="K2116" t="s" s="10">
        <v>10887</v>
      </c>
      <c r="L2116" s="16">
        <f>HYPERLINK("http://www.creditenable.com", "www.creditenable.com")</f>
      </c>
      <c r="M2116" s="16">
        <f>HYPERLINK("https://my.pitchbook.com?c=229663-09", "View Company Online")</f>
      </c>
    </row>
    <row r="2117">
      <c r="A2117" t="s" s="11">
        <v>10889</v>
      </c>
      <c r="B2117" t="s" s="11">
        <v>10890</v>
      </c>
      <c r="C2117" t="s" s="11">
        <v>164</v>
      </c>
      <c r="D2117" t="s" s="11">
        <v>206</v>
      </c>
      <c r="E2117" t="s" s="11">
        <v>634</v>
      </c>
      <c r="F2117" s="28">
        <v>45931</v>
      </c>
      <c r="G2117" t="s" s="11">
        <v>40</v>
      </c>
      <c r="H2117" t="s" s="43">
        <v>30</v>
      </c>
      <c r="I2117" s="43">
        <v>22.21</v>
      </c>
      <c r="J2117" t="s" s="11">
        <v>10891</v>
      </c>
      <c r="K2117" t="s" s="11">
        <v>10892</v>
      </c>
      <c r="L2117" s="17">
        <f>HYPERLINK("http://www.sikoia.com", "www.sikoia.com")</f>
      </c>
      <c r="M2117" s="17">
        <f>HYPERLINK("https://my.pitchbook.com?c=466971-94", "View Company Online")</f>
      </c>
    </row>
    <row r="2118">
      <c r="A2118" t="s" s="10">
        <v>10894</v>
      </c>
      <c r="B2118" t="s" s="10">
        <v>10895</v>
      </c>
      <c r="C2118" t="s" s="10">
        <v>222</v>
      </c>
      <c r="D2118" t="s" s="10">
        <v>537</v>
      </c>
      <c r="E2118" t="s" s="10">
        <v>634</v>
      </c>
      <c r="F2118" s="27">
        <v>44286</v>
      </c>
      <c r="G2118" t="s" s="10">
        <v>146</v>
      </c>
      <c r="H2118" s="42">
        <v>1.37</v>
      </c>
      <c r="I2118" s="42">
        <v>22.12</v>
      </c>
      <c r="J2118" t="s" s="10">
        <v>10896</v>
      </c>
      <c r="K2118" t="s" s="10">
        <v>10897</v>
      </c>
      <c r="L2118" s="16">
        <f>HYPERLINK("http://www.alphaniti.com", "www.alphaniti.com")</f>
      </c>
      <c r="M2118" s="16">
        <f>HYPERLINK("https://my.pitchbook.com?c=434483-65", "View Company Online")</f>
      </c>
    </row>
    <row r="2119">
      <c r="A2119" t="s" s="11">
        <v>10899</v>
      </c>
      <c r="B2119" t="s" s="11">
        <v>10900</v>
      </c>
      <c r="C2119" t="s" s="11">
        <v>114</v>
      </c>
      <c r="D2119" t="s" s="11">
        <v>1386</v>
      </c>
      <c r="E2119" t="s" s="11">
        <v>414</v>
      </c>
      <c r="F2119" s="28">
        <v>46002</v>
      </c>
      <c r="G2119" t="s" s="11">
        <v>4267</v>
      </c>
      <c r="H2119" s="43">
        <v>6.1</v>
      </c>
      <c r="I2119" s="43">
        <v>22.1</v>
      </c>
      <c r="J2119" t="s" s="11">
        <v>10901</v>
      </c>
      <c r="K2119" t="s" s="11">
        <v>10902</v>
      </c>
      <c r="L2119" s="17">
        <f>HYPERLINK("http://www.airplatforms.com", "www.airplatforms.com")</f>
      </c>
      <c r="M2119" s="17">
        <f>HYPERLINK("https://my.pitchbook.com?c=884813-05", "View Company Online")</f>
      </c>
    </row>
    <row r="2120">
      <c r="A2120" t="s" s="10">
        <v>10904</v>
      </c>
      <c r="B2120" t="s" s="10">
        <v>10905</v>
      </c>
      <c r="C2120" t="s" s="10">
        <v>114</v>
      </c>
      <c r="D2120" t="s" s="10">
        <v>852</v>
      </c>
      <c r="E2120" t="s" s="10">
        <v>30</v>
      </c>
      <c r="F2120" s="27">
        <v>43950</v>
      </c>
      <c r="G2120" t="s" s="10">
        <v>40</v>
      </c>
      <c r="H2120" s="42">
        <v>0.5</v>
      </c>
      <c r="I2120" s="42">
        <v>22.1</v>
      </c>
      <c r="J2120" t="s" s="10">
        <v>10906</v>
      </c>
      <c r="K2120" t="s" s="10">
        <v>10907</v>
      </c>
      <c r="L2120" s="16">
        <f>HYPERLINK("http://www.cleanfund.com", "www.cleanfund.com")</f>
      </c>
      <c r="M2120" s="16">
        <f>HYPERLINK("https://my.pitchbook.com?c=98632-00", "View Company Online")</f>
      </c>
    </row>
    <row r="2121">
      <c r="A2121" t="s" s="11">
        <v>10909</v>
      </c>
      <c r="B2121" t="s" s="11">
        <v>10910</v>
      </c>
      <c r="C2121" t="s" s="11">
        <v>172</v>
      </c>
      <c r="D2121" t="s" s="11">
        <v>173</v>
      </c>
      <c r="E2121" t="s" s="11">
        <v>10911</v>
      </c>
      <c r="F2121" s="28">
        <v>46041</v>
      </c>
      <c r="G2121" t="s" s="11">
        <v>4267</v>
      </c>
      <c r="H2121" t="s" s="43">
        <v>30</v>
      </c>
      <c r="I2121" s="43">
        <v>22.02</v>
      </c>
      <c r="J2121" t="s" s="11">
        <v>10912</v>
      </c>
      <c r="K2121" t="s" s="11">
        <v>10913</v>
      </c>
      <c r="L2121" s="17">
        <f>HYPERLINK("http://www.instnt.ai", "www.instnt.ai")</f>
      </c>
      <c r="M2121" s="17">
        <f>HYPERLINK("https://my.pitchbook.com?c=327506-23", "View Company Online")</f>
      </c>
    </row>
    <row r="2122">
      <c r="A2122" t="s" s="10">
        <v>10915</v>
      </c>
      <c r="B2122" t="s" s="10">
        <v>10916</v>
      </c>
      <c r="C2122" t="s" s="10">
        <v>60</v>
      </c>
      <c r="D2122" t="s" s="10">
        <v>192</v>
      </c>
      <c r="E2122" t="s" s="10">
        <v>253</v>
      </c>
      <c r="F2122" s="27">
        <v>45401</v>
      </c>
      <c r="G2122" t="s" s="10">
        <v>40</v>
      </c>
      <c r="H2122" t="s" s="42">
        <v>30</v>
      </c>
      <c r="I2122" s="42">
        <v>22.02</v>
      </c>
      <c r="J2122" t="s" s="10">
        <v>10917</v>
      </c>
      <c r="K2122" t="s" s="10">
        <v>10918</v>
      </c>
      <c r="L2122" s="16">
        <f>HYPERLINK("http://www.newbanker.com", "www.newbanker.com")</f>
      </c>
      <c r="M2122" s="16">
        <f>HYPERLINK("https://my.pitchbook.com?c=339780-88", "View Company Online")</f>
      </c>
    </row>
    <row r="2123">
      <c r="A2123" t="s" s="11">
        <v>10920</v>
      </c>
      <c r="B2123" t="s" s="11">
        <v>10921</v>
      </c>
      <c r="C2123" t="s" s="11">
        <v>164</v>
      </c>
      <c r="D2123" t="s" s="11">
        <v>206</v>
      </c>
      <c r="E2123" t="s" s="11">
        <v>3383</v>
      </c>
      <c r="F2123" s="28">
        <v>43327</v>
      </c>
      <c r="G2123" t="s" s="11">
        <v>146</v>
      </c>
      <c r="H2123" s="43">
        <v>4.4</v>
      </c>
      <c r="I2123" s="43">
        <v>22.01</v>
      </c>
      <c r="J2123" t="s" s="11">
        <v>10922</v>
      </c>
      <c r="K2123" t="s" s="11">
        <v>10923</v>
      </c>
      <c r="L2123" s="17">
        <f>HYPERLINK("http://www.shuzutech.com", "www.shuzutech.com")</f>
      </c>
      <c r="M2123" s="17">
        <f>HYPERLINK("https://my.pitchbook.com?c=465216-67", "View Company Online")</f>
      </c>
    </row>
    <row r="2124">
      <c r="A2124" t="s" s="10">
        <v>10925</v>
      </c>
      <c r="B2124" t="s" s="10">
        <v>10926</v>
      </c>
      <c r="C2124" t="s" s="10">
        <v>27</v>
      </c>
      <c r="D2124" t="s" s="10">
        <v>28</v>
      </c>
      <c r="E2124" t="s" s="10">
        <v>253</v>
      </c>
      <c r="F2124" s="27">
        <v>45554</v>
      </c>
      <c r="G2124" t="s" s="10">
        <v>146</v>
      </c>
      <c r="H2124" s="42">
        <v>12</v>
      </c>
      <c r="I2124" s="42">
        <v>22</v>
      </c>
      <c r="J2124" t="s" s="10">
        <v>10927</v>
      </c>
      <c r="K2124" t="s" s="10">
        <v>10928</v>
      </c>
      <c r="L2124" s="16">
        <f>HYPERLINK("http://www.cometaedu.com", "www.cometaedu.com")</f>
      </c>
      <c r="M2124" s="16">
        <f>HYPERLINK("https://my.pitchbook.com?c=518011-03", "View Company Online")</f>
      </c>
    </row>
    <row r="2125">
      <c r="A2125" t="s" s="11">
        <v>10930</v>
      </c>
      <c r="B2125" t="s" s="11">
        <v>10931</v>
      </c>
      <c r="C2125" t="s" s="11">
        <v>60</v>
      </c>
      <c r="D2125" t="s" s="11">
        <v>432</v>
      </c>
      <c r="E2125" t="s" s="11">
        <v>414</v>
      </c>
      <c r="F2125" s="28">
        <v>46071</v>
      </c>
      <c r="G2125" t="s" s="11">
        <v>4267</v>
      </c>
      <c r="H2125" t="s" s="43">
        <v>30</v>
      </c>
      <c r="I2125" s="43">
        <v>22</v>
      </c>
      <c r="J2125" t="s" s="11">
        <v>10932</v>
      </c>
      <c r="K2125" t="s" s="11">
        <v>30</v>
      </c>
      <c r="L2125" s="17">
        <f>HYPERLINK("http://www.investstream.io", "www.investstream.io")</f>
      </c>
      <c r="M2125" s="17">
        <f>HYPERLINK("https://my.pitchbook.com?c=958320-28", "View Company Online")</f>
      </c>
    </row>
    <row r="2126">
      <c r="A2126" t="s" s="10">
        <v>10934</v>
      </c>
      <c r="B2126" t="s" s="10">
        <v>10935</v>
      </c>
      <c r="C2126" t="s" s="10">
        <v>172</v>
      </c>
      <c r="D2126" t="s" s="10">
        <v>338</v>
      </c>
      <c r="E2126" t="s" s="10">
        <v>373</v>
      </c>
      <c r="F2126" s="27">
        <v>45785</v>
      </c>
      <c r="G2126" t="s" s="10">
        <v>4267</v>
      </c>
      <c r="H2126" s="42">
        <v>5.39</v>
      </c>
      <c r="I2126" s="42">
        <v>22</v>
      </c>
      <c r="J2126" t="s" s="10">
        <v>10936</v>
      </c>
      <c r="K2126" t="s" s="10">
        <v>10937</v>
      </c>
      <c r="L2126" s="16">
        <f>HYPERLINK("http://www.newrange.com", "www.newrange.com")</f>
      </c>
      <c r="M2126" s="16">
        <f>HYPERLINK("https://my.pitchbook.com?c=692524-27", "View Company Online")</f>
      </c>
    </row>
    <row r="2127">
      <c r="A2127" t="s" s="11">
        <v>10939</v>
      </c>
      <c r="B2127" t="s" s="11">
        <v>10940</v>
      </c>
      <c r="C2127" t="s" s="11">
        <v>46</v>
      </c>
      <c r="D2127" t="s" s="11">
        <v>47</v>
      </c>
      <c r="E2127" t="s" s="11">
        <v>1054</v>
      </c>
      <c r="F2127" s="28">
        <v>45433</v>
      </c>
      <c r="G2127" t="s" s="11">
        <v>48</v>
      </c>
      <c r="H2127" t="s" s="43">
        <v>30</v>
      </c>
      <c r="I2127" s="43">
        <v>22</v>
      </c>
      <c r="J2127" t="s" s="11">
        <v>10941</v>
      </c>
      <c r="K2127" t="s" s="11">
        <v>10942</v>
      </c>
      <c r="L2127" s="17">
        <f>HYPERLINK("http://www.tight.com", "www.tight.com")</f>
      </c>
      <c r="M2127" s="17">
        <f>HYPERLINK("https://my.pitchbook.com?c=174427-57", "View Company Online")</f>
      </c>
    </row>
    <row r="2128">
      <c r="A2128" t="s" s="10">
        <v>10944</v>
      </c>
      <c r="B2128" t="s" s="10">
        <v>10945</v>
      </c>
      <c r="C2128" t="s" s="10">
        <v>164</v>
      </c>
      <c r="D2128" t="s" s="10">
        <v>206</v>
      </c>
      <c r="E2128" t="s" s="10">
        <v>253</v>
      </c>
      <c r="F2128" s="27">
        <v>46054</v>
      </c>
      <c r="G2128" t="s" s="10">
        <v>48</v>
      </c>
      <c r="H2128" t="s" s="42">
        <v>30</v>
      </c>
      <c r="I2128" s="42">
        <v>22</v>
      </c>
      <c r="J2128" t="s" s="10">
        <v>10946</v>
      </c>
      <c r="K2128" t="s" s="10">
        <v>10947</v>
      </c>
      <c r="L2128" s="16">
        <f>HYPERLINK("http://www.wealtharc.com", "www.wealtharc.com")</f>
      </c>
      <c r="M2128" s="16">
        <f>HYPERLINK("https://my.pitchbook.com?c=107715-79", "View Company Online")</f>
      </c>
    </row>
    <row r="2129">
      <c r="A2129" t="s" s="11">
        <v>10949</v>
      </c>
      <c r="B2129" t="s" s="11">
        <v>10950</v>
      </c>
      <c r="C2129" t="s" s="11">
        <v>172</v>
      </c>
      <c r="D2129" t="s" s="11">
        <v>338</v>
      </c>
      <c r="E2129" t="s" s="11">
        <v>1578</v>
      </c>
      <c r="F2129" s="28">
        <v>46177</v>
      </c>
      <c r="G2129" t="s" s="11">
        <v>607</v>
      </c>
      <c r="H2129" s="43">
        <v>0.25</v>
      </c>
      <c r="I2129" s="43">
        <v>21.97</v>
      </c>
      <c r="J2129" t="s" s="11">
        <v>10951</v>
      </c>
      <c r="K2129" t="s" s="11">
        <v>10952</v>
      </c>
      <c r="L2129" s="17">
        <f>HYPERLINK("http://www.insightgenie.ai", "www.insightgenie.ai")</f>
      </c>
      <c r="M2129" s="17">
        <f>HYPERLINK("https://my.pitchbook.com?c=469027-90", "View Company Online")</f>
      </c>
    </row>
    <row r="2130">
      <c r="A2130" t="s" s="10">
        <v>10954</v>
      </c>
      <c r="B2130" t="s" s="10">
        <v>10955</v>
      </c>
      <c r="C2130" t="s" s="10">
        <v>164</v>
      </c>
      <c r="D2130" t="s" s="10">
        <v>206</v>
      </c>
      <c r="E2130" t="s" s="10">
        <v>270</v>
      </c>
      <c r="F2130" t="s" s="27">
        <v>30</v>
      </c>
      <c r="G2130" t="s" s="10">
        <v>48</v>
      </c>
      <c r="H2130" t="s" s="42">
        <v>30</v>
      </c>
      <c r="I2130" s="42">
        <v>21.94</v>
      </c>
      <c r="J2130" t="s" s="10">
        <v>10956</v>
      </c>
      <c r="K2130" t="s" s="10">
        <v>10957</v>
      </c>
      <c r="L2130" s="16">
        <f>HYPERLINK("http://superpe.in", "superpe.in")</f>
      </c>
      <c r="M2130" s="16">
        <f>HYPERLINK("https://my.pitchbook.com?c=493558-66", "View Company Online")</f>
      </c>
    </row>
    <row r="2131">
      <c r="A2131" t="s" s="11">
        <v>10959</v>
      </c>
      <c r="B2131" t="s" s="11">
        <v>10960</v>
      </c>
      <c r="C2131" t="s" s="11">
        <v>27</v>
      </c>
      <c r="D2131" t="s" s="11">
        <v>28</v>
      </c>
      <c r="E2131" t="s" s="11">
        <v>270</v>
      </c>
      <c r="F2131" s="28">
        <v>45666</v>
      </c>
      <c r="G2131" t="s" s="11">
        <v>40</v>
      </c>
      <c r="H2131" s="43">
        <v>9.38</v>
      </c>
      <c r="I2131" s="43">
        <v>21.93</v>
      </c>
      <c r="J2131" t="s" s="11">
        <v>10961</v>
      </c>
      <c r="K2131" t="s" s="11">
        <v>10962</v>
      </c>
      <c r="L2131" s="17">
        <f>HYPERLINK("http://www.grayquest.com", "www.grayquest.com")</f>
      </c>
      <c r="M2131" s="17">
        <f>HYPERLINK("https://my.pitchbook.com?c=438181-48", "View Company Online")</f>
      </c>
    </row>
    <row r="2132">
      <c r="A2132" t="s" s="10">
        <v>10964</v>
      </c>
      <c r="B2132" t="s" s="10">
        <v>10965</v>
      </c>
      <c r="C2132" t="s" s="10">
        <v>46</v>
      </c>
      <c r="D2132" t="s" s="10">
        <v>47</v>
      </c>
      <c r="E2132" t="s" s="10">
        <v>10966</v>
      </c>
      <c r="F2132" s="27">
        <v>45547</v>
      </c>
      <c r="G2132" t="s" s="10">
        <v>607</v>
      </c>
      <c r="H2132" t="s" s="42">
        <v>30</v>
      </c>
      <c r="I2132" s="42">
        <v>21.8</v>
      </c>
      <c r="J2132" t="s" s="10">
        <v>10967</v>
      </c>
      <c r="K2132" t="s" s="10">
        <v>10968</v>
      </c>
      <c r="L2132" s="16">
        <f>HYPERLINK("http://www.finli.com", "www.finli.com")</f>
      </c>
      <c r="M2132" s="16">
        <f>HYPERLINK("https://my.pitchbook.com?c=398913-31", "View Company Online")</f>
      </c>
    </row>
    <row r="2133">
      <c r="A2133" t="s" s="11">
        <v>10970</v>
      </c>
      <c r="B2133" t="s" s="11">
        <v>10971</v>
      </c>
      <c r="C2133" t="s" s="11">
        <v>46</v>
      </c>
      <c r="D2133" t="s" s="11">
        <v>397</v>
      </c>
      <c r="E2133" t="s" s="11">
        <v>29</v>
      </c>
      <c r="F2133" s="28">
        <v>44189</v>
      </c>
      <c r="G2133" t="s" s="11">
        <v>146</v>
      </c>
      <c r="H2133" s="43">
        <v>5.68</v>
      </c>
      <c r="I2133" s="43">
        <v>21.77</v>
      </c>
      <c r="J2133" t="s" s="11">
        <v>10972</v>
      </c>
      <c r="K2133" t="s" s="11">
        <v>10973</v>
      </c>
      <c r="L2133" s="17">
        <f>HYPERLINK("http://www.hellonimbly.com", "www.hellonimbly.com")</f>
      </c>
      <c r="M2133" s="17">
        <f>HYPERLINK("https://my.pitchbook.com?c=327170-53", "View Company Online")</f>
      </c>
    </row>
    <row r="2134">
      <c r="A2134" t="s" s="10">
        <v>10975</v>
      </c>
      <c r="B2134" t="s" s="10">
        <v>10976</v>
      </c>
      <c r="C2134" t="s" s="10">
        <v>27</v>
      </c>
      <c r="D2134" t="s" s="10">
        <v>28</v>
      </c>
      <c r="E2134" t="s" s="10">
        <v>253</v>
      </c>
      <c r="F2134" s="27">
        <v>44391</v>
      </c>
      <c r="G2134" t="s" s="10">
        <v>146</v>
      </c>
      <c r="H2134" s="42">
        <v>6.02</v>
      </c>
      <c r="I2134" s="42">
        <v>21.76</v>
      </c>
      <c r="J2134" t="s" s="10">
        <v>10977</v>
      </c>
      <c r="K2134" t="s" s="10">
        <v>30</v>
      </c>
      <c r="L2134" s="16">
        <f>HYPERLINK("http://www.rewireholding.com", "www.rewireholding.com")</f>
      </c>
      <c r="M2134" s="16">
        <f>HYPERLINK("https://my.pitchbook.com?c=434959-39", "View Company Online")</f>
      </c>
    </row>
    <row r="2135">
      <c r="A2135" t="s" s="11">
        <v>10979</v>
      </c>
      <c r="B2135" t="s" s="11">
        <v>10980</v>
      </c>
      <c r="C2135" t="s" s="11">
        <v>114</v>
      </c>
      <c r="D2135" t="s" s="11">
        <v>136</v>
      </c>
      <c r="E2135" t="s" s="11">
        <v>253</v>
      </c>
      <c r="F2135" s="28">
        <v>45762</v>
      </c>
      <c r="G2135" t="s" s="11">
        <v>40</v>
      </c>
      <c r="H2135" s="43">
        <v>5.94</v>
      </c>
      <c r="I2135" s="43">
        <v>21.72</v>
      </c>
      <c r="J2135" t="s" s="11">
        <v>10981</v>
      </c>
      <c r="K2135" t="s" s="11">
        <v>10982</v>
      </c>
      <c r="L2135" s="17">
        <f>HYPERLINK("http://www.cerebrocapital.com", "www.cerebrocapital.com")</f>
      </c>
      <c r="M2135" s="17">
        <f>HYPERLINK("https://my.pitchbook.com?c=225682-57", "View Company Online")</f>
      </c>
    </row>
    <row r="2136">
      <c r="A2136" t="s" s="10">
        <v>10984</v>
      </c>
      <c r="B2136" t="s" s="10">
        <v>10985</v>
      </c>
      <c r="C2136" t="s" s="10">
        <v>114</v>
      </c>
      <c r="D2136" t="s" s="10">
        <v>852</v>
      </c>
      <c r="E2136" t="s" s="10">
        <v>137</v>
      </c>
      <c r="F2136" s="27">
        <v>45189</v>
      </c>
      <c r="G2136" t="s" s="10">
        <v>494</v>
      </c>
      <c r="H2136" s="42">
        <v>177.31</v>
      </c>
      <c r="I2136" s="42">
        <v>21.72</v>
      </c>
      <c r="J2136" t="s" s="10">
        <v>10986</v>
      </c>
      <c r="K2136" t="s" s="10">
        <v>10987</v>
      </c>
      <c r="L2136" s="16">
        <f>HYPERLINK("http://www.fleximize.com", "www.fleximize.com")</f>
      </c>
      <c r="M2136" s="16">
        <f>HYPERLINK("https://my.pitchbook.com?c=170954-38", "View Company Online")</f>
      </c>
    </row>
    <row r="2137">
      <c r="A2137" t="s" s="11">
        <v>10989</v>
      </c>
      <c r="B2137" t="s" s="11">
        <v>10990</v>
      </c>
      <c r="C2137" t="s" s="11">
        <v>128</v>
      </c>
      <c r="D2137" t="s" s="11">
        <v>276</v>
      </c>
      <c r="E2137" t="s" s="11">
        <v>951</v>
      </c>
      <c r="F2137" s="28">
        <v>45798</v>
      </c>
      <c r="G2137" t="s" s="11">
        <v>40</v>
      </c>
      <c r="H2137" s="43">
        <v>4.51</v>
      </c>
      <c r="I2137" s="43">
        <v>21.67</v>
      </c>
      <c r="J2137" t="s" s="11">
        <v>10991</v>
      </c>
      <c r="K2137" t="s" s="11">
        <v>30</v>
      </c>
      <c r="L2137" s="17">
        <f>HYPERLINK("http://www.auric.cloud", "www.auric.cloud")</f>
      </c>
      <c r="M2137" s="17">
        <f>HYPERLINK("https://my.pitchbook.com?c=491738-86", "View Company Online")</f>
      </c>
    </row>
    <row r="2138">
      <c r="A2138" t="s" s="10">
        <v>10993</v>
      </c>
      <c r="B2138" t="s" s="10">
        <v>10994</v>
      </c>
      <c r="C2138" t="s" s="10">
        <v>222</v>
      </c>
      <c r="D2138" t="s" s="10">
        <v>537</v>
      </c>
      <c r="E2138" t="s" s="10">
        <v>367</v>
      </c>
      <c r="F2138" s="27">
        <v>45382</v>
      </c>
      <c r="G2138" t="s" s="10">
        <v>4267</v>
      </c>
      <c r="H2138" s="42">
        <v>5.65</v>
      </c>
      <c r="I2138" s="42">
        <v>21.65</v>
      </c>
      <c r="J2138" t="s" s="10">
        <v>10995</v>
      </c>
      <c r="K2138" t="s" s="10">
        <v>10996</v>
      </c>
      <c r="L2138" s="16">
        <f>HYPERLINK("http://www.tradewelltech.co", "www.tradewelltech.co")</f>
      </c>
      <c r="M2138" s="16">
        <f>HYPERLINK("https://my.pitchbook.com?c=483472-72", "View Company Online")</f>
      </c>
    </row>
    <row r="2139">
      <c r="A2139" t="s" s="11">
        <v>10998</v>
      </c>
      <c r="B2139" t="s" s="11">
        <v>10999</v>
      </c>
      <c r="C2139" t="s" s="11">
        <v>27</v>
      </c>
      <c r="D2139" t="s" s="11">
        <v>28</v>
      </c>
      <c r="E2139" t="s" s="11">
        <v>2287</v>
      </c>
      <c r="F2139" s="28">
        <v>45622</v>
      </c>
      <c r="G2139" t="s" s="11">
        <v>4267</v>
      </c>
      <c r="H2139" s="43">
        <v>3.04</v>
      </c>
      <c r="I2139" s="43">
        <v>21.63</v>
      </c>
      <c r="J2139" t="s" s="11">
        <v>11000</v>
      </c>
      <c r="K2139" t="s" s="11">
        <v>11001</v>
      </c>
      <c r="L2139" s="17">
        <f>HYPERLINK("http://www.pi-xcels.com", "www.pi-xcels.com")</f>
      </c>
      <c r="M2139" s="17">
        <f>HYPERLINK("https://my.pitchbook.com?c=512473-51", "View Company Online")</f>
      </c>
    </row>
    <row r="2140">
      <c r="A2140" t="s" s="10">
        <v>11003</v>
      </c>
      <c r="B2140" t="s" s="10">
        <v>11004</v>
      </c>
      <c r="C2140" t="s" s="10">
        <v>60</v>
      </c>
      <c r="D2140" t="s" s="10">
        <v>61</v>
      </c>
      <c r="E2140" t="s" s="10">
        <v>253</v>
      </c>
      <c r="F2140" s="27">
        <v>45747</v>
      </c>
      <c r="G2140" t="s" s="10">
        <v>146</v>
      </c>
      <c r="H2140" s="42">
        <v>3.24</v>
      </c>
      <c r="I2140" s="42">
        <v>21.6</v>
      </c>
      <c r="J2140" t="s" s="10">
        <v>11005</v>
      </c>
      <c r="K2140" t="s" s="10">
        <v>30</v>
      </c>
      <c r="L2140" s="16">
        <f>HYPERLINK("http://www.goliaths.io", "www.goliaths.io")</f>
      </c>
      <c r="M2140" s="16">
        <f>HYPERLINK("https://my.pitchbook.com?c=501876-19", "View Company Online")</f>
      </c>
    </row>
    <row r="2141">
      <c r="A2141" t="s" s="11">
        <v>11007</v>
      </c>
      <c r="B2141" t="s" s="11">
        <v>11008</v>
      </c>
      <c r="C2141" t="s" s="11">
        <v>60</v>
      </c>
      <c r="D2141" t="s" s="11">
        <v>432</v>
      </c>
      <c r="E2141" t="s" s="11">
        <v>137</v>
      </c>
      <c r="F2141" s="28">
        <v>45971</v>
      </c>
      <c r="G2141" t="s" s="11">
        <v>40</v>
      </c>
      <c r="H2141" s="43">
        <v>3.57</v>
      </c>
      <c r="I2141" s="43">
        <v>21.57</v>
      </c>
      <c r="J2141" t="s" s="11">
        <v>11009</v>
      </c>
      <c r="K2141" t="s" s="11">
        <v>11010</v>
      </c>
      <c r="L2141" s="17">
        <f>HYPERLINK("http://www.vrglwealth.com", "www.vrglwealth.com")</f>
      </c>
      <c r="M2141" s="17">
        <f>HYPERLINK("https://my.pitchbook.com?c=492930-82", "View Company Online")</f>
      </c>
    </row>
    <row r="2142">
      <c r="A2142" t="s" s="10">
        <v>11012</v>
      </c>
      <c r="B2142" t="s" s="10">
        <v>11013</v>
      </c>
      <c r="C2142" t="s" s="10">
        <v>172</v>
      </c>
      <c r="D2142" t="s" s="10">
        <v>1454</v>
      </c>
      <c r="E2142" t="s" s="10">
        <v>11014</v>
      </c>
      <c r="F2142" s="27">
        <v>45701</v>
      </c>
      <c r="G2142" t="s" s="10">
        <v>4267</v>
      </c>
      <c r="H2142" s="42">
        <v>5.8</v>
      </c>
      <c r="I2142" s="42">
        <v>21.52</v>
      </c>
      <c r="J2142" t="s" s="10">
        <v>11015</v>
      </c>
      <c r="K2142" t="s" s="10">
        <v>11016</v>
      </c>
      <c r="L2142" s="16">
        <f>HYPERLINK("http://www.renew-risk.com", "www.renew-risk.com")</f>
      </c>
      <c r="M2142" s="16">
        <f>HYPERLINK("https://my.pitchbook.com?c=522631-81", "View Company Online")</f>
      </c>
    </row>
    <row r="2143">
      <c r="A2143" t="s" s="11">
        <v>11018</v>
      </c>
      <c r="B2143" t="s" s="11">
        <v>11019</v>
      </c>
      <c r="C2143" t="s" s="11">
        <v>128</v>
      </c>
      <c r="D2143" t="s" s="11">
        <v>276</v>
      </c>
      <c r="E2143" t="s" s="11">
        <v>414</v>
      </c>
      <c r="F2143" t="s" s="28">
        <v>30</v>
      </c>
      <c r="G2143" t="s" s="11">
        <v>607</v>
      </c>
      <c r="H2143" t="s" s="43">
        <v>30</v>
      </c>
      <c r="I2143" s="43">
        <v>21.52</v>
      </c>
      <c r="J2143" t="s" s="11">
        <v>11020</v>
      </c>
      <c r="K2143" t="s" s="11">
        <v>11021</v>
      </c>
      <c r="L2143" s="17">
        <f>HYPERLINK("http://www.yolobank.com", "www.yolobank.com")</f>
      </c>
      <c r="M2143" s="17">
        <f>HYPERLINK("https://my.pitchbook.com?c=148986-46", "View Company Online")</f>
      </c>
    </row>
    <row r="2144">
      <c r="A2144" t="s" s="10">
        <v>11023</v>
      </c>
      <c r="B2144" t="s" s="10">
        <v>11024</v>
      </c>
      <c r="C2144" t="s" s="10">
        <v>60</v>
      </c>
      <c r="D2144" t="s" s="10">
        <v>192</v>
      </c>
      <c r="E2144" t="s" s="10">
        <v>414</v>
      </c>
      <c r="F2144" s="27">
        <v>46107</v>
      </c>
      <c r="G2144" t="s" s="10">
        <v>146</v>
      </c>
      <c r="H2144" s="42">
        <v>8</v>
      </c>
      <c r="I2144" s="42">
        <v>21.5</v>
      </c>
      <c r="J2144" t="s" s="10">
        <v>11025</v>
      </c>
      <c r="K2144" t="s" s="10">
        <v>11026</v>
      </c>
      <c r="L2144" s="16">
        <f>HYPERLINK("http://www.theiainsights.com", "www.theiainsights.com")</f>
      </c>
      <c r="M2144" s="16">
        <f>HYPERLINK("https://my.pitchbook.com?c=521574-58", "View Company Online")</f>
      </c>
    </row>
    <row r="2145">
      <c r="A2145" t="s" s="11">
        <v>11028</v>
      </c>
      <c r="B2145" t="s" s="11">
        <v>11029</v>
      </c>
      <c r="C2145" t="s" s="11">
        <v>128</v>
      </c>
      <c r="D2145" t="s" s="11">
        <v>199</v>
      </c>
      <c r="E2145" t="s" s="11">
        <v>270</v>
      </c>
      <c r="F2145" t="s" s="28">
        <v>30</v>
      </c>
      <c r="G2145" t="s" s="11">
        <v>48</v>
      </c>
      <c r="H2145" t="s" s="43">
        <v>30</v>
      </c>
      <c r="I2145" s="43">
        <v>21.5</v>
      </c>
      <c r="J2145" t="s" s="11">
        <v>11030</v>
      </c>
      <c r="K2145" t="s" s="11">
        <v>11031</v>
      </c>
      <c r="L2145" s="17">
        <f>HYPERLINK("http://www.undostres.com.mx", "www.undostres.com.mx")</f>
      </c>
      <c r="M2145" s="17">
        <f>HYPERLINK("https://my.pitchbook.com?c=168818-95", "View Company Online")</f>
      </c>
    </row>
    <row r="2146">
      <c r="A2146" t="s" s="10">
        <v>11033</v>
      </c>
      <c r="B2146" t="s" s="10">
        <v>11034</v>
      </c>
      <c r="C2146" t="s" s="10">
        <v>222</v>
      </c>
      <c r="D2146" t="s" s="10">
        <v>252</v>
      </c>
      <c r="E2146" t="s" s="10">
        <v>1207</v>
      </c>
      <c r="F2146" s="27">
        <v>45289</v>
      </c>
      <c r="G2146" t="s" s="10">
        <v>4267</v>
      </c>
      <c r="H2146" s="42">
        <v>4.59</v>
      </c>
      <c r="I2146" s="42">
        <v>21.42</v>
      </c>
      <c r="J2146" t="s" s="10">
        <v>11035</v>
      </c>
      <c r="K2146" t="s" s="10">
        <v>11036</v>
      </c>
      <c r="L2146" s="16">
        <f>HYPERLINK("http://www.agoradcm.com", "www.agoradcm.com")</f>
      </c>
      <c r="M2146" s="16">
        <f>HYPERLINK("https://my.pitchbook.com?c=340878-52", "View Company Online")</f>
      </c>
    </row>
    <row r="2147">
      <c r="A2147" t="s" s="11">
        <v>11038</v>
      </c>
      <c r="B2147" t="s" s="11">
        <v>11039</v>
      </c>
      <c r="C2147" t="s" s="11">
        <v>144</v>
      </c>
      <c r="D2147" t="s" s="11">
        <v>297</v>
      </c>
      <c r="E2147" t="s" s="11">
        <v>414</v>
      </c>
      <c r="F2147" s="28">
        <v>45874</v>
      </c>
      <c r="G2147" t="s" s="11">
        <v>40</v>
      </c>
      <c r="H2147" s="43">
        <v>124</v>
      </c>
      <c r="I2147" s="43">
        <v>21.34</v>
      </c>
      <c r="J2147" t="s" s="11">
        <v>11040</v>
      </c>
      <c r="K2147" t="s" s="11">
        <v>11041</v>
      </c>
      <c r="L2147" s="17">
        <f>HYPERLINK("http://www.beatbread.com", "www.beatbread.com")</f>
      </c>
      <c r="M2147" s="17">
        <f>HYPERLINK("https://my.pitchbook.com?c=490342-96", "View Company Online")</f>
      </c>
    </row>
    <row r="2148">
      <c r="A2148" t="s" s="10">
        <v>11043</v>
      </c>
      <c r="B2148" t="s" s="10">
        <v>11044</v>
      </c>
      <c r="C2148" t="s" s="10">
        <v>37</v>
      </c>
      <c r="D2148" t="s" s="10">
        <v>38</v>
      </c>
      <c r="E2148" t="s" s="10">
        <v>29</v>
      </c>
      <c r="F2148" s="27">
        <v>44652</v>
      </c>
      <c r="G2148" t="s" s="10">
        <v>4267</v>
      </c>
      <c r="H2148" s="42">
        <v>5.61</v>
      </c>
      <c r="I2148" s="42">
        <v>21.26</v>
      </c>
      <c r="J2148" t="s" s="10">
        <v>11045</v>
      </c>
      <c r="K2148" t="s" s="10">
        <v>11046</v>
      </c>
      <c r="L2148" s="16">
        <f>HYPERLINK("http://www.onebanc.ai", "www.onebanc.ai")</f>
      </c>
      <c r="M2148" s="16">
        <f>HYPERLINK("https://my.pitchbook.com?c=466972-84", "View Company Online")</f>
      </c>
    </row>
    <row r="2149">
      <c r="A2149" t="s" s="11">
        <v>11048</v>
      </c>
      <c r="B2149" t="s" s="11">
        <v>11049</v>
      </c>
      <c r="C2149" t="s" s="11">
        <v>27</v>
      </c>
      <c r="D2149" t="s" s="11">
        <v>28</v>
      </c>
      <c r="E2149" t="s" s="11">
        <v>3553</v>
      </c>
      <c r="F2149" s="28">
        <v>45617</v>
      </c>
      <c r="G2149" t="s" s="11">
        <v>4267</v>
      </c>
      <c r="H2149" s="43">
        <v>4.25</v>
      </c>
      <c r="I2149" s="43">
        <v>21.25</v>
      </c>
      <c r="J2149" t="s" s="11">
        <v>11050</v>
      </c>
      <c r="K2149" t="s" s="11">
        <v>11051</v>
      </c>
      <c r="L2149" s="17">
        <f>HYPERLINK("http://www.keysavvy.com", "www.keysavvy.com")</f>
      </c>
      <c r="M2149" s="17">
        <f>HYPERLINK("https://my.pitchbook.com?c=538994-80", "View Company Online")</f>
      </c>
    </row>
    <row r="2150">
      <c r="A2150" t="s" s="10">
        <v>11053</v>
      </c>
      <c r="B2150" t="s" s="10">
        <v>11054</v>
      </c>
      <c r="C2150" t="s" s="10">
        <v>46</v>
      </c>
      <c r="D2150" t="s" s="10">
        <v>397</v>
      </c>
      <c r="E2150" t="s" s="10">
        <v>367</v>
      </c>
      <c r="F2150" s="27">
        <v>44704</v>
      </c>
      <c r="G2150" t="s" s="10">
        <v>146</v>
      </c>
      <c r="H2150" s="42">
        <v>4.95</v>
      </c>
      <c r="I2150" s="42">
        <v>21.18</v>
      </c>
      <c r="J2150" t="s" s="10">
        <v>11055</v>
      </c>
      <c r="K2150" t="s" s="10">
        <v>11056</v>
      </c>
      <c r="L2150" s="16">
        <f>HYPERLINK("http://www.adsum-works.com", "www.adsum-works.com")</f>
      </c>
      <c r="M2150" s="16">
        <f>HYPERLINK("https://my.pitchbook.com?c=497234-26", "View Company Online")</f>
      </c>
    </row>
    <row r="2151">
      <c r="A2151" t="s" s="11">
        <v>11058</v>
      </c>
      <c r="B2151" t="s" s="11">
        <v>11059</v>
      </c>
      <c r="C2151" t="s" s="11">
        <v>144</v>
      </c>
      <c r="D2151" t="s" s="11">
        <v>297</v>
      </c>
      <c r="E2151" t="s" s="11">
        <v>270</v>
      </c>
      <c r="F2151" s="28">
        <v>45530</v>
      </c>
      <c r="G2151" t="s" s="11">
        <v>40</v>
      </c>
      <c r="H2151" s="43">
        <v>30</v>
      </c>
      <c r="I2151" s="43">
        <v>21.16</v>
      </c>
      <c r="J2151" t="s" s="11">
        <v>11060</v>
      </c>
      <c r="K2151" t="s" s="11">
        <v>11061</v>
      </c>
      <c r="L2151" s="17">
        <f>HYPERLINK("http://www.velocity.in", "www.velocity.in")</f>
      </c>
      <c r="M2151" s="17">
        <f>HYPERLINK("https://my.pitchbook.com?c=463230-19", "View Company Online")</f>
      </c>
    </row>
    <row r="2152">
      <c r="A2152" t="s" s="10">
        <v>11063</v>
      </c>
      <c r="B2152" t="s" s="10">
        <v>11064</v>
      </c>
      <c r="C2152" t="s" s="10">
        <v>114</v>
      </c>
      <c r="D2152" t="s" s="10">
        <v>136</v>
      </c>
      <c r="E2152" t="s" s="10">
        <v>137</v>
      </c>
      <c r="F2152" s="27">
        <v>44044</v>
      </c>
      <c r="G2152" t="s" s="10">
        <v>40</v>
      </c>
      <c r="H2152" s="42">
        <v>2</v>
      </c>
      <c r="I2152" s="42">
        <v>21.09</v>
      </c>
      <c r="J2152" t="s" s="10">
        <v>11065</v>
      </c>
      <c r="K2152" t="s" s="10">
        <v>30</v>
      </c>
      <c r="L2152" s="16">
        <f>HYPERLINK("http://www.cointribe.com", "www.cointribe.com")</f>
      </c>
      <c r="M2152" s="16">
        <f>HYPERLINK("https://my.pitchbook.com?c=229228-48", "View Company Online")</f>
      </c>
    </row>
    <row r="2153">
      <c r="A2153" t="s" s="11">
        <v>11067</v>
      </c>
      <c r="B2153" t="s" s="11">
        <v>11068</v>
      </c>
      <c r="C2153" t="s" s="11">
        <v>128</v>
      </c>
      <c r="D2153" t="s" s="11">
        <v>276</v>
      </c>
      <c r="E2153" t="s" s="11">
        <v>270</v>
      </c>
      <c r="F2153" s="28">
        <v>43158</v>
      </c>
      <c r="G2153" t="s" s="11">
        <v>146</v>
      </c>
      <c r="H2153" s="43">
        <v>3.74</v>
      </c>
      <c r="I2153" s="43">
        <v>21.09</v>
      </c>
      <c r="J2153" t="s" s="11">
        <v>11069</v>
      </c>
      <c r="K2153" t="s" s="11">
        <v>11070</v>
      </c>
      <c r="L2153" s="17">
        <f>HYPERLINK("http://www.transfergalaxy.com", "www.transfergalaxy.com")</f>
      </c>
      <c r="M2153" s="17">
        <f>HYPERLINK("https://my.pitchbook.com?c=166114-81", "View Company Online")</f>
      </c>
    </row>
    <row r="2154">
      <c r="A2154" t="s" s="10">
        <v>11072</v>
      </c>
      <c r="B2154" t="s" s="10">
        <v>11073</v>
      </c>
      <c r="C2154" t="s" s="10">
        <v>27</v>
      </c>
      <c r="D2154" t="s" s="10">
        <v>28</v>
      </c>
      <c r="E2154" t="s" s="10">
        <v>345</v>
      </c>
      <c r="F2154" s="27">
        <v>45789</v>
      </c>
      <c r="G2154" t="s" s="10">
        <v>40</v>
      </c>
      <c r="H2154" s="42">
        <v>5.65</v>
      </c>
      <c r="I2154" s="42">
        <v>21.03</v>
      </c>
      <c r="J2154" t="s" s="10">
        <v>11074</v>
      </c>
      <c r="K2154" t="s" s="10">
        <v>11075</v>
      </c>
      <c r="L2154" s="16">
        <f>HYPERLINK("http://pro.booksalon.com", "pro.booksalon.com")</f>
      </c>
      <c r="M2154" s="16">
        <f>HYPERLINK("https://my.pitchbook.com?c=442411-57", "View Company Online")</f>
      </c>
    </row>
    <row r="2155">
      <c r="A2155" t="s" s="11">
        <v>11077</v>
      </c>
      <c r="B2155" t="s" s="11">
        <v>11078</v>
      </c>
      <c r="C2155" t="s" s="11">
        <v>60</v>
      </c>
      <c r="D2155" t="s" s="11">
        <v>246</v>
      </c>
      <c r="E2155" t="s" s="11">
        <v>29</v>
      </c>
      <c r="F2155" t="s" s="28">
        <v>30</v>
      </c>
      <c r="G2155" t="s" s="11">
        <v>48</v>
      </c>
      <c r="H2155" t="s" s="43">
        <v>30</v>
      </c>
      <c r="I2155" s="43">
        <v>21</v>
      </c>
      <c r="J2155" t="s" s="11">
        <v>11079</v>
      </c>
      <c r="K2155" t="s" s="11">
        <v>11080</v>
      </c>
      <c r="L2155" s="17">
        <f>HYPERLINK("http://www.getelements.com", "www.getelements.com")</f>
      </c>
      <c r="M2155" s="17">
        <f>HYPERLINK("https://my.pitchbook.com?c=489051-91", "View Company Online")</f>
      </c>
    </row>
    <row r="2156">
      <c r="A2156" t="s" s="10">
        <v>11082</v>
      </c>
      <c r="B2156" t="s" s="10">
        <v>11083</v>
      </c>
      <c r="C2156" t="s" s="10">
        <v>222</v>
      </c>
      <c r="D2156" t="s" s="10">
        <v>223</v>
      </c>
      <c r="E2156" t="s" s="10">
        <v>137</v>
      </c>
      <c r="F2156" s="27">
        <v>45814</v>
      </c>
      <c r="G2156" t="s" s="10">
        <v>4267</v>
      </c>
      <c r="H2156" s="42">
        <v>5.21</v>
      </c>
      <c r="I2156" s="42">
        <v>21</v>
      </c>
      <c r="J2156" t="s" s="10">
        <v>11084</v>
      </c>
      <c r="K2156" t="s" s="10">
        <v>30</v>
      </c>
      <c r="L2156" s="16">
        <f>HYPERLINK("http://fevanalytics.com", "fevanalytics.com")</f>
      </c>
      <c r="M2156" s="16">
        <f>HYPERLINK("https://my.pitchbook.com?c=97985-26", "View Company Online")</f>
      </c>
    </row>
    <row r="2157">
      <c r="A2157" t="s" s="11">
        <v>11086</v>
      </c>
      <c r="B2157" t="s" s="11">
        <v>11087</v>
      </c>
      <c r="C2157" t="s" s="11">
        <v>114</v>
      </c>
      <c r="D2157" t="s" s="11">
        <v>852</v>
      </c>
      <c r="E2157" t="s" s="11">
        <v>137</v>
      </c>
      <c r="F2157" s="28">
        <v>45820</v>
      </c>
      <c r="G2157" t="s" s="11">
        <v>4267</v>
      </c>
      <c r="H2157" s="43">
        <v>10</v>
      </c>
      <c r="I2157" s="43">
        <v>21</v>
      </c>
      <c r="J2157" t="s" s="11">
        <v>11088</v>
      </c>
      <c r="K2157" t="s" s="11">
        <v>11089</v>
      </c>
      <c r="L2157" s="17">
        <f>HYPERLINK("http://www.junepointlending.com", "www.junepointlending.com")</f>
      </c>
      <c r="M2157" s="17">
        <f>HYPERLINK("https://my.pitchbook.com?c=902546-38", "View Company Online")</f>
      </c>
    </row>
    <row r="2158">
      <c r="A2158" t="s" s="10">
        <v>11091</v>
      </c>
      <c r="B2158" t="s" s="10">
        <v>11092</v>
      </c>
      <c r="C2158" t="s" s="10">
        <v>164</v>
      </c>
      <c r="D2158" t="s" s="10">
        <v>206</v>
      </c>
      <c r="E2158" t="s" s="10">
        <v>373</v>
      </c>
      <c r="F2158" s="27">
        <v>46177</v>
      </c>
      <c r="G2158" t="s" s="10">
        <v>391</v>
      </c>
      <c r="H2158" t="s" s="42">
        <v>30</v>
      </c>
      <c r="I2158" s="42">
        <v>21</v>
      </c>
      <c r="J2158" t="s" s="10">
        <v>11093</v>
      </c>
      <c r="K2158" t="s" s="10">
        <v>30</v>
      </c>
      <c r="L2158" s="16">
        <f>HYPERLINK("http://www.leapfin.com", "www.leapfin.com")</f>
      </c>
      <c r="M2158" s="16">
        <f>HYPERLINK("https://my.pitchbook.com?c=119415-88", "View Company Online")</f>
      </c>
    </row>
    <row r="2159">
      <c r="A2159" t="s" s="11">
        <v>11095</v>
      </c>
      <c r="B2159" t="s" s="11">
        <v>11096</v>
      </c>
      <c r="C2159" t="s" s="11">
        <v>60</v>
      </c>
      <c r="D2159" t="s" s="11">
        <v>61</v>
      </c>
      <c r="E2159" t="s" s="11">
        <v>137</v>
      </c>
      <c r="F2159" s="28">
        <v>45922</v>
      </c>
      <c r="G2159" t="s" s="11">
        <v>4267</v>
      </c>
      <c r="H2159" s="43">
        <v>7.1</v>
      </c>
      <c r="I2159" s="43">
        <v>21</v>
      </c>
      <c r="J2159" t="s" s="11">
        <v>11097</v>
      </c>
      <c r="K2159" t="s" s="11">
        <v>11098</v>
      </c>
      <c r="L2159" s="17">
        <f>HYPERLINK("http://www.tilt.io", "www.tilt.io")</f>
      </c>
      <c r="M2159" s="17">
        <f>HYPERLINK("https://my.pitchbook.com?c=1078312-51", "View Company Online")</f>
      </c>
    </row>
    <row r="2160">
      <c r="A2160" t="s" s="10">
        <v>11100</v>
      </c>
      <c r="B2160" t="s" s="10">
        <v>11101</v>
      </c>
      <c r="C2160" t="s" s="10">
        <v>46</v>
      </c>
      <c r="D2160" t="s" s="10">
        <v>47</v>
      </c>
      <c r="E2160" t="s" s="10">
        <v>373</v>
      </c>
      <c r="F2160" s="27">
        <v>45013</v>
      </c>
      <c r="G2160" t="s" s="10">
        <v>4267</v>
      </c>
      <c r="H2160" s="42">
        <v>4.41</v>
      </c>
      <c r="I2160" s="42">
        <v>20.91</v>
      </c>
      <c r="J2160" t="s" s="10">
        <v>11102</v>
      </c>
      <c r="K2160" t="s" s="10">
        <v>11103</v>
      </c>
      <c r="L2160" s="16">
        <f>HYPERLINK("http://www.aktos.ai", "www.aktos.ai")</f>
      </c>
      <c r="M2160" s="16">
        <f>HYPERLINK("https://my.pitchbook.com?c=521589-34", "View Company Online")</f>
      </c>
    </row>
    <row r="2161">
      <c r="A2161" t="s" s="11">
        <v>11105</v>
      </c>
      <c r="B2161" t="s" s="11">
        <v>11106</v>
      </c>
      <c r="C2161" t="s" s="11">
        <v>144</v>
      </c>
      <c r="D2161" t="s" s="11">
        <v>297</v>
      </c>
      <c r="E2161" t="s" s="11">
        <v>634</v>
      </c>
      <c r="F2161" s="28">
        <v>46066</v>
      </c>
      <c r="G2161" t="s" s="11">
        <v>2051</v>
      </c>
      <c r="H2161" t="s" s="43">
        <v>30</v>
      </c>
      <c r="I2161" s="43">
        <v>20.9</v>
      </c>
      <c r="J2161" t="s" s="11">
        <v>11107</v>
      </c>
      <c r="K2161" t="s" s="11">
        <v>30</v>
      </c>
      <c r="L2161" s="17">
        <f>HYPERLINK("http://www.martini.ai", "www.martini.ai")</f>
      </c>
      <c r="M2161" s="17">
        <f>HYPERLINK("https://my.pitchbook.com?c=496037-98", "View Company Online")</f>
      </c>
    </row>
    <row r="2162">
      <c r="A2162" t="s" s="10">
        <v>11109</v>
      </c>
      <c r="B2162" t="s" s="10">
        <v>11110</v>
      </c>
      <c r="C2162" t="s" s="10">
        <v>114</v>
      </c>
      <c r="D2162" t="s" s="10">
        <v>852</v>
      </c>
      <c r="E2162" t="s" s="10">
        <v>253</v>
      </c>
      <c r="F2162" s="27">
        <v>46070</v>
      </c>
      <c r="G2162" t="s" s="10">
        <v>146</v>
      </c>
      <c r="H2162" s="42">
        <v>5</v>
      </c>
      <c r="I2162" s="42">
        <v>20.88</v>
      </c>
      <c r="J2162" t="s" s="10">
        <v>11111</v>
      </c>
      <c r="K2162" t="s" s="10">
        <v>11112</v>
      </c>
      <c r="L2162" s="16">
        <f>HYPERLINK("http://www.dexif.in", "www.dexif.in")</f>
      </c>
      <c r="M2162" s="16">
        <f>HYPERLINK("https://my.pitchbook.com?c=571794-40", "View Company Online")</f>
      </c>
    </row>
    <row r="2163">
      <c r="A2163" t="s" s="11">
        <v>11114</v>
      </c>
      <c r="B2163" t="s" s="11">
        <v>11115</v>
      </c>
      <c r="C2163" t="s" s="11">
        <v>114</v>
      </c>
      <c r="D2163" t="s" s="11">
        <v>115</v>
      </c>
      <c r="E2163" t="s" s="11">
        <v>130</v>
      </c>
      <c r="F2163" s="28">
        <v>45565</v>
      </c>
      <c r="G2163" t="s" s="11">
        <v>146</v>
      </c>
      <c r="H2163" s="43">
        <v>10.6</v>
      </c>
      <c r="I2163" s="43">
        <v>20.87</v>
      </c>
      <c r="J2163" t="s" s="11">
        <v>11116</v>
      </c>
      <c r="K2163" t="s" s="11">
        <v>11117</v>
      </c>
      <c r="L2163" s="17">
        <f>HYPERLINK("http://www.basichomeloan.com", "www.basichomeloan.com")</f>
      </c>
      <c r="M2163" s="17">
        <f>HYPERLINK("https://my.pitchbook.com?c=461804-50", "View Company Online")</f>
      </c>
    </row>
    <row r="2164">
      <c r="A2164" t="s" s="10">
        <v>11119</v>
      </c>
      <c r="B2164" t="s" s="10">
        <v>11120</v>
      </c>
      <c r="C2164" t="s" s="10">
        <v>114</v>
      </c>
      <c r="D2164" t="s" s="10">
        <v>852</v>
      </c>
      <c r="E2164" t="s" s="10">
        <v>1859</v>
      </c>
      <c r="F2164" s="27">
        <v>46024</v>
      </c>
      <c r="G2164" t="s" s="10">
        <v>40</v>
      </c>
      <c r="H2164" s="42">
        <v>6.95</v>
      </c>
      <c r="I2164" s="42">
        <v>20.86</v>
      </c>
      <c r="J2164" t="s" s="10">
        <v>11121</v>
      </c>
      <c r="K2164" t="s" s="10">
        <v>11122</v>
      </c>
      <c r="L2164" s="16">
        <f>HYPERLINK("http://www.lenkie.com", "www.lenkie.com")</f>
      </c>
      <c r="M2164" s="16">
        <f>HYPERLINK("https://my.pitchbook.com?c=464463-01", "View Company Online")</f>
      </c>
    </row>
    <row r="2165">
      <c r="A2165" t="s" s="11">
        <v>11124</v>
      </c>
      <c r="B2165" t="s" s="11">
        <v>11125</v>
      </c>
      <c r="C2165" t="s" s="11">
        <v>144</v>
      </c>
      <c r="D2165" t="s" s="11">
        <v>38</v>
      </c>
      <c r="E2165" t="s" s="11">
        <v>137</v>
      </c>
      <c r="F2165" s="28">
        <v>46024</v>
      </c>
      <c r="G2165" t="s" s="11">
        <v>146</v>
      </c>
      <c r="H2165" s="43">
        <v>13.39</v>
      </c>
      <c r="I2165" s="43">
        <v>20.85</v>
      </c>
      <c r="J2165" t="s" s="11">
        <v>11126</v>
      </c>
      <c r="K2165" t="s" s="11">
        <v>11127</v>
      </c>
      <c r="L2165" s="17">
        <f>HYPERLINK("http://www.incard.com", "www.incard.com")</f>
      </c>
      <c r="M2165" s="17">
        <f>HYPERLINK("https://my.pitchbook.com?c=482516-83", "View Company Online")</f>
      </c>
    </row>
    <row r="2166">
      <c r="A2166" t="s" s="10">
        <v>11129</v>
      </c>
      <c r="B2166" t="s" s="10">
        <v>11130</v>
      </c>
      <c r="C2166" t="s" s="10">
        <v>172</v>
      </c>
      <c r="D2166" t="s" s="10">
        <v>338</v>
      </c>
      <c r="E2166" t="s" s="10">
        <v>253</v>
      </c>
      <c r="F2166" s="27">
        <v>45537</v>
      </c>
      <c r="G2166" t="s" s="10">
        <v>40</v>
      </c>
      <c r="H2166" s="42">
        <v>40</v>
      </c>
      <c r="I2166" s="42">
        <v>20.84</v>
      </c>
      <c r="J2166" t="s" s="10">
        <v>11131</v>
      </c>
      <c r="K2166" t="s" s="10">
        <v>11132</v>
      </c>
      <c r="L2166" s="16">
        <f>HYPERLINK("http://novatus.com", "novatus.com")</f>
      </c>
      <c r="M2166" s="16">
        <f>HYPERLINK("https://my.pitchbook.com?c=483381-01", "View Company Online")</f>
      </c>
    </row>
    <row r="2167">
      <c r="A2167" t="s" s="11">
        <v>11134</v>
      </c>
      <c r="B2167" t="s" s="11">
        <v>11135</v>
      </c>
      <c r="C2167" t="s" s="11">
        <v>46</v>
      </c>
      <c r="D2167" t="s" s="11">
        <v>78</v>
      </c>
      <c r="E2167" t="s" s="11">
        <v>1578</v>
      </c>
      <c r="F2167" s="28">
        <v>44915</v>
      </c>
      <c r="G2167" t="s" s="11">
        <v>4267</v>
      </c>
      <c r="H2167" s="43">
        <v>5.81</v>
      </c>
      <c r="I2167" s="43">
        <v>20.81</v>
      </c>
      <c r="J2167" t="s" s="11">
        <v>11136</v>
      </c>
      <c r="K2167" t="s" s="11">
        <v>11137</v>
      </c>
      <c r="L2167" s="17">
        <f>HYPERLINK("http://www.aeqium.com", "www.aeqium.com")</f>
      </c>
      <c r="M2167" s="17">
        <f>HYPERLINK("https://my.pitchbook.com?c=459899-20", "View Company Online")</f>
      </c>
    </row>
    <row r="2168">
      <c r="A2168" t="s" s="10">
        <v>11139</v>
      </c>
      <c r="B2168" t="s" s="10">
        <v>11140</v>
      </c>
      <c r="C2168" t="s" s="10">
        <v>60</v>
      </c>
      <c r="D2168" t="s" s="10">
        <v>192</v>
      </c>
      <c r="E2168" t="s" s="10">
        <v>373</v>
      </c>
      <c r="F2168" s="27">
        <v>45918</v>
      </c>
      <c r="G2168" t="s" s="10">
        <v>146</v>
      </c>
      <c r="H2168" s="42">
        <v>29.25</v>
      </c>
      <c r="I2168" s="42">
        <v>20.78</v>
      </c>
      <c r="J2168" t="s" s="10">
        <v>11141</v>
      </c>
      <c r="K2168" t="s" s="10">
        <v>11142</v>
      </c>
      <c r="L2168" s="16">
        <f>HYPERLINK("http://www.finary.com", "www.finary.com")</f>
      </c>
      <c r="M2168" s="16">
        <f>HYPERLINK("https://my.pitchbook.com?c=462040-30", "View Company Online")</f>
      </c>
    </row>
    <row r="2169">
      <c r="A2169" t="s" s="11">
        <v>11144</v>
      </c>
      <c r="B2169" t="s" s="11">
        <v>11145</v>
      </c>
      <c r="C2169" t="s" s="11">
        <v>37</v>
      </c>
      <c r="D2169" t="s" s="11">
        <v>304</v>
      </c>
      <c r="E2169" t="s" s="11">
        <v>253</v>
      </c>
      <c r="F2169" s="28">
        <v>45839</v>
      </c>
      <c r="G2169" t="s" s="11">
        <v>146</v>
      </c>
      <c r="H2169" s="43">
        <v>8.07</v>
      </c>
      <c r="I2169" s="43">
        <v>20.75</v>
      </c>
      <c r="J2169" t="s" s="11">
        <v>11146</v>
      </c>
      <c r="K2169" t="s" s="11">
        <v>11147</v>
      </c>
      <c r="L2169" s="17">
        <f>HYPERLINK("http://www.tot.money", "www.tot.money")</f>
      </c>
      <c r="M2169" s="17">
        <f>HYPERLINK("https://my.pitchbook.com?c=483749-38", "View Company Online")</f>
      </c>
    </row>
    <row r="2170">
      <c r="A2170" t="s" s="10">
        <v>11149</v>
      </c>
      <c r="B2170" t="s" s="10">
        <v>11150</v>
      </c>
      <c r="C2170" t="s" s="10">
        <v>60</v>
      </c>
      <c r="D2170" t="s" s="10">
        <v>246</v>
      </c>
      <c r="E2170" t="s" s="10">
        <v>185</v>
      </c>
      <c r="F2170" s="27">
        <v>45208</v>
      </c>
      <c r="G2170" t="s" s="10">
        <v>40</v>
      </c>
      <c r="H2170" s="42">
        <v>3.45</v>
      </c>
      <c r="I2170" s="42">
        <v>20.71</v>
      </c>
      <c r="J2170" t="s" s="10">
        <v>11151</v>
      </c>
      <c r="K2170" t="s" s="10">
        <v>11152</v>
      </c>
      <c r="L2170" s="16">
        <f>HYPERLINK("http://www.fintuity.com", "www.fintuity.com")</f>
      </c>
      <c r="M2170" s="16">
        <f>HYPERLINK("https://my.pitchbook.com?c=467944-84", "View Company Online")</f>
      </c>
    </row>
    <row r="2171">
      <c r="A2171" t="s" s="11">
        <v>11154</v>
      </c>
      <c r="B2171" t="s" s="11">
        <v>11155</v>
      </c>
      <c r="C2171" t="s" s="11">
        <v>114</v>
      </c>
      <c r="D2171" t="s" s="11">
        <v>870</v>
      </c>
      <c r="E2171" t="s" s="11">
        <v>759</v>
      </c>
      <c r="F2171" t="s" s="28">
        <v>30</v>
      </c>
      <c r="G2171" t="s" s="11">
        <v>40</v>
      </c>
      <c r="H2171" t="s" s="43">
        <v>30</v>
      </c>
      <c r="I2171" s="43">
        <v>20.63</v>
      </c>
      <c r="J2171" t="s" s="11">
        <v>11156</v>
      </c>
      <c r="K2171" t="s" s="11">
        <v>11157</v>
      </c>
      <c r="L2171" s="17">
        <f>HYPERLINK("http://www.namfin.in", "www.namfin.in")</f>
      </c>
      <c r="M2171" s="17">
        <f>HYPERLINK("https://my.pitchbook.com?c=481397-59", "View Company Online")</f>
      </c>
    </row>
    <row r="2172">
      <c r="A2172" t="s" s="10">
        <v>11159</v>
      </c>
      <c r="B2172" t="s" s="10">
        <v>11160</v>
      </c>
      <c r="C2172" t="s" s="10">
        <v>164</v>
      </c>
      <c r="D2172" t="s" s="10">
        <v>206</v>
      </c>
      <c r="E2172" t="s" s="10">
        <v>137</v>
      </c>
      <c r="F2172" s="27">
        <v>45442</v>
      </c>
      <c r="G2172" t="s" s="10">
        <v>4267</v>
      </c>
      <c r="H2172" s="42">
        <v>5.47</v>
      </c>
      <c r="I2172" s="42">
        <v>20.59</v>
      </c>
      <c r="J2172" t="s" s="10">
        <v>11161</v>
      </c>
      <c r="K2172" t="s" s="10">
        <v>11162</v>
      </c>
      <c r="L2172" s="16">
        <f>HYPERLINK("http://www.vegapay.tech", "www.vegapay.tech")</f>
      </c>
      <c r="M2172" s="16">
        <f>HYPERLINK("https://my.pitchbook.com?c=517170-25", "View Company Online")</f>
      </c>
    </row>
    <row r="2173">
      <c r="A2173" t="s" s="11">
        <v>11164</v>
      </c>
      <c r="B2173" t="s" s="11">
        <v>11165</v>
      </c>
      <c r="C2173" t="s" s="11">
        <v>46</v>
      </c>
      <c r="D2173" t="s" s="11">
        <v>47</v>
      </c>
      <c r="E2173" t="s" s="11">
        <v>373</v>
      </c>
      <c r="F2173" t="s" s="28">
        <v>30</v>
      </c>
      <c r="G2173" t="s" s="11">
        <v>607</v>
      </c>
      <c r="H2173" t="s" s="43">
        <v>30</v>
      </c>
      <c r="I2173" s="43">
        <v>20.56</v>
      </c>
      <c r="J2173" t="s" s="11">
        <v>11166</v>
      </c>
      <c r="K2173" t="s" s="11">
        <v>11167</v>
      </c>
      <c r="L2173" s="17">
        <f>HYPERLINK("http://www.nextesy.com", "www.nextesy.com")</f>
      </c>
      <c r="M2173" s="17">
        <f>HYPERLINK("https://my.pitchbook.com?c=589541-05", "View Company Online")</f>
      </c>
    </row>
    <row r="2174">
      <c r="A2174" t="s" s="10">
        <v>11169</v>
      </c>
      <c r="B2174" t="s" s="10">
        <v>11170</v>
      </c>
      <c r="C2174" t="s" s="10">
        <v>27</v>
      </c>
      <c r="D2174" t="s" s="10">
        <v>28</v>
      </c>
      <c r="E2174" t="s" s="10">
        <v>137</v>
      </c>
      <c r="F2174" s="27">
        <v>45342</v>
      </c>
      <c r="G2174" t="s" s="10">
        <v>4267</v>
      </c>
      <c r="H2174" s="42">
        <v>1.43</v>
      </c>
      <c r="I2174" s="42">
        <v>20.55</v>
      </c>
      <c r="J2174" t="s" s="10">
        <v>11171</v>
      </c>
      <c r="K2174" t="s" s="10">
        <v>11172</v>
      </c>
      <c r="L2174" s="16">
        <f>HYPERLINK("http://www.focalpay.se", "www.focalpay.se")</f>
      </c>
      <c r="M2174" s="16">
        <f>HYPERLINK("https://my.pitchbook.com?c=522086-41", "View Company Online")</f>
      </c>
    </row>
    <row r="2175">
      <c r="A2175" t="s" s="11">
        <v>11174</v>
      </c>
      <c r="B2175" t="s" s="11">
        <v>11175</v>
      </c>
      <c r="C2175" t="s" s="11">
        <v>114</v>
      </c>
      <c r="D2175" t="s" s="11">
        <v>1386</v>
      </c>
      <c r="E2175" t="s" s="11">
        <v>11176</v>
      </c>
      <c r="F2175" t="s" s="28">
        <v>30</v>
      </c>
      <c r="G2175" t="s" s="11">
        <v>48</v>
      </c>
      <c r="H2175" t="s" s="43">
        <v>30</v>
      </c>
      <c r="I2175" s="43">
        <v>20.54</v>
      </c>
      <c r="J2175" t="s" s="11">
        <v>11177</v>
      </c>
      <c r="K2175" t="s" s="11">
        <v>11178</v>
      </c>
      <c r="L2175" s="17">
        <f>HYPERLINK("http://www.creditmantri.com", "www.creditmantri.com")</f>
      </c>
      <c r="M2175" s="17">
        <f>HYPERLINK("https://my.pitchbook.com?c=117808-30", "View Company Online")</f>
      </c>
    </row>
    <row r="2176">
      <c r="A2176" t="s" s="10">
        <v>11180</v>
      </c>
      <c r="B2176" t="s" s="10">
        <v>11181</v>
      </c>
      <c r="C2176" t="s" s="10">
        <v>46</v>
      </c>
      <c r="D2176" t="s" s="10">
        <v>47</v>
      </c>
      <c r="E2176" t="s" s="10">
        <v>259</v>
      </c>
      <c r="F2176" s="27">
        <v>45292</v>
      </c>
      <c r="G2176" t="s" s="10">
        <v>607</v>
      </c>
      <c r="H2176" t="s" s="42">
        <v>30</v>
      </c>
      <c r="I2176" s="42">
        <v>20.52</v>
      </c>
      <c r="J2176" t="s" s="10">
        <v>11182</v>
      </c>
      <c r="K2176" t="s" s="10">
        <v>11183</v>
      </c>
      <c r="L2176" s="16">
        <f>HYPERLINK("http://www.hedgeflows.com", "www.hedgeflows.com")</f>
      </c>
      <c r="M2176" s="16">
        <f>HYPERLINK("https://my.pitchbook.com?c=496096-57", "View Company Online")</f>
      </c>
    </row>
    <row r="2177">
      <c r="A2177" t="s" s="11">
        <v>11185</v>
      </c>
      <c r="B2177" t="s" s="11">
        <v>11186</v>
      </c>
      <c r="C2177" t="s" s="11">
        <v>46</v>
      </c>
      <c r="D2177" t="s" s="11">
        <v>915</v>
      </c>
      <c r="E2177" t="s" s="11">
        <v>634</v>
      </c>
      <c r="F2177" s="28">
        <v>44488</v>
      </c>
      <c r="G2177" t="s" s="11">
        <v>4267</v>
      </c>
      <c r="H2177" s="43">
        <v>4.5</v>
      </c>
      <c r="I2177" s="43">
        <v>20.5</v>
      </c>
      <c r="J2177" t="s" s="11">
        <v>11187</v>
      </c>
      <c r="K2177" t="s" s="11">
        <v>11188</v>
      </c>
      <c r="L2177" s="17">
        <f>HYPERLINK("http://www.nextq.ai", "www.nextq.ai")</f>
      </c>
      <c r="M2177" s="17">
        <f>HYPERLINK("https://my.pitchbook.com?c=292368-61", "View Company Online")</f>
      </c>
    </row>
    <row r="2178">
      <c r="A2178" t="s" s="10">
        <v>11190</v>
      </c>
      <c r="B2178" t="s" s="10">
        <v>11191</v>
      </c>
      <c r="C2178" t="s" s="10">
        <v>222</v>
      </c>
      <c r="D2178" t="s" s="10">
        <v>223</v>
      </c>
      <c r="E2178" t="s" s="10">
        <v>629</v>
      </c>
      <c r="F2178" s="27">
        <v>45240</v>
      </c>
      <c r="G2178" t="s" s="10">
        <v>146</v>
      </c>
      <c r="H2178" s="42">
        <v>3.95</v>
      </c>
      <c r="I2178" s="42">
        <v>20.42</v>
      </c>
      <c r="J2178" t="s" s="10">
        <v>11192</v>
      </c>
      <c r="K2178" t="s" s="10">
        <v>11193</v>
      </c>
      <c r="L2178" s="16">
        <f>HYPERLINK("http://www.blockscholes.com", "www.blockscholes.com")</f>
      </c>
      <c r="M2178" s="16">
        <f>HYPERLINK("https://my.pitchbook.com?c=539748-28", "View Company Online")</f>
      </c>
    </row>
    <row r="2179">
      <c r="A2179" t="s" s="11">
        <v>11195</v>
      </c>
      <c r="B2179" t="s" s="11">
        <v>11196</v>
      </c>
      <c r="C2179" t="s" s="11">
        <v>37</v>
      </c>
      <c r="D2179" t="s" s="11">
        <v>304</v>
      </c>
      <c r="E2179" t="s" s="11">
        <v>634</v>
      </c>
      <c r="F2179" s="28">
        <v>44377</v>
      </c>
      <c r="G2179" t="s" s="11">
        <v>146</v>
      </c>
      <c r="H2179" s="43">
        <v>2</v>
      </c>
      <c r="I2179" s="43">
        <v>20.4</v>
      </c>
      <c r="J2179" t="s" s="11">
        <v>11197</v>
      </c>
      <c r="K2179" t="s" s="11">
        <v>11198</v>
      </c>
      <c r="L2179" s="17">
        <f>HYPERLINK("http://www.eve.co", "www.eve.co")</f>
      </c>
      <c r="M2179" s="17">
        <f>HYPERLINK("https://my.pitchbook.com?c=403983-64", "View Company Online")</f>
      </c>
    </row>
    <row r="2180">
      <c r="A2180" t="s" s="10">
        <v>11200</v>
      </c>
      <c r="B2180" t="s" s="10">
        <v>11201</v>
      </c>
      <c r="C2180" t="s" s="10">
        <v>164</v>
      </c>
      <c r="D2180" t="s" s="10">
        <v>206</v>
      </c>
      <c r="E2180" t="s" s="10">
        <v>373</v>
      </c>
      <c r="F2180" s="27">
        <v>45741</v>
      </c>
      <c r="G2180" t="s" s="10">
        <v>4267</v>
      </c>
      <c r="H2180" s="42">
        <v>10.15</v>
      </c>
      <c r="I2180" s="42">
        <v>20.32</v>
      </c>
      <c r="J2180" t="s" s="10">
        <v>11202</v>
      </c>
      <c r="K2180" t="s" s="10">
        <v>11203</v>
      </c>
      <c r="L2180" s="16">
        <f>HYPERLINK("http://www.sympera.ai", "www.sympera.ai")</f>
      </c>
      <c r="M2180" s="16">
        <f>HYPERLINK("https://my.pitchbook.com?c=746654-41", "View Company Online")</f>
      </c>
    </row>
    <row r="2181">
      <c r="A2181" t="s" s="11">
        <v>11205</v>
      </c>
      <c r="B2181" t="s" s="11">
        <v>11206</v>
      </c>
      <c r="C2181" t="s" s="11">
        <v>27</v>
      </c>
      <c r="D2181" t="s" s="11">
        <v>122</v>
      </c>
      <c r="E2181" t="s" s="11">
        <v>253</v>
      </c>
      <c r="F2181" s="28">
        <v>44458</v>
      </c>
      <c r="G2181" t="s" s="11">
        <v>146</v>
      </c>
      <c r="H2181" s="43">
        <v>5.7</v>
      </c>
      <c r="I2181" s="43">
        <v>20.3</v>
      </c>
      <c r="J2181" t="s" s="11">
        <v>11207</v>
      </c>
      <c r="K2181" t="s" s="11">
        <v>11208</v>
      </c>
      <c r="L2181" s="17">
        <f>HYPERLINK("http://www.gojust.com", "www.gojust.com")</f>
      </c>
      <c r="M2181" s="17">
        <f>HYPERLINK("https://my.pitchbook.com?c=227248-48", "View Company Online")</f>
      </c>
    </row>
    <row r="2182">
      <c r="A2182" t="s" s="10">
        <v>11210</v>
      </c>
      <c r="B2182" t="s" s="10">
        <v>11211</v>
      </c>
      <c r="C2182" t="s" s="10">
        <v>114</v>
      </c>
      <c r="D2182" t="s" s="10">
        <v>870</v>
      </c>
      <c r="E2182" t="s" s="10">
        <v>270</v>
      </c>
      <c r="F2182" t="s" s="27">
        <v>30</v>
      </c>
      <c r="G2182" t="s" s="10">
        <v>607</v>
      </c>
      <c r="H2182" t="s" s="42">
        <v>30</v>
      </c>
      <c r="I2182" s="42">
        <v>20.29</v>
      </c>
      <c r="J2182" t="s" s="10">
        <v>11212</v>
      </c>
      <c r="K2182" t="s" s="10">
        <v>11213</v>
      </c>
      <c r="L2182" s="16">
        <f>HYPERLINK("http://www.sphm.co.in", "www.sphm.co.in")</f>
      </c>
      <c r="M2182" s="16">
        <f>HYPERLINK("https://my.pitchbook.com?c=94039-21", "View Company Online")</f>
      </c>
    </row>
    <row r="2183">
      <c r="A2183" t="s" s="11">
        <v>11215</v>
      </c>
      <c r="B2183" t="s" s="11">
        <v>11216</v>
      </c>
      <c r="C2183" t="s" s="11">
        <v>60</v>
      </c>
      <c r="D2183" t="s" s="11">
        <v>246</v>
      </c>
      <c r="E2183" t="s" s="11">
        <v>4075</v>
      </c>
      <c r="F2183" t="s" s="28">
        <v>30</v>
      </c>
      <c r="G2183" t="s" s="11">
        <v>40</v>
      </c>
      <c r="H2183" t="s" s="43">
        <v>30</v>
      </c>
      <c r="I2183" s="43">
        <v>20.27</v>
      </c>
      <c r="J2183" t="s" s="11">
        <v>11217</v>
      </c>
      <c r="K2183" t="s" s="11">
        <v>11218</v>
      </c>
      <c r="L2183" s="17">
        <f>HYPERLINK("http://www.gradright.com", "www.gradright.com")</f>
      </c>
      <c r="M2183" s="17">
        <f>HYPERLINK("https://my.pitchbook.com?c=470731-24", "View Company Online")</f>
      </c>
    </row>
    <row r="2184">
      <c r="A2184" t="s" s="10">
        <v>11220</v>
      </c>
      <c r="B2184" t="s" s="10">
        <v>11221</v>
      </c>
      <c r="C2184" t="s" s="10">
        <v>144</v>
      </c>
      <c r="D2184" t="s" s="10">
        <v>297</v>
      </c>
      <c r="E2184" t="s" s="10">
        <v>4013</v>
      </c>
      <c r="F2184" s="27">
        <v>45713</v>
      </c>
      <c r="G2184" t="s" s="10">
        <v>31</v>
      </c>
      <c r="H2184" s="42">
        <v>187.48</v>
      </c>
      <c r="I2184" s="42">
        <v>20.25</v>
      </c>
      <c r="J2184" t="s" s="10">
        <v>11222</v>
      </c>
      <c r="K2184" t="s" s="10">
        <v>11223</v>
      </c>
      <c r="L2184" s="16">
        <f>HYPERLINK("http://www.365finance.co.uk", "www.365finance.co.uk")</f>
      </c>
      <c r="M2184" s="16">
        <f>HYPERLINK("https://my.pitchbook.com?c=490795-48", "View Company Online")</f>
      </c>
    </row>
    <row r="2185">
      <c r="A2185" t="s" s="11">
        <v>11225</v>
      </c>
      <c r="B2185" t="s" s="11">
        <v>11226</v>
      </c>
      <c r="C2185" t="s" s="11">
        <v>60</v>
      </c>
      <c r="D2185" t="s" s="11">
        <v>61</v>
      </c>
      <c r="E2185" t="s" s="11">
        <v>634</v>
      </c>
      <c r="F2185" s="28">
        <v>44969</v>
      </c>
      <c r="G2185" t="s" s="11">
        <v>5274</v>
      </c>
      <c r="H2185" s="43">
        <v>6</v>
      </c>
      <c r="I2185" s="43">
        <v>20.25</v>
      </c>
      <c r="J2185" t="s" s="11">
        <v>11227</v>
      </c>
      <c r="K2185" t="s" s="11">
        <v>11228</v>
      </c>
      <c r="L2185" s="17">
        <f>HYPERLINK("http://www.finqai.co.il", "www.finqai.co.il")</f>
      </c>
      <c r="M2185" s="17">
        <f>HYPERLINK("https://my.pitchbook.com?c=496489-24", "View Company Online")</f>
      </c>
    </row>
    <row r="2186">
      <c r="A2186" t="s" s="10">
        <v>11230</v>
      </c>
      <c r="B2186" t="s" s="10">
        <v>11231</v>
      </c>
      <c r="C2186" t="s" s="10">
        <v>114</v>
      </c>
      <c r="D2186" t="s" s="10">
        <v>1386</v>
      </c>
      <c r="E2186" t="s" s="10">
        <v>137</v>
      </c>
      <c r="F2186" s="27">
        <v>45369</v>
      </c>
      <c r="G2186" t="s" s="10">
        <v>40</v>
      </c>
      <c r="H2186" s="42">
        <v>1.74</v>
      </c>
      <c r="I2186" s="42">
        <v>20.19</v>
      </c>
      <c r="J2186" t="s" s="10">
        <v>11232</v>
      </c>
      <c r="K2186" t="s" s="10">
        <v>11233</v>
      </c>
      <c r="L2186" s="16">
        <f>HYPERLINK("http://www.quants-grp.co.jp", "www.quants-grp.co.jp")</f>
      </c>
      <c r="M2186" s="16">
        <f>HYPERLINK("https://my.pitchbook.com?c=462315-43", "View Company Online")</f>
      </c>
    </row>
    <row r="2187">
      <c r="A2187" t="s" s="11">
        <v>11235</v>
      </c>
      <c r="B2187" t="s" s="11">
        <v>11236</v>
      </c>
      <c r="C2187" t="s" s="11">
        <v>172</v>
      </c>
      <c r="D2187" t="s" s="11">
        <v>1454</v>
      </c>
      <c r="E2187" t="s" s="11">
        <v>253</v>
      </c>
      <c r="F2187" s="28">
        <v>44706</v>
      </c>
      <c r="G2187" t="s" s="11">
        <v>40</v>
      </c>
      <c r="H2187" s="43">
        <v>60</v>
      </c>
      <c r="I2187" s="43">
        <v>20.1</v>
      </c>
      <c r="J2187" t="s" s="11">
        <v>11237</v>
      </c>
      <c r="K2187" t="s" s="11">
        <v>11238</v>
      </c>
      <c r="L2187" s="17">
        <f>HYPERLINK("http://www.stableprice.com", "www.stableprice.com")</f>
      </c>
      <c r="M2187" s="17">
        <f>HYPERLINK("https://my.pitchbook.com?c=180465-85", "View Company Online")</f>
      </c>
    </row>
    <row r="2188">
      <c r="A2188" t="s" s="10">
        <v>11240</v>
      </c>
      <c r="B2188" t="s" s="10">
        <v>11241</v>
      </c>
      <c r="C2188" t="s" s="10">
        <v>128</v>
      </c>
      <c r="D2188" t="s" s="10">
        <v>276</v>
      </c>
      <c r="E2188" t="s" s="10">
        <v>152</v>
      </c>
      <c r="F2188" s="27">
        <v>46168</v>
      </c>
      <c r="G2188" t="s" s="10">
        <v>2051</v>
      </c>
      <c r="H2188" t="s" s="42">
        <v>30</v>
      </c>
      <c r="I2188" s="42">
        <v>20.1</v>
      </c>
      <c r="J2188" t="s" s="10">
        <v>11242</v>
      </c>
      <c r="K2188" t="s" s="10">
        <v>30</v>
      </c>
      <c r="L2188" s="16">
        <f>HYPERLINK("http://www.toipay.com", "www.toipay.com")</f>
      </c>
      <c r="M2188" s="16">
        <f>HYPERLINK("https://my.pitchbook.com?c=267065-11", "View Company Online")</f>
      </c>
    </row>
    <row r="2189">
      <c r="A2189" t="s" s="11">
        <v>11244</v>
      </c>
      <c r="B2189" t="s" s="11">
        <v>11245</v>
      </c>
      <c r="C2189" t="s" s="11">
        <v>27</v>
      </c>
      <c r="D2189" t="s" s="11">
        <v>28</v>
      </c>
      <c r="E2189" t="s" s="11">
        <v>108</v>
      </c>
      <c r="F2189" t="s" s="28">
        <v>30</v>
      </c>
      <c r="G2189" t="s" s="11">
        <v>31</v>
      </c>
      <c r="H2189" t="s" s="43">
        <v>30</v>
      </c>
      <c r="I2189" s="43">
        <v>20.07</v>
      </c>
      <c r="J2189" t="s" s="11">
        <v>11246</v>
      </c>
      <c r="K2189" t="s" s="11">
        <v>11247</v>
      </c>
      <c r="L2189" s="17">
        <f>HYPERLINK("http://www.getfluid.ai", "www.getfluid.ai")</f>
      </c>
      <c r="M2189" s="17">
        <f>HYPERLINK("https://my.pitchbook.com?c=531352-36", "View Company Online")</f>
      </c>
    </row>
    <row r="2190">
      <c r="A2190" t="s" s="10">
        <v>11249</v>
      </c>
      <c r="B2190" t="s" s="10">
        <v>11250</v>
      </c>
      <c r="C2190" t="s" s="10">
        <v>114</v>
      </c>
      <c r="D2190" t="s" s="10">
        <v>1386</v>
      </c>
      <c r="E2190" t="s" s="10">
        <v>373</v>
      </c>
      <c r="F2190" s="27">
        <v>44915</v>
      </c>
      <c r="G2190" t="s" s="10">
        <v>271</v>
      </c>
      <c r="H2190" s="42">
        <v>0.01</v>
      </c>
      <c r="I2190" s="42">
        <v>20.04</v>
      </c>
      <c r="J2190" t="s" s="10">
        <v>11251</v>
      </c>
      <c r="K2190" t="s" s="10">
        <v>11252</v>
      </c>
      <c r="L2190" s="16">
        <f>HYPERLINK("http://www.myverascore.com", "www.myverascore.com")</f>
      </c>
      <c r="M2190" s="16">
        <f>HYPERLINK("https://my.pitchbook.com?c=502628-86", "View Company Online")</f>
      </c>
    </row>
    <row r="2191">
      <c r="A2191" t="s" s="11">
        <v>11254</v>
      </c>
      <c r="B2191" t="s" s="11">
        <v>11255</v>
      </c>
      <c r="C2191" t="s" s="11">
        <v>128</v>
      </c>
      <c r="D2191" t="s" s="11">
        <v>129</v>
      </c>
      <c r="E2191" t="s" s="11">
        <v>270</v>
      </c>
      <c r="F2191" t="s" s="28">
        <v>30</v>
      </c>
      <c r="G2191" t="s" s="11">
        <v>4267</v>
      </c>
      <c r="H2191" t="s" s="43">
        <v>30</v>
      </c>
      <c r="I2191" s="43">
        <v>20</v>
      </c>
      <c r="J2191" t="s" s="11">
        <v>11256</v>
      </c>
      <c r="K2191" t="s" s="11">
        <v>30</v>
      </c>
      <c r="L2191" s="17">
        <f>HYPERLINK("http://www.ackoo.app", "www.ackoo.app")</f>
      </c>
      <c r="M2191" s="17">
        <f>HYPERLINK("https://my.pitchbook.com?c=503956-27", "View Company Online")</f>
      </c>
    </row>
    <row r="2192">
      <c r="A2192" t="s" s="10">
        <v>11258</v>
      </c>
      <c r="B2192" t="s" s="10">
        <v>11259</v>
      </c>
      <c r="C2192" t="s" s="10">
        <v>114</v>
      </c>
      <c r="D2192" t="s" s="10">
        <v>136</v>
      </c>
      <c r="E2192" t="s" s="10">
        <v>137</v>
      </c>
      <c r="F2192" t="s" s="27">
        <v>30</v>
      </c>
      <c r="G2192" t="s" s="10">
        <v>40</v>
      </c>
      <c r="H2192" t="s" s="42">
        <v>30</v>
      </c>
      <c r="I2192" s="42">
        <v>20</v>
      </c>
      <c r="J2192" t="s" s="10">
        <v>11260</v>
      </c>
      <c r="K2192" t="s" s="10">
        <v>11261</v>
      </c>
      <c r="L2192" s="16">
        <f>HYPERLINK("http://www.afluenta.com", "www.afluenta.com")</f>
      </c>
      <c r="M2192" s="16">
        <f>HYPERLINK("https://my.pitchbook.com?c=81873-19", "View Company Online")</f>
      </c>
    </row>
    <row r="2193">
      <c r="A2193" t="s" s="11">
        <v>11263</v>
      </c>
      <c r="B2193" t="s" s="11">
        <v>11264</v>
      </c>
      <c r="C2193" t="s" s="11">
        <v>60</v>
      </c>
      <c r="D2193" t="s" s="11">
        <v>61</v>
      </c>
      <c r="E2193" t="s" s="11">
        <v>253</v>
      </c>
      <c r="F2193" s="28">
        <v>44525</v>
      </c>
      <c r="G2193" t="s" s="11">
        <v>40</v>
      </c>
      <c r="H2193" t="s" s="43">
        <v>30</v>
      </c>
      <c r="I2193" s="43">
        <v>20</v>
      </c>
      <c r="J2193" t="s" s="11">
        <v>11265</v>
      </c>
      <c r="K2193" t="s" s="11">
        <v>11266</v>
      </c>
      <c r="L2193" s="17">
        <f>HYPERLINK("http://www.bareksa.com", "www.bareksa.com")</f>
      </c>
      <c r="M2193" s="17">
        <f>HYPERLINK("https://my.pitchbook.com?c=234049-15", "View Company Online")</f>
      </c>
    </row>
    <row r="2194">
      <c r="A2194" t="s" s="10">
        <v>11268</v>
      </c>
      <c r="B2194" t="s" s="10">
        <v>11269</v>
      </c>
      <c r="C2194" t="s" s="10">
        <v>37</v>
      </c>
      <c r="D2194" t="s" s="10">
        <v>304</v>
      </c>
      <c r="E2194" t="s" s="10">
        <v>8781</v>
      </c>
      <c r="F2194" s="27">
        <v>45712</v>
      </c>
      <c r="G2194" t="s" s="10">
        <v>391</v>
      </c>
      <c r="H2194" t="s" s="42">
        <v>30</v>
      </c>
      <c r="I2194" s="42">
        <v>20</v>
      </c>
      <c r="J2194" t="s" s="10">
        <v>11270</v>
      </c>
      <c r="K2194" t="s" s="10">
        <v>30</v>
      </c>
      <c r="L2194" s="16">
        <f>HYPERLINK("http://www.bharatx.tech", "www.bharatx.tech")</f>
      </c>
      <c r="M2194" s="16">
        <f>HYPERLINK("https://my.pitchbook.com?c=466011-19", "View Company Online")</f>
      </c>
    </row>
    <row r="2195">
      <c r="A2195" t="s" s="11">
        <v>11272</v>
      </c>
      <c r="B2195" t="s" s="11">
        <v>11273</v>
      </c>
      <c r="C2195" t="s" s="11">
        <v>164</v>
      </c>
      <c r="D2195" t="s" s="11">
        <v>206</v>
      </c>
      <c r="E2195" t="s" s="11">
        <v>137</v>
      </c>
      <c r="F2195" s="28">
        <v>44866</v>
      </c>
      <c r="G2195" t="s" s="11">
        <v>40</v>
      </c>
      <c r="H2195" t="s" s="43">
        <v>30</v>
      </c>
      <c r="I2195" s="43">
        <v>20</v>
      </c>
      <c r="J2195" t="s" s="11">
        <v>11274</v>
      </c>
      <c r="K2195" t="s" s="11">
        <v>11275</v>
      </c>
      <c r="L2195" s="17">
        <f>HYPERLINK("http://www.blochq.io", "www.blochq.io")</f>
      </c>
      <c r="M2195" s="17">
        <f>HYPERLINK("https://my.pitchbook.com?c=277859-71", "View Company Online")</f>
      </c>
    </row>
    <row r="2196">
      <c r="A2196" t="s" s="10">
        <v>11277</v>
      </c>
      <c r="B2196" t="s" s="10">
        <v>11278</v>
      </c>
      <c r="C2196" t="s" s="10">
        <v>222</v>
      </c>
      <c r="D2196" t="s" s="10">
        <v>235</v>
      </c>
      <c r="E2196" t="s" s="10">
        <v>414</v>
      </c>
      <c r="F2196" s="27">
        <v>45957</v>
      </c>
      <c r="G2196" t="s" s="10">
        <v>4267</v>
      </c>
      <c r="H2196" s="42">
        <v>5</v>
      </c>
      <c r="I2196" s="42">
        <v>20</v>
      </c>
      <c r="J2196" t="s" s="10">
        <v>11279</v>
      </c>
      <c r="K2196" t="s" s="10">
        <v>11280</v>
      </c>
      <c r="L2196" s="16">
        <f>HYPERLINK("http://www.bridgeinvest.io", "www.bridgeinvest.io")</f>
      </c>
      <c r="M2196" s="16">
        <f>HYPERLINK("https://my.pitchbook.com?c=607475-80", "View Company Online")</f>
      </c>
    </row>
    <row r="2197">
      <c r="A2197" t="s" s="11">
        <v>11282</v>
      </c>
      <c r="B2197" t="s" s="11">
        <v>11283</v>
      </c>
      <c r="C2197" t="s" s="11">
        <v>27</v>
      </c>
      <c r="D2197" t="s" s="11">
        <v>28</v>
      </c>
      <c r="E2197" t="s" s="11">
        <v>11284</v>
      </c>
      <c r="F2197" s="28">
        <v>45546</v>
      </c>
      <c r="G2197" t="s" s="11">
        <v>40</v>
      </c>
      <c r="H2197" s="43">
        <v>1.7</v>
      </c>
      <c r="I2197" s="43">
        <v>20</v>
      </c>
      <c r="J2197" t="s" s="11">
        <v>11285</v>
      </c>
      <c r="K2197" t="s" s="11">
        <v>11286</v>
      </c>
      <c r="L2197" s="17">
        <f>HYPERLINK("http://www.briskly.online", "www.briskly.online")</f>
      </c>
      <c r="M2197" s="17">
        <f>HYPERLINK("https://my.pitchbook.com?c=437239-54", "View Company Online")</f>
      </c>
    </row>
    <row r="2198">
      <c r="A2198" t="s" s="10">
        <v>11288</v>
      </c>
      <c r="B2198" t="s" s="10">
        <v>11289</v>
      </c>
      <c r="C2198" t="s" s="10">
        <v>144</v>
      </c>
      <c r="D2198" t="s" s="10">
        <v>297</v>
      </c>
      <c r="E2198" t="s" s="10">
        <v>414</v>
      </c>
      <c r="F2198" s="27">
        <v>46082</v>
      </c>
      <c r="G2198" t="s" s="10">
        <v>4267</v>
      </c>
      <c r="H2198" t="s" s="42">
        <v>30</v>
      </c>
      <c r="I2198" s="42">
        <v>20</v>
      </c>
      <c r="J2198" t="s" s="10">
        <v>11290</v>
      </c>
      <c r="K2198" t="s" s="10">
        <v>11291</v>
      </c>
      <c r="L2198" s="16">
        <f>HYPERLINK("http://www.usebump.com", "www.usebump.com")</f>
      </c>
      <c r="M2198" s="16">
        <f>HYPERLINK("https://my.pitchbook.com?c=460072-45", "View Company Online")</f>
      </c>
    </row>
    <row r="2199">
      <c r="A2199" t="s" s="11">
        <v>11293</v>
      </c>
      <c r="B2199" t="s" s="11">
        <v>11294</v>
      </c>
      <c r="C2199" t="s" s="11">
        <v>46</v>
      </c>
      <c r="D2199" t="s" s="11">
        <v>397</v>
      </c>
      <c r="E2199" t="s" s="11">
        <v>373</v>
      </c>
      <c r="F2199" s="28">
        <v>45867</v>
      </c>
      <c r="G2199" t="s" s="11">
        <v>4267</v>
      </c>
      <c r="H2199" s="43">
        <v>5.29</v>
      </c>
      <c r="I2199" s="43">
        <v>20</v>
      </c>
      <c r="J2199" t="s" s="11">
        <v>11295</v>
      </c>
      <c r="K2199" t="s" s="11">
        <v>11296</v>
      </c>
      <c r="L2199" s="17">
        <f>HYPERLINK("http://www.meetcaspian.com", "www.meetcaspian.com")</f>
      </c>
      <c r="M2199" s="17">
        <f>HYPERLINK("https://my.pitchbook.com?c=607757-95", "View Company Online")</f>
      </c>
    </row>
    <row r="2200">
      <c r="A2200" t="s" s="10">
        <v>11298</v>
      </c>
      <c r="B2200" t="s" s="10">
        <v>11299</v>
      </c>
      <c r="C2200" t="s" s="10">
        <v>46</v>
      </c>
      <c r="D2200" t="s" s="10">
        <v>47</v>
      </c>
      <c r="E2200" t="s" s="10">
        <v>253</v>
      </c>
      <c r="F2200" s="27">
        <v>45141</v>
      </c>
      <c r="G2200" t="s" s="10">
        <v>40</v>
      </c>
      <c r="H2200" s="42">
        <v>2.5</v>
      </c>
      <c r="I2200" s="42">
        <v>20</v>
      </c>
      <c r="J2200" t="s" s="10">
        <v>11300</v>
      </c>
      <c r="K2200" t="s" s="10">
        <v>11301</v>
      </c>
      <c r="L2200" s="16">
        <f>HYPERLINK("http://www.directcommerce.com", "www.directcommerce.com")</f>
      </c>
      <c r="M2200" s="16">
        <f>HYPERLINK("https://my.pitchbook.com?c=214446-34", "View Company Online")</f>
      </c>
    </row>
    <row r="2201">
      <c r="A2201" t="s" s="11">
        <v>11303</v>
      </c>
      <c r="B2201" t="s" s="11">
        <v>11304</v>
      </c>
      <c r="C2201" t="s" s="11">
        <v>222</v>
      </c>
      <c r="D2201" t="s" s="11">
        <v>252</v>
      </c>
      <c r="E2201" t="s" s="11">
        <v>193</v>
      </c>
      <c r="F2201" s="28">
        <v>45814</v>
      </c>
      <c r="G2201" t="s" s="11">
        <v>40</v>
      </c>
      <c r="H2201" s="43">
        <v>5.3</v>
      </c>
      <c r="I2201" s="43">
        <v>20</v>
      </c>
      <c r="J2201" t="s" s="11">
        <v>11305</v>
      </c>
      <c r="K2201" t="s" s="11">
        <v>11306</v>
      </c>
      <c r="L2201" s="17">
        <f>HYPERLINK("http://www.equityshift.com", "www.equityshift.com")</f>
      </c>
      <c r="M2201" s="17">
        <f>HYPERLINK("https://my.pitchbook.com?c=435027-88", "View Company Online")</f>
      </c>
    </row>
    <row r="2202">
      <c r="A2202" t="s" s="10">
        <v>11308</v>
      </c>
      <c r="B2202" t="s" s="10">
        <v>11309</v>
      </c>
      <c r="C2202" t="s" s="10">
        <v>222</v>
      </c>
      <c r="D2202" t="s" s="10">
        <v>235</v>
      </c>
      <c r="E2202" t="s" s="10">
        <v>373</v>
      </c>
      <c r="F2202" s="27">
        <v>46099</v>
      </c>
      <c r="G2202" t="s" s="10">
        <v>146</v>
      </c>
      <c r="H2202" s="42">
        <v>3.2</v>
      </c>
      <c r="I2202" s="42">
        <v>20</v>
      </c>
      <c r="J2202" t="s" s="10">
        <v>11310</v>
      </c>
      <c r="K2202" t="s" s="10">
        <v>11311</v>
      </c>
      <c r="L2202" s="16">
        <f>HYPERLINK("http://www.ezra.fi", "www.ezra.fi")</f>
      </c>
      <c r="M2202" s="16">
        <f>HYPERLINK("https://my.pitchbook.com?c=489523-33", "View Company Online")</f>
      </c>
    </row>
    <row r="2203">
      <c r="A2203" t="s" s="11">
        <v>11313</v>
      </c>
      <c r="B2203" t="s" s="11">
        <v>11314</v>
      </c>
      <c r="C2203" t="s" s="11">
        <v>37</v>
      </c>
      <c r="D2203" t="s" s="11">
        <v>304</v>
      </c>
      <c r="E2203" t="s" s="11">
        <v>137</v>
      </c>
      <c r="F2203" s="28">
        <v>45469</v>
      </c>
      <c r="G2203" t="s" s="11">
        <v>146</v>
      </c>
      <c r="H2203" s="43">
        <v>4</v>
      </c>
      <c r="I2203" s="43">
        <v>20</v>
      </c>
      <c r="J2203" t="s" s="11">
        <v>11315</v>
      </c>
      <c r="K2203" t="s" s="11">
        <v>11316</v>
      </c>
      <c r="L2203" s="17">
        <f>HYPERLINK("http://www.fasten.cc", "www.fasten.cc")</f>
      </c>
      <c r="M2203" s="17">
        <f>HYPERLINK("https://my.pitchbook.com?c=588817-45", "View Company Online")</f>
      </c>
    </row>
    <row r="2204">
      <c r="A2204" t="s" s="10">
        <v>11318</v>
      </c>
      <c r="B2204" t="s" s="10">
        <v>11319</v>
      </c>
      <c r="C2204" t="s" s="10">
        <v>164</v>
      </c>
      <c r="D2204" t="s" s="10">
        <v>165</v>
      </c>
      <c r="E2204" t="s" s="10">
        <v>253</v>
      </c>
      <c r="F2204" s="27">
        <v>44405</v>
      </c>
      <c r="G2204" t="s" s="10">
        <v>40</v>
      </c>
      <c r="H2204" t="s" s="42">
        <v>30</v>
      </c>
      <c r="I2204" s="42">
        <v>20</v>
      </c>
      <c r="J2204" t="s" s="10">
        <v>11320</v>
      </c>
      <c r="K2204" t="s" s="10">
        <v>11321</v>
      </c>
      <c r="L2204" s="16">
        <f>HYPERLINK("http://www.finconecta.com", "www.finconecta.com")</f>
      </c>
      <c r="M2204" s="16">
        <f>HYPERLINK("https://my.pitchbook.com?c=182918-53", "View Company Online")</f>
      </c>
    </row>
    <row r="2205">
      <c r="A2205" t="s" s="11">
        <v>11323</v>
      </c>
      <c r="B2205" t="s" s="11">
        <v>11324</v>
      </c>
      <c r="C2205" t="s" s="11">
        <v>37</v>
      </c>
      <c r="D2205" t="s" s="11">
        <v>38</v>
      </c>
      <c r="E2205" t="s" s="11">
        <v>1065</v>
      </c>
      <c r="F2205" s="28">
        <v>46244</v>
      </c>
      <c r="G2205" t="s" s="11">
        <v>2051</v>
      </c>
      <c r="H2205" t="s" s="43">
        <v>30</v>
      </c>
      <c r="I2205" s="43">
        <v>20</v>
      </c>
      <c r="J2205" t="s" s="11">
        <v>11325</v>
      </c>
      <c r="K2205" t="s" s="11">
        <v>30</v>
      </c>
      <c r="L2205" s="17">
        <f>HYPERLINK("http://www.fingo.africa", "www.fingo.africa")</f>
      </c>
      <c r="M2205" s="17">
        <f>HYPERLINK("https://my.pitchbook.com?c=462392-47", "View Company Online")</f>
      </c>
    </row>
    <row r="2206">
      <c r="A2206" t="s" s="10">
        <v>11327</v>
      </c>
      <c r="B2206" t="s" s="10">
        <v>11328</v>
      </c>
      <c r="C2206" t="s" s="10">
        <v>60</v>
      </c>
      <c r="D2206" t="s" s="10">
        <v>192</v>
      </c>
      <c r="E2206" t="s" s="10">
        <v>137</v>
      </c>
      <c r="F2206" s="27">
        <v>46023</v>
      </c>
      <c r="G2206" t="s" s="10">
        <v>186</v>
      </c>
      <c r="H2206" s="42">
        <v>1</v>
      </c>
      <c r="I2206" s="42">
        <v>20</v>
      </c>
      <c r="J2206" t="s" s="10">
        <v>11329</v>
      </c>
      <c r="K2206" t="s" s="10">
        <v>11330</v>
      </c>
      <c r="L2206" s="16">
        <f>HYPERLINK("http://www.fox-i.com", "www.fox-i.com")</f>
      </c>
      <c r="M2206" s="16">
        <f>HYPERLINK("https://my.pitchbook.com?c=691562-89", "View Company Online")</f>
      </c>
    </row>
    <row r="2207">
      <c r="A2207" t="s" s="11">
        <v>11332</v>
      </c>
      <c r="B2207" t="s" s="11">
        <v>11333</v>
      </c>
      <c r="C2207" t="s" s="11">
        <v>128</v>
      </c>
      <c r="D2207" t="s" s="11">
        <v>129</v>
      </c>
      <c r="E2207" t="s" s="11">
        <v>11334</v>
      </c>
      <c r="F2207" s="28">
        <v>45617</v>
      </c>
      <c r="G2207" t="s" s="11">
        <v>271</v>
      </c>
      <c r="H2207" t="s" s="43">
        <v>30</v>
      </c>
      <c r="I2207" s="43">
        <v>20</v>
      </c>
      <c r="J2207" t="s" s="11">
        <v>11335</v>
      </c>
      <c r="K2207" t="s" s="11">
        <v>11336</v>
      </c>
      <c r="L2207" s="17">
        <f>HYPERLINK("http://www.freebirdrides.com", "www.freebirdrides.com")</f>
      </c>
      <c r="M2207" s="17">
        <f>HYPERLINK("https://my.pitchbook.com?c=226049-95", "View Company Online")</f>
      </c>
    </row>
    <row r="2208">
      <c r="A2208" t="s" s="10">
        <v>11338</v>
      </c>
      <c r="B2208" t="s" s="10">
        <v>11339</v>
      </c>
      <c r="C2208" t="s" s="10">
        <v>60</v>
      </c>
      <c r="D2208" t="s" s="10">
        <v>432</v>
      </c>
      <c r="E2208" t="s" s="10">
        <v>137</v>
      </c>
      <c r="F2208" s="27">
        <v>45904</v>
      </c>
      <c r="G2208" t="s" s="10">
        <v>4267</v>
      </c>
      <c r="H2208" s="42">
        <v>5</v>
      </c>
      <c r="I2208" s="42">
        <v>20</v>
      </c>
      <c r="J2208" t="s" s="10">
        <v>11340</v>
      </c>
      <c r="K2208" t="s" s="10">
        <v>11341</v>
      </c>
      <c r="L2208" s="16">
        <f>HYPERLINK("http://www.grantdequity.com", "www.grantdequity.com")</f>
      </c>
      <c r="M2208" s="16">
        <f>HYPERLINK("https://my.pitchbook.com?c=134235-01", "View Company Online")</f>
      </c>
    </row>
    <row r="2209">
      <c r="A2209" t="s" s="11">
        <v>11343</v>
      </c>
      <c r="B2209" t="s" s="11">
        <v>11344</v>
      </c>
      <c r="C2209" t="s" s="11">
        <v>222</v>
      </c>
      <c r="D2209" t="s" s="11">
        <v>223</v>
      </c>
      <c r="E2209" t="s" s="11">
        <v>253</v>
      </c>
      <c r="F2209" s="28">
        <v>44939</v>
      </c>
      <c r="G2209" t="s" s="11">
        <v>40</v>
      </c>
      <c r="H2209" t="s" s="43">
        <v>30</v>
      </c>
      <c r="I2209" s="43">
        <v>20</v>
      </c>
      <c r="J2209" t="s" s="11">
        <v>11345</v>
      </c>
      <c r="K2209" t="s" s="11">
        <v>11346</v>
      </c>
      <c r="L2209" s="17">
        <f>HYPERLINK("http://www.intrinio.com", "www.intrinio.com")</f>
      </c>
      <c r="M2209" s="17">
        <f>HYPERLINK("https://my.pitchbook.com?c=65247-67", "View Company Online")</f>
      </c>
    </row>
    <row r="2210">
      <c r="A2210" t="s" s="10">
        <v>11348</v>
      </c>
      <c r="B2210" t="s" s="10">
        <v>11349</v>
      </c>
      <c r="C2210" t="s" s="10">
        <v>164</v>
      </c>
      <c r="D2210" t="s" s="10">
        <v>165</v>
      </c>
      <c r="E2210" t="s" s="10">
        <v>1964</v>
      </c>
      <c r="F2210" s="27">
        <v>45000</v>
      </c>
      <c r="G2210" t="s" s="10">
        <v>146</v>
      </c>
      <c r="H2210" s="42">
        <v>9</v>
      </c>
      <c r="I2210" s="42">
        <v>20</v>
      </c>
      <c r="J2210" t="s" s="10">
        <v>11350</v>
      </c>
      <c r="K2210" t="s" s="10">
        <v>11351</v>
      </c>
      <c r="L2210" s="16">
        <f>HYPERLINK("http://www.kanmon.com", "www.kanmon.com")</f>
      </c>
      <c r="M2210" s="16">
        <f>HYPERLINK("https://my.pitchbook.com?c=467199-28", "View Company Online")</f>
      </c>
    </row>
    <row r="2211">
      <c r="A2211" t="s" s="11">
        <v>11353</v>
      </c>
      <c r="B2211" t="s" s="11">
        <v>11354</v>
      </c>
      <c r="C2211" t="s" s="11">
        <v>27</v>
      </c>
      <c r="D2211" t="s" s="11">
        <v>28</v>
      </c>
      <c r="E2211" t="s" s="11">
        <v>1859</v>
      </c>
      <c r="F2211" s="28">
        <v>45689</v>
      </c>
      <c r="G2211" t="s" s="11">
        <v>40</v>
      </c>
      <c r="H2211" t="s" s="43">
        <v>30</v>
      </c>
      <c r="I2211" s="43">
        <v>20</v>
      </c>
      <c r="J2211" t="s" s="11">
        <v>11355</v>
      </c>
      <c r="K2211" t="s" s="11">
        <v>11356</v>
      </c>
      <c r="L2211" s="17">
        <f>HYPERLINK("http://www.kashier.io", "www.kashier.io")</f>
      </c>
      <c r="M2211" s="17">
        <f>HYPERLINK("https://my.pitchbook.com?c=439376-95", "View Company Online")</f>
      </c>
    </row>
    <row r="2212">
      <c r="A2212" t="s" s="10">
        <v>11358</v>
      </c>
      <c r="B2212" t="s" s="10">
        <v>11359</v>
      </c>
      <c r="C2212" t="s" s="10">
        <v>128</v>
      </c>
      <c r="D2212" t="s" s="10">
        <v>276</v>
      </c>
      <c r="E2212" t="s" s="10">
        <v>1065</v>
      </c>
      <c r="F2212" t="s" s="27">
        <v>30</v>
      </c>
      <c r="G2212" t="s" s="10">
        <v>40</v>
      </c>
      <c r="H2212" t="s" s="42">
        <v>30</v>
      </c>
      <c r="I2212" s="42">
        <v>20</v>
      </c>
      <c r="J2212" t="s" s="10">
        <v>11360</v>
      </c>
      <c r="K2212" t="s" s="10">
        <v>11361</v>
      </c>
      <c r="L2212" s="16">
        <f>HYPERLINK("http://www.moneypool.mx", "www.moneypool.mx")</f>
      </c>
      <c r="M2212" s="16">
        <f>HYPERLINK("https://my.pitchbook.com?c=97491-07", "View Company Online")</f>
      </c>
    </row>
    <row r="2213">
      <c r="A2213" t="s" s="11">
        <v>11363</v>
      </c>
      <c r="B2213" t="s" s="11">
        <v>11364</v>
      </c>
      <c r="C2213" t="s" s="11">
        <v>114</v>
      </c>
      <c r="D2213" t="s" s="11">
        <v>136</v>
      </c>
      <c r="E2213" t="s" s="11">
        <v>137</v>
      </c>
      <c r="F2213" s="28">
        <v>46096</v>
      </c>
      <c r="G2213" t="s" s="11">
        <v>40</v>
      </c>
      <c r="H2213" t="s" s="43">
        <v>30</v>
      </c>
      <c r="I2213" s="43">
        <v>20</v>
      </c>
      <c r="J2213" t="s" s="11">
        <v>11365</v>
      </c>
      <c r="K2213" t="s" s="11">
        <v>11366</v>
      </c>
      <c r="L2213" s="17">
        <f>HYPERLINK("http://www.mycredit.ua", "www.mycredit.ua")</f>
      </c>
      <c r="M2213" s="17">
        <f>HYPERLINK("https://my.pitchbook.com?c=503513-47", "View Company Online")</f>
      </c>
    </row>
    <row r="2214">
      <c r="A2214" t="s" s="10">
        <v>11368</v>
      </c>
      <c r="B2214" t="s" s="10">
        <v>11369</v>
      </c>
      <c r="C2214" t="s" s="10">
        <v>27</v>
      </c>
      <c r="D2214" t="s" s="10">
        <v>70</v>
      </c>
      <c r="E2214" t="s" s="10">
        <v>253</v>
      </c>
      <c r="F2214" s="27">
        <v>46224</v>
      </c>
      <c r="G2214" t="s" s="10">
        <v>391</v>
      </c>
      <c r="H2214" t="s" s="42">
        <v>30</v>
      </c>
      <c r="I2214" s="42">
        <v>20</v>
      </c>
      <c r="J2214" t="s" s="10">
        <v>11370</v>
      </c>
      <c r="K2214" t="s" s="10">
        <v>30</v>
      </c>
      <c r="L2214" s="16">
        <f>HYPERLINK("http://www.payfactory.io", "www.payfactory.io")</f>
      </c>
      <c r="M2214" s="16">
        <f>HYPERLINK("https://my.pitchbook.com?c=466823-17", "View Company Online")</f>
      </c>
    </row>
    <row r="2215">
      <c r="A2215" t="s" s="11">
        <v>11372</v>
      </c>
      <c r="B2215" t="s" s="11">
        <v>11373</v>
      </c>
      <c r="C2215" t="s" s="11">
        <v>60</v>
      </c>
      <c r="D2215" t="s" s="11">
        <v>192</v>
      </c>
      <c r="E2215" t="s" s="11">
        <v>137</v>
      </c>
      <c r="F2215" s="28">
        <v>44697</v>
      </c>
      <c r="G2215" t="s" s="11">
        <v>4267</v>
      </c>
      <c r="H2215" s="43">
        <v>4</v>
      </c>
      <c r="I2215" s="43">
        <v>20</v>
      </c>
      <c r="J2215" t="s" s="11">
        <v>11374</v>
      </c>
      <c r="K2215" t="s" s="11">
        <v>11375</v>
      </c>
      <c r="L2215" s="17">
        <f>HYPERLINK("http://pebble.finance", "pebble.finance")</f>
      </c>
      <c r="M2215" s="17">
        <f>HYPERLINK("https://my.pitchbook.com?c=497699-29", "View Company Online")</f>
      </c>
    </row>
    <row r="2216">
      <c r="A2216" t="s" s="10">
        <v>11377</v>
      </c>
      <c r="B2216" t="s" s="10">
        <v>11378</v>
      </c>
      <c r="C2216" t="s" s="10">
        <v>60</v>
      </c>
      <c r="D2216" t="s" s="10">
        <v>246</v>
      </c>
      <c r="E2216" t="s" s="10">
        <v>253</v>
      </c>
      <c r="F2216" s="27">
        <v>46098</v>
      </c>
      <c r="G2216" t="s" s="10">
        <v>4267</v>
      </c>
      <c r="H2216" s="42">
        <v>5</v>
      </c>
      <c r="I2216" s="42">
        <v>20</v>
      </c>
      <c r="J2216" t="s" s="10">
        <v>11379</v>
      </c>
      <c r="K2216" t="s" s="10">
        <v>11380</v>
      </c>
      <c r="L2216" s="16">
        <f>HYPERLINK("http://www.quorus.io", "www.quorus.io")</f>
      </c>
      <c r="M2216" s="16">
        <f>HYPERLINK("https://my.pitchbook.com?c=522082-18", "View Company Online")</f>
      </c>
    </row>
    <row r="2217">
      <c r="A2217" t="s" s="11">
        <v>11382</v>
      </c>
      <c r="B2217" t="s" s="11">
        <v>11383</v>
      </c>
      <c r="C2217" t="s" s="11">
        <v>164</v>
      </c>
      <c r="D2217" t="s" s="11">
        <v>206</v>
      </c>
      <c r="E2217" t="s" s="11">
        <v>1207</v>
      </c>
      <c r="F2217" s="28">
        <v>46132</v>
      </c>
      <c r="G2217" t="s" s="11">
        <v>138</v>
      </c>
      <c r="H2217" t="s" s="43">
        <v>30</v>
      </c>
      <c r="I2217" s="43">
        <v>20</v>
      </c>
      <c r="J2217" t="s" s="11">
        <v>11384</v>
      </c>
      <c r="K2217" t="s" s="11">
        <v>11385</v>
      </c>
      <c r="L2217" s="17">
        <f>HYPERLINK("http://www.regenteducation.com", "www.regenteducation.com")</f>
      </c>
      <c r="M2217" s="17">
        <f>HYPERLINK("https://my.pitchbook.com?c=52902-91", "View Company Online")</f>
      </c>
    </row>
    <row r="2218">
      <c r="A2218" t="s" s="10">
        <v>11387</v>
      </c>
      <c r="B2218" t="s" s="10">
        <v>11388</v>
      </c>
      <c r="C2218" t="s" s="10">
        <v>222</v>
      </c>
      <c r="D2218" t="s" s="10">
        <v>223</v>
      </c>
      <c r="E2218" t="s" s="10">
        <v>253</v>
      </c>
      <c r="F2218" s="27">
        <v>45292</v>
      </c>
      <c r="G2218" t="s" s="10">
        <v>607</v>
      </c>
      <c r="H2218" s="42">
        <v>0.25</v>
      </c>
      <c r="I2218" s="42">
        <v>20</v>
      </c>
      <c r="J2218" t="s" s="10">
        <v>11389</v>
      </c>
      <c r="K2218" t="s" s="10">
        <v>11390</v>
      </c>
      <c r="L2218" s="16">
        <f>HYPERLINK("http://www.reverealts.com", "www.reverealts.com")</f>
      </c>
      <c r="M2218" s="16">
        <f>HYPERLINK("https://my.pitchbook.com?c=465638-32", "View Company Online")</f>
      </c>
    </row>
    <row r="2219">
      <c r="A2219" t="s" s="11">
        <v>11392</v>
      </c>
      <c r="B2219" t="s" s="11">
        <v>11393</v>
      </c>
      <c r="C2219" t="s" s="11">
        <v>60</v>
      </c>
      <c r="D2219" t="s" s="11">
        <v>420</v>
      </c>
      <c r="E2219" t="s" s="11">
        <v>137</v>
      </c>
      <c r="F2219" s="28">
        <v>46126</v>
      </c>
      <c r="G2219" t="s" s="11">
        <v>607</v>
      </c>
      <c r="H2219" s="43">
        <v>0.2</v>
      </c>
      <c r="I2219" s="43">
        <v>20</v>
      </c>
      <c r="J2219" t="s" s="11">
        <v>11394</v>
      </c>
      <c r="K2219" t="s" s="11">
        <v>11395</v>
      </c>
      <c r="L2219" s="17">
        <f>HYPERLINK("http://www.savvly.com", "www.savvly.com")</f>
      </c>
      <c r="M2219" s="17">
        <f>HYPERLINK("https://my.pitchbook.com?c=513145-63", "View Company Online")</f>
      </c>
    </row>
    <row r="2220">
      <c r="A2220" t="s" s="10">
        <v>11397</v>
      </c>
      <c r="B2220" t="s" s="10">
        <v>11398</v>
      </c>
      <c r="C2220" t="s" s="10">
        <v>27</v>
      </c>
      <c r="D2220" t="s" s="10">
        <v>28</v>
      </c>
      <c r="E2220" t="s" s="10">
        <v>253</v>
      </c>
      <c r="F2220" s="27">
        <v>44927</v>
      </c>
      <c r="G2220" t="s" s="10">
        <v>4267</v>
      </c>
      <c r="H2220" s="42">
        <v>6.2</v>
      </c>
      <c r="I2220" s="42">
        <v>20</v>
      </c>
      <c r="J2220" t="s" s="10">
        <v>11399</v>
      </c>
      <c r="K2220" t="s" s="10">
        <v>11400</v>
      </c>
      <c r="L2220" s="16">
        <f>HYPERLINK("http://www.sikahealth.com", "www.sikahealth.com")</f>
      </c>
      <c r="M2220" s="16">
        <f>HYPERLINK("https://my.pitchbook.com?c=481553-56", "View Company Online")</f>
      </c>
    </row>
    <row r="2221">
      <c r="A2221" t="s" s="11">
        <v>11402</v>
      </c>
      <c r="B2221" t="s" s="11">
        <v>11403</v>
      </c>
      <c r="C2221" t="s" s="11">
        <v>172</v>
      </c>
      <c r="D2221" t="s" s="11">
        <v>338</v>
      </c>
      <c r="E2221" t="s" s="11">
        <v>373</v>
      </c>
      <c r="F2221" s="28">
        <v>46070</v>
      </c>
      <c r="G2221" t="s" s="11">
        <v>4267</v>
      </c>
      <c r="H2221" s="43">
        <v>7.1</v>
      </c>
      <c r="I2221" s="43">
        <v>20</v>
      </c>
      <c r="J2221" t="s" s="11">
        <v>11404</v>
      </c>
      <c r="K2221" t="s" s="11">
        <v>11405</v>
      </c>
      <c r="L2221" s="17">
        <f>HYPERLINK("http://www.sphinxhq.com", "www.sphinxhq.com")</f>
      </c>
      <c r="M2221" s="17">
        <f>HYPERLINK("https://my.pitchbook.com?c=706881-16", "View Company Online")</f>
      </c>
    </row>
    <row r="2222">
      <c r="A2222" t="s" s="10">
        <v>11407</v>
      </c>
      <c r="B2222" t="s" s="10">
        <v>11408</v>
      </c>
      <c r="C2222" t="s" s="10">
        <v>222</v>
      </c>
      <c r="D2222" t="s" s="10">
        <v>223</v>
      </c>
      <c r="E2222" t="s" s="10">
        <v>367</v>
      </c>
      <c r="F2222" s="27">
        <v>46057</v>
      </c>
      <c r="G2222" t="s" s="10">
        <v>40</v>
      </c>
      <c r="H2222" s="42">
        <v>2</v>
      </c>
      <c r="I2222" s="42">
        <v>20</v>
      </c>
      <c r="J2222" t="s" s="10">
        <v>11409</v>
      </c>
      <c r="K2222" t="s" s="10">
        <v>11410</v>
      </c>
      <c r="L2222" s="16">
        <f>HYPERLINK("http://www.stocksnips.ai", "www.stocksnips.ai")</f>
      </c>
      <c r="M2222" s="16">
        <f>HYPERLINK("https://my.pitchbook.com?c=182206-54", "View Company Online")</f>
      </c>
    </row>
    <row r="2223">
      <c r="A2223" t="s" s="11">
        <v>11412</v>
      </c>
      <c r="B2223" t="s" s="11">
        <v>11413</v>
      </c>
      <c r="C2223" t="s" s="11">
        <v>222</v>
      </c>
      <c r="D2223" t="s" s="11">
        <v>235</v>
      </c>
      <c r="E2223" t="s" s="11">
        <v>11414</v>
      </c>
      <c r="F2223" s="28">
        <v>44470</v>
      </c>
      <c r="G2223" t="s" s="11">
        <v>5274</v>
      </c>
      <c r="H2223" t="s" s="43">
        <v>30</v>
      </c>
      <c r="I2223" s="43">
        <v>20</v>
      </c>
      <c r="J2223" t="s" s="11">
        <v>11415</v>
      </c>
      <c r="K2223" t="s" s="11">
        <v>11416</v>
      </c>
      <c r="L2223" s="17">
        <f>HYPERLINK("http://www.arcviewgroup.com", "www.arcviewgroup.com")</f>
      </c>
      <c r="M2223" s="17">
        <f>HYPERLINK("https://my.pitchbook.com?c=56811-52", "View Company Online")</f>
      </c>
    </row>
    <row r="2224">
      <c r="A2224" t="s" s="10">
        <v>11418</v>
      </c>
      <c r="B2224" t="s" s="10">
        <v>11419</v>
      </c>
      <c r="C2224" t="s" s="10">
        <v>114</v>
      </c>
      <c r="D2224" t="s" s="10">
        <v>1386</v>
      </c>
      <c r="E2224" t="s" s="10">
        <v>414</v>
      </c>
      <c r="F2224" s="27">
        <v>45850</v>
      </c>
      <c r="G2224" t="s" s="10">
        <v>271</v>
      </c>
      <c r="H2224" s="42">
        <v>0.16</v>
      </c>
      <c r="I2224" s="42">
        <v>20</v>
      </c>
      <c r="J2224" t="s" s="10">
        <v>11420</v>
      </c>
      <c r="K2224" t="s" s="10">
        <v>11421</v>
      </c>
      <c r="L2224" s="16">
        <f>HYPERLINK("http://www.gettrained.ai", "www.gettrained.ai")</f>
      </c>
      <c r="M2224" s="16">
        <f>HYPERLINK("https://my.pitchbook.com?c=513360-46", "View Company Online")</f>
      </c>
    </row>
    <row r="2225">
      <c r="A2225" t="s" s="11">
        <v>11423</v>
      </c>
      <c r="B2225" t="s" s="11">
        <v>11424</v>
      </c>
      <c r="C2225" t="s" s="11">
        <v>172</v>
      </c>
      <c r="D2225" t="s" s="11">
        <v>1454</v>
      </c>
      <c r="E2225" t="s" s="11">
        <v>2071</v>
      </c>
      <c r="F2225" s="28">
        <v>46198</v>
      </c>
      <c r="G2225" t="s" s="11">
        <v>607</v>
      </c>
      <c r="H2225" t="s" s="43">
        <v>30</v>
      </c>
      <c r="I2225" s="43">
        <v>20</v>
      </c>
      <c r="J2225" t="s" s="11">
        <v>11425</v>
      </c>
      <c r="K2225" t="s" s="11">
        <v>11426</v>
      </c>
      <c r="L2225" s="17">
        <f>HYPERLINK("http://www.transparently.ai", "www.transparently.ai")</f>
      </c>
      <c r="M2225" s="17">
        <f>HYPERLINK("https://my.pitchbook.com?c=509424-13", "View Company Online")</f>
      </c>
    </row>
    <row r="2226">
      <c r="A2226" t="s" s="10">
        <v>11428</v>
      </c>
      <c r="B2226" t="s" s="10">
        <v>11429</v>
      </c>
      <c r="C2226" t="s" s="10">
        <v>60</v>
      </c>
      <c r="D2226" t="s" s="10">
        <v>192</v>
      </c>
      <c r="E2226" t="s" s="10">
        <v>137</v>
      </c>
      <c r="F2226" s="27">
        <v>46211</v>
      </c>
      <c r="G2226" t="s" s="10">
        <v>40</v>
      </c>
      <c r="H2226" t="s" s="42">
        <v>30</v>
      </c>
      <c r="I2226" s="42">
        <v>20</v>
      </c>
      <c r="J2226" t="s" s="10">
        <v>11430</v>
      </c>
      <c r="K2226" t="s" s="10">
        <v>11431</v>
      </c>
      <c r="L2226" s="16">
        <f>HYPERLINK("http://www.tribevest.com", "www.tribevest.com")</f>
      </c>
      <c r="M2226" s="16">
        <f>HYPERLINK("https://my.pitchbook.com?c=186851-80", "View Company Online")</f>
      </c>
    </row>
    <row r="2227">
      <c r="A2227" t="s" s="11">
        <v>11433</v>
      </c>
      <c r="B2227" t="s" s="11">
        <v>11434</v>
      </c>
      <c r="C2227" t="s" s="11">
        <v>27</v>
      </c>
      <c r="D2227" t="s" s="11">
        <v>70</v>
      </c>
      <c r="E2227" t="s" s="11">
        <v>1859</v>
      </c>
      <c r="F2227" s="28">
        <v>45288</v>
      </c>
      <c r="G2227" t="s" s="11">
        <v>40</v>
      </c>
      <c r="H2227" s="43">
        <v>4.6</v>
      </c>
      <c r="I2227" s="43">
        <v>20</v>
      </c>
      <c r="J2227" t="s" s="11">
        <v>11435</v>
      </c>
      <c r="K2227" t="s" s="11">
        <v>11436</v>
      </c>
      <c r="L2227" s="17">
        <f>HYPERLINK("http://www.itrustmore.com", "www.itrustmore.com")</f>
      </c>
      <c r="M2227" s="17">
        <f>HYPERLINK("https://my.pitchbook.com?c=399233-53", "View Company Online")</f>
      </c>
    </row>
    <row r="2228">
      <c r="A2228" t="s" s="10">
        <v>11438</v>
      </c>
      <c r="B2228" t="s" s="10">
        <v>11439</v>
      </c>
      <c r="C2228" t="s" s="10">
        <v>114</v>
      </c>
      <c r="D2228" t="s" s="10">
        <v>115</v>
      </c>
      <c r="E2228" t="s" s="10">
        <v>1625</v>
      </c>
      <c r="F2228" s="27">
        <v>45826</v>
      </c>
      <c r="G2228" t="s" s="10">
        <v>31</v>
      </c>
      <c r="H2228" s="42">
        <v>200</v>
      </c>
      <c r="I2228" s="42">
        <v>20</v>
      </c>
      <c r="J2228" t="s" s="10">
        <v>11440</v>
      </c>
      <c r="K2228" t="s" s="10">
        <v>11441</v>
      </c>
      <c r="L2228" s="16">
        <f>HYPERLINK("http://www.upequity.com", "www.upequity.com")</f>
      </c>
      <c r="M2228" s="16">
        <f>HYPERLINK("https://my.pitchbook.com?c=279625-78", "View Company Online")</f>
      </c>
    </row>
    <row r="2229">
      <c r="A2229" t="s" s="11">
        <v>11443</v>
      </c>
      <c r="B2229" t="s" s="11">
        <v>11444</v>
      </c>
      <c r="C2229" t="s" s="11">
        <v>164</v>
      </c>
      <c r="D2229" t="s" s="11">
        <v>206</v>
      </c>
      <c r="E2229" t="s" s="11">
        <v>193</v>
      </c>
      <c r="F2229" t="s" s="28">
        <v>30</v>
      </c>
      <c r="G2229" t="s" s="11">
        <v>48</v>
      </c>
      <c r="H2229" t="s" s="43">
        <v>30</v>
      </c>
      <c r="I2229" s="43">
        <v>20</v>
      </c>
      <c r="J2229" t="s" s="11">
        <v>11445</v>
      </c>
      <c r="K2229" t="s" s="11">
        <v>11446</v>
      </c>
      <c r="L2229" s="17">
        <f>HYPERLINK("http://www.embedvaya.com", "www.embedvaya.com")</f>
      </c>
      <c r="M2229" s="17">
        <f>HYPERLINK("https://my.pitchbook.com?c=481876-57", "View Company Online")</f>
      </c>
    </row>
    <row r="2230">
      <c r="A2230" t="s" s="10">
        <v>11448</v>
      </c>
      <c r="B2230" t="s" s="10">
        <v>11449</v>
      </c>
      <c r="C2230" t="s" s="10">
        <v>128</v>
      </c>
      <c r="D2230" t="s" s="10">
        <v>199</v>
      </c>
      <c r="E2230" t="s" s="10">
        <v>270</v>
      </c>
      <c r="F2230" s="27">
        <v>45170</v>
      </c>
      <c r="G2230" t="s" s="10">
        <v>146</v>
      </c>
      <c r="H2230" t="s" s="42">
        <v>30</v>
      </c>
      <c r="I2230" s="42">
        <v>20</v>
      </c>
      <c r="J2230" t="s" s="10">
        <v>11450</v>
      </c>
      <c r="K2230" t="s" s="10">
        <v>11451</v>
      </c>
      <c r="L2230" s="16">
        <f>HYPERLINK("http://www.zulu.com.co", "www.zulu.com.co")</f>
      </c>
      <c r="M2230" s="16">
        <f>HYPERLINK("https://my.pitchbook.com?c=496568-98", "View Company Online")</f>
      </c>
    </row>
    <row r="2231">
      <c r="A2231" t="s" s="11">
        <v>11453</v>
      </c>
      <c r="B2231" t="s" s="11">
        <v>11454</v>
      </c>
      <c r="C2231" t="s" s="11">
        <v>172</v>
      </c>
      <c r="D2231" t="s" s="11">
        <v>173</v>
      </c>
      <c r="E2231" t="s" s="11">
        <v>658</v>
      </c>
      <c r="F2231" s="28">
        <v>43642</v>
      </c>
      <c r="G2231" t="s" s="11">
        <v>146</v>
      </c>
      <c r="H2231" s="43">
        <v>10.13</v>
      </c>
      <c r="I2231" s="43">
        <v>19.97</v>
      </c>
      <c r="J2231" t="s" s="11">
        <v>11455</v>
      </c>
      <c r="K2231" t="s" s="11">
        <v>11456</v>
      </c>
      <c r="L2231" s="17">
        <f>HYPERLINK("http://www.bleckwen.ai", "www.bleckwen.ai")</f>
      </c>
      <c r="M2231" s="17">
        <f>HYPERLINK("https://my.pitchbook.com?c=264604-15", "View Company Online")</f>
      </c>
    </row>
    <row r="2232">
      <c r="A2232" t="s" s="10">
        <v>11458</v>
      </c>
      <c r="B2232" t="s" s="10">
        <v>11459</v>
      </c>
      <c r="C2232" t="s" s="10">
        <v>114</v>
      </c>
      <c r="D2232" t="s" s="10">
        <v>136</v>
      </c>
      <c r="E2232" t="s" s="10">
        <v>116</v>
      </c>
      <c r="F2232" s="27">
        <v>44742</v>
      </c>
      <c r="G2232" t="s" s="10">
        <v>40</v>
      </c>
      <c r="H2232" s="42">
        <v>5</v>
      </c>
      <c r="I2232" s="42">
        <v>19.9</v>
      </c>
      <c r="J2232" t="s" s="10">
        <v>11460</v>
      </c>
      <c r="K2232" t="s" s="10">
        <v>11461</v>
      </c>
      <c r="L2232" s="16">
        <f>HYPERLINK("http://www.quickcheck.ng", "www.quickcheck.ng")</f>
      </c>
      <c r="M2232" s="16">
        <f>HYPERLINK("https://my.pitchbook.com?c=279545-59", "View Company Online")</f>
      </c>
    </row>
    <row r="2233">
      <c r="A2233" t="s" s="11">
        <v>11463</v>
      </c>
      <c r="B2233" t="s" s="11">
        <v>11464</v>
      </c>
      <c r="C2233" t="s" s="11">
        <v>46</v>
      </c>
      <c r="D2233" t="s" s="11">
        <v>47</v>
      </c>
      <c r="E2233" t="s" s="11">
        <v>332</v>
      </c>
      <c r="F2233" s="28">
        <v>45533</v>
      </c>
      <c r="G2233" t="s" s="11">
        <v>40</v>
      </c>
      <c r="H2233" s="43">
        <v>2.49</v>
      </c>
      <c r="I2233" s="43">
        <v>19.89</v>
      </c>
      <c r="J2233" t="s" s="11">
        <v>11465</v>
      </c>
      <c r="K2233" t="s" s="11">
        <v>11466</v>
      </c>
      <c r="L2233" s="17">
        <f>HYPERLINK("http://www.mazepay.com", "www.mazepay.com")</f>
      </c>
      <c r="M2233" s="17">
        <f>HYPERLINK("https://my.pitchbook.com?c=467166-61", "View Company Online")</f>
      </c>
    </row>
    <row r="2234">
      <c r="A2234" t="s" s="10">
        <v>11468</v>
      </c>
      <c r="B2234" t="s" s="10">
        <v>11469</v>
      </c>
      <c r="C2234" t="s" s="10">
        <v>60</v>
      </c>
      <c r="D2234" t="s" s="10">
        <v>246</v>
      </c>
      <c r="E2234" t="s" s="10">
        <v>270</v>
      </c>
      <c r="F2234" s="27">
        <v>45335</v>
      </c>
      <c r="G2234" t="s" s="10">
        <v>48</v>
      </c>
      <c r="H2234" t="s" s="42">
        <v>30</v>
      </c>
      <c r="I2234" s="42">
        <v>19.86</v>
      </c>
      <c r="J2234" t="s" s="10">
        <v>11470</v>
      </c>
      <c r="K2234" t="s" s="10">
        <v>11471</v>
      </c>
      <c r="L2234" s="16">
        <f>HYPERLINK("http://www.bankoncube.com", "www.bankoncube.com")</f>
      </c>
      <c r="M2234" s="16">
        <f>HYPERLINK("https://my.pitchbook.com?c=181574-47", "View Company Online")</f>
      </c>
    </row>
    <row r="2235">
      <c r="A2235" t="s" s="11">
        <v>11473</v>
      </c>
      <c r="B2235" t="s" s="11">
        <v>11474</v>
      </c>
      <c r="C2235" t="s" s="11">
        <v>114</v>
      </c>
      <c r="D2235" t="s" s="11">
        <v>870</v>
      </c>
      <c r="E2235" t="s" s="11">
        <v>137</v>
      </c>
      <c r="F2235" s="28">
        <v>45828</v>
      </c>
      <c r="G2235" t="s" s="11">
        <v>146</v>
      </c>
      <c r="H2235" s="43">
        <v>5.83</v>
      </c>
      <c r="I2235" s="43">
        <v>19.81</v>
      </c>
      <c r="J2235" t="s" s="11">
        <v>11475</v>
      </c>
      <c r="K2235" t="s" s="11">
        <v>11476</v>
      </c>
      <c r="L2235" s="17">
        <f>HYPERLINK("http://www.inprime.in", "www.inprime.in")</f>
      </c>
      <c r="M2235" s="17">
        <f>HYPERLINK("https://my.pitchbook.com?c=512735-05", "View Company Online")</f>
      </c>
    </row>
    <row r="2236">
      <c r="A2236" t="s" s="10">
        <v>11478</v>
      </c>
      <c r="B2236" t="s" s="10">
        <v>11479</v>
      </c>
      <c r="C2236" t="s" s="10">
        <v>60</v>
      </c>
      <c r="D2236" t="s" s="10">
        <v>246</v>
      </c>
      <c r="E2236" t="s" s="10">
        <v>137</v>
      </c>
      <c r="F2236" t="s" s="27">
        <v>30</v>
      </c>
      <c r="G2236" t="s" s="10">
        <v>48</v>
      </c>
      <c r="H2236" t="s" s="42">
        <v>30</v>
      </c>
      <c r="I2236" s="42">
        <v>19.8</v>
      </c>
      <c r="J2236" t="s" s="10">
        <v>11480</v>
      </c>
      <c r="K2236" t="s" s="10">
        <v>11481</v>
      </c>
      <c r="L2236" s="16">
        <f>HYPERLINK("http://www.finbee.jp", "www.finbee.jp")</f>
      </c>
      <c r="M2236" s="16">
        <f>HYPERLINK("https://my.pitchbook.com?c=459064-36", "View Company Online")</f>
      </c>
    </row>
    <row r="2237">
      <c r="A2237" t="s" s="11">
        <v>11483</v>
      </c>
      <c r="B2237" t="s" s="11">
        <v>11484</v>
      </c>
      <c r="C2237" t="s" s="11">
        <v>222</v>
      </c>
      <c r="D2237" t="s" s="11">
        <v>223</v>
      </c>
      <c r="E2237" t="s" s="11">
        <v>11485</v>
      </c>
      <c r="F2237" s="28">
        <v>44998</v>
      </c>
      <c r="G2237" t="s" s="11">
        <v>40</v>
      </c>
      <c r="H2237" s="43">
        <v>1.56</v>
      </c>
      <c r="I2237" s="43">
        <v>19.8</v>
      </c>
      <c r="J2237" t="s" s="11">
        <v>11486</v>
      </c>
      <c r="K2237" t="s" s="11">
        <v>11487</v>
      </c>
      <c r="L2237" s="17">
        <f>HYPERLINK("http://www.tallarium.com", "www.tallarium.com")</f>
      </c>
      <c r="M2237" s="17">
        <f>HYPERLINK("https://my.pitchbook.com?c=228705-94", "View Company Online")</f>
      </c>
    </row>
    <row r="2238">
      <c r="A2238" t="s" s="10">
        <v>11489</v>
      </c>
      <c r="B2238" t="s" s="10">
        <v>11490</v>
      </c>
      <c r="C2238" t="s" s="10">
        <v>128</v>
      </c>
      <c r="D2238" t="s" s="10">
        <v>129</v>
      </c>
      <c r="E2238" t="s" s="10">
        <v>11491</v>
      </c>
      <c r="F2238" s="27">
        <v>45888</v>
      </c>
      <c r="G2238" t="s" s="10">
        <v>40</v>
      </c>
      <c r="H2238" s="42">
        <v>3.47</v>
      </c>
      <c r="I2238" s="42">
        <v>19.64</v>
      </c>
      <c r="J2238" t="s" s="10">
        <v>11492</v>
      </c>
      <c r="K2238" t="s" s="10">
        <v>11493</v>
      </c>
      <c r="L2238" s="16">
        <f>HYPERLINK("http://www.embargoapp.com", "www.embargoapp.com")</f>
      </c>
      <c r="M2238" s="16">
        <f>HYPERLINK("https://my.pitchbook.com?c=471999-16", "View Company Online")</f>
      </c>
    </row>
    <row r="2239">
      <c r="A2239" t="s" s="11">
        <v>11495</v>
      </c>
      <c r="B2239" t="s" s="11">
        <v>11496</v>
      </c>
      <c r="C2239" t="s" s="11">
        <v>222</v>
      </c>
      <c r="D2239" t="s" s="11">
        <v>235</v>
      </c>
      <c r="E2239" t="s" s="11">
        <v>11497</v>
      </c>
      <c r="F2239" s="28">
        <v>46122</v>
      </c>
      <c r="G2239" t="s" s="11">
        <v>4267</v>
      </c>
      <c r="H2239" s="43">
        <v>2.54</v>
      </c>
      <c r="I2239" s="43">
        <v>19.63</v>
      </c>
      <c r="J2239" t="s" s="11">
        <v>11498</v>
      </c>
      <c r="K2239" t="s" s="11">
        <v>11499</v>
      </c>
      <c r="L2239" s="17">
        <f>HYPERLINK("http://www.sponsorgo.com", "www.sponsorgo.com")</f>
      </c>
      <c r="M2239" s="17">
        <f>HYPERLINK("https://my.pitchbook.com?c=1318945-51", "View Company Online")</f>
      </c>
    </row>
    <row r="2240">
      <c r="A2240" t="s" s="10">
        <v>11501</v>
      </c>
      <c r="B2240" t="s" s="10">
        <v>11502</v>
      </c>
      <c r="C2240" t="s" s="10">
        <v>27</v>
      </c>
      <c r="D2240" t="s" s="10">
        <v>28</v>
      </c>
      <c r="E2240" t="s" s="10">
        <v>373</v>
      </c>
      <c r="F2240" s="27">
        <v>45643</v>
      </c>
      <c r="G2240" t="s" s="10">
        <v>4267</v>
      </c>
      <c r="H2240" s="42">
        <v>6</v>
      </c>
      <c r="I2240" s="42">
        <v>19.62</v>
      </c>
      <c r="J2240" t="s" s="10">
        <v>11503</v>
      </c>
      <c r="K2240" t="s" s="10">
        <v>11504</v>
      </c>
      <c r="L2240" s="16">
        <f>HYPERLINK("http://www.getvolume.com", "www.getvolume.com")</f>
      </c>
      <c r="M2240" s="16">
        <f>HYPERLINK("https://my.pitchbook.com?c=484232-86", "View Company Online")</f>
      </c>
    </row>
    <row r="2241">
      <c r="A2241" t="s" s="11">
        <v>11506</v>
      </c>
      <c r="B2241" t="s" s="11">
        <v>11507</v>
      </c>
      <c r="C2241" t="s" s="11">
        <v>114</v>
      </c>
      <c r="D2241" t="s" s="11">
        <v>852</v>
      </c>
      <c r="E2241" t="s" s="11">
        <v>137</v>
      </c>
      <c r="F2241" s="28">
        <v>43384</v>
      </c>
      <c r="G2241" t="s" s="11">
        <v>146</v>
      </c>
      <c r="H2241" s="43">
        <v>6.15</v>
      </c>
      <c r="I2241" s="43">
        <v>19.57</v>
      </c>
      <c r="J2241" t="s" s="11">
        <v>11508</v>
      </c>
      <c r="K2241" t="s" s="11">
        <v>11509</v>
      </c>
      <c r="L2241" s="17">
        <f>HYPERLINK("http://www.cg24.com", "www.cg24.com")</f>
      </c>
      <c r="M2241" s="17">
        <f>HYPERLINK("https://my.pitchbook.com?c=155726-47", "View Company Online")</f>
      </c>
    </row>
    <row r="2242">
      <c r="A2242" t="s" s="10">
        <v>11511</v>
      </c>
      <c r="B2242" t="s" s="10">
        <v>11512</v>
      </c>
      <c r="C2242" t="s" s="10">
        <v>222</v>
      </c>
      <c r="D2242" t="s" s="10">
        <v>537</v>
      </c>
      <c r="E2242" t="s" s="10">
        <v>137</v>
      </c>
      <c r="F2242" s="27">
        <v>44546</v>
      </c>
      <c r="G2242" t="s" s="10">
        <v>4267</v>
      </c>
      <c r="H2242" s="42">
        <v>1.7</v>
      </c>
      <c r="I2242" s="42">
        <v>19.51</v>
      </c>
      <c r="J2242" t="s" s="10">
        <v>11513</v>
      </c>
      <c r="K2242" t="s" s="10">
        <v>11514</v>
      </c>
      <c r="L2242" s="16">
        <f>HYPERLINK("http://www.privexgroup.com", "www.privexgroup.com")</f>
      </c>
      <c r="M2242" s="16">
        <f>HYPERLINK("https://my.pitchbook.com?c=506634-40", "View Company Online")</f>
      </c>
    </row>
    <row r="2243">
      <c r="A2243" t="s" s="11">
        <v>11516</v>
      </c>
      <c r="B2243" t="s" s="11">
        <v>11517</v>
      </c>
      <c r="C2243" t="s" s="11">
        <v>222</v>
      </c>
      <c r="D2243" t="s" s="11">
        <v>235</v>
      </c>
      <c r="E2243" t="s" s="11">
        <v>137</v>
      </c>
      <c r="F2243" s="28">
        <v>46072</v>
      </c>
      <c r="G2243" t="s" s="11">
        <v>4267</v>
      </c>
      <c r="H2243" s="43">
        <v>4.84</v>
      </c>
      <c r="I2243" s="43">
        <v>19.5</v>
      </c>
      <c r="J2243" t="s" s="11">
        <v>11518</v>
      </c>
      <c r="K2243" t="s" s="11">
        <v>30</v>
      </c>
      <c r="L2243" s="17">
        <f>HYPERLINK("http://www.6lock.com", "www.6lock.com")</f>
      </c>
      <c r="M2243" s="17">
        <f>HYPERLINK("https://my.pitchbook.com?c=629419-60", "View Company Online")</f>
      </c>
    </row>
    <row r="2244">
      <c r="A2244" t="s" s="10">
        <v>11520</v>
      </c>
      <c r="B2244" t="s" s="10">
        <v>11521</v>
      </c>
      <c r="C2244" t="s" s="10">
        <v>60</v>
      </c>
      <c r="D2244" t="s" s="10">
        <v>192</v>
      </c>
      <c r="E2244" t="s" s="10">
        <v>270</v>
      </c>
      <c r="F2244" s="27">
        <v>45866</v>
      </c>
      <c r="G2244" t="s" s="10">
        <v>607</v>
      </c>
      <c r="H2244" t="s" s="42">
        <v>30</v>
      </c>
      <c r="I2244" s="42">
        <v>19.5</v>
      </c>
      <c r="J2244" t="s" s="10">
        <v>11522</v>
      </c>
      <c r="K2244" t="s" s="10">
        <v>11523</v>
      </c>
      <c r="L2244" s="16">
        <f>HYPERLINK("http://www.blossomsocial.com", "www.blossomsocial.com")</f>
      </c>
      <c r="M2244" s="16">
        <f>HYPERLINK("https://my.pitchbook.com?c=497824-93", "View Company Online")</f>
      </c>
    </row>
    <row r="2245">
      <c r="A2245" t="s" s="11">
        <v>11525</v>
      </c>
      <c r="B2245" t="s" s="11">
        <v>11526</v>
      </c>
      <c r="C2245" t="s" s="11">
        <v>144</v>
      </c>
      <c r="D2245" t="s" s="11">
        <v>297</v>
      </c>
      <c r="E2245" t="s" s="11">
        <v>2152</v>
      </c>
      <c r="F2245" s="28">
        <v>44844</v>
      </c>
      <c r="G2245" t="s" s="11">
        <v>607</v>
      </c>
      <c r="H2245" t="s" s="43">
        <v>30</v>
      </c>
      <c r="I2245" s="43">
        <v>19.5</v>
      </c>
      <c r="J2245" t="s" s="11">
        <v>11527</v>
      </c>
      <c r="K2245" t="s" s="11">
        <v>11528</v>
      </c>
      <c r="L2245" s="17">
        <f>HYPERLINK("http://www.fishtail.ai", "www.fishtail.ai")</f>
      </c>
      <c r="M2245" s="17">
        <f>HYPERLINK("https://my.pitchbook.com?c=469369-45", "View Company Online")</f>
      </c>
    </row>
    <row r="2246">
      <c r="A2246" t="s" s="10">
        <v>11530</v>
      </c>
      <c r="B2246" t="s" s="10">
        <v>11531</v>
      </c>
      <c r="C2246" t="s" s="10">
        <v>114</v>
      </c>
      <c r="D2246" t="s" s="10">
        <v>136</v>
      </c>
      <c r="E2246" t="s" s="10">
        <v>414</v>
      </c>
      <c r="F2246" s="27">
        <v>46177</v>
      </c>
      <c r="G2246" t="s" s="10">
        <v>607</v>
      </c>
      <c r="H2246" s="42">
        <v>0.07</v>
      </c>
      <c r="I2246" s="42">
        <v>19.5</v>
      </c>
      <c r="J2246" t="s" s="10">
        <v>11532</v>
      </c>
      <c r="K2246" t="s" s="10">
        <v>11533</v>
      </c>
      <c r="L2246" s="16">
        <f>HYPERLINK("http://www.jia.xyz", "www.jia.xyz")</f>
      </c>
      <c r="M2246" s="16">
        <f>HYPERLINK("https://my.pitchbook.com?c=502626-25", "View Company Online")</f>
      </c>
    </row>
    <row r="2247">
      <c r="A2247" t="s" s="11">
        <v>11535</v>
      </c>
      <c r="B2247" t="s" s="11">
        <v>11536</v>
      </c>
      <c r="C2247" t="s" s="11">
        <v>27</v>
      </c>
      <c r="D2247" t="s" s="11">
        <v>28</v>
      </c>
      <c r="E2247" t="s" s="11">
        <v>108</v>
      </c>
      <c r="F2247" s="28">
        <v>45574</v>
      </c>
      <c r="G2247" t="s" s="11">
        <v>4267</v>
      </c>
      <c r="H2247" s="43">
        <v>7</v>
      </c>
      <c r="I2247" s="43">
        <v>19.5</v>
      </c>
      <c r="J2247" t="s" s="11">
        <v>11537</v>
      </c>
      <c r="K2247" t="s" s="11">
        <v>11538</v>
      </c>
      <c r="L2247" s="17">
        <f>HYPERLINK("http://www.makershub.com", "www.makershub.com")</f>
      </c>
      <c r="M2247" s="17">
        <f>HYPERLINK("https://my.pitchbook.com?c=494008-21", "View Company Online")</f>
      </c>
    </row>
    <row r="2248">
      <c r="A2248" t="s" s="10">
        <v>11540</v>
      </c>
      <c r="B2248" t="s" s="10">
        <v>11541</v>
      </c>
      <c r="C2248" t="s" s="10">
        <v>27</v>
      </c>
      <c r="D2248" t="s" s="10">
        <v>122</v>
      </c>
      <c r="E2248" t="s" s="10">
        <v>137</v>
      </c>
      <c r="F2248" s="27">
        <v>45294</v>
      </c>
      <c r="G2248" t="s" s="10">
        <v>146</v>
      </c>
      <c r="H2248" s="42">
        <v>1.4</v>
      </c>
      <c r="I2248" s="42">
        <v>19.5</v>
      </c>
      <c r="J2248" t="s" s="10">
        <v>11542</v>
      </c>
      <c r="K2248" t="s" s="10">
        <v>30</v>
      </c>
      <c r="L2248" s="16">
        <f>HYPERLINK("http://sendola.com", "sendola.com")</f>
      </c>
      <c r="M2248" s="16">
        <f>HYPERLINK("https://my.pitchbook.com?c=551292-31", "View Company Online")</f>
      </c>
    </row>
    <row r="2249">
      <c r="A2249" t="s" s="11">
        <v>11544</v>
      </c>
      <c r="B2249" t="s" s="11">
        <v>11545</v>
      </c>
      <c r="C2249" t="s" s="11">
        <v>60</v>
      </c>
      <c r="D2249" t="s" s="11">
        <v>727</v>
      </c>
      <c r="E2249" t="s" s="11">
        <v>4013</v>
      </c>
      <c r="F2249" s="28">
        <v>45327</v>
      </c>
      <c r="G2249" t="s" s="11">
        <v>5274</v>
      </c>
      <c r="H2249" s="43">
        <v>3.26</v>
      </c>
      <c r="I2249" s="43">
        <v>19.45</v>
      </c>
      <c r="J2249" t="s" s="11">
        <v>11546</v>
      </c>
      <c r="K2249" t="s" s="11">
        <v>11547</v>
      </c>
      <c r="L2249" s="17">
        <f>HYPERLINK("http://www.tickr.co.uk", "www.tickr.co.uk")</f>
      </c>
      <c r="M2249" s="17">
        <f>HYPERLINK("https://my.pitchbook.com?c=267161-32", "View Company Online")</f>
      </c>
    </row>
    <row r="2250">
      <c r="A2250" t="s" s="10">
        <v>11549</v>
      </c>
      <c r="B2250" t="s" s="10">
        <v>11550</v>
      </c>
      <c r="C2250" t="s" s="10">
        <v>46</v>
      </c>
      <c r="D2250" t="s" s="10">
        <v>47</v>
      </c>
      <c r="E2250" t="s" s="10">
        <v>137</v>
      </c>
      <c r="F2250" s="27">
        <v>45728</v>
      </c>
      <c r="G2250" t="s" s="10">
        <v>146</v>
      </c>
      <c r="H2250" s="42">
        <v>8.5</v>
      </c>
      <c r="I2250" s="42">
        <v>19.4</v>
      </c>
      <c r="J2250" t="s" s="10">
        <v>11551</v>
      </c>
      <c r="K2250" t="s" s="10">
        <v>11552</v>
      </c>
      <c r="L2250" s="16">
        <f>HYPERLINK("http://www.mimohq.com", "www.mimohq.com")</f>
      </c>
      <c r="M2250" s="16">
        <f>HYPERLINK("https://my.pitchbook.com?c=530547-04", "View Company Online")</f>
      </c>
    </row>
    <row r="2251">
      <c r="A2251" t="s" s="11">
        <v>11554</v>
      </c>
      <c r="B2251" t="s" s="11">
        <v>11555</v>
      </c>
      <c r="C2251" t="s" s="11">
        <v>60</v>
      </c>
      <c r="D2251" t="s" s="11">
        <v>192</v>
      </c>
      <c r="E2251" t="s" s="11">
        <v>253</v>
      </c>
      <c r="F2251" s="28">
        <v>45821</v>
      </c>
      <c r="G2251" t="s" s="11">
        <v>146</v>
      </c>
      <c r="H2251" t="s" s="43">
        <v>30</v>
      </c>
      <c r="I2251" s="43">
        <v>19.4</v>
      </c>
      <c r="J2251" t="s" s="11">
        <v>11556</v>
      </c>
      <c r="K2251" t="s" s="11">
        <v>11557</v>
      </c>
      <c r="L2251" s="17">
        <f>HYPERLINK("http://www.vested.co", "www.vested.co")</f>
      </c>
      <c r="M2251" s="17">
        <f>HYPERLINK("https://my.pitchbook.com?c=314607-43", "View Company Online")</f>
      </c>
    </row>
    <row r="2252">
      <c r="A2252" t="s" s="10">
        <v>11559</v>
      </c>
      <c r="B2252" t="s" s="10">
        <v>11560</v>
      </c>
      <c r="C2252" t="s" s="10">
        <v>164</v>
      </c>
      <c r="D2252" t="s" s="10">
        <v>165</v>
      </c>
      <c r="E2252" t="s" s="10">
        <v>259</v>
      </c>
      <c r="F2252" s="27">
        <v>45860</v>
      </c>
      <c r="G2252" t="s" s="10">
        <v>146</v>
      </c>
      <c r="H2252" t="s" s="42">
        <v>30</v>
      </c>
      <c r="I2252" s="42">
        <v>19.36</v>
      </c>
      <c r="J2252" t="s" s="10">
        <v>11561</v>
      </c>
      <c r="K2252" t="s" s="10">
        <v>11562</v>
      </c>
      <c r="L2252" s="16">
        <f>HYPERLINK("http://www.nofrixion.com", "www.nofrixion.com")</f>
      </c>
      <c r="M2252" s="16">
        <f>HYPERLINK("https://my.pitchbook.com?c=490900-87", "View Company Online")</f>
      </c>
    </row>
    <row r="2253">
      <c r="A2253" t="s" s="11">
        <v>11564</v>
      </c>
      <c r="B2253" t="s" s="11">
        <v>11565</v>
      </c>
      <c r="C2253" t="s" s="11">
        <v>60</v>
      </c>
      <c r="D2253" t="s" s="11">
        <v>727</v>
      </c>
      <c r="E2253" t="s" s="11">
        <v>270</v>
      </c>
      <c r="F2253" s="28">
        <v>44729</v>
      </c>
      <c r="G2253" t="s" s="11">
        <v>40</v>
      </c>
      <c r="H2253" s="43">
        <v>35.08</v>
      </c>
      <c r="I2253" s="43">
        <v>19.33</v>
      </c>
      <c r="J2253" t="s" s="11">
        <v>11566</v>
      </c>
      <c r="K2253" t="s" s="11">
        <v>11567</v>
      </c>
      <c r="L2253" s="17">
        <f>HYPERLINK("http://www.lysa.se", "www.lysa.se")</f>
      </c>
      <c r="M2253" s="17">
        <f>HYPERLINK("https://my.pitchbook.com?c=222389-65", "View Company Online")</f>
      </c>
    </row>
    <row r="2254">
      <c r="A2254" t="s" s="10">
        <v>11569</v>
      </c>
      <c r="B2254" t="s" s="10">
        <v>11570</v>
      </c>
      <c r="C2254" t="s" s="10">
        <v>172</v>
      </c>
      <c r="D2254" t="s" s="10">
        <v>1454</v>
      </c>
      <c r="E2254" t="s" s="10">
        <v>11571</v>
      </c>
      <c r="F2254" t="s" s="27">
        <v>30</v>
      </c>
      <c r="G2254" t="s" s="10">
        <v>607</v>
      </c>
      <c r="H2254" t="s" s="42">
        <v>30</v>
      </c>
      <c r="I2254" s="42">
        <v>19.33</v>
      </c>
      <c r="J2254" t="s" s="10">
        <v>11572</v>
      </c>
      <c r="K2254" t="s" s="10">
        <v>11573</v>
      </c>
      <c r="L2254" s="16">
        <f>HYPERLINK("http://www.skenariolabs.com", "www.skenariolabs.com")</f>
      </c>
      <c r="M2254" s="16">
        <f>HYPERLINK("https://my.pitchbook.com?c=171022-06", "View Company Online")</f>
      </c>
    </row>
    <row r="2255">
      <c r="A2255" t="s" s="11">
        <v>11575</v>
      </c>
      <c r="B2255" t="s" s="11">
        <v>11576</v>
      </c>
      <c r="C2255" t="s" s="11">
        <v>128</v>
      </c>
      <c r="D2255" t="s" s="11">
        <v>129</v>
      </c>
      <c r="E2255" t="s" s="11">
        <v>11577</v>
      </c>
      <c r="F2255" s="28">
        <v>46195</v>
      </c>
      <c r="G2255" t="s" s="11">
        <v>4267</v>
      </c>
      <c r="H2255" s="43">
        <v>3.32</v>
      </c>
      <c r="I2255" s="43">
        <v>19.32</v>
      </c>
      <c r="J2255" t="s" s="11">
        <v>11578</v>
      </c>
      <c r="K2255" t="s" s="11">
        <v>11579</v>
      </c>
      <c r="L2255" s="17">
        <f>HYPERLINK("http://www.flaunt.ai", "www.flaunt.ai")</f>
      </c>
      <c r="M2255" s="17">
        <f>HYPERLINK("https://my.pitchbook.com?c=521466-31", "View Company Online")</f>
      </c>
    </row>
    <row r="2256">
      <c r="A2256" t="s" s="10">
        <v>11581</v>
      </c>
      <c r="B2256" t="s" s="10">
        <v>11582</v>
      </c>
      <c r="C2256" t="s" s="10">
        <v>27</v>
      </c>
      <c r="D2256" t="s" s="10">
        <v>70</v>
      </c>
      <c r="E2256" t="s" s="10">
        <v>253</v>
      </c>
      <c r="F2256" s="27">
        <v>45945</v>
      </c>
      <c r="G2256" t="s" s="10">
        <v>4267</v>
      </c>
      <c r="H2256" s="42">
        <v>3.4</v>
      </c>
      <c r="I2256" s="42">
        <v>19.2</v>
      </c>
      <c r="J2256" t="s" s="10">
        <v>11583</v>
      </c>
      <c r="K2256" t="s" s="10">
        <v>11584</v>
      </c>
      <c r="L2256" s="16">
        <f>HYPERLINK("http://www.lumx.io", "www.lumx.io")</f>
      </c>
      <c r="M2256" s="16">
        <f>HYPERLINK("https://my.pitchbook.com?c=497309-32", "View Company Online")</f>
      </c>
    </row>
    <row r="2257">
      <c r="A2257" t="s" s="11">
        <v>11586</v>
      </c>
      <c r="B2257" t="s" s="11">
        <v>11587</v>
      </c>
      <c r="C2257" t="s" s="11">
        <v>128</v>
      </c>
      <c r="D2257" t="s" s="11">
        <v>129</v>
      </c>
      <c r="E2257" t="s" s="11">
        <v>270</v>
      </c>
      <c r="F2257" s="28">
        <v>45678</v>
      </c>
      <c r="G2257" t="s" s="11">
        <v>4267</v>
      </c>
      <c r="H2257" s="43">
        <v>4.8</v>
      </c>
      <c r="I2257" s="43">
        <v>19.17</v>
      </c>
      <c r="J2257" t="s" s="11">
        <v>11588</v>
      </c>
      <c r="K2257" t="s" s="11">
        <v>11589</v>
      </c>
      <c r="L2257" s="17">
        <f>HYPERLINK("http://www.aslan.io", "www.aslan.io")</f>
      </c>
      <c r="M2257" s="17">
        <f>HYPERLINK("https://my.pitchbook.com?c=541073-89", "View Company Online")</f>
      </c>
    </row>
    <row r="2258">
      <c r="A2258" t="s" s="10">
        <v>11591</v>
      </c>
      <c r="B2258" t="s" s="10">
        <v>11592</v>
      </c>
      <c r="C2258" t="s" s="10">
        <v>114</v>
      </c>
      <c r="D2258" t="s" s="10">
        <v>136</v>
      </c>
      <c r="E2258" t="s" s="10">
        <v>137</v>
      </c>
      <c r="F2258" s="27">
        <v>45292</v>
      </c>
      <c r="G2258" t="s" s="10">
        <v>40</v>
      </c>
      <c r="H2258" s="42">
        <v>1.73</v>
      </c>
      <c r="I2258" s="42">
        <v>19.08</v>
      </c>
      <c r="J2258" t="s" s="10">
        <v>11593</v>
      </c>
      <c r="K2258" t="s" s="10">
        <v>11594</v>
      </c>
      <c r="L2258" s="16">
        <f>HYPERLINK("http://www.invoier.com", "www.invoier.com")</f>
      </c>
      <c r="M2258" s="16">
        <f>HYPERLINK("https://my.pitchbook.com?c=366545-62", "View Company Online")</f>
      </c>
    </row>
    <row r="2259">
      <c r="A2259" t="s" s="11">
        <v>11596</v>
      </c>
      <c r="B2259" t="s" s="11">
        <v>11597</v>
      </c>
      <c r="C2259" t="s" s="11">
        <v>222</v>
      </c>
      <c r="D2259" t="s" s="11">
        <v>235</v>
      </c>
      <c r="E2259" t="s" s="11">
        <v>137</v>
      </c>
      <c r="F2259" s="28">
        <v>45216</v>
      </c>
      <c r="G2259" t="s" s="11">
        <v>40</v>
      </c>
      <c r="H2259" s="43">
        <v>1.59</v>
      </c>
      <c r="I2259" s="43">
        <v>19.05</v>
      </c>
      <c r="J2259" t="s" s="11">
        <v>11598</v>
      </c>
      <c r="K2259" t="s" s="11">
        <v>11599</v>
      </c>
      <c r="L2259" s="17">
        <f>HYPERLINK("http://weltix.tech", "weltix.tech")</f>
      </c>
      <c r="M2259" s="17">
        <f>HYPERLINK("https://my.pitchbook.com?c=231203-26", "View Company Online")</f>
      </c>
    </row>
    <row r="2260">
      <c r="A2260" t="s" s="10">
        <v>11601</v>
      </c>
      <c r="B2260" t="s" s="10">
        <v>11602</v>
      </c>
      <c r="C2260" t="s" s="10">
        <v>37</v>
      </c>
      <c r="D2260" t="s" s="10">
        <v>304</v>
      </c>
      <c r="E2260" t="s" s="10">
        <v>623</v>
      </c>
      <c r="F2260" s="27">
        <v>45852</v>
      </c>
      <c r="G2260" t="s" s="10">
        <v>146</v>
      </c>
      <c r="H2260" s="42">
        <v>6</v>
      </c>
      <c r="I2260" s="42">
        <v>19</v>
      </c>
      <c r="J2260" t="s" s="10">
        <v>11603</v>
      </c>
      <c r="K2260" t="s" s="10">
        <v>11604</v>
      </c>
      <c r="L2260" s="16">
        <f>HYPERLINK("http://www.arrofinance.com", "www.arrofinance.com")</f>
      </c>
      <c r="M2260" s="16">
        <f>HYPERLINK("https://my.pitchbook.com?c=501516-37", "View Company Online")</f>
      </c>
    </row>
    <row r="2261">
      <c r="A2261" t="s" s="11">
        <v>11606</v>
      </c>
      <c r="B2261" t="s" s="11">
        <v>11607</v>
      </c>
      <c r="C2261" t="s" s="11">
        <v>222</v>
      </c>
      <c r="D2261" t="s" s="11">
        <v>235</v>
      </c>
      <c r="E2261" t="s" s="11">
        <v>373</v>
      </c>
      <c r="F2261" s="28">
        <v>45945</v>
      </c>
      <c r="G2261" t="s" s="11">
        <v>4267</v>
      </c>
      <c r="H2261" s="43">
        <v>6.5</v>
      </c>
      <c r="I2261" s="43">
        <v>19</v>
      </c>
      <c r="J2261" t="s" s="11">
        <v>11608</v>
      </c>
      <c r="K2261" t="s" s="11">
        <v>11609</v>
      </c>
      <c r="L2261" s="17">
        <f>HYPERLINK("http://www.avidai.com", "www.avidai.com")</f>
      </c>
      <c r="M2261" s="17">
        <f>HYPERLINK("https://my.pitchbook.com?c=820758-25", "View Company Online")</f>
      </c>
    </row>
    <row r="2262">
      <c r="A2262" t="s" s="10">
        <v>11611</v>
      </c>
      <c r="B2262" t="s" s="10">
        <v>11612</v>
      </c>
      <c r="C2262" t="s" s="10">
        <v>46</v>
      </c>
      <c r="D2262" t="s" s="10">
        <v>47</v>
      </c>
      <c r="E2262" t="s" s="10">
        <v>108</v>
      </c>
      <c r="F2262" s="27">
        <v>45599</v>
      </c>
      <c r="G2262" t="s" s="10">
        <v>607</v>
      </c>
      <c r="H2262" t="s" s="42">
        <v>30</v>
      </c>
      <c r="I2262" s="42">
        <v>19</v>
      </c>
      <c r="J2262" t="s" s="10">
        <v>11613</v>
      </c>
      <c r="K2262" t="s" s="10">
        <v>11614</v>
      </c>
      <c r="L2262" s="16">
        <f>HYPERLINK("http://www.montopay.com", "www.montopay.com")</f>
      </c>
      <c r="M2262" s="16">
        <f>HYPERLINK("https://my.pitchbook.com?c=459915-31", "View Company Online")</f>
      </c>
    </row>
    <row r="2263">
      <c r="A2263" t="s" s="11">
        <v>11616</v>
      </c>
      <c r="B2263" t="s" s="11">
        <v>11617</v>
      </c>
      <c r="C2263" t="s" s="11">
        <v>60</v>
      </c>
      <c r="D2263" t="s" s="11">
        <v>420</v>
      </c>
      <c r="E2263" t="s" s="11">
        <v>253</v>
      </c>
      <c r="F2263" s="28">
        <v>45954</v>
      </c>
      <c r="G2263" t="s" s="11">
        <v>146</v>
      </c>
      <c r="H2263" s="43">
        <v>0.25</v>
      </c>
      <c r="I2263" s="43">
        <v>19</v>
      </c>
      <c r="J2263" t="s" s="11">
        <v>11618</v>
      </c>
      <c r="K2263" t="s" s="11">
        <v>11619</v>
      </c>
      <c r="L2263" s="17">
        <f>HYPERLINK("http://www.penelope.co", "www.penelope.co")</f>
      </c>
      <c r="M2263" s="17">
        <f>HYPERLINK("https://my.pitchbook.com?c=484686-37", "View Company Online")</f>
      </c>
    </row>
    <row r="2264">
      <c r="A2264" t="s" s="10">
        <v>11621</v>
      </c>
      <c r="B2264" t="s" s="10">
        <v>11622</v>
      </c>
      <c r="C2264" t="s" s="10">
        <v>128</v>
      </c>
      <c r="D2264" t="s" s="10">
        <v>129</v>
      </c>
      <c r="E2264" t="s" s="10">
        <v>193</v>
      </c>
      <c r="F2264" s="27">
        <v>44568</v>
      </c>
      <c r="G2264" t="s" s="10">
        <v>40</v>
      </c>
      <c r="H2264" s="42">
        <v>5</v>
      </c>
      <c r="I2264" s="42">
        <v>19</v>
      </c>
      <c r="J2264" t="s" s="10">
        <v>11623</v>
      </c>
      <c r="K2264" t="s" s="10">
        <v>11624</v>
      </c>
      <c r="L2264" s="16">
        <f>HYPERLINK("http://www.plinqit.com", "www.plinqit.com")</f>
      </c>
      <c r="M2264" s="16">
        <f>HYPERLINK("https://my.pitchbook.com?c=130609-45", "View Company Online")</f>
      </c>
    </row>
    <row r="2265">
      <c r="A2265" t="s" s="11">
        <v>11626</v>
      </c>
      <c r="B2265" t="s" s="11">
        <v>11627</v>
      </c>
      <c r="C2265" t="s" s="11">
        <v>60</v>
      </c>
      <c r="D2265" t="s" s="11">
        <v>246</v>
      </c>
      <c r="E2265" t="s" s="11">
        <v>373</v>
      </c>
      <c r="F2265" s="28">
        <v>45536</v>
      </c>
      <c r="G2265" t="s" s="11">
        <v>146</v>
      </c>
      <c r="H2265" s="43">
        <v>1.3</v>
      </c>
      <c r="I2265" s="43">
        <v>19</v>
      </c>
      <c r="J2265" t="s" s="11">
        <v>11628</v>
      </c>
      <c r="K2265" t="s" s="11">
        <v>11629</v>
      </c>
      <c r="L2265" s="17">
        <f>HYPERLINK("http://www.surmount.ai", "www.surmount.ai")</f>
      </c>
      <c r="M2265" s="17">
        <f>HYPERLINK("https://my.pitchbook.com?c=494992-18", "View Company Online")</f>
      </c>
    </row>
    <row r="2266">
      <c r="A2266" t="s" s="10">
        <v>11631</v>
      </c>
      <c r="B2266" t="s" s="10">
        <v>11632</v>
      </c>
      <c r="C2266" t="s" s="10">
        <v>222</v>
      </c>
      <c r="D2266" t="s" s="10">
        <v>235</v>
      </c>
      <c r="E2266" t="s" s="10">
        <v>1964</v>
      </c>
      <c r="F2266" s="27">
        <v>45826</v>
      </c>
      <c r="G2266" t="s" s="10">
        <v>4267</v>
      </c>
      <c r="H2266" s="42">
        <v>1.03</v>
      </c>
      <c r="I2266" s="42">
        <v>19</v>
      </c>
      <c r="J2266" t="s" s="10">
        <v>11633</v>
      </c>
      <c r="K2266" t="s" s="10">
        <v>11634</v>
      </c>
      <c r="L2266" s="16">
        <f>HYPERLINK("http://www.visible.vc", "www.visible.vc")</f>
      </c>
      <c r="M2266" s="16">
        <f>HYPERLINK("https://my.pitchbook.com?c=99167-14", "View Company Online")</f>
      </c>
    </row>
    <row r="2267">
      <c r="A2267" t="s" s="11">
        <v>11636</v>
      </c>
      <c r="B2267" t="s" s="11">
        <v>11637</v>
      </c>
      <c r="C2267" t="s" s="11">
        <v>60</v>
      </c>
      <c r="D2267" t="s" s="11">
        <v>727</v>
      </c>
      <c r="E2267" t="s" s="11">
        <v>137</v>
      </c>
      <c r="F2267" t="s" s="28">
        <v>30</v>
      </c>
      <c r="G2267" t="s" s="11">
        <v>40</v>
      </c>
      <c r="H2267" t="s" s="43">
        <v>30</v>
      </c>
      <c r="I2267" s="43">
        <v>18.97</v>
      </c>
      <c r="J2267" t="s" s="11">
        <v>11638</v>
      </c>
      <c r="K2267" t="s" s="11">
        <v>11639</v>
      </c>
      <c r="L2267" s="17">
        <f>HYPERLINK("http://www.goparity.com", "www.goparity.com")</f>
      </c>
      <c r="M2267" s="17">
        <f>HYPERLINK("https://my.pitchbook.com?c=437464-36", "View Company Online")</f>
      </c>
    </row>
    <row r="2268">
      <c r="A2268" t="s" s="10">
        <v>11641</v>
      </c>
      <c r="B2268" t="s" s="10">
        <v>11642</v>
      </c>
      <c r="C2268" t="s" s="10">
        <v>60</v>
      </c>
      <c r="D2268" t="s" s="10">
        <v>727</v>
      </c>
      <c r="E2268" t="s" s="10">
        <v>1032</v>
      </c>
      <c r="F2268" s="27">
        <v>45992</v>
      </c>
      <c r="G2268" t="s" s="10">
        <v>48</v>
      </c>
      <c r="H2268" t="s" s="42">
        <v>30</v>
      </c>
      <c r="I2268" s="42">
        <v>18.88</v>
      </c>
      <c r="J2268" t="s" s="10">
        <v>11643</v>
      </c>
      <c r="K2268" t="s" s="10">
        <v>11644</v>
      </c>
      <c r="L2268" s="16">
        <f>HYPERLINK("http://www.bayuti.com", "www.bayuti.com")</f>
      </c>
      <c r="M2268" s="16">
        <f>HYPERLINK("https://my.pitchbook.com?c=469686-61", "View Company Online")</f>
      </c>
    </row>
    <row r="2269">
      <c r="A2269" t="s" s="11">
        <v>11646</v>
      </c>
      <c r="B2269" t="s" s="11">
        <v>11647</v>
      </c>
      <c r="C2269" t="s" s="11">
        <v>27</v>
      </c>
      <c r="D2269" t="s" s="11">
        <v>28</v>
      </c>
      <c r="E2269" t="s" s="11">
        <v>11648</v>
      </c>
      <c r="F2269" s="28">
        <v>45292</v>
      </c>
      <c r="G2269" t="s" s="11">
        <v>40</v>
      </c>
      <c r="H2269" t="s" s="43">
        <v>30</v>
      </c>
      <c r="I2269" s="43">
        <v>18.88</v>
      </c>
      <c r="J2269" t="s" s="11">
        <v>11649</v>
      </c>
      <c r="K2269" t="s" s="11">
        <v>11650</v>
      </c>
      <c r="L2269" s="17">
        <f>HYPERLINK("http://www.gimi.com", "www.gimi.com")</f>
      </c>
      <c r="M2269" s="17">
        <f>HYPERLINK("https://my.pitchbook.com?c=160133-41", "View Company Online")</f>
      </c>
    </row>
    <row r="2270">
      <c r="A2270" t="s" s="10">
        <v>11652</v>
      </c>
      <c r="B2270" t="s" s="10">
        <v>11653</v>
      </c>
      <c r="C2270" t="s" s="10">
        <v>114</v>
      </c>
      <c r="D2270" t="s" s="10">
        <v>115</v>
      </c>
      <c r="E2270" t="s" s="10">
        <v>1625</v>
      </c>
      <c r="F2270" s="27">
        <v>45042</v>
      </c>
      <c r="G2270" t="s" s="10">
        <v>40</v>
      </c>
      <c r="H2270" s="42">
        <v>9.93</v>
      </c>
      <c r="I2270" s="42">
        <v>18.86</v>
      </c>
      <c r="J2270" t="s" s="10">
        <v>11654</v>
      </c>
      <c r="K2270" t="s" s="10">
        <v>11655</v>
      </c>
      <c r="L2270" s="16">
        <f>HYPERLINK("http://www.wayhome.co.uk", "www.wayhome.co.uk")</f>
      </c>
      <c r="M2270" s="16">
        <f>HYPERLINK("https://my.pitchbook.com?c=230990-05", "View Company Online")</f>
      </c>
    </row>
    <row r="2271">
      <c r="A2271" t="s" s="11">
        <v>11657</v>
      </c>
      <c r="B2271" t="s" s="11">
        <v>11658</v>
      </c>
      <c r="C2271" t="s" s="11">
        <v>27</v>
      </c>
      <c r="D2271" t="s" s="11">
        <v>28</v>
      </c>
      <c r="E2271" t="s" s="11">
        <v>11659</v>
      </c>
      <c r="F2271" s="28">
        <v>45901</v>
      </c>
      <c r="G2271" t="s" s="11">
        <v>607</v>
      </c>
      <c r="H2271" t="s" s="43">
        <v>30</v>
      </c>
      <c r="I2271" s="43">
        <v>18.82</v>
      </c>
      <c r="J2271" t="s" s="11">
        <v>11660</v>
      </c>
      <c r="K2271" t="s" s="11">
        <v>11661</v>
      </c>
      <c r="L2271" s="17">
        <f>HYPERLINK("http://www.simpler.so", "www.simpler.so")</f>
      </c>
      <c r="M2271" s="17">
        <f>HYPERLINK("https://my.pitchbook.com?c=469743-85", "View Company Online")</f>
      </c>
    </row>
    <row r="2272">
      <c r="A2272" t="s" s="10">
        <v>11663</v>
      </c>
      <c r="B2272" t="s" s="10">
        <v>11664</v>
      </c>
      <c r="C2272" t="s" s="10">
        <v>114</v>
      </c>
      <c r="D2272" t="s" s="10">
        <v>1386</v>
      </c>
      <c r="E2272" t="s" s="10">
        <v>373</v>
      </c>
      <c r="F2272" s="27">
        <v>45869</v>
      </c>
      <c r="G2272" t="s" s="10">
        <v>40</v>
      </c>
      <c r="H2272" s="42">
        <v>3.44</v>
      </c>
      <c r="I2272" s="42">
        <v>18.81</v>
      </c>
      <c r="J2272" t="s" s="10">
        <v>11665</v>
      </c>
      <c r="K2272" t="s" s="10">
        <v>11666</v>
      </c>
      <c r="L2272" s="16">
        <f>HYPERLINK("http://www.digilytics.ai", "www.digilytics.ai")</f>
      </c>
      <c r="M2272" s="16">
        <f>HYPERLINK("https://my.pitchbook.com?c=235247-77", "View Company Online")</f>
      </c>
    </row>
    <row r="2273">
      <c r="A2273" t="s" s="11">
        <v>11668</v>
      </c>
      <c r="B2273" t="s" s="11">
        <v>11669</v>
      </c>
      <c r="C2273" t="s" s="11">
        <v>172</v>
      </c>
      <c r="D2273" t="s" s="11">
        <v>338</v>
      </c>
      <c r="E2273" t="s" s="11">
        <v>373</v>
      </c>
      <c r="F2273" s="28">
        <v>45842</v>
      </c>
      <c r="G2273" t="s" s="11">
        <v>4267</v>
      </c>
      <c r="H2273" s="43">
        <v>4.8</v>
      </c>
      <c r="I2273" s="43">
        <v>18.8</v>
      </c>
      <c r="J2273" t="s" s="11">
        <v>11670</v>
      </c>
      <c r="K2273" t="s" s="11">
        <v>11671</v>
      </c>
      <c r="L2273" s="17">
        <f>HYPERLINK("http://www.zango.ai", "www.zango.ai")</f>
      </c>
      <c r="M2273" s="17">
        <f>HYPERLINK("https://my.pitchbook.com?c=893705-77", "View Company Online")</f>
      </c>
    </row>
    <row r="2274">
      <c r="A2274" t="s" s="10">
        <v>11673</v>
      </c>
      <c r="B2274" t="s" s="10">
        <v>11674</v>
      </c>
      <c r="C2274" t="s" s="10">
        <v>144</v>
      </c>
      <c r="D2274" t="s" s="10">
        <v>297</v>
      </c>
      <c r="E2274" t="s" s="10">
        <v>259</v>
      </c>
      <c r="F2274" s="27">
        <v>45749</v>
      </c>
      <c r="G2274" t="s" s="10">
        <v>40</v>
      </c>
      <c r="H2274" s="42">
        <v>5.09</v>
      </c>
      <c r="I2274" s="42">
        <v>18.72</v>
      </c>
      <c r="J2274" t="s" s="10">
        <v>11675</v>
      </c>
      <c r="K2274" t="s" s="10">
        <v>11676</v>
      </c>
      <c r="L2274" s="16">
        <f>HYPERLINK("http://www.acceleratedpayments.com", "www.acceleratedpayments.com")</f>
      </c>
      <c r="M2274" s="16">
        <f>HYPERLINK("https://my.pitchbook.com?c=264775-96", "View Company Online")</f>
      </c>
    </row>
    <row r="2275">
      <c r="A2275" t="s" s="11">
        <v>11678</v>
      </c>
      <c r="B2275" t="s" s="11">
        <v>11679</v>
      </c>
      <c r="C2275" t="s" s="11">
        <v>27</v>
      </c>
      <c r="D2275" t="s" s="11">
        <v>28</v>
      </c>
      <c r="E2275" t="s" s="11">
        <v>2741</v>
      </c>
      <c r="F2275" s="28">
        <v>45923</v>
      </c>
      <c r="G2275" t="s" s="11">
        <v>607</v>
      </c>
      <c r="H2275" t="s" s="43">
        <v>30</v>
      </c>
      <c r="I2275" s="43">
        <v>18.62</v>
      </c>
      <c r="J2275" t="s" s="11">
        <v>11680</v>
      </c>
      <c r="K2275" t="s" s="11">
        <v>11681</v>
      </c>
      <c r="L2275" s="17">
        <f>HYPERLINK("http://www.caura.com", "www.caura.com")</f>
      </c>
      <c r="M2275" s="17">
        <f>HYPERLINK("https://my.pitchbook.com?c=459165-52", "View Company Online")</f>
      </c>
    </row>
    <row r="2276">
      <c r="A2276" t="s" s="10">
        <v>11683</v>
      </c>
      <c r="B2276" t="s" s="10">
        <v>11684</v>
      </c>
      <c r="C2276" t="s" s="10">
        <v>114</v>
      </c>
      <c r="D2276" t="s" s="10">
        <v>852</v>
      </c>
      <c r="E2276" t="s" s="10">
        <v>11685</v>
      </c>
      <c r="F2276" s="27">
        <v>45533</v>
      </c>
      <c r="G2276" t="s" s="10">
        <v>40</v>
      </c>
      <c r="H2276" t="s" s="42">
        <v>30</v>
      </c>
      <c r="I2276" s="42">
        <v>18.61</v>
      </c>
      <c r="J2276" t="s" s="10">
        <v>11686</v>
      </c>
      <c r="K2276" t="s" s="10">
        <v>11687</v>
      </c>
      <c r="L2276" s="16">
        <f>HYPERLINK("http://www.degasafrica.com", "www.degasafrica.com")</f>
      </c>
      <c r="M2276" s="16">
        <f>HYPERLINK("https://my.pitchbook.com?c=461934-64", "View Company Online")</f>
      </c>
    </row>
    <row r="2277">
      <c r="A2277" t="s" s="11">
        <v>11689</v>
      </c>
      <c r="B2277" t="s" s="11">
        <v>11690</v>
      </c>
      <c r="C2277" t="s" s="11">
        <v>164</v>
      </c>
      <c r="D2277" t="s" s="11">
        <v>165</v>
      </c>
      <c r="E2277" t="s" s="11">
        <v>193</v>
      </c>
      <c r="F2277" s="28">
        <v>45595</v>
      </c>
      <c r="G2277" t="s" s="11">
        <v>64</v>
      </c>
      <c r="H2277" t="s" s="43">
        <v>30</v>
      </c>
      <c r="I2277" s="43">
        <v>18.58</v>
      </c>
      <c r="J2277" t="s" s="11">
        <v>11691</v>
      </c>
      <c r="K2277" t="s" s="11">
        <v>11692</v>
      </c>
      <c r="L2277" s="17">
        <f>HYPERLINK("http://www.echplus.com", "www.echplus.com")</f>
      </c>
      <c r="M2277" s="17">
        <f>HYPERLINK("https://my.pitchbook.com?c=500651-74", "View Company Online")</f>
      </c>
    </row>
    <row r="2278">
      <c r="A2278" t="s" s="10">
        <v>11694</v>
      </c>
      <c r="B2278" t="s" s="10">
        <v>11695</v>
      </c>
      <c r="C2278" t="s" s="10">
        <v>60</v>
      </c>
      <c r="D2278" t="s" s="10">
        <v>61</v>
      </c>
      <c r="E2278" t="s" s="10">
        <v>253</v>
      </c>
      <c r="F2278" s="27">
        <v>45973</v>
      </c>
      <c r="G2278" t="s" s="10">
        <v>146</v>
      </c>
      <c r="H2278" s="42">
        <v>43.47</v>
      </c>
      <c r="I2278" s="42">
        <v>18.57</v>
      </c>
      <c r="J2278" t="s" s="10">
        <v>11696</v>
      </c>
      <c r="K2278" t="s" s="10">
        <v>11697</v>
      </c>
      <c r="L2278" s="16">
        <f>HYPERLINK("http://www.endavu.com", "www.endavu.com")</f>
      </c>
      <c r="M2278" s="16">
        <f>HYPERLINK("https://my.pitchbook.com?c=515498-68", "View Company Online")</f>
      </c>
    </row>
    <row r="2279">
      <c r="A2279" t="s" s="11">
        <v>11699</v>
      </c>
      <c r="B2279" t="s" s="11">
        <v>11700</v>
      </c>
      <c r="C2279" t="s" s="11">
        <v>60</v>
      </c>
      <c r="D2279" t="s" s="11">
        <v>432</v>
      </c>
      <c r="E2279" t="s" s="11">
        <v>185</v>
      </c>
      <c r="F2279" s="28">
        <v>45810</v>
      </c>
      <c r="G2279" t="s" s="11">
        <v>40</v>
      </c>
      <c r="H2279" s="43">
        <v>2.67</v>
      </c>
      <c r="I2279" s="43">
        <v>18.57</v>
      </c>
      <c r="J2279" t="s" s="11">
        <v>11701</v>
      </c>
      <c r="K2279" t="s" s="11">
        <v>11702</v>
      </c>
      <c r="L2279" s="17">
        <f>HYPERLINK("http://www.tillertech.com", "www.tillertech.com")</f>
      </c>
      <c r="M2279" s="17">
        <f>HYPERLINK("https://my.pitchbook.com?c=228755-80", "View Company Online")</f>
      </c>
    </row>
    <row r="2280">
      <c r="A2280" t="s" s="10">
        <v>11704</v>
      </c>
      <c r="B2280" t="s" s="10">
        <v>11705</v>
      </c>
      <c r="C2280" t="s" s="10">
        <v>60</v>
      </c>
      <c r="D2280" t="s" s="10">
        <v>192</v>
      </c>
      <c r="E2280" t="s" s="10">
        <v>137</v>
      </c>
      <c r="F2280" s="27">
        <v>43731</v>
      </c>
      <c r="G2280" t="s" s="10">
        <v>4267</v>
      </c>
      <c r="H2280" s="42">
        <v>7.5</v>
      </c>
      <c r="I2280" s="42">
        <v>18.5</v>
      </c>
      <c r="J2280" t="s" s="10">
        <v>11706</v>
      </c>
      <c r="K2280" t="s" s="10">
        <v>11707</v>
      </c>
      <c r="L2280" s="16">
        <f>HYPERLINK("http://www.boardroomalpha.com", "www.boardroomalpha.com")</f>
      </c>
      <c r="M2280" s="16">
        <f>HYPERLINK("https://my.pitchbook.com?c=442735-30", "View Company Online")</f>
      </c>
    </row>
    <row r="2281">
      <c r="A2281" t="s" s="11">
        <v>11709</v>
      </c>
      <c r="B2281" t="s" s="11">
        <v>11710</v>
      </c>
      <c r="C2281" t="s" s="11">
        <v>27</v>
      </c>
      <c r="D2281" t="s" s="11">
        <v>28</v>
      </c>
      <c r="E2281" t="s" s="11">
        <v>373</v>
      </c>
      <c r="F2281" s="28">
        <v>44022</v>
      </c>
      <c r="G2281" t="s" s="11">
        <v>146</v>
      </c>
      <c r="H2281" s="43">
        <v>6.5</v>
      </c>
      <c r="I2281" s="43">
        <v>18.5</v>
      </c>
      <c r="J2281" t="s" s="11">
        <v>11711</v>
      </c>
      <c r="K2281" t="s" s="11">
        <v>11712</v>
      </c>
      <c r="L2281" s="17">
        <f>HYPERLINK("http://www.skysystemz.com", "www.skysystemz.com")</f>
      </c>
      <c r="M2281" s="17">
        <f>HYPERLINK("https://my.pitchbook.com?c=267454-99", "View Company Online")</f>
      </c>
    </row>
    <row r="2282">
      <c r="A2282" t="s" s="10">
        <v>11714</v>
      </c>
      <c r="B2282" t="s" s="10">
        <v>11715</v>
      </c>
      <c r="C2282" t="s" s="10">
        <v>164</v>
      </c>
      <c r="D2282" t="s" s="10">
        <v>206</v>
      </c>
      <c r="E2282" t="s" s="10">
        <v>1964</v>
      </c>
      <c r="F2282" s="27">
        <v>45559</v>
      </c>
      <c r="G2282" t="s" s="10">
        <v>4267</v>
      </c>
      <c r="H2282" s="42">
        <v>5.27</v>
      </c>
      <c r="I2282" s="42">
        <v>18.48</v>
      </c>
      <c r="J2282" t="s" s="10">
        <v>11716</v>
      </c>
      <c r="K2282" t="s" s="10">
        <v>11717</v>
      </c>
      <c r="L2282" s="16">
        <f>HYPERLINK("http://infact.io", "infact.io")</f>
      </c>
      <c r="M2282" s="16">
        <f>HYPERLINK("https://my.pitchbook.com?c=527220-01", "View Company Online")</f>
      </c>
    </row>
    <row r="2283">
      <c r="A2283" t="s" s="11">
        <v>11719</v>
      </c>
      <c r="B2283" t="s" s="11">
        <v>11720</v>
      </c>
      <c r="C2283" t="s" s="11">
        <v>60</v>
      </c>
      <c r="D2283" t="s" s="11">
        <v>432</v>
      </c>
      <c r="E2283" t="s" s="11">
        <v>253</v>
      </c>
      <c r="F2283" s="28">
        <v>45720</v>
      </c>
      <c r="G2283" t="s" s="11">
        <v>146</v>
      </c>
      <c r="H2283" s="43">
        <v>7.29</v>
      </c>
      <c r="I2283" s="43">
        <v>18.44</v>
      </c>
      <c r="J2283" t="s" s="11">
        <v>11721</v>
      </c>
      <c r="K2283" t="s" s="11">
        <v>11722</v>
      </c>
      <c r="L2283" s="17">
        <f>HYPERLINK("http://www.wealthcome.fr", "www.wealthcome.fr")</f>
      </c>
      <c r="M2283" s="17">
        <f>HYPERLINK("https://my.pitchbook.com?c=540909-46", "View Company Online")</f>
      </c>
    </row>
    <row r="2284">
      <c r="A2284" t="s" s="10">
        <v>11724</v>
      </c>
      <c r="B2284" t="s" s="10">
        <v>11725</v>
      </c>
      <c r="C2284" t="s" s="10">
        <v>128</v>
      </c>
      <c r="D2284" t="s" s="10">
        <v>129</v>
      </c>
      <c r="E2284" t="s" s="10">
        <v>253</v>
      </c>
      <c r="F2284" s="27">
        <v>45223</v>
      </c>
      <c r="G2284" t="s" s="10">
        <v>607</v>
      </c>
      <c r="H2284" t="s" s="42">
        <v>30</v>
      </c>
      <c r="I2284" s="42">
        <v>18.35</v>
      </c>
      <c r="J2284" t="s" s="10">
        <v>11726</v>
      </c>
      <c r="K2284" t="s" s="10">
        <v>11727</v>
      </c>
      <c r="L2284" s="16">
        <f>HYPERLINK("http://www.tiicker.com", "www.tiicker.com")</f>
      </c>
      <c r="M2284" s="16">
        <f>HYPERLINK("https://my.pitchbook.com?c=437447-98", "View Company Online")</f>
      </c>
    </row>
    <row r="2285">
      <c r="A2285" t="s" s="11">
        <v>11729</v>
      </c>
      <c r="B2285" t="s" s="11">
        <v>11730</v>
      </c>
      <c r="C2285" t="s" s="11">
        <v>46</v>
      </c>
      <c r="D2285" t="s" s="11">
        <v>47</v>
      </c>
      <c r="E2285" t="s" s="11">
        <v>137</v>
      </c>
      <c r="F2285" s="28">
        <v>45645</v>
      </c>
      <c r="G2285" t="s" s="11">
        <v>4267</v>
      </c>
      <c r="H2285" s="43">
        <v>5</v>
      </c>
      <c r="I2285" s="43">
        <v>18.31</v>
      </c>
      <c r="J2285" t="s" s="11">
        <v>11731</v>
      </c>
      <c r="K2285" t="s" s="11">
        <v>11732</v>
      </c>
      <c r="L2285" s="17">
        <f>HYPERLINK("http://www.tripsuite.com", "www.tripsuite.com")</f>
      </c>
      <c r="M2285" s="17">
        <f>HYPERLINK("https://my.pitchbook.com?c=532917-28", "View Company Online")</f>
      </c>
    </row>
    <row r="2286">
      <c r="A2286" t="s" s="10">
        <v>11734</v>
      </c>
      <c r="B2286" t="s" s="10">
        <v>11735</v>
      </c>
      <c r="C2286" t="s" s="10">
        <v>144</v>
      </c>
      <c r="D2286" t="s" s="10">
        <v>38</v>
      </c>
      <c r="E2286" t="s" s="10">
        <v>200</v>
      </c>
      <c r="F2286" s="27">
        <v>45685</v>
      </c>
      <c r="G2286" t="s" s="10">
        <v>607</v>
      </c>
      <c r="H2286" t="s" s="42">
        <v>30</v>
      </c>
      <c r="I2286" s="42">
        <v>18.22</v>
      </c>
      <c r="J2286" t="s" s="10">
        <v>11736</v>
      </c>
      <c r="K2286" t="s" s="10">
        <v>11737</v>
      </c>
      <c r="L2286" s="16">
        <f>HYPERLINK("http://www.relio.ch", "www.relio.ch")</f>
      </c>
      <c r="M2286" s="16">
        <f>HYPERLINK("https://my.pitchbook.com?c=465449-05", "View Company Online")</f>
      </c>
    </row>
    <row r="2287">
      <c r="A2287" t="s" s="11">
        <v>11739</v>
      </c>
      <c r="B2287" t="s" s="11">
        <v>11740</v>
      </c>
      <c r="C2287" t="s" s="11">
        <v>37</v>
      </c>
      <c r="D2287" t="s" s="11">
        <v>304</v>
      </c>
      <c r="E2287" t="s" s="11">
        <v>2782</v>
      </c>
      <c r="F2287" t="s" s="28">
        <v>30</v>
      </c>
      <c r="G2287" t="s" s="11">
        <v>31</v>
      </c>
      <c r="H2287" t="s" s="43">
        <v>30</v>
      </c>
      <c r="I2287" s="43">
        <v>18.2</v>
      </c>
      <c r="J2287" t="s" s="11">
        <v>11741</v>
      </c>
      <c r="K2287" t="s" s="11">
        <v>11742</v>
      </c>
      <c r="L2287" s="17">
        <f>HYPERLINK("http://www.futurerent.com.au", "www.futurerent.com.au")</f>
      </c>
      <c r="M2287" s="17">
        <f>HYPERLINK("https://my.pitchbook.com?c=465299-65", "View Company Online")</f>
      </c>
    </row>
    <row r="2288">
      <c r="A2288" t="s" s="10">
        <v>11744</v>
      </c>
      <c r="B2288" t="s" s="10">
        <v>11745</v>
      </c>
      <c r="C2288" t="s" s="10">
        <v>46</v>
      </c>
      <c r="D2288" t="s" s="10">
        <v>47</v>
      </c>
      <c r="E2288" t="s" s="10">
        <v>253</v>
      </c>
      <c r="F2288" s="27">
        <v>46111</v>
      </c>
      <c r="G2288" t="s" s="10">
        <v>40</v>
      </c>
      <c r="H2288" s="42">
        <v>3</v>
      </c>
      <c r="I2288" s="42">
        <v>18.14</v>
      </c>
      <c r="J2288" t="s" s="10">
        <v>11746</v>
      </c>
      <c r="K2288" t="s" s="10">
        <v>11747</v>
      </c>
      <c r="L2288" s="16">
        <f>HYPERLINK("http://www.kanipayments.com", "www.kanipayments.com")</f>
      </c>
      <c r="M2288" s="16">
        <f>HYPERLINK("https://my.pitchbook.com?c=267668-83", "View Company Online")</f>
      </c>
    </row>
    <row r="2289">
      <c r="A2289" t="s" s="11">
        <v>11749</v>
      </c>
      <c r="B2289" t="s" s="11">
        <v>11750</v>
      </c>
      <c r="C2289" t="s" s="11">
        <v>27</v>
      </c>
      <c r="D2289" t="s" s="11">
        <v>28</v>
      </c>
      <c r="E2289" t="s" s="11">
        <v>270</v>
      </c>
      <c r="F2289" s="28">
        <v>45614</v>
      </c>
      <c r="G2289" t="s" s="11">
        <v>40</v>
      </c>
      <c r="H2289" s="43">
        <v>28</v>
      </c>
      <c r="I2289" s="43">
        <v>18.11</v>
      </c>
      <c r="J2289" t="s" s="11">
        <v>11751</v>
      </c>
      <c r="K2289" t="s" s="11">
        <v>11752</v>
      </c>
      <c r="L2289" s="17">
        <f>HYPERLINK("http://www.goodstack.io", "www.goodstack.io")</f>
      </c>
      <c r="M2289" s="17">
        <f>HYPERLINK("https://my.pitchbook.com?c=184161-16", "View Company Online")</f>
      </c>
    </row>
    <row r="2290">
      <c r="A2290" t="s" s="10">
        <v>11754</v>
      </c>
      <c r="B2290" t="s" s="10">
        <v>11755</v>
      </c>
      <c r="C2290" t="s" s="10">
        <v>144</v>
      </c>
      <c r="D2290" t="s" s="10">
        <v>297</v>
      </c>
      <c r="E2290" t="s" s="10">
        <v>634</v>
      </c>
      <c r="F2290" s="27">
        <v>46034</v>
      </c>
      <c r="G2290" t="s" s="10">
        <v>40</v>
      </c>
      <c r="H2290" s="42">
        <v>1.34</v>
      </c>
      <c r="I2290" s="42">
        <v>18.07</v>
      </c>
      <c r="J2290" t="s" s="10">
        <v>11756</v>
      </c>
      <c r="K2290" t="s" s="10">
        <v>11757</v>
      </c>
      <c r="L2290" s="16">
        <f>HYPERLINK("http://www.inngot.com", "www.inngot.com")</f>
      </c>
      <c r="M2290" s="16">
        <f>HYPERLINK("https://my.pitchbook.com?c=136370-08", "View Company Online")</f>
      </c>
    </row>
    <row r="2291">
      <c r="A2291" t="s" s="11">
        <v>11759</v>
      </c>
      <c r="B2291" t="s" s="11">
        <v>11760</v>
      </c>
      <c r="C2291" t="s" s="11">
        <v>114</v>
      </c>
      <c r="D2291" t="s" s="11">
        <v>870</v>
      </c>
      <c r="E2291" t="s" s="11">
        <v>116</v>
      </c>
      <c r="F2291" s="28">
        <v>44622</v>
      </c>
      <c r="G2291" t="s" s="11">
        <v>146</v>
      </c>
      <c r="H2291" s="43">
        <v>3.02</v>
      </c>
      <c r="I2291" s="43">
        <v>18.03</v>
      </c>
      <c r="J2291" t="s" s="11">
        <v>11761</v>
      </c>
      <c r="K2291" t="s" s="11">
        <v>11762</v>
      </c>
      <c r="L2291" s="17">
        <f>HYPERLINK("http://www.pocketly.in", "www.pocketly.in")</f>
      </c>
      <c r="M2291" s="17">
        <f>HYPERLINK("https://my.pitchbook.com?c=455058-46", "View Company Online")</f>
      </c>
    </row>
    <row r="2292">
      <c r="A2292" t="s" s="10">
        <v>11764</v>
      </c>
      <c r="B2292" t="s" s="10">
        <v>11765</v>
      </c>
      <c r="C2292" t="s" s="10">
        <v>172</v>
      </c>
      <c r="D2292" t="s" s="10">
        <v>1454</v>
      </c>
      <c r="E2292" t="s" s="10">
        <v>373</v>
      </c>
      <c r="F2292" s="27">
        <v>45566</v>
      </c>
      <c r="G2292" t="s" s="10">
        <v>4267</v>
      </c>
      <c r="H2292" t="s" s="42">
        <v>30</v>
      </c>
      <c r="I2292" s="42">
        <v>18</v>
      </c>
      <c r="J2292" t="s" s="10">
        <v>11766</v>
      </c>
      <c r="K2292" t="s" s="10">
        <v>11767</v>
      </c>
      <c r="L2292" s="16">
        <f>HYPERLINK("http://www.ballerine.com", "www.ballerine.com")</f>
      </c>
      <c r="M2292" s="16">
        <f>HYPERLINK("https://my.pitchbook.com?c=507423-07", "View Company Online")</f>
      </c>
    </row>
    <row r="2293">
      <c r="A2293" t="s" s="11">
        <v>11769</v>
      </c>
      <c r="B2293" t="s" s="11">
        <v>11770</v>
      </c>
      <c r="C2293" t="s" s="11">
        <v>114</v>
      </c>
      <c r="D2293" t="s" s="11">
        <v>1386</v>
      </c>
      <c r="E2293" t="s" s="11">
        <v>373</v>
      </c>
      <c r="F2293" s="28">
        <v>45034</v>
      </c>
      <c r="G2293" t="s" s="11">
        <v>4267</v>
      </c>
      <c r="H2293" s="43">
        <v>3.5</v>
      </c>
      <c r="I2293" s="43">
        <v>18</v>
      </c>
      <c r="J2293" t="s" s="11">
        <v>11771</v>
      </c>
      <c r="K2293" t="s" s="11">
        <v>11772</v>
      </c>
      <c r="L2293" s="17">
        <f>HYPERLINK("http://www.charmsolutions.ai", "www.charmsolutions.ai")</f>
      </c>
      <c r="M2293" s="17">
        <f>HYPERLINK("https://my.pitchbook.com?c=506866-69", "View Company Online")</f>
      </c>
    </row>
    <row r="2294">
      <c r="A2294" t="s" s="10">
        <v>11774</v>
      </c>
      <c r="B2294" t="s" s="10">
        <v>11775</v>
      </c>
      <c r="C2294" t="s" s="10">
        <v>144</v>
      </c>
      <c r="D2294" t="s" s="10">
        <v>297</v>
      </c>
      <c r="E2294" t="s" s="10">
        <v>137</v>
      </c>
      <c r="F2294" s="27">
        <v>45408</v>
      </c>
      <c r="G2294" t="s" s="10">
        <v>146</v>
      </c>
      <c r="H2294" s="42">
        <v>4.22</v>
      </c>
      <c r="I2294" s="42">
        <v>18</v>
      </c>
      <c r="J2294" t="s" s="10">
        <v>11776</v>
      </c>
      <c r="K2294" t="s" s="10">
        <v>11777</v>
      </c>
      <c r="L2294" s="16">
        <f>HYPERLINK("http://www.enduringplanet.com", "www.enduringplanet.com")</f>
      </c>
      <c r="M2294" s="16">
        <f>HYPERLINK("https://my.pitchbook.com?c=481396-78", "View Company Online")</f>
      </c>
    </row>
    <row r="2295">
      <c r="A2295" t="s" s="11">
        <v>11779</v>
      </c>
      <c r="B2295" t="s" s="11">
        <v>11780</v>
      </c>
      <c r="C2295" t="s" s="11">
        <v>46</v>
      </c>
      <c r="D2295" t="s" s="11">
        <v>397</v>
      </c>
      <c r="E2295" t="s" s="11">
        <v>634</v>
      </c>
      <c r="F2295" s="28">
        <v>46187</v>
      </c>
      <c r="G2295" t="s" s="11">
        <v>40</v>
      </c>
      <c r="H2295" t="s" s="43">
        <v>30</v>
      </c>
      <c r="I2295" s="43">
        <v>18</v>
      </c>
      <c r="J2295" t="s" s="11">
        <v>11781</v>
      </c>
      <c r="K2295" t="s" s="11">
        <v>11782</v>
      </c>
      <c r="L2295" s="17">
        <f>HYPERLINK("http://www.file.ai", "www.file.ai")</f>
      </c>
      <c r="M2295" s="17">
        <f>HYPERLINK("https://my.pitchbook.com?c=458581-96", "View Company Online")</f>
      </c>
    </row>
    <row r="2296">
      <c r="A2296" t="s" s="10">
        <v>11784</v>
      </c>
      <c r="B2296" t="s" s="10">
        <v>11785</v>
      </c>
      <c r="C2296" t="s" s="10">
        <v>46</v>
      </c>
      <c r="D2296" t="s" s="10">
        <v>915</v>
      </c>
      <c r="E2296" t="s" s="10">
        <v>690</v>
      </c>
      <c r="F2296" t="s" s="27">
        <v>30</v>
      </c>
      <c r="G2296" t="s" s="10">
        <v>146</v>
      </c>
      <c r="H2296" t="s" s="42">
        <v>30</v>
      </c>
      <c r="I2296" s="42">
        <v>18</v>
      </c>
      <c r="J2296" t="s" s="10">
        <v>11786</v>
      </c>
      <c r="K2296" t="s" s="10">
        <v>11787</v>
      </c>
      <c r="L2296" s="16">
        <f>HYPERLINK("http://www.finopsly.com", "www.finopsly.com")</f>
      </c>
      <c r="M2296" s="16">
        <f>HYPERLINK("https://my.pitchbook.com?c=597665-80", "View Company Online")</f>
      </c>
    </row>
    <row r="2297">
      <c r="A2297" t="s" s="11">
        <v>11789</v>
      </c>
      <c r="B2297" t="s" s="11">
        <v>11790</v>
      </c>
      <c r="C2297" t="s" s="11">
        <v>46</v>
      </c>
      <c r="D2297" t="s" s="11">
        <v>915</v>
      </c>
      <c r="E2297" t="s" s="11">
        <v>373</v>
      </c>
      <c r="F2297" s="28">
        <v>45799</v>
      </c>
      <c r="G2297" t="s" s="11">
        <v>40</v>
      </c>
      <c r="H2297" s="43">
        <v>10.3</v>
      </c>
      <c r="I2297" s="43">
        <v>18</v>
      </c>
      <c r="J2297" t="s" s="11">
        <v>11791</v>
      </c>
      <c r="K2297" t="s" s="11">
        <v>11792</v>
      </c>
      <c r="L2297" s="17">
        <f>HYPERLINK("http://www.fintastic.ai", "www.fintastic.ai")</f>
      </c>
      <c r="M2297" s="17">
        <f>HYPERLINK("https://my.pitchbook.com?c=470078-65", "View Company Online")</f>
      </c>
    </row>
    <row r="2298">
      <c r="A2298" t="s" s="10">
        <v>11794</v>
      </c>
      <c r="B2298" t="s" s="10">
        <v>11795</v>
      </c>
      <c r="C2298" t="s" s="10">
        <v>128</v>
      </c>
      <c r="D2298" t="s" s="10">
        <v>129</v>
      </c>
      <c r="E2298" t="s" s="10">
        <v>403</v>
      </c>
      <c r="F2298" s="27">
        <v>44924</v>
      </c>
      <c r="G2298" t="s" s="10">
        <v>4267</v>
      </c>
      <c r="H2298" s="42">
        <v>4.7</v>
      </c>
      <c r="I2298" s="42">
        <v>18</v>
      </c>
      <c r="J2298" t="s" s="10">
        <v>11796</v>
      </c>
      <c r="K2298" t="s" s="10">
        <v>11797</v>
      </c>
      <c r="L2298" s="16">
        <f>HYPERLINK("http://www.foodiecard.com", "www.foodiecard.com")</f>
      </c>
      <c r="M2298" s="16">
        <f>HYPERLINK("https://my.pitchbook.com?c=434530-99", "View Company Online")</f>
      </c>
    </row>
    <row r="2299">
      <c r="A2299" t="s" s="11">
        <v>11799</v>
      </c>
      <c r="B2299" t="s" s="11">
        <v>11800</v>
      </c>
      <c r="C2299" t="s" s="11">
        <v>46</v>
      </c>
      <c r="D2299" t="s" s="11">
        <v>78</v>
      </c>
      <c r="E2299" t="s" s="11">
        <v>9259</v>
      </c>
      <c r="F2299" s="28">
        <v>44539</v>
      </c>
      <c r="G2299" t="s" s="11">
        <v>146</v>
      </c>
      <c r="H2299" s="43">
        <v>3</v>
      </c>
      <c r="I2299" s="43">
        <v>18</v>
      </c>
      <c r="J2299" t="s" s="11">
        <v>11801</v>
      </c>
      <c r="K2299" t="s" s="11">
        <v>11802</v>
      </c>
      <c r="L2299" s="17">
        <f>HYPERLINK("http://www.greatdayhr.com", "www.greatdayhr.com")</f>
      </c>
      <c r="M2299" s="17">
        <f>HYPERLINK("https://my.pitchbook.com?c=433627-30", "View Company Online")</f>
      </c>
    </row>
    <row r="2300">
      <c r="A2300" t="s" s="10">
        <v>11804</v>
      </c>
      <c r="B2300" t="s" s="10">
        <v>11805</v>
      </c>
      <c r="C2300" t="s" s="10">
        <v>164</v>
      </c>
      <c r="D2300" t="s" s="10">
        <v>206</v>
      </c>
      <c r="E2300" t="s" s="10">
        <v>3604</v>
      </c>
      <c r="F2300" s="27">
        <v>45910</v>
      </c>
      <c r="G2300" t="s" s="10">
        <v>4267</v>
      </c>
      <c r="H2300" s="42">
        <v>8.07</v>
      </c>
      <c r="I2300" s="42">
        <v>18</v>
      </c>
      <c r="J2300" t="s" s="10">
        <v>11806</v>
      </c>
      <c r="K2300" t="s" s="10">
        <v>11807</v>
      </c>
      <c r="L2300" s="16">
        <f>HYPERLINK("http://www.greenlyne.ai", "www.greenlyne.ai")</f>
      </c>
      <c r="M2300" s="16">
        <f>HYPERLINK("https://my.pitchbook.com?c=589563-55", "View Company Online")</f>
      </c>
    </row>
    <row r="2301">
      <c r="A2301" t="s" s="11">
        <v>11809</v>
      </c>
      <c r="B2301" t="s" s="11">
        <v>11810</v>
      </c>
      <c r="C2301" t="s" s="11">
        <v>60</v>
      </c>
      <c r="D2301" t="s" s="11">
        <v>432</v>
      </c>
      <c r="E2301" t="s" s="11">
        <v>253</v>
      </c>
      <c r="F2301" s="28">
        <v>45772</v>
      </c>
      <c r="G2301" t="s" s="11">
        <v>40</v>
      </c>
      <c r="H2301" s="43">
        <v>3.79</v>
      </c>
      <c r="I2301" s="43">
        <v>18</v>
      </c>
      <c r="J2301" t="s" s="11">
        <v>11811</v>
      </c>
      <c r="K2301" t="s" s="11">
        <v>11812</v>
      </c>
      <c r="L2301" s="17">
        <f>HYPERLINK("http://www.incomelaboratory.com", "www.incomelaboratory.com")</f>
      </c>
      <c r="M2301" s="17">
        <f>HYPERLINK("https://my.pitchbook.com?c=433986-85", "View Company Online")</f>
      </c>
    </row>
    <row r="2302">
      <c r="A2302" t="s" s="10">
        <v>11814</v>
      </c>
      <c r="B2302" t="s" s="10">
        <v>11815</v>
      </c>
      <c r="C2302" t="s" s="10">
        <v>222</v>
      </c>
      <c r="D2302" t="s" s="10">
        <v>223</v>
      </c>
      <c r="E2302" t="s" s="10">
        <v>10577</v>
      </c>
      <c r="F2302" t="s" s="27">
        <v>30</v>
      </c>
      <c r="G2302" t="s" s="10">
        <v>4267</v>
      </c>
      <c r="H2302" s="42">
        <v>1.4</v>
      </c>
      <c r="I2302" s="42">
        <v>18</v>
      </c>
      <c r="J2302" t="s" s="10">
        <v>11816</v>
      </c>
      <c r="K2302" t="s" s="10">
        <v>11817</v>
      </c>
      <c r="L2302" s="16">
        <f>HYPERLINK("http://www.kontango.com", "www.kontango.com")</f>
      </c>
      <c r="M2302" s="16">
        <f>HYPERLINK("https://my.pitchbook.com?c=519388-75", "View Company Online")</f>
      </c>
    </row>
    <row r="2303">
      <c r="A2303" t="s" s="11">
        <v>11819</v>
      </c>
      <c r="B2303" t="s" s="11">
        <v>11820</v>
      </c>
      <c r="C2303" t="s" s="11">
        <v>114</v>
      </c>
      <c r="D2303" t="s" s="11">
        <v>136</v>
      </c>
      <c r="E2303" t="s" s="11">
        <v>3997</v>
      </c>
      <c r="F2303" s="28">
        <v>46128</v>
      </c>
      <c r="G2303" t="s" s="11">
        <v>4267</v>
      </c>
      <c r="H2303" s="43">
        <v>4.08</v>
      </c>
      <c r="I2303" s="43">
        <v>18</v>
      </c>
      <c r="J2303" t="s" s="11">
        <v>11821</v>
      </c>
      <c r="K2303" t="s" s="11">
        <v>11822</v>
      </c>
      <c r="L2303" s="17">
        <f>HYPERLINK("http://www.lowrateco.com", "www.lowrateco.com")</f>
      </c>
      <c r="M2303" s="17">
        <f>HYPERLINK("https://my.pitchbook.com?c=589676-68", "View Company Online")</f>
      </c>
    </row>
    <row r="2304">
      <c r="A2304" t="s" s="10">
        <v>11824</v>
      </c>
      <c r="B2304" t="s" s="10">
        <v>11825</v>
      </c>
      <c r="C2304" t="s" s="10">
        <v>114</v>
      </c>
      <c r="D2304" t="s" s="10">
        <v>852</v>
      </c>
      <c r="E2304" t="s" s="10">
        <v>270</v>
      </c>
      <c r="F2304" s="27">
        <v>45566</v>
      </c>
      <c r="G2304" t="s" s="10">
        <v>146</v>
      </c>
      <c r="H2304" t="s" s="42">
        <v>30</v>
      </c>
      <c r="I2304" s="42">
        <v>18</v>
      </c>
      <c r="J2304" t="s" s="10">
        <v>11826</v>
      </c>
      <c r="K2304" t="s" s="10">
        <v>11827</v>
      </c>
      <c r="L2304" s="16">
        <f>HYPERLINK("http://mahila.money", "mahila.money")</f>
      </c>
      <c r="M2304" s="16">
        <f>HYPERLINK("https://my.pitchbook.com?c=481196-62", "View Company Online")</f>
      </c>
    </row>
    <row r="2305">
      <c r="A2305" t="s" s="11">
        <v>11829</v>
      </c>
      <c r="B2305" t="s" s="11">
        <v>11830</v>
      </c>
      <c r="C2305" t="s" s="11">
        <v>114</v>
      </c>
      <c r="D2305" t="s" s="11">
        <v>1386</v>
      </c>
      <c r="E2305" t="s" s="11">
        <v>11577</v>
      </c>
      <c r="F2305" s="28">
        <v>44868</v>
      </c>
      <c r="G2305" t="s" s="11">
        <v>146</v>
      </c>
      <c r="H2305" s="43">
        <v>0.23</v>
      </c>
      <c r="I2305" s="43">
        <v>18</v>
      </c>
      <c r="J2305" t="s" s="11">
        <v>11831</v>
      </c>
      <c r="K2305" t="s" s="11">
        <v>11832</v>
      </c>
      <c r="L2305" s="17">
        <f>HYPERLINK("http://www.payzel.com", "www.payzel.com")</f>
      </c>
      <c r="M2305" s="17">
        <f>HYPERLINK("https://my.pitchbook.com?c=493098-31", "View Company Online")</f>
      </c>
    </row>
    <row r="2306">
      <c r="A2306" t="s" s="10">
        <v>11834</v>
      </c>
      <c r="B2306" t="s" s="10">
        <v>11835</v>
      </c>
      <c r="C2306" t="s" s="10">
        <v>164</v>
      </c>
      <c r="D2306" t="s" s="10">
        <v>165</v>
      </c>
      <c r="E2306" t="s" s="10">
        <v>253</v>
      </c>
      <c r="F2306" s="27">
        <v>45545</v>
      </c>
      <c r="G2306" t="s" s="10">
        <v>607</v>
      </c>
      <c r="H2306" t="s" s="42">
        <v>30</v>
      </c>
      <c r="I2306" s="42">
        <v>18</v>
      </c>
      <c r="J2306" t="s" s="10">
        <v>11836</v>
      </c>
      <c r="K2306" t="s" s="10">
        <v>11837</v>
      </c>
      <c r="L2306" s="16">
        <f>HYPERLINK("http://www.prelim.com", "www.prelim.com")</f>
      </c>
      <c r="M2306" s="16">
        <f>HYPERLINK("https://my.pitchbook.com?c=181313-20", "View Company Online")</f>
      </c>
    </row>
    <row r="2307">
      <c r="A2307" t="s" s="11">
        <v>11839</v>
      </c>
      <c r="B2307" t="s" s="11">
        <v>11840</v>
      </c>
      <c r="C2307" t="s" s="11">
        <v>164</v>
      </c>
      <c r="D2307" t="s" s="11">
        <v>165</v>
      </c>
      <c r="E2307" t="s" s="11">
        <v>4786</v>
      </c>
      <c r="F2307" s="28">
        <v>45108</v>
      </c>
      <c r="G2307" t="s" s="11">
        <v>607</v>
      </c>
      <c r="H2307" t="s" s="43">
        <v>30</v>
      </c>
      <c r="I2307" s="43">
        <v>18</v>
      </c>
      <c r="J2307" t="s" s="11">
        <v>11841</v>
      </c>
      <c r="K2307" t="s" s="11">
        <v>11842</v>
      </c>
      <c r="L2307" s="17">
        <f>HYPERLINK("http://www.realkey.com", "www.realkey.com")</f>
      </c>
      <c r="M2307" s="17">
        <f>HYPERLINK("https://my.pitchbook.com?c=153722-26", "View Company Online")</f>
      </c>
    </row>
    <row r="2308">
      <c r="A2308" t="s" s="10">
        <v>11844</v>
      </c>
      <c r="B2308" t="s" s="10">
        <v>11845</v>
      </c>
      <c r="C2308" t="s" s="10">
        <v>46</v>
      </c>
      <c r="D2308" t="s" s="10">
        <v>47</v>
      </c>
      <c r="E2308" t="s" s="10">
        <v>137</v>
      </c>
      <c r="F2308" s="27">
        <v>45910</v>
      </c>
      <c r="G2308" t="s" s="10">
        <v>40</v>
      </c>
      <c r="H2308" s="42">
        <v>5</v>
      </c>
      <c r="I2308" s="42">
        <v>18</v>
      </c>
      <c r="J2308" t="s" s="10">
        <v>11846</v>
      </c>
      <c r="K2308" t="s" s="10">
        <v>30</v>
      </c>
      <c r="L2308" s="16">
        <f>HYPERLINK("http://www.sscmineralware.com", "www.sscmineralware.com")</f>
      </c>
      <c r="M2308" s="16">
        <f>HYPERLINK("https://my.pitchbook.com?c=325258-66", "View Company Online")</f>
      </c>
    </row>
    <row r="2309">
      <c r="A2309" t="s" s="11">
        <v>11848</v>
      </c>
      <c r="B2309" t="s" s="11">
        <v>11849</v>
      </c>
      <c r="C2309" t="s" s="11">
        <v>222</v>
      </c>
      <c r="D2309" t="s" s="11">
        <v>223</v>
      </c>
      <c r="E2309" t="s" s="11">
        <v>373</v>
      </c>
      <c r="F2309" s="28">
        <v>45879</v>
      </c>
      <c r="G2309" t="s" s="11">
        <v>146</v>
      </c>
      <c r="H2309" s="43">
        <v>5</v>
      </c>
      <c r="I2309" s="43">
        <v>18</v>
      </c>
      <c r="J2309" t="s" s="11">
        <v>11850</v>
      </c>
      <c r="K2309" t="s" s="11">
        <v>11851</v>
      </c>
      <c r="L2309" s="17">
        <f>HYPERLINK("http://www.tradegauge.ai", "www.tradegauge.ai")</f>
      </c>
      <c r="M2309" s="17">
        <f>HYPERLINK("https://my.pitchbook.com?c=914196-88", "View Company Online")</f>
      </c>
    </row>
    <row r="2310">
      <c r="A2310" t="s" s="10">
        <v>11853</v>
      </c>
      <c r="B2310" t="s" s="10">
        <v>11854</v>
      </c>
      <c r="C2310" t="s" s="10">
        <v>172</v>
      </c>
      <c r="D2310" t="s" s="10">
        <v>338</v>
      </c>
      <c r="E2310" t="s" s="10">
        <v>3825</v>
      </c>
      <c r="F2310" s="27">
        <v>44958</v>
      </c>
      <c r="G2310" t="s" s="10">
        <v>40</v>
      </c>
      <c r="H2310" t="s" s="42">
        <v>30</v>
      </c>
      <c r="I2310" s="42">
        <v>17.95</v>
      </c>
      <c r="J2310" t="s" s="10">
        <v>11855</v>
      </c>
      <c r="K2310" t="s" s="10">
        <v>11856</v>
      </c>
      <c r="L2310" s="16">
        <f>HYPERLINK("http://www.biza.io", "www.biza.io")</f>
      </c>
      <c r="M2310" s="16">
        <f>HYPERLINK("https://my.pitchbook.com?c=503576-83", "View Company Online")</f>
      </c>
    </row>
    <row r="2311">
      <c r="A2311" t="s" s="11">
        <v>11858</v>
      </c>
      <c r="B2311" t="s" s="11">
        <v>11859</v>
      </c>
      <c r="C2311" t="s" s="11">
        <v>27</v>
      </c>
      <c r="D2311" t="s" s="11">
        <v>70</v>
      </c>
      <c r="E2311" t="s" s="11">
        <v>137</v>
      </c>
      <c r="F2311" s="28">
        <v>41932</v>
      </c>
      <c r="G2311" t="s" s="11">
        <v>146</v>
      </c>
      <c r="H2311" s="43">
        <v>0.95</v>
      </c>
      <c r="I2311" s="43">
        <v>17.92</v>
      </c>
      <c r="J2311" t="s" s="11">
        <v>11860</v>
      </c>
      <c r="K2311" t="s" s="11">
        <v>11861</v>
      </c>
      <c r="L2311" s="17">
        <f>HYPERLINK("http://www.c2a-card.com", "www.c2a-card.com")</f>
      </c>
      <c r="M2311" s="17">
        <f>HYPERLINK("https://my.pitchbook.com?c=182273-14", "View Company Online")</f>
      </c>
    </row>
    <row r="2312">
      <c r="A2312" t="s" s="10">
        <v>11863</v>
      </c>
      <c r="B2312" t="s" s="10">
        <v>11864</v>
      </c>
      <c r="C2312" t="s" s="10">
        <v>60</v>
      </c>
      <c r="D2312" t="s" s="10">
        <v>727</v>
      </c>
      <c r="E2312" t="s" s="10">
        <v>1853</v>
      </c>
      <c r="F2312" s="27">
        <v>44202</v>
      </c>
      <c r="G2312" t="s" s="10">
        <v>271</v>
      </c>
      <c r="H2312" s="42">
        <v>0.67</v>
      </c>
      <c r="I2312" s="42">
        <v>17.91</v>
      </c>
      <c r="J2312" t="s" s="10">
        <v>11865</v>
      </c>
      <c r="K2312" t="s" s="10">
        <v>11866</v>
      </c>
      <c r="L2312" s="16">
        <f>HYPERLINK("http://www.brickowner.com", "www.brickowner.com")</f>
      </c>
      <c r="M2312" s="16">
        <f>HYPERLINK("https://my.pitchbook.com?c=150073-75", "View Company Online")</f>
      </c>
    </row>
    <row r="2313">
      <c r="A2313" t="s" s="11">
        <v>11868</v>
      </c>
      <c r="B2313" t="s" s="11">
        <v>11869</v>
      </c>
      <c r="C2313" t="s" s="11">
        <v>27</v>
      </c>
      <c r="D2313" t="s" s="11">
        <v>70</v>
      </c>
      <c r="E2313" t="s" s="11">
        <v>1964</v>
      </c>
      <c r="F2313" s="28">
        <v>45756</v>
      </c>
      <c r="G2313" t="s" s="11">
        <v>4267</v>
      </c>
      <c r="H2313" s="43">
        <v>2</v>
      </c>
      <c r="I2313" s="43">
        <v>17.8</v>
      </c>
      <c r="J2313" t="s" s="11">
        <v>11870</v>
      </c>
      <c r="K2313" t="s" s="11">
        <v>11871</v>
      </c>
      <c r="L2313" s="17">
        <f>HYPERLINK("http://www.preczn.com", "www.preczn.com")</f>
      </c>
      <c r="M2313" s="17">
        <f>HYPERLINK("https://my.pitchbook.com?c=507457-63", "View Company Online")</f>
      </c>
    </row>
    <row r="2314">
      <c r="A2314" t="s" s="10">
        <v>11873</v>
      </c>
      <c r="B2314" t="s" s="10">
        <v>11874</v>
      </c>
      <c r="C2314" t="s" s="10">
        <v>114</v>
      </c>
      <c r="D2314" t="s" s="10">
        <v>136</v>
      </c>
      <c r="E2314" t="s" s="10">
        <v>253</v>
      </c>
      <c r="F2314" t="s" s="27">
        <v>30</v>
      </c>
      <c r="G2314" t="s" s="10">
        <v>48</v>
      </c>
      <c r="H2314" t="s" s="42">
        <v>30</v>
      </c>
      <c r="I2314" s="42">
        <v>17.8</v>
      </c>
      <c r="J2314" t="s" s="10">
        <v>11875</v>
      </c>
      <c r="K2314" t="s" s="10">
        <v>11876</v>
      </c>
      <c r="L2314" s="16">
        <f>HYPERLINK("http://www.supply.finance", "www.supply.finance")</f>
      </c>
      <c r="M2314" s="16">
        <f>HYPERLINK("https://my.pitchbook.com?c=227668-69", "View Company Online")</f>
      </c>
    </row>
    <row r="2315">
      <c r="A2315" t="s" s="11">
        <v>11878</v>
      </c>
      <c r="B2315" t="s" s="11">
        <v>11879</v>
      </c>
      <c r="C2315" t="s" s="11">
        <v>222</v>
      </c>
      <c r="D2315" t="s" s="11">
        <v>235</v>
      </c>
      <c r="E2315" t="s" s="11">
        <v>1207</v>
      </c>
      <c r="F2315" t="s" s="28">
        <v>30</v>
      </c>
      <c r="G2315" t="s" s="11">
        <v>48</v>
      </c>
      <c r="H2315" t="s" s="43">
        <v>30</v>
      </c>
      <c r="I2315" s="43">
        <v>17.79</v>
      </c>
      <c r="J2315" t="s" s="11">
        <v>11880</v>
      </c>
      <c r="K2315" t="s" s="11">
        <v>11881</v>
      </c>
      <c r="L2315" s="17">
        <f>HYPERLINK("http://www.seedandspark.com", "www.seedandspark.com")</f>
      </c>
      <c r="M2315" s="17">
        <f>HYPERLINK("https://my.pitchbook.com?c=55767-25", "View Company Online")</f>
      </c>
    </row>
    <row r="2316">
      <c r="A2316" t="s" s="10">
        <v>11883</v>
      </c>
      <c r="B2316" t="s" s="10">
        <v>11884</v>
      </c>
      <c r="C2316" t="s" s="10">
        <v>60</v>
      </c>
      <c r="D2316" t="s" s="10">
        <v>246</v>
      </c>
      <c r="E2316" t="s" s="10">
        <v>137</v>
      </c>
      <c r="F2316" s="27">
        <v>45735</v>
      </c>
      <c r="G2316" t="s" s="10">
        <v>40</v>
      </c>
      <c r="H2316" s="42">
        <v>6.76</v>
      </c>
      <c r="I2316" s="42">
        <v>17.69</v>
      </c>
      <c r="J2316" t="s" s="10">
        <v>11885</v>
      </c>
      <c r="K2316" t="s" s="10">
        <v>11886</v>
      </c>
      <c r="L2316" s="16">
        <f>HYPERLINK("http://www.versa.com.my", "www.versa.com.my")</f>
      </c>
      <c r="M2316" s="16">
        <f>HYPERLINK("https://my.pitchbook.com?c=463974-58", "View Company Online")</f>
      </c>
    </row>
    <row r="2317">
      <c r="A2317" t="s" s="11">
        <v>11888</v>
      </c>
      <c r="B2317" t="s" s="11">
        <v>11889</v>
      </c>
      <c r="C2317" t="s" s="11">
        <v>164</v>
      </c>
      <c r="D2317" t="s" s="11">
        <v>206</v>
      </c>
      <c r="E2317" t="s" s="11">
        <v>11890</v>
      </c>
      <c r="F2317" s="28">
        <v>46097</v>
      </c>
      <c r="G2317" t="s" s="11">
        <v>40</v>
      </c>
      <c r="H2317" s="43">
        <v>3.19</v>
      </c>
      <c r="I2317" s="43">
        <v>17.63</v>
      </c>
      <c r="J2317" t="s" s="11">
        <v>11891</v>
      </c>
      <c r="K2317" t="s" s="11">
        <v>11892</v>
      </c>
      <c r="L2317" s="17">
        <f>HYPERLINK("http://www.ekko.earth", "www.ekko.earth")</f>
      </c>
      <c r="M2317" s="17">
        <f>HYPERLINK("https://my.pitchbook.com?c=483425-83", "View Company Online")</f>
      </c>
    </row>
    <row r="2318">
      <c r="A2318" t="s" s="10">
        <v>11894</v>
      </c>
      <c r="B2318" t="s" s="10">
        <v>11895</v>
      </c>
      <c r="C2318" t="s" s="10">
        <v>164</v>
      </c>
      <c r="D2318" t="s" s="10">
        <v>206</v>
      </c>
      <c r="E2318" t="s" s="10">
        <v>11896</v>
      </c>
      <c r="F2318" s="27">
        <v>45210</v>
      </c>
      <c r="G2318" t="s" s="10">
        <v>4267</v>
      </c>
      <c r="H2318" s="42">
        <v>5.31</v>
      </c>
      <c r="I2318" s="42">
        <v>17.62</v>
      </c>
      <c r="J2318" t="s" s="10">
        <v>11897</v>
      </c>
      <c r="K2318" t="s" s="10">
        <v>11898</v>
      </c>
      <c r="L2318" s="16">
        <f>HYPERLINK("http://www.transactionlink.io", "www.transactionlink.io")</f>
      </c>
      <c r="M2318" s="16">
        <f>HYPERLINK("https://my.pitchbook.com?c=459290-53", "View Company Online")</f>
      </c>
    </row>
    <row r="2319">
      <c r="A2319" t="s" s="11">
        <v>11900</v>
      </c>
      <c r="B2319" t="s" s="11">
        <v>11901</v>
      </c>
      <c r="C2319" t="s" s="11">
        <v>60</v>
      </c>
      <c r="D2319" t="s" s="11">
        <v>432</v>
      </c>
      <c r="E2319" t="s" s="11">
        <v>253</v>
      </c>
      <c r="F2319" s="28">
        <v>46008</v>
      </c>
      <c r="G2319" t="s" s="11">
        <v>40</v>
      </c>
      <c r="H2319" s="43">
        <v>6.53</v>
      </c>
      <c r="I2319" s="43">
        <v>17.61</v>
      </c>
      <c r="J2319" t="s" s="11">
        <v>11902</v>
      </c>
      <c r="K2319" t="s" s="11">
        <v>11903</v>
      </c>
      <c r="L2319" s="17">
        <f>HYPERLINK("http://www.maiatech.io", "www.maiatech.io")</f>
      </c>
      <c r="M2319" s="17">
        <f>HYPERLINK("https://my.pitchbook.com?c=443285-29", "View Company Online")</f>
      </c>
    </row>
    <row r="2320">
      <c r="A2320" t="s" s="10">
        <v>11905</v>
      </c>
      <c r="B2320" t="s" s="10">
        <v>11906</v>
      </c>
      <c r="C2320" t="s" s="10">
        <v>46</v>
      </c>
      <c r="D2320" t="s" s="10">
        <v>47</v>
      </c>
      <c r="E2320" t="s" s="10">
        <v>373</v>
      </c>
      <c r="F2320" s="27">
        <v>46006</v>
      </c>
      <c r="G2320" t="s" s="10">
        <v>391</v>
      </c>
      <c r="H2320" t="s" s="42">
        <v>30</v>
      </c>
      <c r="I2320" s="42">
        <v>17.6</v>
      </c>
      <c r="J2320" t="s" s="10">
        <v>11907</v>
      </c>
      <c r="K2320" t="s" s="10">
        <v>30</v>
      </c>
      <c r="L2320" s="16">
        <f>HYPERLINK("http://www.thriday.com.au", "www.thriday.com.au")</f>
      </c>
      <c r="M2320" s="16">
        <f>HYPERLINK("https://my.pitchbook.com?c=438321-25", "View Company Online")</f>
      </c>
    </row>
    <row r="2321">
      <c r="A2321" t="s" s="11">
        <v>11909</v>
      </c>
      <c r="B2321" t="s" s="11">
        <v>11910</v>
      </c>
      <c r="C2321" t="s" s="11">
        <v>60</v>
      </c>
      <c r="D2321" t="s" s="11">
        <v>727</v>
      </c>
      <c r="E2321" t="s" s="11">
        <v>3911</v>
      </c>
      <c r="F2321" s="28">
        <v>44603</v>
      </c>
      <c r="G2321" t="s" s="11">
        <v>40</v>
      </c>
      <c r="H2321" s="43">
        <v>10</v>
      </c>
      <c r="I2321" s="43">
        <v>17.6</v>
      </c>
      <c r="J2321" t="s" s="11">
        <v>11911</v>
      </c>
      <c r="K2321" t="s" s="11">
        <v>30</v>
      </c>
      <c r="L2321" s="17">
        <f>HYPERLINK("http://www.venturecrowd.com.au", "www.venturecrowd.com.au")</f>
      </c>
      <c r="M2321" s="17">
        <f>HYPERLINK("https://my.pitchbook.com?c=103548-16", "View Company Online")</f>
      </c>
    </row>
    <row r="2322">
      <c r="A2322" t="s" s="10">
        <v>11913</v>
      </c>
      <c r="B2322" t="s" s="10">
        <v>11914</v>
      </c>
      <c r="C2322" t="s" s="10">
        <v>27</v>
      </c>
      <c r="D2322" t="s" s="10">
        <v>28</v>
      </c>
      <c r="E2322" t="s" s="10">
        <v>332</v>
      </c>
      <c r="F2322" s="27">
        <v>45209</v>
      </c>
      <c r="G2322" t="s" s="10">
        <v>146</v>
      </c>
      <c r="H2322" s="42">
        <v>1.77</v>
      </c>
      <c r="I2322" s="42">
        <v>17.55</v>
      </c>
      <c r="J2322" t="s" s="10">
        <v>11915</v>
      </c>
      <c r="K2322" t="s" s="10">
        <v>11916</v>
      </c>
      <c r="L2322" s="16">
        <f>HYPERLINK("http://www.vibrant.io", "www.vibrant.io")</f>
      </c>
      <c r="M2322" s="16">
        <f>HYPERLINK("https://my.pitchbook.com?c=495591-22", "View Company Online")</f>
      </c>
    </row>
    <row r="2323">
      <c r="A2323" t="s" s="11">
        <v>11918</v>
      </c>
      <c r="B2323" t="s" s="11">
        <v>11919</v>
      </c>
      <c r="C2323" t="s" s="11">
        <v>222</v>
      </c>
      <c r="D2323" t="s" s="11">
        <v>252</v>
      </c>
      <c r="E2323" t="s" s="11">
        <v>137</v>
      </c>
      <c r="F2323" s="28">
        <v>45474</v>
      </c>
      <c r="G2323" t="s" s="11">
        <v>607</v>
      </c>
      <c r="H2323" t="s" s="43">
        <v>30</v>
      </c>
      <c r="I2323" s="43">
        <v>17.5</v>
      </c>
      <c r="J2323" t="s" s="11">
        <v>11920</v>
      </c>
      <c r="K2323" t="s" s="11">
        <v>11921</v>
      </c>
      <c r="L2323" s="17">
        <f>HYPERLINK("http://www.appital.io", "www.appital.io")</f>
      </c>
      <c r="M2323" s="17">
        <f>HYPERLINK("https://my.pitchbook.com?c=462636-64", "View Company Online")</f>
      </c>
    </row>
    <row r="2324">
      <c r="A2324" t="s" s="10">
        <v>11923</v>
      </c>
      <c r="B2324" t="s" s="10">
        <v>11924</v>
      </c>
      <c r="C2324" t="s" s="10">
        <v>164</v>
      </c>
      <c r="D2324" t="s" s="10">
        <v>165</v>
      </c>
      <c r="E2324" t="s" s="10">
        <v>30</v>
      </c>
      <c r="F2324" s="27">
        <v>43158</v>
      </c>
      <c r="G2324" t="s" s="10">
        <v>146</v>
      </c>
      <c r="H2324" t="s" s="42">
        <v>30</v>
      </c>
      <c r="I2324" s="42">
        <v>17.5</v>
      </c>
      <c r="J2324" t="s" s="10">
        <v>11925</v>
      </c>
      <c r="K2324" t="s" s="10">
        <v>11926</v>
      </c>
      <c r="L2324" s="16">
        <f>HYPERLINK("http://www.emergentbg.com", "www.emergentbg.com")</f>
      </c>
      <c r="M2324" s="16">
        <f>HYPERLINK("https://my.pitchbook.com?c=183086-47", "View Company Online")</f>
      </c>
    </row>
    <row r="2325">
      <c r="A2325" t="s" s="11">
        <v>11928</v>
      </c>
      <c r="B2325" t="s" s="11">
        <v>11929</v>
      </c>
      <c r="C2325" t="s" s="11">
        <v>222</v>
      </c>
      <c r="D2325" t="s" s="11">
        <v>235</v>
      </c>
      <c r="E2325" t="s" s="11">
        <v>373</v>
      </c>
      <c r="F2325" s="28">
        <v>45475</v>
      </c>
      <c r="G2325" t="s" s="11">
        <v>4267</v>
      </c>
      <c r="H2325" s="43">
        <v>2.5</v>
      </c>
      <c r="I2325" s="43">
        <v>17.5</v>
      </c>
      <c r="J2325" t="s" s="11">
        <v>11930</v>
      </c>
      <c r="K2325" t="s" s="11">
        <v>11931</v>
      </c>
      <c r="L2325" s="17">
        <f>HYPERLINK("http://www.fundminer.com", "www.fundminer.com")</f>
      </c>
      <c r="M2325" s="17">
        <f>HYPERLINK("https://my.pitchbook.com?c=521405-20", "View Company Online")</f>
      </c>
    </row>
    <row r="2326">
      <c r="A2326" t="s" s="10">
        <v>11933</v>
      </c>
      <c r="B2326" t="s" s="10">
        <v>11934</v>
      </c>
      <c r="C2326" t="s" s="10">
        <v>144</v>
      </c>
      <c r="D2326" t="s" s="10">
        <v>297</v>
      </c>
      <c r="E2326" t="s" s="10">
        <v>11935</v>
      </c>
      <c r="F2326" s="27">
        <v>45800</v>
      </c>
      <c r="G2326" t="s" s="10">
        <v>146</v>
      </c>
      <c r="H2326" s="42">
        <v>2.5</v>
      </c>
      <c r="I2326" s="42">
        <v>17.5</v>
      </c>
      <c r="J2326" t="s" s="10">
        <v>11936</v>
      </c>
      <c r="K2326" t="s" s="10">
        <v>11937</v>
      </c>
      <c r="L2326" s="16">
        <f>HYPERLINK("http://www.getthola.com", "www.getthola.com")</f>
      </c>
      <c r="M2326" s="16">
        <f>HYPERLINK("https://my.pitchbook.com?c=482383-72", "View Company Online")</f>
      </c>
    </row>
    <row r="2327">
      <c r="A2327" t="s" s="11">
        <v>11939</v>
      </c>
      <c r="B2327" t="s" s="11">
        <v>11940</v>
      </c>
      <c r="C2327" t="s" s="11">
        <v>144</v>
      </c>
      <c r="D2327" t="s" s="11">
        <v>297</v>
      </c>
      <c r="E2327" t="s" s="11">
        <v>1207</v>
      </c>
      <c r="F2327" s="28">
        <v>45198</v>
      </c>
      <c r="G2327" t="s" s="11">
        <v>40</v>
      </c>
      <c r="H2327" s="43">
        <v>2.47</v>
      </c>
      <c r="I2327" s="43">
        <v>17.4</v>
      </c>
      <c r="J2327" t="s" s="11">
        <v>11941</v>
      </c>
      <c r="K2327" t="s" s="11">
        <v>11942</v>
      </c>
      <c r="L2327" s="17">
        <f>HYPERLINK("http://www.kickfurther.com", "www.kickfurther.com")</f>
      </c>
      <c r="M2327" s="17">
        <f>HYPERLINK("https://my.pitchbook.com?c=99490-42", "View Company Online")</f>
      </c>
    </row>
    <row r="2328">
      <c r="A2328" t="s" s="10">
        <v>11944</v>
      </c>
      <c r="B2328" t="s" s="10">
        <v>11945</v>
      </c>
      <c r="C2328" t="s" s="10">
        <v>128</v>
      </c>
      <c r="D2328" t="s" s="10">
        <v>129</v>
      </c>
      <c r="E2328" t="s" s="10">
        <v>193</v>
      </c>
      <c r="F2328" s="27">
        <v>45797</v>
      </c>
      <c r="G2328" t="s" s="10">
        <v>146</v>
      </c>
      <c r="H2328" s="42">
        <v>2.04</v>
      </c>
      <c r="I2328" s="42">
        <v>17.35</v>
      </c>
      <c r="J2328" t="s" s="10">
        <v>11946</v>
      </c>
      <c r="K2328" t="s" s="10">
        <v>11947</v>
      </c>
      <c r="L2328" s="16">
        <f>HYPERLINK("http://www.kaldiapp.co.uk", "www.kaldiapp.co.uk")</f>
      </c>
      <c r="M2328" s="16">
        <f>HYPERLINK("https://my.pitchbook.com?c=520105-33", "View Company Online")</f>
      </c>
    </row>
    <row r="2329">
      <c r="A2329" t="s" s="11">
        <v>11949</v>
      </c>
      <c r="B2329" t="s" s="11">
        <v>11950</v>
      </c>
      <c r="C2329" t="s" s="11">
        <v>27</v>
      </c>
      <c r="D2329" t="s" s="11">
        <v>28</v>
      </c>
      <c r="E2329" t="s" s="11">
        <v>2411</v>
      </c>
      <c r="F2329" s="28">
        <v>44927</v>
      </c>
      <c r="G2329" t="s" s="11">
        <v>607</v>
      </c>
      <c r="H2329" t="s" s="43">
        <v>30</v>
      </c>
      <c r="I2329" s="43">
        <v>17.31</v>
      </c>
      <c r="J2329" t="s" s="11">
        <v>11951</v>
      </c>
      <c r="K2329" t="s" s="11">
        <v>11952</v>
      </c>
      <c r="L2329" s="17">
        <f>HYPERLINK("http://www.anyday.io", "www.anyday.io")</f>
      </c>
      <c r="M2329" s="17">
        <f>HYPERLINK("https://my.pitchbook.com?c=469743-94", "View Company Online")</f>
      </c>
    </row>
    <row r="2330">
      <c r="A2330" t="s" s="10">
        <v>11954</v>
      </c>
      <c r="B2330" t="s" s="10">
        <v>11955</v>
      </c>
      <c r="C2330" t="s" s="10">
        <v>172</v>
      </c>
      <c r="D2330" t="s" s="10">
        <v>1454</v>
      </c>
      <c r="E2330" t="s" s="10">
        <v>11956</v>
      </c>
      <c r="F2330" s="27">
        <v>45642</v>
      </c>
      <c r="G2330" t="s" s="10">
        <v>40</v>
      </c>
      <c r="H2330" s="42">
        <v>9.18</v>
      </c>
      <c r="I2330" s="42">
        <v>17.3</v>
      </c>
      <c r="J2330" t="s" s="10">
        <v>11957</v>
      </c>
      <c r="K2330" t="s" s="10">
        <v>11958</v>
      </c>
      <c r="L2330" s="16">
        <f>HYPERLINK("http://www.wearethemis.com", "www.wearethemis.com")</f>
      </c>
      <c r="M2330" s="16">
        <f>HYPERLINK("https://my.pitchbook.com?c=459708-76", "View Company Online")</f>
      </c>
    </row>
    <row r="2331">
      <c r="A2331" t="s" s="11">
        <v>11960</v>
      </c>
      <c r="B2331" t="s" s="11">
        <v>11961</v>
      </c>
      <c r="C2331" t="s" s="11">
        <v>27</v>
      </c>
      <c r="D2331" t="s" s="11">
        <v>28</v>
      </c>
      <c r="E2331" t="s" s="11">
        <v>414</v>
      </c>
      <c r="F2331" t="s" s="28">
        <v>30</v>
      </c>
      <c r="G2331" t="s" s="11">
        <v>40</v>
      </c>
      <c r="H2331" t="s" s="43">
        <v>30</v>
      </c>
      <c r="I2331" s="43">
        <v>17.29</v>
      </c>
      <c r="J2331" t="s" s="11">
        <v>11962</v>
      </c>
      <c r="K2331" t="s" s="11">
        <v>11963</v>
      </c>
      <c r="L2331" s="17">
        <f>HYPERLINK("http://www.respaid.com", "www.respaid.com")</f>
      </c>
      <c r="M2331" s="17">
        <f>HYPERLINK("https://my.pitchbook.com?c=454709-71", "View Company Online")</f>
      </c>
    </row>
    <row r="2332">
      <c r="A2332" t="s" s="10">
        <v>11965</v>
      </c>
      <c r="B2332" t="s" s="10">
        <v>11966</v>
      </c>
      <c r="C2332" t="s" s="10">
        <v>60</v>
      </c>
      <c r="D2332" t="s" s="10">
        <v>727</v>
      </c>
      <c r="E2332" t="s" s="10">
        <v>253</v>
      </c>
      <c r="F2332" s="27">
        <v>45646</v>
      </c>
      <c r="G2332" t="s" s="10">
        <v>146</v>
      </c>
      <c r="H2332" s="42">
        <v>1.9</v>
      </c>
      <c r="I2332" s="42">
        <v>17.27</v>
      </c>
      <c r="J2332" t="s" s="10">
        <v>11967</v>
      </c>
      <c r="K2332" t="s" s="10">
        <v>11968</v>
      </c>
      <c r="L2332" s="16">
        <f>HYPERLINK("http://www.joinfurther.com", "www.joinfurther.com")</f>
      </c>
      <c r="M2332" s="16">
        <f>HYPERLINK("https://my.pitchbook.com?c=496320-40", "View Company Online")</f>
      </c>
    </row>
    <row r="2333">
      <c r="A2333" t="s" s="11">
        <v>11970</v>
      </c>
      <c r="B2333" t="s" s="11">
        <v>11971</v>
      </c>
      <c r="C2333" t="s" s="11">
        <v>60</v>
      </c>
      <c r="D2333" t="s" s="11">
        <v>246</v>
      </c>
      <c r="E2333" t="s" s="11">
        <v>193</v>
      </c>
      <c r="F2333" s="28">
        <v>45476</v>
      </c>
      <c r="G2333" t="s" s="11">
        <v>271</v>
      </c>
      <c r="H2333" s="43">
        <v>5</v>
      </c>
      <c r="I2333" s="43">
        <v>17.24</v>
      </c>
      <c r="J2333" t="s" s="11">
        <v>11972</v>
      </c>
      <c r="K2333" t="s" s="11">
        <v>11973</v>
      </c>
      <c r="L2333" s="17">
        <f>HYPERLINK("http://www.findependent.ch", "www.findependent.ch")</f>
      </c>
      <c r="M2333" s="17">
        <f>HYPERLINK("https://my.pitchbook.com?c=494251-12", "View Company Online")</f>
      </c>
    </row>
    <row r="2334">
      <c r="A2334" t="s" s="10">
        <v>11975</v>
      </c>
      <c r="B2334" t="s" s="10">
        <v>11976</v>
      </c>
      <c r="C2334" t="s" s="10">
        <v>144</v>
      </c>
      <c r="D2334" t="s" s="10">
        <v>38</v>
      </c>
      <c r="E2334" t="s" s="10">
        <v>414</v>
      </c>
      <c r="F2334" s="27">
        <v>44500</v>
      </c>
      <c r="G2334" t="s" s="10">
        <v>4267</v>
      </c>
      <c r="H2334" s="42">
        <v>2.39</v>
      </c>
      <c r="I2334" s="42">
        <v>17.17</v>
      </c>
      <c r="J2334" t="s" s="10">
        <v>11977</v>
      </c>
      <c r="K2334" t="s" s="10">
        <v>11978</v>
      </c>
      <c r="L2334" s="16">
        <f>HYPERLINK("http://www.wedo.ai", "www.wedo.ai")</f>
      </c>
      <c r="M2334" s="16">
        <f>HYPERLINK("https://my.pitchbook.com?c=481379-32", "View Company Online")</f>
      </c>
    </row>
    <row r="2335">
      <c r="A2335" t="s" s="11">
        <v>11980</v>
      </c>
      <c r="B2335" t="s" s="11">
        <v>11981</v>
      </c>
      <c r="C2335" t="s" s="11">
        <v>60</v>
      </c>
      <c r="D2335" t="s" s="11">
        <v>246</v>
      </c>
      <c r="E2335" t="s" s="11">
        <v>116</v>
      </c>
      <c r="F2335" s="28">
        <v>46086</v>
      </c>
      <c r="G2335" t="s" s="11">
        <v>607</v>
      </c>
      <c r="H2335" s="43">
        <v>0.22</v>
      </c>
      <c r="I2335" s="43">
        <v>17.11</v>
      </c>
      <c r="J2335" t="s" s="11">
        <v>11982</v>
      </c>
      <c r="K2335" t="s" s="11">
        <v>11983</v>
      </c>
      <c r="L2335" s="17">
        <f>HYPERLINK("http://www.prograd.uk", "www.prograd.uk")</f>
      </c>
      <c r="M2335" s="17">
        <f>HYPERLINK("https://my.pitchbook.com?c=482497-84", "View Company Online")</f>
      </c>
    </row>
    <row r="2336">
      <c r="A2336" t="s" s="10">
        <v>11985</v>
      </c>
      <c r="B2336" t="s" s="10">
        <v>11986</v>
      </c>
      <c r="C2336" t="s" s="10">
        <v>172</v>
      </c>
      <c r="D2336" t="s" s="10">
        <v>173</v>
      </c>
      <c r="E2336" t="s" s="10">
        <v>137</v>
      </c>
      <c r="F2336" s="27">
        <v>44832</v>
      </c>
      <c r="G2336" t="s" s="10">
        <v>146</v>
      </c>
      <c r="H2336" s="42">
        <v>1</v>
      </c>
      <c r="I2336" s="42">
        <v>17.09</v>
      </c>
      <c r="J2336" t="s" s="10">
        <v>11987</v>
      </c>
      <c r="K2336" t="s" s="10">
        <v>11988</v>
      </c>
      <c r="L2336" s="16">
        <f>HYPERLINK("http://www.armalytix.com", "www.armalytix.com")</f>
      </c>
      <c r="M2336" s="16">
        <f>HYPERLINK("https://my.pitchbook.com?c=435164-59", "View Company Online")</f>
      </c>
    </row>
    <row r="2337">
      <c r="A2337" t="s" s="11">
        <v>11990</v>
      </c>
      <c r="B2337" t="s" s="11">
        <v>11991</v>
      </c>
      <c r="C2337" t="s" s="11">
        <v>60</v>
      </c>
      <c r="D2337" t="s" s="11">
        <v>61</v>
      </c>
      <c r="E2337" t="s" s="11">
        <v>859</v>
      </c>
      <c r="F2337" t="s" s="28">
        <v>30</v>
      </c>
      <c r="G2337" t="s" s="11">
        <v>40</v>
      </c>
      <c r="H2337" t="s" s="43">
        <v>30</v>
      </c>
      <c r="I2337" s="43">
        <v>17.05</v>
      </c>
      <c r="J2337" t="s" s="11">
        <v>11992</v>
      </c>
      <c r="K2337" t="s" s="11">
        <v>11993</v>
      </c>
      <c r="L2337" s="17">
        <f>HYPERLINK("http://www.tlxhq.com", "www.tlxhq.com")</f>
      </c>
      <c r="M2337" s="17">
        <f>HYPERLINK("https://my.pitchbook.com?c=489223-99", "View Company Online")</f>
      </c>
    </row>
    <row r="2338">
      <c r="A2338" t="s" s="10">
        <v>11995</v>
      </c>
      <c r="B2338" t="s" s="10">
        <v>11996</v>
      </c>
      <c r="C2338" t="s" s="10">
        <v>164</v>
      </c>
      <c r="D2338" t="s" s="10">
        <v>206</v>
      </c>
      <c r="E2338" t="s" s="10">
        <v>253</v>
      </c>
      <c r="F2338" t="s" s="27">
        <v>30</v>
      </c>
      <c r="G2338" t="s" s="10">
        <v>40</v>
      </c>
      <c r="H2338" t="s" s="42">
        <v>30</v>
      </c>
      <c r="I2338" s="42">
        <v>17</v>
      </c>
      <c r="J2338" t="s" s="10">
        <v>11997</v>
      </c>
      <c r="K2338" t="s" s="10">
        <v>11998</v>
      </c>
      <c r="L2338" s="16">
        <f>HYPERLINK("http://www.agoraft.com", "www.agoraft.com")</f>
      </c>
      <c r="M2338" s="16">
        <f>HYPERLINK("https://my.pitchbook.com?c=279688-24", "View Company Online")</f>
      </c>
    </row>
    <row r="2339">
      <c r="A2339" t="s" s="11">
        <v>12000</v>
      </c>
      <c r="B2339" t="s" s="11">
        <v>12001</v>
      </c>
      <c r="C2339" t="s" s="11">
        <v>164</v>
      </c>
      <c r="D2339" t="s" s="11">
        <v>165</v>
      </c>
      <c r="E2339" t="s" s="11">
        <v>193</v>
      </c>
      <c r="F2339" s="28">
        <v>46082</v>
      </c>
      <c r="G2339" t="s" s="11">
        <v>146</v>
      </c>
      <c r="H2339" t="s" s="43">
        <v>30</v>
      </c>
      <c r="I2339" s="43">
        <v>17</v>
      </c>
      <c r="J2339" t="s" s="11">
        <v>12002</v>
      </c>
      <c r="K2339" t="s" s="11">
        <v>12003</v>
      </c>
      <c r="L2339" s="17">
        <f>HYPERLINK("http://www.ampere.co.uk", "www.ampere.co.uk")</f>
      </c>
      <c r="M2339" s="17">
        <f>HYPERLINK("https://my.pitchbook.com?c=527611-69", "View Company Online")</f>
      </c>
    </row>
    <row r="2340">
      <c r="A2340" t="s" s="10">
        <v>12005</v>
      </c>
      <c r="B2340" t="s" s="10">
        <v>12006</v>
      </c>
      <c r="C2340" t="s" s="10">
        <v>46</v>
      </c>
      <c r="D2340" t="s" s="10">
        <v>78</v>
      </c>
      <c r="E2340" t="s" s="10">
        <v>29</v>
      </c>
      <c r="F2340" s="27">
        <v>45463</v>
      </c>
      <c r="G2340" t="s" s="10">
        <v>4267</v>
      </c>
      <c r="H2340" s="42">
        <v>7.1</v>
      </c>
      <c r="I2340" s="42">
        <v>17</v>
      </c>
      <c r="J2340" t="s" s="10">
        <v>12007</v>
      </c>
      <c r="K2340" t="s" s="10">
        <v>12008</v>
      </c>
      <c r="L2340" s="16">
        <f>HYPERLINK("http://www.cadanapay.com", "www.cadanapay.com")</f>
      </c>
      <c r="M2340" s="16">
        <f>HYPERLINK("https://my.pitchbook.com?c=463654-36", "View Company Online")</f>
      </c>
    </row>
    <row r="2341">
      <c r="A2341" t="s" s="11">
        <v>12010</v>
      </c>
      <c r="B2341" t="s" s="11">
        <v>12011</v>
      </c>
      <c r="C2341" t="s" s="11">
        <v>114</v>
      </c>
      <c r="D2341" t="s" s="11">
        <v>1386</v>
      </c>
      <c r="E2341" t="s" s="11">
        <v>1964</v>
      </c>
      <c r="F2341" s="28">
        <v>45107</v>
      </c>
      <c r="G2341" t="s" s="11">
        <v>4267</v>
      </c>
      <c r="H2341" s="43">
        <v>5</v>
      </c>
      <c r="I2341" s="43">
        <v>17</v>
      </c>
      <c r="J2341" t="s" s="11">
        <v>12012</v>
      </c>
      <c r="K2341" t="s" s="11">
        <v>30</v>
      </c>
      <c r="L2341" s="17">
        <f>HYPERLINK("http://www.capizate.com", "www.capizate.com")</f>
      </c>
      <c r="M2341" s="17">
        <f>HYPERLINK("https://my.pitchbook.com?c=522142-57", "View Company Online")</f>
      </c>
    </row>
    <row r="2342">
      <c r="A2342" t="s" s="10">
        <v>12014</v>
      </c>
      <c r="B2342" t="s" s="10">
        <v>12015</v>
      </c>
      <c r="C2342" t="s" s="10">
        <v>128</v>
      </c>
      <c r="D2342" t="s" s="10">
        <v>199</v>
      </c>
      <c r="E2342" t="s" s="10">
        <v>623</v>
      </c>
      <c r="F2342" s="27">
        <v>44669</v>
      </c>
      <c r="G2342" t="s" s="10">
        <v>40</v>
      </c>
      <c r="H2342" s="42">
        <v>12</v>
      </c>
      <c r="I2342" s="42">
        <v>17</v>
      </c>
      <c r="J2342" t="s" s="10">
        <v>12016</v>
      </c>
      <c r="K2342" t="s" s="10">
        <v>12017</v>
      </c>
      <c r="L2342" s="16">
        <f>HYPERLINK("http://www.onchitchat.com", "www.onchitchat.com")</f>
      </c>
      <c r="M2342" s="16">
        <f>HYPERLINK("https://my.pitchbook.com?c=104832-19", "View Company Online")</f>
      </c>
    </row>
    <row r="2343">
      <c r="A2343" t="s" s="11">
        <v>12019</v>
      </c>
      <c r="B2343" t="s" s="11">
        <v>12020</v>
      </c>
      <c r="C2343" t="s" s="11">
        <v>27</v>
      </c>
      <c r="D2343" t="s" s="11">
        <v>70</v>
      </c>
      <c r="E2343" t="s" s="11">
        <v>137</v>
      </c>
      <c r="F2343" s="28">
        <v>45002</v>
      </c>
      <c r="G2343" t="s" s="11">
        <v>4267</v>
      </c>
      <c r="H2343" s="43">
        <v>0.52</v>
      </c>
      <c r="I2343" s="43">
        <v>17</v>
      </c>
      <c r="J2343" t="s" s="11">
        <v>12021</v>
      </c>
      <c r="K2343" t="s" s="11">
        <v>30</v>
      </c>
      <c r="L2343" s="17">
        <f>HYPERLINK("http://www.credhub.com", "www.credhub.com")</f>
      </c>
      <c r="M2343" s="17">
        <f>HYPERLINK("https://my.pitchbook.com?c=518412-43", "View Company Online")</f>
      </c>
    </row>
    <row r="2344">
      <c r="A2344" t="s" s="10">
        <v>12023</v>
      </c>
      <c r="B2344" t="s" s="10">
        <v>12024</v>
      </c>
      <c r="C2344" t="s" s="10">
        <v>27</v>
      </c>
      <c r="D2344" t="s" s="10">
        <v>28</v>
      </c>
      <c r="E2344" t="s" s="10">
        <v>253</v>
      </c>
      <c r="F2344" s="27">
        <v>45954</v>
      </c>
      <c r="G2344" t="s" s="10">
        <v>146</v>
      </c>
      <c r="H2344" t="s" s="42">
        <v>30</v>
      </c>
      <c r="I2344" s="42">
        <v>17</v>
      </c>
      <c r="J2344" t="s" s="10">
        <v>12025</v>
      </c>
      <c r="K2344" t="s" s="10">
        <v>12026</v>
      </c>
      <c r="L2344" s="16">
        <f>HYPERLINK("http://www.grazzy.com", "www.grazzy.com")</f>
      </c>
      <c r="M2344" s="16">
        <f>HYPERLINK("https://my.pitchbook.com?c=496450-81", "View Company Online")</f>
      </c>
    </row>
    <row r="2345">
      <c r="A2345" t="s" s="11">
        <v>12028</v>
      </c>
      <c r="B2345" t="s" s="11">
        <v>12029</v>
      </c>
      <c r="C2345" t="s" s="11">
        <v>27</v>
      </c>
      <c r="D2345" t="s" s="11">
        <v>28</v>
      </c>
      <c r="E2345" t="s" s="11">
        <v>7487</v>
      </c>
      <c r="F2345" s="28">
        <v>45989</v>
      </c>
      <c r="G2345" t="s" s="11">
        <v>40</v>
      </c>
      <c r="H2345" s="43">
        <v>2</v>
      </c>
      <c r="I2345" s="43">
        <v>17</v>
      </c>
      <c r="J2345" t="s" s="11">
        <v>12030</v>
      </c>
      <c r="K2345" t="s" s="11">
        <v>12031</v>
      </c>
      <c r="L2345" s="17">
        <f>HYPERLINK("http://www.mypyepos.com", "www.mypyepos.com")</f>
      </c>
      <c r="M2345" s="17">
        <f>HYPERLINK("https://my.pitchbook.com?c=442609-30", "View Company Online")</f>
      </c>
    </row>
    <row r="2346">
      <c r="A2346" t="s" s="10">
        <v>12033</v>
      </c>
      <c r="B2346" t="s" s="10">
        <v>12034</v>
      </c>
      <c r="C2346" t="s" s="10">
        <v>46</v>
      </c>
      <c r="D2346" t="s" s="10">
        <v>397</v>
      </c>
      <c r="E2346" t="s" s="10">
        <v>137</v>
      </c>
      <c r="F2346" s="27">
        <v>44044</v>
      </c>
      <c r="G2346" t="s" s="10">
        <v>271</v>
      </c>
      <c r="H2346" s="42">
        <v>5</v>
      </c>
      <c r="I2346" s="42">
        <v>17</v>
      </c>
      <c r="J2346" t="s" s="10">
        <v>12035</v>
      </c>
      <c r="K2346" t="s" s="10">
        <v>12036</v>
      </c>
      <c r="L2346" s="16">
        <f>HYPERLINK("http://www.quidglobal.com", "www.quidglobal.com")</f>
      </c>
      <c r="M2346" s="16">
        <f>HYPERLINK("https://my.pitchbook.com?c=438087-88", "View Company Online")</f>
      </c>
    </row>
    <row r="2347">
      <c r="A2347" t="s" s="11">
        <v>12038</v>
      </c>
      <c r="B2347" t="s" s="11">
        <v>12039</v>
      </c>
      <c r="C2347" t="s" s="11">
        <v>172</v>
      </c>
      <c r="D2347" t="s" s="11">
        <v>338</v>
      </c>
      <c r="E2347" t="s" s="11">
        <v>253</v>
      </c>
      <c r="F2347" s="28">
        <v>44846</v>
      </c>
      <c r="G2347" t="s" s="11">
        <v>40</v>
      </c>
      <c r="H2347" s="43">
        <v>4.75</v>
      </c>
      <c r="I2347" s="43">
        <v>17</v>
      </c>
      <c r="J2347" t="s" s="11">
        <v>12040</v>
      </c>
      <c r="K2347" t="s" s="11">
        <v>12041</v>
      </c>
      <c r="L2347" s="17">
        <f>HYPERLINK("http://www.standardc.com", "www.standardc.com")</f>
      </c>
      <c r="M2347" s="17">
        <f>HYPERLINK("https://my.pitchbook.com?c=470842-39", "View Company Online")</f>
      </c>
    </row>
    <row r="2348">
      <c r="A2348" t="s" s="10">
        <v>12043</v>
      </c>
      <c r="B2348" t="s" s="10">
        <v>12044</v>
      </c>
      <c r="C2348" t="s" s="10">
        <v>60</v>
      </c>
      <c r="D2348" t="s" s="10">
        <v>192</v>
      </c>
      <c r="E2348" t="s" s="10">
        <v>367</v>
      </c>
      <c r="F2348" s="27">
        <v>45917</v>
      </c>
      <c r="G2348" t="s" s="10">
        <v>4267</v>
      </c>
      <c r="H2348" s="42">
        <v>7</v>
      </c>
      <c r="I2348" s="42">
        <v>17</v>
      </c>
      <c r="J2348" t="s" s="10">
        <v>12045</v>
      </c>
      <c r="K2348" t="s" s="10">
        <v>12046</v>
      </c>
      <c r="L2348" s="16">
        <f>HYPERLINK("http://www.storyline.com", "www.storyline.com")</f>
      </c>
      <c r="M2348" s="16">
        <f>HYPERLINK("https://my.pitchbook.com?c=591530-05", "View Company Online")</f>
      </c>
    </row>
    <row r="2349">
      <c r="A2349" t="s" s="11">
        <v>12048</v>
      </c>
      <c r="B2349" t="s" s="11">
        <v>12049</v>
      </c>
      <c r="C2349" t="s" s="11">
        <v>27</v>
      </c>
      <c r="D2349" t="s" s="11">
        <v>28</v>
      </c>
      <c r="E2349" t="s" s="11">
        <v>12050</v>
      </c>
      <c r="F2349" t="s" s="28">
        <v>30</v>
      </c>
      <c r="G2349" t="s" s="11">
        <v>40</v>
      </c>
      <c r="H2349" t="s" s="43">
        <v>30</v>
      </c>
      <c r="I2349" s="43">
        <v>17</v>
      </c>
      <c r="J2349" t="s" s="11">
        <v>12051</v>
      </c>
      <c r="K2349" t="s" s="11">
        <v>12052</v>
      </c>
      <c r="L2349" s="17">
        <f>HYPERLINK("http://www.runontabz.com", "www.runontabz.com")</f>
      </c>
      <c r="M2349" s="17">
        <f>HYPERLINK("https://my.pitchbook.com?c=223908-49", "View Company Online")</f>
      </c>
    </row>
    <row r="2350">
      <c r="A2350" t="s" s="10">
        <v>12054</v>
      </c>
      <c r="B2350" t="s" s="10">
        <v>12055</v>
      </c>
      <c r="C2350" t="s" s="10">
        <v>114</v>
      </c>
      <c r="D2350" t="s" s="10">
        <v>1386</v>
      </c>
      <c r="E2350" t="s" s="10">
        <v>12056</v>
      </c>
      <c r="F2350" s="27">
        <v>45819</v>
      </c>
      <c r="G2350" t="s" s="10">
        <v>40</v>
      </c>
      <c r="H2350" s="42">
        <v>13.45</v>
      </c>
      <c r="I2350" s="42">
        <v>16.99</v>
      </c>
      <c r="J2350" t="s" s="10">
        <v>12057</v>
      </c>
      <c r="K2350" t="s" s="10">
        <v>12058</v>
      </c>
      <c r="L2350" s="16">
        <f>HYPERLINK("http://www.canopy.rent", "www.canopy.rent")</f>
      </c>
      <c r="M2350" s="16">
        <f>HYPERLINK("https://my.pitchbook.com?c=169785-55", "View Company Online")</f>
      </c>
    </row>
    <row r="2351">
      <c r="A2351" t="s" s="11">
        <v>12060</v>
      </c>
      <c r="B2351" t="s" s="11">
        <v>12061</v>
      </c>
      <c r="C2351" t="s" s="11">
        <v>164</v>
      </c>
      <c r="D2351" t="s" s="11">
        <v>165</v>
      </c>
      <c r="E2351" t="s" s="11">
        <v>367</v>
      </c>
      <c r="F2351" s="28">
        <v>46125</v>
      </c>
      <c r="G2351" t="s" s="11">
        <v>40</v>
      </c>
      <c r="H2351" s="43">
        <v>1.81</v>
      </c>
      <c r="I2351" s="43">
        <v>16.96</v>
      </c>
      <c r="J2351" t="s" s="11">
        <v>12062</v>
      </c>
      <c r="K2351" t="s" s="11">
        <v>12063</v>
      </c>
      <c r="L2351" s="17">
        <f>HYPERLINK("http://www.finbots.ai", "www.finbots.ai")</f>
      </c>
      <c r="M2351" s="17">
        <f>HYPERLINK("https://my.pitchbook.com?c=495886-78", "View Company Online")</f>
      </c>
    </row>
    <row r="2352">
      <c r="A2352" t="s" s="10">
        <v>12065</v>
      </c>
      <c r="B2352" t="s" s="10">
        <v>12066</v>
      </c>
      <c r="C2352" t="s" s="10">
        <v>172</v>
      </c>
      <c r="D2352" t="s" s="10">
        <v>1454</v>
      </c>
      <c r="E2352" t="s" s="10">
        <v>1964</v>
      </c>
      <c r="F2352" s="27">
        <v>44547</v>
      </c>
      <c r="G2352" t="s" s="10">
        <v>40</v>
      </c>
      <c r="H2352" s="42">
        <v>5.85</v>
      </c>
      <c r="I2352" s="42">
        <v>16.96</v>
      </c>
      <c r="J2352" t="s" s="10">
        <v>12067</v>
      </c>
      <c r="K2352" t="s" s="10">
        <v>12068</v>
      </c>
      <c r="L2352" s="16">
        <f>HYPERLINK("http://www.risika.com", "www.risika.com")</f>
      </c>
      <c r="M2352" s="16">
        <f>HYPERLINK("https://my.pitchbook.com?c=268727-95", "View Company Online")</f>
      </c>
    </row>
    <row r="2353">
      <c r="A2353" t="s" s="11">
        <v>12070</v>
      </c>
      <c r="B2353" t="s" s="11">
        <v>12071</v>
      </c>
      <c r="C2353" t="s" s="11">
        <v>128</v>
      </c>
      <c r="D2353" t="s" s="11">
        <v>199</v>
      </c>
      <c r="E2353" t="s" s="11">
        <v>1093</v>
      </c>
      <c r="F2353" s="28">
        <v>45714</v>
      </c>
      <c r="G2353" t="s" s="11">
        <v>146</v>
      </c>
      <c r="H2353" t="s" s="43">
        <v>30</v>
      </c>
      <c r="I2353" s="43">
        <v>16.93</v>
      </c>
      <c r="J2353" t="s" s="11">
        <v>12072</v>
      </c>
      <c r="K2353" t="s" s="11">
        <v>12073</v>
      </c>
      <c r="L2353" s="17">
        <f>HYPERLINK("http://www.evy.eu", "www.evy.eu")</f>
      </c>
      <c r="M2353" s="17">
        <f>HYPERLINK("https://my.pitchbook.com?c=484628-50", "View Company Online")</f>
      </c>
    </row>
    <row r="2354">
      <c r="A2354" t="s" s="10">
        <v>12075</v>
      </c>
      <c r="B2354" t="s" s="10">
        <v>12076</v>
      </c>
      <c r="C2354" t="s" s="10">
        <v>164</v>
      </c>
      <c r="D2354" t="s" s="10">
        <v>206</v>
      </c>
      <c r="E2354" t="s" s="10">
        <v>629</v>
      </c>
      <c r="F2354" s="27">
        <v>43713</v>
      </c>
      <c r="G2354" t="s" s="10">
        <v>607</v>
      </c>
      <c r="H2354" t="s" s="42">
        <v>30</v>
      </c>
      <c r="I2354" s="42">
        <v>16.91</v>
      </c>
      <c r="J2354" t="s" s="10">
        <v>12077</v>
      </c>
      <c r="K2354" t="s" s="10">
        <v>12078</v>
      </c>
      <c r="L2354" s="16">
        <f>HYPERLINK("http://www.tradecore.com", "www.tradecore.com")</f>
      </c>
      <c r="M2354" s="16">
        <f>HYPERLINK("https://my.pitchbook.com?c=223746-94", "View Company Online")</f>
      </c>
    </row>
    <row r="2355">
      <c r="A2355" t="s" s="11">
        <v>12080</v>
      </c>
      <c r="B2355" t="s" s="11">
        <v>12081</v>
      </c>
      <c r="C2355" t="s" s="11">
        <v>60</v>
      </c>
      <c r="D2355" t="s" s="11">
        <v>246</v>
      </c>
      <c r="E2355" t="s" s="11">
        <v>253</v>
      </c>
      <c r="F2355" s="28">
        <v>45021</v>
      </c>
      <c r="G2355" t="s" s="11">
        <v>4267</v>
      </c>
      <c r="H2355" s="43">
        <v>4.89</v>
      </c>
      <c r="I2355" s="43">
        <v>16.88</v>
      </c>
      <c r="J2355" t="s" s="11">
        <v>12082</v>
      </c>
      <c r="K2355" t="s" s="11">
        <v>12083</v>
      </c>
      <c r="L2355" s="17">
        <f>HYPERLINK("http://www.gorodeo.app", "www.gorodeo.app")</f>
      </c>
      <c r="M2355" s="17">
        <f>HYPERLINK("https://my.pitchbook.com?c=497458-27", "View Company Online")</f>
      </c>
    </row>
    <row r="2356">
      <c r="A2356" t="s" s="10">
        <v>12085</v>
      </c>
      <c r="B2356" t="s" s="10">
        <v>12086</v>
      </c>
      <c r="C2356" t="s" s="10">
        <v>164</v>
      </c>
      <c r="D2356" t="s" s="10">
        <v>206</v>
      </c>
      <c r="E2356" t="s" s="10">
        <v>116</v>
      </c>
      <c r="F2356" s="27">
        <v>45936</v>
      </c>
      <c r="G2356" t="s" s="10">
        <v>40</v>
      </c>
      <c r="H2356" s="42">
        <v>1.5</v>
      </c>
      <c r="I2356" s="42">
        <v>16.86</v>
      </c>
      <c r="J2356" t="s" s="10">
        <v>12087</v>
      </c>
      <c r="K2356" t="s" s="10">
        <v>12088</v>
      </c>
      <c r="L2356" s="16">
        <f>HYPERLINK("http://www.finarkein.com", "www.finarkein.com")</f>
      </c>
      <c r="M2356" s="16">
        <f>HYPERLINK("https://my.pitchbook.com?c=464039-74", "View Company Online")</f>
      </c>
    </row>
    <row r="2357">
      <c r="A2357" t="s" s="11">
        <v>12090</v>
      </c>
      <c r="B2357" t="s" s="11">
        <v>12091</v>
      </c>
      <c r="C2357" t="s" s="11">
        <v>164</v>
      </c>
      <c r="D2357" t="s" s="11">
        <v>206</v>
      </c>
      <c r="E2357" t="s" s="11">
        <v>373</v>
      </c>
      <c r="F2357" s="28">
        <v>46008</v>
      </c>
      <c r="G2357" t="s" s="11">
        <v>146</v>
      </c>
      <c r="H2357" s="43">
        <v>3.09</v>
      </c>
      <c r="I2357" s="43">
        <v>16.85</v>
      </c>
      <c r="J2357" t="s" s="11">
        <v>12092</v>
      </c>
      <c r="K2357" t="s" s="11">
        <v>12093</v>
      </c>
      <c r="L2357" s="17">
        <f>HYPERLINK("http://www.mysa.io", "www.mysa.io")</f>
      </c>
      <c r="M2357" s="17">
        <f>HYPERLINK("https://my.pitchbook.com?c=535323-61", "View Company Online")</f>
      </c>
    </row>
    <row r="2358">
      <c r="A2358" t="s" s="10">
        <v>12095</v>
      </c>
      <c r="B2358" t="s" s="10">
        <v>12096</v>
      </c>
      <c r="C2358" t="s" s="10">
        <v>60</v>
      </c>
      <c r="D2358" t="s" s="10">
        <v>61</v>
      </c>
      <c r="E2358" t="s" s="10">
        <v>253</v>
      </c>
      <c r="F2358" s="27">
        <v>46058</v>
      </c>
      <c r="G2358" t="s" s="10">
        <v>4267</v>
      </c>
      <c r="H2358" s="42">
        <v>5.9</v>
      </c>
      <c r="I2358" s="42">
        <v>16.85</v>
      </c>
      <c r="J2358" t="s" s="10">
        <v>12097</v>
      </c>
      <c r="K2358" t="s" s="10">
        <v>12098</v>
      </c>
      <c r="L2358" s="16">
        <f>HYPERLINK("http://www.pluto.markets", "www.pluto.markets")</f>
      </c>
      <c r="M2358" s="16">
        <f>HYPERLINK("https://my.pitchbook.com?c=494568-01", "View Company Online")</f>
      </c>
    </row>
    <row r="2359">
      <c r="A2359" t="s" s="11">
        <v>12100</v>
      </c>
      <c r="B2359" t="s" s="11">
        <v>12101</v>
      </c>
      <c r="C2359" t="s" s="11">
        <v>46</v>
      </c>
      <c r="D2359" t="s" s="11">
        <v>47</v>
      </c>
      <c r="E2359" t="s" s="11">
        <v>116</v>
      </c>
      <c r="F2359" s="28">
        <v>45489</v>
      </c>
      <c r="G2359" t="s" s="11">
        <v>607</v>
      </c>
      <c r="H2359" t="s" s="43">
        <v>30</v>
      </c>
      <c r="I2359" s="43">
        <v>16.83</v>
      </c>
      <c r="J2359" t="s" s="11">
        <v>12102</v>
      </c>
      <c r="K2359" t="s" s="11">
        <v>12103</v>
      </c>
      <c r="L2359" s="17">
        <f>HYPERLINK("http://www.okticket.es", "www.okticket.es")</f>
      </c>
      <c r="M2359" s="17">
        <f>HYPERLINK("https://my.pitchbook.com?c=465594-13", "View Company Online")</f>
      </c>
    </row>
    <row r="2360">
      <c r="A2360" t="s" s="10">
        <v>12105</v>
      </c>
      <c r="B2360" t="s" s="10">
        <v>12106</v>
      </c>
      <c r="C2360" t="s" s="10">
        <v>164</v>
      </c>
      <c r="D2360" t="s" s="10">
        <v>165</v>
      </c>
      <c r="E2360" t="s" s="10">
        <v>373</v>
      </c>
      <c r="F2360" s="27">
        <v>45559</v>
      </c>
      <c r="G2360" t="s" s="10">
        <v>4267</v>
      </c>
      <c r="H2360" s="42">
        <v>3.36</v>
      </c>
      <c r="I2360" s="42">
        <v>16.79</v>
      </c>
      <c r="J2360" t="s" s="10">
        <v>12107</v>
      </c>
      <c r="K2360" t="s" s="10">
        <v>12108</v>
      </c>
      <c r="L2360" s="16">
        <f>HYPERLINK("http://www.desia.ai", "www.desia.ai")</f>
      </c>
      <c r="M2360" s="16">
        <f>HYPERLINK("https://my.pitchbook.com?c=592487-11", "View Company Online")</f>
      </c>
    </row>
    <row r="2361">
      <c r="A2361" t="s" s="11">
        <v>12110</v>
      </c>
      <c r="B2361" t="s" s="11">
        <v>12111</v>
      </c>
      <c r="C2361" t="s" s="11">
        <v>222</v>
      </c>
      <c r="D2361" t="s" s="11">
        <v>223</v>
      </c>
      <c r="E2361" t="s" s="11">
        <v>373</v>
      </c>
      <c r="F2361" s="28">
        <v>45901</v>
      </c>
      <c r="G2361" t="s" s="11">
        <v>146</v>
      </c>
      <c r="H2361" s="43">
        <v>2.98</v>
      </c>
      <c r="I2361" s="43">
        <v>16.76</v>
      </c>
      <c r="J2361" t="s" s="11">
        <v>12112</v>
      </c>
      <c r="K2361" t="s" s="11">
        <v>12113</v>
      </c>
      <c r="L2361" s="17">
        <f>HYPERLINK("http://www.allasso.ch", "www.allasso.ch")</f>
      </c>
      <c r="M2361" s="17">
        <f>HYPERLINK("https://my.pitchbook.com?c=597129-67", "View Company Online")</f>
      </c>
    </row>
    <row r="2362">
      <c r="A2362" t="s" s="10">
        <v>12115</v>
      </c>
      <c r="B2362" t="s" s="10">
        <v>12116</v>
      </c>
      <c r="C2362" t="s" s="10">
        <v>37</v>
      </c>
      <c r="D2362" t="s" s="10">
        <v>304</v>
      </c>
      <c r="E2362" t="s" s="10">
        <v>137</v>
      </c>
      <c r="F2362" s="27">
        <v>45279</v>
      </c>
      <c r="G2362" t="s" s="10">
        <v>40</v>
      </c>
      <c r="H2362" s="42">
        <v>9.5</v>
      </c>
      <c r="I2362" s="42">
        <v>16.75</v>
      </c>
      <c r="J2362" t="s" s="10">
        <v>12117</v>
      </c>
      <c r="K2362" t="s" s="10">
        <v>12118</v>
      </c>
      <c r="L2362" s="16">
        <f>HYPERLINK("http://www.backer.com", "www.backer.com")</f>
      </c>
      <c r="M2362" s="16">
        <f>HYPERLINK("https://my.pitchbook.com?c=108925-57", "View Company Online")</f>
      </c>
    </row>
    <row r="2363">
      <c r="A2363" t="s" s="11">
        <v>12120</v>
      </c>
      <c r="B2363" t="s" s="11">
        <v>12121</v>
      </c>
      <c r="C2363" t="s" s="11">
        <v>60</v>
      </c>
      <c r="D2363" t="s" s="11">
        <v>246</v>
      </c>
      <c r="E2363" t="s" s="11">
        <v>12122</v>
      </c>
      <c r="F2363" t="s" s="28">
        <v>30</v>
      </c>
      <c r="G2363" t="s" s="11">
        <v>271</v>
      </c>
      <c r="H2363" s="43">
        <v>0.85</v>
      </c>
      <c r="I2363" s="43">
        <v>16.74</v>
      </c>
      <c r="J2363" t="s" s="11">
        <v>12123</v>
      </c>
      <c r="K2363" t="s" s="11">
        <v>12124</v>
      </c>
      <c r="L2363" s="17">
        <f>HYPERLINK("http://www.goin.app", "www.goin.app")</f>
      </c>
      <c r="M2363" s="17">
        <f>HYPERLINK("https://my.pitchbook.com?c=228534-58", "View Company Online")</f>
      </c>
    </row>
    <row r="2364">
      <c r="A2364" t="s" s="10">
        <v>12126</v>
      </c>
      <c r="B2364" t="s" s="10">
        <v>12127</v>
      </c>
      <c r="C2364" t="s" s="10">
        <v>60</v>
      </c>
      <c r="D2364" t="s" s="10">
        <v>61</v>
      </c>
      <c r="E2364" t="s" s="10">
        <v>253</v>
      </c>
      <c r="F2364" s="27">
        <v>45169</v>
      </c>
      <c r="G2364" t="s" s="10">
        <v>40</v>
      </c>
      <c r="H2364" t="s" s="42">
        <v>30</v>
      </c>
      <c r="I2364" s="42">
        <v>16.72</v>
      </c>
      <c r="J2364" t="s" s="10">
        <v>12128</v>
      </c>
      <c r="K2364" t="s" s="10">
        <v>12129</v>
      </c>
      <c r="L2364" s="16">
        <f>HYPERLINK("http://www.islamicfinanceguru.com", "www.islamicfinanceguru.com")</f>
      </c>
      <c r="M2364" s="16">
        <f>HYPERLINK("https://my.pitchbook.com?c=470047-06", "View Company Online")</f>
      </c>
    </row>
    <row r="2365">
      <c r="A2365" t="s" s="11">
        <v>12131</v>
      </c>
      <c r="B2365" t="s" s="11">
        <v>12132</v>
      </c>
      <c r="C2365" t="s" s="11">
        <v>27</v>
      </c>
      <c r="D2365" t="s" s="11">
        <v>122</v>
      </c>
      <c r="E2365" t="s" s="11">
        <v>5128</v>
      </c>
      <c r="F2365" s="28">
        <v>45411</v>
      </c>
      <c r="G2365" t="s" s="11">
        <v>4267</v>
      </c>
      <c r="H2365" s="43">
        <v>5</v>
      </c>
      <c r="I2365" s="43">
        <v>16.67</v>
      </c>
      <c r="J2365" t="s" s="11">
        <v>12133</v>
      </c>
      <c r="K2365" t="s" s="11">
        <v>12134</v>
      </c>
      <c r="L2365" s="17">
        <f>HYPERLINK("http://www.briskpe.com", "www.briskpe.com")</f>
      </c>
      <c r="M2365" s="17">
        <f>HYPERLINK("https://my.pitchbook.com?c=596540-89", "View Company Online")</f>
      </c>
    </row>
    <row r="2366">
      <c r="A2366" t="s" s="10">
        <v>12136</v>
      </c>
      <c r="B2366" t="s" s="10">
        <v>12137</v>
      </c>
      <c r="C2366" t="s" s="10">
        <v>60</v>
      </c>
      <c r="D2366" t="s" s="10">
        <v>432</v>
      </c>
      <c r="E2366" t="s" s="10">
        <v>414</v>
      </c>
      <c r="F2366" s="27">
        <v>45715</v>
      </c>
      <c r="G2366" t="s" s="10">
        <v>40</v>
      </c>
      <c r="H2366" s="42">
        <v>1.85</v>
      </c>
      <c r="I2366" s="42">
        <v>16.64</v>
      </c>
      <c r="J2366" t="s" s="10">
        <v>12138</v>
      </c>
      <c r="K2366" t="s" s="10">
        <v>12139</v>
      </c>
      <c r="L2366" s="16">
        <f>HYPERLINK("http://www.praxissolutions.com", "www.praxissolutions.com")</f>
      </c>
      <c r="M2366" s="16">
        <f>HYPERLINK("https://my.pitchbook.com?c=232190-38", "View Company Online")</f>
      </c>
    </row>
    <row r="2367">
      <c r="A2367" t="s" s="11">
        <v>12141</v>
      </c>
      <c r="B2367" t="s" s="11">
        <v>12142</v>
      </c>
      <c r="C2367" t="s" s="11">
        <v>114</v>
      </c>
      <c r="D2367" t="s" s="11">
        <v>136</v>
      </c>
      <c r="E2367" t="s" s="11">
        <v>1853</v>
      </c>
      <c r="F2367" s="28">
        <v>44873</v>
      </c>
      <c r="G2367" t="s" s="11">
        <v>40</v>
      </c>
      <c r="H2367" s="43">
        <v>0.86</v>
      </c>
      <c r="I2367" s="43">
        <v>16.62</v>
      </c>
      <c r="J2367" t="s" s="11">
        <v>12143</v>
      </c>
      <c r="K2367" t="s" s="11">
        <v>12144</v>
      </c>
      <c r="L2367" s="17">
        <f>HYPERLINK("http://www.proplend.com", "www.proplend.com")</f>
      </c>
      <c r="M2367" s="17">
        <f>HYPERLINK("https://my.pitchbook.com?c=102699-37", "View Company Online")</f>
      </c>
    </row>
    <row r="2368">
      <c r="A2368" t="s" s="10">
        <v>12146</v>
      </c>
      <c r="B2368" t="s" s="10">
        <v>12147</v>
      </c>
      <c r="C2368" t="s" s="10">
        <v>46</v>
      </c>
      <c r="D2368" t="s" s="10">
        <v>47</v>
      </c>
      <c r="E2368" t="s" s="10">
        <v>373</v>
      </c>
      <c r="F2368" s="27">
        <v>44221</v>
      </c>
      <c r="G2368" t="s" s="10">
        <v>40</v>
      </c>
      <c r="H2368" s="42">
        <v>8.27</v>
      </c>
      <c r="I2368" s="42">
        <v>16.54</v>
      </c>
      <c r="J2368" t="s" s="10">
        <v>12148</v>
      </c>
      <c r="K2368" t="s" s="10">
        <v>12149</v>
      </c>
      <c r="L2368" s="16">
        <f>HYPERLINK("http://www.opencellsoft.com", "www.opencellsoft.com")</f>
      </c>
      <c r="M2368" s="16">
        <f>HYPERLINK("https://my.pitchbook.com?c=152288-74", "View Company Online")</f>
      </c>
    </row>
    <row r="2369">
      <c r="A2369" t="s" s="11">
        <v>12151</v>
      </c>
      <c r="B2369" t="s" s="11">
        <v>12152</v>
      </c>
      <c r="C2369" t="s" s="11">
        <v>172</v>
      </c>
      <c r="D2369" t="s" s="11">
        <v>173</v>
      </c>
      <c r="E2369" t="s" s="11">
        <v>629</v>
      </c>
      <c r="F2369" s="28">
        <v>45380</v>
      </c>
      <c r="G2369" t="s" s="11">
        <v>40</v>
      </c>
      <c r="H2369" s="43">
        <v>6.94</v>
      </c>
      <c r="I2369" s="43">
        <v>16.53</v>
      </c>
      <c r="J2369" t="s" s="11">
        <v>12153</v>
      </c>
      <c r="K2369" t="s" s="11">
        <v>12154</v>
      </c>
      <c r="L2369" s="17">
        <f>HYPERLINK("http://www.cygnetise.com", "www.cygnetise.com")</f>
      </c>
      <c r="M2369" s="17">
        <f>HYPERLINK("https://my.pitchbook.com?c=221823-01", "View Company Online")</f>
      </c>
    </row>
    <row r="2370">
      <c r="A2370" t="s" s="10">
        <v>12156</v>
      </c>
      <c r="B2370" t="s" s="10">
        <v>12157</v>
      </c>
      <c r="C2370" t="s" s="10">
        <v>128</v>
      </c>
      <c r="D2370" t="s" s="10">
        <v>276</v>
      </c>
      <c r="E2370" t="s" s="10">
        <v>200</v>
      </c>
      <c r="F2370" s="27">
        <v>44974</v>
      </c>
      <c r="G2370" t="s" s="10">
        <v>4267</v>
      </c>
      <c r="H2370" s="42">
        <v>2.14</v>
      </c>
      <c r="I2370" s="42">
        <v>16.51</v>
      </c>
      <c r="J2370" t="s" s="10">
        <v>12158</v>
      </c>
      <c r="K2370" t="s" s="10">
        <v>12159</v>
      </c>
      <c r="L2370" s="16">
        <f>HYPERLINK("http://www.iimmpact.com", "www.iimmpact.com")</f>
      </c>
      <c r="M2370" s="16">
        <f>HYPERLINK("https://my.pitchbook.com?c=459758-26", "View Company Online")</f>
      </c>
    </row>
    <row r="2371">
      <c r="A2371" t="s" s="11">
        <v>12161</v>
      </c>
      <c r="B2371" t="s" s="11">
        <v>12162</v>
      </c>
      <c r="C2371" t="s" s="11">
        <v>172</v>
      </c>
      <c r="D2371" t="s" s="11">
        <v>1454</v>
      </c>
      <c r="E2371" t="s" s="11">
        <v>373</v>
      </c>
      <c r="F2371" s="28">
        <v>44743</v>
      </c>
      <c r="G2371" t="s" s="11">
        <v>40</v>
      </c>
      <c r="H2371" t="s" s="43">
        <v>30</v>
      </c>
      <c r="I2371" s="43">
        <v>16.5</v>
      </c>
      <c r="J2371" t="s" s="11">
        <v>12163</v>
      </c>
      <c r="K2371" t="s" s="11">
        <v>12164</v>
      </c>
      <c r="L2371" s="17">
        <f>HYPERLINK("http://www.flowcast.ai", "www.flowcast.ai")</f>
      </c>
      <c r="M2371" s="17">
        <f>HYPERLINK("https://my.pitchbook.com?c=163925-65", "View Company Online")</f>
      </c>
    </row>
    <row r="2372">
      <c r="A2372" t="s" s="10">
        <v>12166</v>
      </c>
      <c r="B2372" t="s" s="10">
        <v>12167</v>
      </c>
      <c r="C2372" t="s" s="10">
        <v>46</v>
      </c>
      <c r="D2372" t="s" s="10">
        <v>78</v>
      </c>
      <c r="E2372" t="s" s="10">
        <v>253</v>
      </c>
      <c r="F2372" s="27">
        <v>45923</v>
      </c>
      <c r="G2372" t="s" s="10">
        <v>4267</v>
      </c>
      <c r="H2372" s="42">
        <v>2.12</v>
      </c>
      <c r="I2372" s="42">
        <v>16.5</v>
      </c>
      <c r="J2372" t="s" s="10">
        <v>12168</v>
      </c>
      <c r="K2372" t="s" s="10">
        <v>12169</v>
      </c>
      <c r="L2372" s="16">
        <f>HYPERLINK("http://www.getglim.com", "www.getglim.com")</f>
      </c>
      <c r="M2372" s="16">
        <f>HYPERLINK("https://my.pitchbook.com?c=530539-12", "View Company Online")</f>
      </c>
    </row>
    <row r="2373">
      <c r="A2373" t="s" s="11">
        <v>12171</v>
      </c>
      <c r="B2373" t="s" s="11">
        <v>12172</v>
      </c>
      <c r="C2373" t="s" s="11">
        <v>164</v>
      </c>
      <c r="D2373" t="s" s="11">
        <v>165</v>
      </c>
      <c r="E2373" t="s" s="11">
        <v>1964</v>
      </c>
      <c r="F2373" s="28">
        <v>45995</v>
      </c>
      <c r="G2373" t="s" s="11">
        <v>40</v>
      </c>
      <c r="H2373" s="43">
        <v>12</v>
      </c>
      <c r="I2373" s="43">
        <v>16.5</v>
      </c>
      <c r="J2373" t="s" s="11">
        <v>12173</v>
      </c>
      <c r="K2373" t="s" s="11">
        <v>12174</v>
      </c>
      <c r="L2373" s="17">
        <f>HYPERLINK("http://www.imtc.com", "www.imtc.com")</f>
      </c>
      <c r="M2373" s="17">
        <f>HYPERLINK("https://my.pitchbook.com?c=184613-14", "View Company Online")</f>
      </c>
    </row>
    <row r="2374">
      <c r="A2374" t="s" s="10">
        <v>12176</v>
      </c>
      <c r="B2374" t="s" s="10">
        <v>12177</v>
      </c>
      <c r="C2374" t="s" s="10">
        <v>46</v>
      </c>
      <c r="D2374" t="s" s="10">
        <v>915</v>
      </c>
      <c r="E2374" t="s" s="10">
        <v>253</v>
      </c>
      <c r="F2374" s="27">
        <v>45671</v>
      </c>
      <c r="G2374" t="s" s="10">
        <v>607</v>
      </c>
      <c r="H2374" t="s" s="42">
        <v>30</v>
      </c>
      <c r="I2374" s="42">
        <v>16.5</v>
      </c>
      <c r="J2374" t="s" s="10">
        <v>12178</v>
      </c>
      <c r="K2374" t="s" s="10">
        <v>12179</v>
      </c>
      <c r="L2374" s="16">
        <f>HYPERLINK("http://www.karmasuitesoftware.com", "www.karmasuitesoftware.com")</f>
      </c>
      <c r="M2374" s="16">
        <f>HYPERLINK("https://my.pitchbook.com?c=549449-38", "View Company Online")</f>
      </c>
    </row>
    <row r="2375">
      <c r="A2375" t="s" s="11">
        <v>12181</v>
      </c>
      <c r="B2375" t="s" s="11">
        <v>12182</v>
      </c>
      <c r="C2375" t="s" s="11">
        <v>222</v>
      </c>
      <c r="D2375" t="s" s="11">
        <v>537</v>
      </c>
      <c r="E2375" t="s" s="11">
        <v>2226</v>
      </c>
      <c r="F2375" s="28">
        <v>44721</v>
      </c>
      <c r="G2375" t="s" s="11">
        <v>271</v>
      </c>
      <c r="H2375" s="43">
        <v>2</v>
      </c>
      <c r="I2375" s="43">
        <v>16.5</v>
      </c>
      <c r="J2375" t="s" s="11">
        <v>12183</v>
      </c>
      <c r="K2375" t="s" s="11">
        <v>12184</v>
      </c>
      <c r="L2375" s="17">
        <f>HYPERLINK("http://www.klear.capital", "www.klear.capital")</f>
      </c>
      <c r="M2375" s="17">
        <f>HYPERLINK("https://my.pitchbook.com?c=172187-02", "View Company Online")</f>
      </c>
    </row>
    <row r="2376">
      <c r="A2376" t="s" s="10">
        <v>12186</v>
      </c>
      <c r="B2376" t="s" s="10">
        <v>12187</v>
      </c>
      <c r="C2376" t="s" s="10">
        <v>114</v>
      </c>
      <c r="D2376" t="s" s="10">
        <v>136</v>
      </c>
      <c r="E2376" t="s" s="10">
        <v>1964</v>
      </c>
      <c r="F2376" s="27">
        <v>45446</v>
      </c>
      <c r="G2376" t="s" s="10">
        <v>40</v>
      </c>
      <c r="H2376" t="s" s="42">
        <v>30</v>
      </c>
      <c r="I2376" s="42">
        <v>16.5</v>
      </c>
      <c r="J2376" t="s" s="10">
        <v>12188</v>
      </c>
      <c r="K2376" t="s" s="10">
        <v>12189</v>
      </c>
      <c r="L2376" s="16">
        <f>HYPERLINK("http://www.lendable.io", "www.lendable.io")</f>
      </c>
      <c r="M2376" s="16">
        <f>HYPERLINK("https://my.pitchbook.com?c=128422-63", "View Company Online")</f>
      </c>
    </row>
    <row r="2377">
      <c r="A2377" t="s" s="11">
        <v>12191</v>
      </c>
      <c r="B2377" t="s" s="11">
        <v>12192</v>
      </c>
      <c r="C2377" t="s" s="11">
        <v>172</v>
      </c>
      <c r="D2377" t="s" s="11">
        <v>338</v>
      </c>
      <c r="E2377" t="s" s="11">
        <v>916</v>
      </c>
      <c r="F2377" s="28">
        <v>44662</v>
      </c>
      <c r="G2377" t="s" s="11">
        <v>4267</v>
      </c>
      <c r="H2377" s="43">
        <v>5.97</v>
      </c>
      <c r="I2377" s="43">
        <v>16.48</v>
      </c>
      <c r="J2377" t="s" s="11">
        <v>12193</v>
      </c>
      <c r="K2377" t="s" s="11">
        <v>12194</v>
      </c>
      <c r="L2377" s="17">
        <f>HYPERLINK("http://www.reg-genome.com", "www.reg-genome.com")</f>
      </c>
      <c r="M2377" s="17">
        <f>HYPERLINK("https://my.pitchbook.com?c=481257-10", "View Company Online")</f>
      </c>
    </row>
    <row r="2378">
      <c r="A2378" t="s" s="10">
        <v>12196</v>
      </c>
      <c r="B2378" t="s" s="10">
        <v>12197</v>
      </c>
      <c r="C2378" t="s" s="10">
        <v>60</v>
      </c>
      <c r="D2378" t="s" s="10">
        <v>192</v>
      </c>
      <c r="E2378" t="s" s="10">
        <v>12198</v>
      </c>
      <c r="F2378" s="27">
        <v>45827</v>
      </c>
      <c r="G2378" t="s" s="10">
        <v>4267</v>
      </c>
      <c r="H2378" s="42">
        <v>9.12</v>
      </c>
      <c r="I2378" s="42">
        <v>16.46</v>
      </c>
      <c r="J2378" t="s" s="10">
        <v>12199</v>
      </c>
      <c r="K2378" t="s" s="10">
        <v>12200</v>
      </c>
      <c r="L2378" s="16">
        <f>HYPERLINK("http://www.skarlett.fr", "www.skarlett.fr")</f>
      </c>
      <c r="M2378" s="16">
        <f>HYPERLINK("https://my.pitchbook.com?c=520937-20", "View Company Online")</f>
      </c>
    </row>
    <row r="2379">
      <c r="A2379" t="s" s="11">
        <v>12202</v>
      </c>
      <c r="B2379" t="s" s="11">
        <v>12203</v>
      </c>
      <c r="C2379" t="s" s="11">
        <v>46</v>
      </c>
      <c r="D2379" t="s" s="11">
        <v>47</v>
      </c>
      <c r="E2379" t="s" s="11">
        <v>253</v>
      </c>
      <c r="F2379" s="28">
        <v>45314</v>
      </c>
      <c r="G2379" t="s" s="11">
        <v>40</v>
      </c>
      <c r="H2379" s="43">
        <v>4.45</v>
      </c>
      <c r="I2379" s="43">
        <v>16.44</v>
      </c>
      <c r="J2379" t="s" s="11">
        <v>12204</v>
      </c>
      <c r="K2379" t="s" s="11">
        <v>12205</v>
      </c>
      <c r="L2379" s="17">
        <f>HYPERLINK("http://www.qvalia.com", "www.qvalia.com")</f>
      </c>
      <c r="M2379" s="17">
        <f>HYPERLINK("https://my.pitchbook.com?c=135237-61", "View Company Online")</f>
      </c>
    </row>
    <row r="2380">
      <c r="A2380" t="s" s="10">
        <v>12207</v>
      </c>
      <c r="B2380" t="s" s="10">
        <v>12208</v>
      </c>
      <c r="C2380" t="s" s="10">
        <v>60</v>
      </c>
      <c r="D2380" t="s" s="10">
        <v>432</v>
      </c>
      <c r="E2380" t="s" s="10">
        <v>3825</v>
      </c>
      <c r="F2380" s="27">
        <v>45488</v>
      </c>
      <c r="G2380" t="s" s="10">
        <v>40</v>
      </c>
      <c r="H2380" s="42">
        <v>6.59</v>
      </c>
      <c r="I2380" s="42">
        <v>16.4</v>
      </c>
      <c r="J2380" t="s" s="10">
        <v>12209</v>
      </c>
      <c r="K2380" t="s" s="10">
        <v>12210</v>
      </c>
      <c r="L2380" s="16">
        <f>HYPERLINK("http://www.instinctdigital.io", "www.instinctdigital.io")</f>
      </c>
      <c r="M2380" s="16">
        <f>HYPERLINK("https://my.pitchbook.com?c=126392-86", "View Company Online")</f>
      </c>
    </row>
    <row r="2381">
      <c r="A2381" t="s" s="11">
        <v>12212</v>
      </c>
      <c r="B2381" t="s" s="11">
        <v>12213</v>
      </c>
      <c r="C2381" t="s" s="11">
        <v>164</v>
      </c>
      <c r="D2381" t="s" s="11">
        <v>206</v>
      </c>
      <c r="E2381" t="s" s="11">
        <v>158</v>
      </c>
      <c r="F2381" s="28">
        <v>43146</v>
      </c>
      <c r="G2381" t="s" s="11">
        <v>146</v>
      </c>
      <c r="H2381" s="43">
        <v>0.5</v>
      </c>
      <c r="I2381" s="43">
        <v>16.37</v>
      </c>
      <c r="J2381" t="s" s="11">
        <v>12214</v>
      </c>
      <c r="K2381" t="s" s="11">
        <v>12215</v>
      </c>
      <c r="L2381" s="17">
        <f>HYPERLINK("http://www.famacash.com", "www.famacash.com")</f>
      </c>
      <c r="M2381" s="17">
        <f>HYPERLINK("https://my.pitchbook.com?c=161735-14", "View Company Online")</f>
      </c>
    </row>
    <row r="2382">
      <c r="A2382" t="s" s="10">
        <v>12217</v>
      </c>
      <c r="B2382" t="s" s="10">
        <v>12218</v>
      </c>
      <c r="C2382" t="s" s="10">
        <v>222</v>
      </c>
      <c r="D2382" t="s" s="10">
        <v>235</v>
      </c>
      <c r="E2382" t="s" s="10">
        <v>373</v>
      </c>
      <c r="F2382" t="s" s="27">
        <v>30</v>
      </c>
      <c r="G2382" t="s" s="10">
        <v>48</v>
      </c>
      <c r="H2382" t="s" s="42">
        <v>30</v>
      </c>
      <c r="I2382" s="42">
        <v>16.36</v>
      </c>
      <c r="J2382" t="s" s="10">
        <v>12219</v>
      </c>
      <c r="K2382" t="s" s="10">
        <v>12220</v>
      </c>
      <c r="L2382" s="16">
        <f>HYPERLINK("http://www.silot.ai", "www.silot.ai")</f>
      </c>
      <c r="M2382" s="16">
        <f>HYPERLINK("https://my.pitchbook.com?c=227734-12", "View Company Online")</f>
      </c>
    </row>
    <row r="2383">
      <c r="A2383" t="s" s="11">
        <v>12222</v>
      </c>
      <c r="B2383" t="s" s="11">
        <v>12223</v>
      </c>
      <c r="C2383" t="s" s="11">
        <v>46</v>
      </c>
      <c r="D2383" t="s" s="11">
        <v>47</v>
      </c>
      <c r="E2383" t="s" s="11">
        <v>12224</v>
      </c>
      <c r="F2383" s="28">
        <v>46015</v>
      </c>
      <c r="G2383" t="s" s="11">
        <v>4267</v>
      </c>
      <c r="H2383" s="43">
        <v>0.98</v>
      </c>
      <c r="I2383" s="43">
        <v>16.34</v>
      </c>
      <c r="J2383" t="s" s="11">
        <v>12225</v>
      </c>
      <c r="K2383" t="s" s="11">
        <v>12226</v>
      </c>
      <c r="L2383" s="17">
        <f>HYPERLINK("http://www.filmchain.co", "www.filmchain.co")</f>
      </c>
      <c r="M2383" s="17">
        <f>HYPERLINK("https://my.pitchbook.com?c=107194-24", "View Company Online")</f>
      </c>
    </row>
    <row r="2384">
      <c r="A2384" t="s" s="10">
        <v>12228</v>
      </c>
      <c r="B2384" t="s" s="10">
        <v>12229</v>
      </c>
      <c r="C2384" t="s" s="10">
        <v>60</v>
      </c>
      <c r="D2384" t="s" s="10">
        <v>420</v>
      </c>
      <c r="E2384" t="s" s="10">
        <v>2824</v>
      </c>
      <c r="F2384" s="27">
        <v>45588</v>
      </c>
      <c r="G2384" t="s" s="10">
        <v>146</v>
      </c>
      <c r="H2384" s="42">
        <v>1.44</v>
      </c>
      <c r="I2384" s="42">
        <v>16.34</v>
      </c>
      <c r="J2384" t="s" s="10">
        <v>12230</v>
      </c>
      <c r="K2384" t="s" s="10">
        <v>12231</v>
      </c>
      <c r="L2384" s="16">
        <f>HYPERLINK("http://www.perlib.fr", "www.perlib.fr")</f>
      </c>
      <c r="M2384" s="16">
        <f>HYPERLINK("https://my.pitchbook.com?c=529356-88", "View Company Online")</f>
      </c>
    </row>
    <row r="2385">
      <c r="A2385" t="s" s="11">
        <v>12233</v>
      </c>
      <c r="B2385" t="s" s="11">
        <v>12234</v>
      </c>
      <c r="C2385" t="s" s="11">
        <v>114</v>
      </c>
      <c r="D2385" t="s" s="11">
        <v>1386</v>
      </c>
      <c r="E2385" t="s" s="11">
        <v>137</v>
      </c>
      <c r="F2385" s="28">
        <v>46205</v>
      </c>
      <c r="G2385" t="s" s="11">
        <v>391</v>
      </c>
      <c r="H2385" s="43">
        <v>16.22</v>
      </c>
      <c r="I2385" s="43">
        <v>16.22</v>
      </c>
      <c r="J2385" t="s" s="11">
        <v>12235</v>
      </c>
      <c r="K2385" t="s" s="11">
        <v>30</v>
      </c>
      <c r="L2385" s="17">
        <f>HYPERLINK("http://www.atyati.com", "www.atyati.com")</f>
      </c>
      <c r="M2385" s="17">
        <f>HYPERLINK("https://my.pitchbook.com?c=55172-44", "View Company Online")</f>
      </c>
    </row>
    <row r="2386">
      <c r="A2386" t="s" s="10">
        <v>12237</v>
      </c>
      <c r="B2386" t="s" s="10">
        <v>12238</v>
      </c>
      <c r="C2386" t="s" s="10">
        <v>27</v>
      </c>
      <c r="D2386" t="s" s="10">
        <v>70</v>
      </c>
      <c r="E2386" t="s" s="10">
        <v>259</v>
      </c>
      <c r="F2386" t="s" s="27">
        <v>30</v>
      </c>
      <c r="G2386" t="s" s="10">
        <v>40</v>
      </c>
      <c r="H2386" s="42">
        <v>10</v>
      </c>
      <c r="I2386" s="42">
        <v>16.22</v>
      </c>
      <c r="J2386" t="s" s="10">
        <v>12239</v>
      </c>
      <c r="K2386" t="s" s="10">
        <v>12240</v>
      </c>
      <c r="L2386" s="16">
        <f>HYPERLINK("http://www.sgebiz.com", "www.sgebiz.com")</f>
      </c>
      <c r="M2386" s="16">
        <f>HYPERLINK("https://my.pitchbook.com?c=466616-08", "View Company Online")</f>
      </c>
    </row>
    <row r="2387">
      <c r="A2387" t="s" s="11">
        <v>12242</v>
      </c>
      <c r="B2387" t="s" s="11">
        <v>12243</v>
      </c>
      <c r="C2387" t="s" s="11">
        <v>114</v>
      </c>
      <c r="D2387" t="s" s="11">
        <v>1386</v>
      </c>
      <c r="E2387" t="s" s="11">
        <v>4786</v>
      </c>
      <c r="F2387" s="28">
        <v>45747</v>
      </c>
      <c r="G2387" t="s" s="11">
        <v>40</v>
      </c>
      <c r="H2387" s="43">
        <v>8</v>
      </c>
      <c r="I2387" s="43">
        <v>16.2</v>
      </c>
      <c r="J2387" t="s" s="11">
        <v>12244</v>
      </c>
      <c r="K2387" t="s" s="11">
        <v>12245</v>
      </c>
      <c r="L2387" s="17">
        <f>HYPERLINK("http://www.candortechnology.com", "www.candortechnology.com")</f>
      </c>
      <c r="M2387" s="17">
        <f>HYPERLINK("https://my.pitchbook.com?c=432914-05", "View Company Online")</f>
      </c>
    </row>
    <row r="2388">
      <c r="A2388" t="s" s="10">
        <v>12247</v>
      </c>
      <c r="B2388" t="s" s="10">
        <v>12248</v>
      </c>
      <c r="C2388" t="s" s="10">
        <v>60</v>
      </c>
      <c r="D2388" t="s" s="10">
        <v>246</v>
      </c>
      <c r="E2388" t="s" s="10">
        <v>193</v>
      </c>
      <c r="F2388" s="27">
        <v>45791</v>
      </c>
      <c r="G2388" t="s" s="10">
        <v>607</v>
      </c>
      <c r="H2388" t="s" s="42">
        <v>30</v>
      </c>
      <c r="I2388" s="42">
        <v>16.2</v>
      </c>
      <c r="J2388" t="s" s="10">
        <v>12249</v>
      </c>
      <c r="K2388" t="s" s="10">
        <v>12250</v>
      </c>
      <c r="L2388" s="16">
        <f>HYPERLINK("http://www.foyersavings.com", "www.foyersavings.com")</f>
      </c>
      <c r="M2388" s="16">
        <f>HYPERLINK("https://my.pitchbook.com?c=523403-38", "View Company Online")</f>
      </c>
    </row>
    <row r="2389">
      <c r="A2389" t="s" s="11">
        <v>12252</v>
      </c>
      <c r="B2389" t="s" s="11">
        <v>12253</v>
      </c>
      <c r="C2389" t="s" s="11">
        <v>222</v>
      </c>
      <c r="D2389" t="s" s="11">
        <v>235</v>
      </c>
      <c r="E2389" t="s" s="11">
        <v>137</v>
      </c>
      <c r="F2389" s="28">
        <v>44896</v>
      </c>
      <c r="G2389" t="s" s="11">
        <v>146</v>
      </c>
      <c r="H2389" t="s" s="43">
        <v>30</v>
      </c>
      <c r="I2389" s="43">
        <v>16.2</v>
      </c>
      <c r="J2389" t="s" s="11">
        <v>12254</v>
      </c>
      <c r="K2389" t="s" s="11">
        <v>12255</v>
      </c>
      <c r="L2389" s="17">
        <f>HYPERLINK("http://www.ourmayberry.com", "www.ourmayberry.com")</f>
      </c>
      <c r="M2389" s="17">
        <f>HYPERLINK("https://my.pitchbook.com?c=439554-43", "View Company Online")</f>
      </c>
    </row>
    <row r="2390">
      <c r="A2390" t="s" s="10">
        <v>12257</v>
      </c>
      <c r="B2390" t="s" s="10">
        <v>12258</v>
      </c>
      <c r="C2390" t="s" s="10">
        <v>114</v>
      </c>
      <c r="D2390" t="s" s="10">
        <v>136</v>
      </c>
      <c r="E2390" t="s" s="10">
        <v>253</v>
      </c>
      <c r="F2390" s="27">
        <v>46105</v>
      </c>
      <c r="G2390" t="s" s="10">
        <v>40</v>
      </c>
      <c r="H2390" s="42">
        <v>27</v>
      </c>
      <c r="I2390" s="42">
        <v>16.17</v>
      </c>
      <c r="J2390" t="s" s="10">
        <v>12259</v>
      </c>
      <c r="K2390" t="s" s="10">
        <v>12260</v>
      </c>
      <c r="L2390" s="16">
        <f>HYPERLINK("http://www.prestamype.com", "www.prestamype.com")</f>
      </c>
      <c r="M2390" s="16">
        <f>HYPERLINK("https://my.pitchbook.com?c=453569-77", "View Company Online")</f>
      </c>
    </row>
    <row r="2391">
      <c r="A2391" t="s" s="11">
        <v>12262</v>
      </c>
      <c r="B2391" t="s" s="11">
        <v>12263</v>
      </c>
      <c r="C2391" t="s" s="11">
        <v>164</v>
      </c>
      <c r="D2391" t="s" s="11">
        <v>165</v>
      </c>
      <c r="E2391" t="s" s="11">
        <v>29</v>
      </c>
      <c r="F2391" s="28">
        <v>45315</v>
      </c>
      <c r="G2391" t="s" s="11">
        <v>607</v>
      </c>
      <c r="H2391" t="s" s="43">
        <v>30</v>
      </c>
      <c r="I2391" s="43">
        <v>16.14</v>
      </c>
      <c r="J2391" t="s" s="11">
        <v>12264</v>
      </c>
      <c r="K2391" t="s" s="11">
        <v>12265</v>
      </c>
      <c r="L2391" s="17">
        <f>HYPERLINK("http://www.fiskl.com", "www.fiskl.com")</f>
      </c>
      <c r="M2391" s="17">
        <f>HYPERLINK("https://my.pitchbook.com?c=117907-66", "View Company Online")</f>
      </c>
    </row>
    <row r="2392">
      <c r="A2392" t="s" s="10">
        <v>12267</v>
      </c>
      <c r="B2392" t="s" s="10">
        <v>12268</v>
      </c>
      <c r="C2392" t="s" s="10">
        <v>128</v>
      </c>
      <c r="D2392" t="s" s="10">
        <v>129</v>
      </c>
      <c r="E2392" t="s" s="10">
        <v>30</v>
      </c>
      <c r="F2392" s="27">
        <v>44958</v>
      </c>
      <c r="G2392" t="s" s="10">
        <v>40</v>
      </c>
      <c r="H2392" t="s" s="42">
        <v>30</v>
      </c>
      <c r="I2392" s="42">
        <v>16.14</v>
      </c>
      <c r="J2392" t="s" s="10">
        <v>12269</v>
      </c>
      <c r="K2392" t="s" s="10">
        <v>12270</v>
      </c>
      <c r="L2392" s="16">
        <f>HYPERLINK("http://hellorubric.com", "hellorubric.com")</f>
      </c>
      <c r="M2392" s="16">
        <f>HYPERLINK("https://my.pitchbook.com?c=168863-95", "View Company Online")</f>
      </c>
    </row>
    <row r="2393">
      <c r="A2393" t="s" s="11">
        <v>12272</v>
      </c>
      <c r="B2393" t="s" s="11">
        <v>12273</v>
      </c>
      <c r="C2393" t="s" s="11">
        <v>164</v>
      </c>
      <c r="D2393" t="s" s="11">
        <v>165</v>
      </c>
      <c r="E2393" t="s" s="11">
        <v>253</v>
      </c>
      <c r="F2393" s="28">
        <v>46055</v>
      </c>
      <c r="G2393" t="s" s="11">
        <v>146</v>
      </c>
      <c r="H2393" s="43">
        <v>14.08</v>
      </c>
      <c r="I2393" s="43">
        <v>16.13</v>
      </c>
      <c r="J2393" t="s" s="11">
        <v>12274</v>
      </c>
      <c r="K2393" t="s" s="11">
        <v>12275</v>
      </c>
      <c r="L2393" s="17">
        <f>HYPERLINK("http://www.bits.bi", "www.bits.bi")</f>
      </c>
      <c r="M2393" s="17">
        <f>HYPERLINK("https://my.pitchbook.com?c=507104-11", "View Company Online")</f>
      </c>
    </row>
    <row r="2394">
      <c r="A2394" t="s" s="10">
        <v>12277</v>
      </c>
      <c r="B2394" t="s" s="10">
        <v>12278</v>
      </c>
      <c r="C2394" t="s" s="10">
        <v>172</v>
      </c>
      <c r="D2394" t="s" s="10">
        <v>338</v>
      </c>
      <c r="E2394" t="s" s="10">
        <v>373</v>
      </c>
      <c r="F2394" t="s" s="27">
        <v>30</v>
      </c>
      <c r="G2394" t="s" s="10">
        <v>607</v>
      </c>
      <c r="H2394" t="s" s="42">
        <v>30</v>
      </c>
      <c r="I2394" s="42">
        <v>16.13</v>
      </c>
      <c r="J2394" t="s" s="10">
        <v>12279</v>
      </c>
      <c r="K2394" t="s" s="10">
        <v>12280</v>
      </c>
      <c r="L2394" s="16">
        <f>HYPERLINK("http://www.uniify.io", "www.uniify.io")</f>
      </c>
      <c r="M2394" s="16">
        <f>HYPERLINK("https://my.pitchbook.com?c=512381-80", "View Company Online")</f>
      </c>
    </row>
    <row r="2395">
      <c r="A2395" t="s" s="11">
        <v>12282</v>
      </c>
      <c r="B2395" t="s" s="11">
        <v>12283</v>
      </c>
      <c r="C2395" t="s" s="11">
        <v>60</v>
      </c>
      <c r="D2395" t="s" s="11">
        <v>432</v>
      </c>
      <c r="E2395" t="s" s="11">
        <v>373</v>
      </c>
      <c r="F2395" s="28">
        <v>45274</v>
      </c>
      <c r="G2395" t="s" s="11">
        <v>4267</v>
      </c>
      <c r="H2395" s="43">
        <v>4.1</v>
      </c>
      <c r="I2395" s="43">
        <v>16.1</v>
      </c>
      <c r="J2395" t="s" s="11">
        <v>12284</v>
      </c>
      <c r="K2395" t="s" s="11">
        <v>12285</v>
      </c>
      <c r="L2395" s="17">
        <f>HYPERLINK("http://www.alphathena.com", "www.alphathena.com")</f>
      </c>
      <c r="M2395" s="17">
        <f>HYPERLINK("https://my.pitchbook.com?c=437912-74", "View Company Online")</f>
      </c>
    </row>
    <row r="2396">
      <c r="A2396" t="s" s="10">
        <v>12287</v>
      </c>
      <c r="B2396" t="s" s="10">
        <v>12288</v>
      </c>
      <c r="C2396" t="s" s="10">
        <v>222</v>
      </c>
      <c r="D2396" t="s" s="10">
        <v>537</v>
      </c>
      <c r="E2396" t="s" s="10">
        <v>373</v>
      </c>
      <c r="F2396" t="s" s="27">
        <v>30</v>
      </c>
      <c r="G2396" t="s" s="10">
        <v>48</v>
      </c>
      <c r="H2396" t="s" s="42">
        <v>30</v>
      </c>
      <c r="I2396" s="42">
        <v>16.1</v>
      </c>
      <c r="J2396" t="s" s="10">
        <v>12289</v>
      </c>
      <c r="K2396" t="s" s="10">
        <v>12290</v>
      </c>
      <c r="L2396" s="16">
        <f>HYPERLINK("http://www.delphia.com", "www.delphia.com")</f>
      </c>
      <c r="M2396" s="16">
        <f>HYPERLINK("https://my.pitchbook.com?c=226743-13", "View Company Online")</f>
      </c>
    </row>
    <row r="2397">
      <c r="A2397" t="s" s="11">
        <v>12292</v>
      </c>
      <c r="B2397" t="s" s="11">
        <v>12293</v>
      </c>
      <c r="C2397" t="s" s="11">
        <v>46</v>
      </c>
      <c r="D2397" t="s" s="11">
        <v>397</v>
      </c>
      <c r="E2397" t="s" s="11">
        <v>253</v>
      </c>
      <c r="F2397" s="28">
        <v>45922</v>
      </c>
      <c r="G2397" t="s" s="11">
        <v>4267</v>
      </c>
      <c r="H2397" s="43">
        <v>3.51</v>
      </c>
      <c r="I2397" s="43">
        <v>16.06</v>
      </c>
      <c r="J2397" t="s" s="11">
        <v>12294</v>
      </c>
      <c r="K2397" t="s" s="11">
        <v>12295</v>
      </c>
      <c r="L2397" s="17">
        <f>HYPERLINK("http://www.abby.fr", "www.abby.fr")</f>
      </c>
      <c r="M2397" s="17">
        <f>HYPERLINK("https://my.pitchbook.com?c=525369-52", "View Company Online")</f>
      </c>
    </row>
    <row r="2398">
      <c r="A2398" t="s" s="10">
        <v>12297</v>
      </c>
      <c r="B2398" t="s" s="10">
        <v>12298</v>
      </c>
      <c r="C2398" t="s" s="10">
        <v>222</v>
      </c>
      <c r="D2398" t="s" s="10">
        <v>252</v>
      </c>
      <c r="E2398" t="s" s="10">
        <v>859</v>
      </c>
      <c r="F2398" s="27">
        <v>45845</v>
      </c>
      <c r="G2398" t="s" s="10">
        <v>4267</v>
      </c>
      <c r="H2398" s="42">
        <v>3.22</v>
      </c>
      <c r="I2398" s="42">
        <v>16</v>
      </c>
      <c r="J2398" t="s" s="10">
        <v>12299</v>
      </c>
      <c r="K2398" t="s" s="10">
        <v>12300</v>
      </c>
      <c r="L2398" s="16">
        <f>HYPERLINK("http://www.bridgeportmq.com", "www.bridgeportmq.com")</f>
      </c>
      <c r="M2398" s="16">
        <f>HYPERLINK("https://my.pitchbook.com?c=894327-94", "View Company Online")</f>
      </c>
    </row>
    <row r="2399">
      <c r="A2399" t="s" s="11">
        <v>12302</v>
      </c>
      <c r="B2399" t="s" s="11">
        <v>12303</v>
      </c>
      <c r="C2399" t="s" s="11">
        <v>172</v>
      </c>
      <c r="D2399" t="s" s="11">
        <v>338</v>
      </c>
      <c r="E2399" t="s" s="11">
        <v>6783</v>
      </c>
      <c r="F2399" t="s" s="28">
        <v>30</v>
      </c>
      <c r="G2399" t="s" s="11">
        <v>48</v>
      </c>
      <c r="H2399" t="s" s="43">
        <v>30</v>
      </c>
      <c r="I2399" s="43">
        <v>16</v>
      </c>
      <c r="J2399" t="s" s="11">
        <v>12304</v>
      </c>
      <c r="K2399" t="s" s="11">
        <v>12305</v>
      </c>
      <c r="L2399" s="17">
        <f>HYPERLINK("http://www.cybera.io", "www.cybera.io")</f>
      </c>
      <c r="M2399" s="17">
        <f>HYPERLINK("https://my.pitchbook.com?c=481266-01", "View Company Online")</f>
      </c>
    </row>
    <row r="2400">
      <c r="A2400" t="s" s="10">
        <v>12307</v>
      </c>
      <c r="B2400" t="s" s="10">
        <v>12308</v>
      </c>
      <c r="C2400" t="s" s="10">
        <v>46</v>
      </c>
      <c r="D2400" t="s" s="10">
        <v>397</v>
      </c>
      <c r="E2400" t="s" s="10">
        <v>253</v>
      </c>
      <c r="F2400" s="27">
        <v>46002</v>
      </c>
      <c r="G2400" t="s" s="10">
        <v>40</v>
      </c>
      <c r="H2400" s="42">
        <v>6.5</v>
      </c>
      <c r="I2400" s="42">
        <v>16</v>
      </c>
      <c r="J2400" t="s" s="10">
        <v>12309</v>
      </c>
      <c r="K2400" t="s" s="10">
        <v>12310</v>
      </c>
      <c r="L2400" s="16">
        <f>HYPERLINK("http://www.doublehq.com", "www.doublehq.com")</f>
      </c>
      <c r="M2400" s="16">
        <f>HYPERLINK("https://my.pitchbook.com?c=482427-19", "View Company Online")</f>
      </c>
    </row>
    <row r="2401">
      <c r="A2401" t="s" s="11">
        <v>12312</v>
      </c>
      <c r="B2401" t="s" s="11">
        <v>12313</v>
      </c>
      <c r="C2401" t="s" s="11">
        <v>222</v>
      </c>
      <c r="D2401" t="s" s="11">
        <v>252</v>
      </c>
      <c r="E2401" t="s" s="11">
        <v>373</v>
      </c>
      <c r="F2401" s="28">
        <v>45316</v>
      </c>
      <c r="G2401" t="s" s="11">
        <v>4267</v>
      </c>
      <c r="H2401" s="43">
        <v>4.13</v>
      </c>
      <c r="I2401" s="43">
        <v>16</v>
      </c>
      <c r="J2401" t="s" s="11">
        <v>12314</v>
      </c>
      <c r="K2401" t="s" s="11">
        <v>12315</v>
      </c>
      <c r="L2401" s="17">
        <f>HYPERLINK("http://www.float.tech", "www.float.tech")</f>
      </c>
      <c r="M2401" s="17">
        <f>HYPERLINK("https://my.pitchbook.com?c=632901-16", "View Company Online")</f>
      </c>
    </row>
    <row r="2402">
      <c r="A2402" t="s" s="10">
        <v>12317</v>
      </c>
      <c r="B2402" t="s" s="10">
        <v>12318</v>
      </c>
      <c r="C2402" t="s" s="10">
        <v>164</v>
      </c>
      <c r="D2402" t="s" s="10">
        <v>206</v>
      </c>
      <c r="E2402" t="s" s="10">
        <v>137</v>
      </c>
      <c r="F2402" s="27">
        <v>45042</v>
      </c>
      <c r="G2402" t="s" s="10">
        <v>146</v>
      </c>
      <c r="H2402" t="s" s="42">
        <v>30</v>
      </c>
      <c r="I2402" s="42">
        <v>16</v>
      </c>
      <c r="J2402" t="s" s="10">
        <v>12319</v>
      </c>
      <c r="K2402" t="s" s="10">
        <v>12320</v>
      </c>
      <c r="L2402" s="16">
        <f>HYPERLINK("http://www.getholdings.com", "www.getholdings.com")</f>
      </c>
      <c r="M2402" s="16">
        <f>HYPERLINK("https://my.pitchbook.com?c=515114-38", "View Company Online")</f>
      </c>
    </row>
    <row r="2403">
      <c r="A2403" t="s" s="11">
        <v>12322</v>
      </c>
      <c r="B2403" t="s" s="11">
        <v>12323</v>
      </c>
      <c r="C2403" t="s" s="11">
        <v>164</v>
      </c>
      <c r="D2403" t="s" s="11">
        <v>206</v>
      </c>
      <c r="E2403" t="s" s="11">
        <v>137</v>
      </c>
      <c r="F2403" s="28">
        <v>45562</v>
      </c>
      <c r="G2403" t="s" s="11">
        <v>607</v>
      </c>
      <c r="H2403" t="s" s="43">
        <v>30</v>
      </c>
      <c r="I2403" s="43">
        <v>16</v>
      </c>
      <c r="J2403" t="s" s="11">
        <v>12324</v>
      </c>
      <c r="K2403" t="s" s="11">
        <v>12325</v>
      </c>
      <c r="L2403" s="17">
        <f>HYPERLINK("http://www.lendingfront.com", "www.lendingfront.com")</f>
      </c>
      <c r="M2403" s="17">
        <f>HYPERLINK("https://my.pitchbook.com?c=126187-30", "View Company Online")</f>
      </c>
    </row>
    <row r="2404">
      <c r="A2404" t="s" s="10">
        <v>12327</v>
      </c>
      <c r="B2404" t="s" s="10">
        <v>12328</v>
      </c>
      <c r="C2404" t="s" s="10">
        <v>128</v>
      </c>
      <c r="D2404" t="s" s="10">
        <v>129</v>
      </c>
      <c r="E2404" t="s" s="10">
        <v>12329</v>
      </c>
      <c r="F2404" s="27">
        <v>46023</v>
      </c>
      <c r="G2404" t="s" s="10">
        <v>391</v>
      </c>
      <c r="H2404" t="s" s="42">
        <v>30</v>
      </c>
      <c r="I2404" s="42">
        <v>16</v>
      </c>
      <c r="J2404" t="s" s="10">
        <v>12330</v>
      </c>
      <c r="K2404" t="s" s="10">
        <v>30</v>
      </c>
      <c r="L2404" s="16">
        <f>HYPERLINK("http://www.mana.app", "www.mana.app")</f>
      </c>
      <c r="M2404" s="16">
        <f>HYPERLINK("https://my.pitchbook.com?c=489183-49", "View Company Online")</f>
      </c>
    </row>
    <row r="2405">
      <c r="A2405" t="s" s="11">
        <v>12332</v>
      </c>
      <c r="B2405" t="s" s="11">
        <v>12333</v>
      </c>
      <c r="C2405" t="s" s="11">
        <v>46</v>
      </c>
      <c r="D2405" t="s" s="11">
        <v>47</v>
      </c>
      <c r="E2405" t="s" s="11">
        <v>12334</v>
      </c>
      <c r="F2405" s="28">
        <v>45685</v>
      </c>
      <c r="G2405" t="s" s="11">
        <v>146</v>
      </c>
      <c r="H2405" s="43">
        <v>0.5</v>
      </c>
      <c r="I2405" s="43">
        <v>16</v>
      </c>
      <c r="J2405" t="s" s="11">
        <v>12335</v>
      </c>
      <c r="K2405" t="s" s="11">
        <v>30</v>
      </c>
      <c r="L2405" s="17">
        <f>HYPERLINK("http://www.paykeeper.com", "www.paykeeper.com")</f>
      </c>
      <c r="M2405" s="17">
        <f>HYPERLINK("https://my.pitchbook.com?c=518123-35", "View Company Online")</f>
      </c>
    </row>
    <row r="2406">
      <c r="A2406" t="s" s="10">
        <v>12337</v>
      </c>
      <c r="B2406" t="s" s="10">
        <v>12338</v>
      </c>
      <c r="C2406" t="s" s="10">
        <v>128</v>
      </c>
      <c r="D2406" t="s" s="10">
        <v>129</v>
      </c>
      <c r="E2406" t="s" s="10">
        <v>967</v>
      </c>
      <c r="F2406" s="27">
        <v>45615</v>
      </c>
      <c r="G2406" t="s" s="10">
        <v>4267</v>
      </c>
      <c r="H2406" s="42">
        <v>3.7</v>
      </c>
      <c r="I2406" s="42">
        <v>16</v>
      </c>
      <c r="J2406" t="s" s="10">
        <v>12339</v>
      </c>
      <c r="K2406" t="s" s="10">
        <v>12340</v>
      </c>
      <c r="L2406" s="16">
        <f>HYPERLINK("http://www.storecashapp.com", "www.storecashapp.com")</f>
      </c>
      <c r="M2406" s="16">
        <f>HYPERLINK("https://my.pitchbook.com?c=325139-59", "View Company Online")</f>
      </c>
    </row>
    <row r="2407">
      <c r="A2407" t="s" s="11">
        <v>12342</v>
      </c>
      <c r="B2407" t="s" s="11">
        <v>12343</v>
      </c>
      <c r="C2407" t="s" s="11">
        <v>60</v>
      </c>
      <c r="D2407" t="s" s="11">
        <v>432</v>
      </c>
      <c r="E2407" t="s" s="11">
        <v>253</v>
      </c>
      <c r="F2407" s="28">
        <v>44238</v>
      </c>
      <c r="G2407" t="s" s="11">
        <v>40</v>
      </c>
      <c r="H2407" s="43">
        <v>26.5</v>
      </c>
      <c r="I2407" s="43">
        <v>16</v>
      </c>
      <c r="J2407" t="s" s="11">
        <v>12344</v>
      </c>
      <c r="K2407" t="s" s="11">
        <v>12345</v>
      </c>
      <c r="L2407" s="17">
        <f>HYPERLINK("http://www.supernovacompanies.com", "www.supernovacompanies.com")</f>
      </c>
      <c r="M2407" s="17">
        <f>HYPERLINK("https://my.pitchbook.com?c=111805-84", "View Company Online")</f>
      </c>
    </row>
    <row r="2408">
      <c r="A2408" t="s" s="10">
        <v>12347</v>
      </c>
      <c r="B2408" t="s" s="10">
        <v>12348</v>
      </c>
      <c r="C2408" t="s" s="10">
        <v>222</v>
      </c>
      <c r="D2408" t="s" s="10">
        <v>223</v>
      </c>
      <c r="E2408" t="s" s="10">
        <v>414</v>
      </c>
      <c r="F2408" s="27">
        <v>45756</v>
      </c>
      <c r="G2408" t="s" s="10">
        <v>4267</v>
      </c>
      <c r="H2408" s="42">
        <v>4</v>
      </c>
      <c r="I2408" s="42">
        <v>16</v>
      </c>
      <c r="J2408" t="s" s="10">
        <v>12349</v>
      </c>
      <c r="K2408" t="s" s="10">
        <v>12350</v>
      </c>
      <c r="L2408" s="16">
        <f>HYPERLINK("http://www.termblocks.com", "www.termblocks.com")</f>
      </c>
      <c r="M2408" s="16">
        <f>HYPERLINK("https://my.pitchbook.com?c=746603-11", "View Company Online")</f>
      </c>
    </row>
    <row r="2409">
      <c r="A2409" t="s" s="11">
        <v>12352</v>
      </c>
      <c r="B2409" t="s" s="11">
        <v>12353</v>
      </c>
      <c r="C2409" t="s" s="11">
        <v>27</v>
      </c>
      <c r="D2409" t="s" s="11">
        <v>70</v>
      </c>
      <c r="E2409" t="s" s="11">
        <v>859</v>
      </c>
      <c r="F2409" s="28">
        <v>45882</v>
      </c>
      <c r="G2409" t="s" s="11">
        <v>607</v>
      </c>
      <c r="H2409" t="s" s="43">
        <v>30</v>
      </c>
      <c r="I2409" s="43">
        <v>16</v>
      </c>
      <c r="J2409" t="s" s="11">
        <v>12354</v>
      </c>
      <c r="K2409" t="s" s="11">
        <v>12355</v>
      </c>
      <c r="L2409" s="17">
        <f>HYPERLINK("http://www.wert.io", "www.wert.io")</f>
      </c>
      <c r="M2409" s="17">
        <f>HYPERLINK("https://my.pitchbook.com?c=462809-98", "View Company Online")</f>
      </c>
    </row>
    <row r="2410">
      <c r="A2410" t="s" s="10">
        <v>12357</v>
      </c>
      <c r="B2410" t="s" s="10">
        <v>12358</v>
      </c>
      <c r="C2410" t="s" s="10">
        <v>60</v>
      </c>
      <c r="D2410" t="s" s="10">
        <v>420</v>
      </c>
      <c r="E2410" t="s" s="10">
        <v>6640</v>
      </c>
      <c r="F2410" s="27">
        <v>45996</v>
      </c>
      <c r="G2410" t="s" s="10">
        <v>40</v>
      </c>
      <c r="H2410" s="42">
        <v>10.2</v>
      </c>
      <c r="I2410" s="42">
        <v>16</v>
      </c>
      <c r="J2410" t="s" s="10">
        <v>12359</v>
      </c>
      <c r="K2410" t="s" s="10">
        <v>12360</v>
      </c>
      <c r="L2410" s="16">
        <f>HYPERLINK("http://www.forwhen.com", "www.forwhen.com")</f>
      </c>
      <c r="M2410" s="16">
        <f>HYPERLINK("https://my.pitchbook.com?c=482338-36", "View Company Online")</f>
      </c>
    </row>
    <row r="2411">
      <c r="A2411" t="s" s="11">
        <v>12362</v>
      </c>
      <c r="B2411" t="s" s="11">
        <v>12363</v>
      </c>
      <c r="C2411" t="s" s="11">
        <v>114</v>
      </c>
      <c r="D2411" t="s" s="11">
        <v>852</v>
      </c>
      <c r="E2411" t="s" s="11">
        <v>137</v>
      </c>
      <c r="F2411" s="28">
        <v>44841</v>
      </c>
      <c r="G2411" t="s" s="11">
        <v>40</v>
      </c>
      <c r="H2411" s="43">
        <v>1.48</v>
      </c>
      <c r="I2411" s="43">
        <v>15.99</v>
      </c>
      <c r="J2411" t="s" s="11">
        <v>12364</v>
      </c>
      <c r="K2411" t="s" s="11">
        <v>12365</v>
      </c>
      <c r="L2411" s="17">
        <f>HYPERLINK("http://www.lendingcrowd.com", "www.lendingcrowd.com")</f>
      </c>
      <c r="M2411" s="17">
        <f>HYPERLINK("https://my.pitchbook.com?c=128371-60", "View Company Online")</f>
      </c>
    </row>
    <row r="2412">
      <c r="A2412" t="s" s="10">
        <v>12367</v>
      </c>
      <c r="B2412" t="s" s="10">
        <v>12368</v>
      </c>
      <c r="C2412" t="s" s="10">
        <v>222</v>
      </c>
      <c r="D2412" t="s" s="10">
        <v>235</v>
      </c>
      <c r="E2412" t="s" s="10">
        <v>253</v>
      </c>
      <c r="F2412" s="27">
        <v>45292</v>
      </c>
      <c r="G2412" t="s" s="10">
        <v>40</v>
      </c>
      <c r="H2412" t="s" s="42">
        <v>30</v>
      </c>
      <c r="I2412" s="42">
        <v>15.99</v>
      </c>
      <c r="J2412" t="s" s="10">
        <v>12369</v>
      </c>
      <c r="K2412" t="s" s="10">
        <v>12370</v>
      </c>
      <c r="L2412" s="16">
        <f>HYPERLINK("http://www.perlstreet.com", "www.perlstreet.com")</f>
      </c>
      <c r="M2412" s="16">
        <f>HYPERLINK("https://my.pitchbook.com?c=266480-20", "View Company Online")</f>
      </c>
    </row>
    <row r="2413">
      <c r="A2413" t="s" s="11">
        <v>12372</v>
      </c>
      <c r="B2413" t="s" s="11">
        <v>12373</v>
      </c>
      <c r="C2413" t="s" s="11">
        <v>164</v>
      </c>
      <c r="D2413" t="s" s="11">
        <v>206</v>
      </c>
      <c r="E2413" t="s" s="11">
        <v>137</v>
      </c>
      <c r="F2413" s="28">
        <v>45100</v>
      </c>
      <c r="G2413" t="s" s="11">
        <v>607</v>
      </c>
      <c r="H2413" t="s" s="43">
        <v>30</v>
      </c>
      <c r="I2413" s="43">
        <v>15.96</v>
      </c>
      <c r="J2413" t="s" s="11">
        <v>12374</v>
      </c>
      <c r="K2413" t="s" s="11">
        <v>12375</v>
      </c>
      <c r="L2413" s="17">
        <f>HYPERLINK("http://www.cashdirector.com", "www.cashdirector.com")</f>
      </c>
      <c r="M2413" s="17">
        <f>HYPERLINK("https://my.pitchbook.com?c=230371-93", "View Company Online")</f>
      </c>
    </row>
    <row r="2414">
      <c r="A2414" t="s" s="10">
        <v>12377</v>
      </c>
      <c r="B2414" t="s" s="10">
        <v>12378</v>
      </c>
      <c r="C2414" t="s" s="10">
        <v>46</v>
      </c>
      <c r="D2414" t="s" s="10">
        <v>915</v>
      </c>
      <c r="E2414" t="s" s="10">
        <v>373</v>
      </c>
      <c r="F2414" s="27">
        <v>45232</v>
      </c>
      <c r="G2414" t="s" s="10">
        <v>4267</v>
      </c>
      <c r="H2414" s="42">
        <v>3</v>
      </c>
      <c r="I2414" s="42">
        <v>15.96</v>
      </c>
      <c r="J2414" t="s" s="10">
        <v>12379</v>
      </c>
      <c r="K2414" t="s" s="10">
        <v>12380</v>
      </c>
      <c r="L2414" s="16">
        <f>HYPERLINK("http://www.clockwork.ai", "www.clockwork.ai")</f>
      </c>
      <c r="M2414" s="16">
        <f>HYPERLINK("https://my.pitchbook.com?c=435723-13", "View Company Online")</f>
      </c>
    </row>
    <row r="2415">
      <c r="A2415" t="s" s="11">
        <v>12382</v>
      </c>
      <c r="B2415" t="s" s="11">
        <v>12383</v>
      </c>
      <c r="C2415" t="s" s="11">
        <v>128</v>
      </c>
      <c r="D2415" t="s" s="11">
        <v>129</v>
      </c>
      <c r="E2415" t="s" s="11">
        <v>4300</v>
      </c>
      <c r="F2415" t="s" s="28">
        <v>30</v>
      </c>
      <c r="G2415" t="s" s="11">
        <v>146</v>
      </c>
      <c r="H2415" t="s" s="43">
        <v>30</v>
      </c>
      <c r="I2415" s="43">
        <v>15.95</v>
      </c>
      <c r="J2415" t="s" s="11">
        <v>12384</v>
      </c>
      <c r="K2415" t="s" s="11">
        <v>12385</v>
      </c>
      <c r="L2415" s="17">
        <f>HYPERLINK("http://www.reworth.co", "www.reworth.co")</f>
      </c>
      <c r="M2415" s="17">
        <f>HYPERLINK("https://my.pitchbook.com?c=463945-06", "View Company Online")</f>
      </c>
    </row>
    <row r="2416">
      <c r="A2416" t="s" s="10">
        <v>12387</v>
      </c>
      <c r="B2416" t="s" s="10">
        <v>12388</v>
      </c>
      <c r="C2416" t="s" s="10">
        <v>60</v>
      </c>
      <c r="D2416" t="s" s="10">
        <v>432</v>
      </c>
      <c r="E2416" t="s" s="10">
        <v>253</v>
      </c>
      <c r="F2416" s="27">
        <v>45597</v>
      </c>
      <c r="G2416" t="s" s="10">
        <v>40</v>
      </c>
      <c r="H2416" t="s" s="42">
        <v>30</v>
      </c>
      <c r="I2416" s="42">
        <v>15.94</v>
      </c>
      <c r="J2416" t="s" s="10">
        <v>12389</v>
      </c>
      <c r="K2416" t="s" s="10">
        <v>12390</v>
      </c>
      <c r="L2416" s="16">
        <f>HYPERLINK("http://www.fintso.com", "www.fintso.com")</f>
      </c>
      <c r="M2416" s="16">
        <f>HYPERLINK("https://my.pitchbook.com?c=433293-49", "View Company Online")</f>
      </c>
    </row>
    <row r="2417">
      <c r="A2417" t="s" s="11">
        <v>12392</v>
      </c>
      <c r="B2417" t="s" s="11">
        <v>12393</v>
      </c>
      <c r="C2417" t="s" s="11">
        <v>144</v>
      </c>
      <c r="D2417" t="s" s="11">
        <v>297</v>
      </c>
      <c r="E2417" t="s" s="11">
        <v>253</v>
      </c>
      <c r="F2417" s="28">
        <v>46211</v>
      </c>
      <c r="G2417" t="s" s="11">
        <v>146</v>
      </c>
      <c r="H2417" s="43">
        <v>4</v>
      </c>
      <c r="I2417" s="43">
        <v>15.93</v>
      </c>
      <c r="J2417" t="s" s="11">
        <v>12394</v>
      </c>
      <c r="K2417" t="s" s="11">
        <v>12395</v>
      </c>
      <c r="L2417" s="17">
        <f>HYPERLINK("http://www.frontlands.com", "www.frontlands.com")</f>
      </c>
      <c r="M2417" s="17">
        <f>HYPERLINK("https://my.pitchbook.com?c=715442-77", "View Company Online")</f>
      </c>
    </row>
    <row r="2418">
      <c r="A2418" t="s" s="10">
        <v>12397</v>
      </c>
      <c r="B2418" t="s" s="10">
        <v>12398</v>
      </c>
      <c r="C2418" t="s" s="10">
        <v>37</v>
      </c>
      <c r="D2418" t="s" s="10">
        <v>38</v>
      </c>
      <c r="E2418" t="s" s="10">
        <v>270</v>
      </c>
      <c r="F2418" s="27">
        <v>44701</v>
      </c>
      <c r="G2418" t="s" s="10">
        <v>4267</v>
      </c>
      <c r="H2418" s="42">
        <v>6.43</v>
      </c>
      <c r="I2418" s="42">
        <v>15.93</v>
      </c>
      <c r="J2418" t="s" s="10">
        <v>12399</v>
      </c>
      <c r="K2418" t="s" s="10">
        <v>12400</v>
      </c>
      <c r="L2418" s="16">
        <f>HYPERLINK("http://www.rellevate.com", "www.rellevate.com")</f>
      </c>
      <c r="M2418" s="16">
        <f>HYPERLINK("https://my.pitchbook.com?c=438496-93", "View Company Online")</f>
      </c>
    </row>
    <row r="2419">
      <c r="A2419" t="s" s="11">
        <v>12402</v>
      </c>
      <c r="B2419" t="s" s="11">
        <v>12403</v>
      </c>
      <c r="C2419" t="s" s="11">
        <v>60</v>
      </c>
      <c r="D2419" t="s" s="11">
        <v>727</v>
      </c>
      <c r="E2419" t="s" s="11">
        <v>253</v>
      </c>
      <c r="F2419" s="28">
        <v>45231</v>
      </c>
      <c r="G2419" t="s" s="11">
        <v>146</v>
      </c>
      <c r="H2419" t="s" s="43">
        <v>30</v>
      </c>
      <c r="I2419" s="43">
        <v>15.93</v>
      </c>
      <c r="J2419" t="s" s="11">
        <v>12404</v>
      </c>
      <c r="K2419" t="s" s="11">
        <v>12405</v>
      </c>
      <c r="L2419" s="17">
        <f>HYPERLINK("http://www.vint.co", "www.vint.co")</f>
      </c>
      <c r="M2419" s="17">
        <f>HYPERLINK("https://my.pitchbook.com?c=482146-57", "View Company Online")</f>
      </c>
    </row>
    <row r="2420">
      <c r="A2420" t="s" s="10">
        <v>12407</v>
      </c>
      <c r="B2420" t="s" s="10">
        <v>12408</v>
      </c>
      <c r="C2420" t="s" s="10">
        <v>164</v>
      </c>
      <c r="D2420" t="s" s="10">
        <v>165</v>
      </c>
      <c r="E2420" t="s" s="10">
        <v>373</v>
      </c>
      <c r="F2420" s="27">
        <v>45743</v>
      </c>
      <c r="G2420" t="s" s="10">
        <v>607</v>
      </c>
      <c r="H2420" t="s" s="42">
        <v>30</v>
      </c>
      <c r="I2420" s="42">
        <v>15.91</v>
      </c>
      <c r="J2420" t="s" s="10">
        <v>12409</v>
      </c>
      <c r="K2420" t="s" s="10">
        <v>12410</v>
      </c>
      <c r="L2420" s="16">
        <f>HYPERLINK("http://www.cardoai.com", "www.cardoai.com")</f>
      </c>
      <c r="M2420" s="16">
        <f>HYPERLINK("https://my.pitchbook.com?c=265390-84", "View Company Online")</f>
      </c>
    </row>
    <row r="2421">
      <c r="A2421" t="s" s="11">
        <v>12412</v>
      </c>
      <c r="B2421" t="s" s="11">
        <v>12413</v>
      </c>
      <c r="C2421" t="s" s="11">
        <v>222</v>
      </c>
      <c r="D2421" t="s" s="11">
        <v>235</v>
      </c>
      <c r="E2421" t="s" s="11">
        <v>916</v>
      </c>
      <c r="F2421" s="28">
        <v>45257</v>
      </c>
      <c r="G2421" t="s" s="11">
        <v>40</v>
      </c>
      <c r="H2421" t="s" s="43">
        <v>30</v>
      </c>
      <c r="I2421" s="43">
        <v>15.9</v>
      </c>
      <c r="J2421" t="s" s="11">
        <v>12414</v>
      </c>
      <c r="K2421" t="s" s="11">
        <v>12415</v>
      </c>
      <c r="L2421" s="17">
        <f>HYPERLINK("http://www.foundernest.com", "www.foundernest.com")</f>
      </c>
      <c r="M2421" s="17">
        <f>HYPERLINK("https://my.pitchbook.com?c=231163-84", "View Company Online")</f>
      </c>
    </row>
    <row r="2422">
      <c r="A2422" t="s" s="10">
        <v>12417</v>
      </c>
      <c r="B2422" t="s" s="10">
        <v>12418</v>
      </c>
      <c r="C2422" t="s" s="10">
        <v>144</v>
      </c>
      <c r="D2422" t="s" s="10">
        <v>297</v>
      </c>
      <c r="E2422" t="s" s="10">
        <v>137</v>
      </c>
      <c r="F2422" s="27">
        <v>45642</v>
      </c>
      <c r="G2422" t="s" s="10">
        <v>4267</v>
      </c>
      <c r="H2422" s="42">
        <v>6.16</v>
      </c>
      <c r="I2422" s="42">
        <v>15.88</v>
      </c>
      <c r="J2422" t="s" s="10">
        <v>12419</v>
      </c>
      <c r="K2422" t="s" s="10">
        <v>12420</v>
      </c>
      <c r="L2422" s="16">
        <f>HYPERLINK("http://www.yoii.jp", "www.yoii.jp")</f>
      </c>
      <c r="M2422" s="16">
        <f>HYPERLINK("https://my.pitchbook.com?c=482368-33", "View Company Online")</f>
      </c>
    </row>
    <row r="2423">
      <c r="A2423" t="s" s="11">
        <v>12422</v>
      </c>
      <c r="B2423" t="s" s="11">
        <v>12423</v>
      </c>
      <c r="C2423" t="s" s="11">
        <v>60</v>
      </c>
      <c r="D2423" t="s" s="11">
        <v>192</v>
      </c>
      <c r="E2423" t="s" s="11">
        <v>193</v>
      </c>
      <c r="F2423" s="28">
        <v>45155</v>
      </c>
      <c r="G2423" t="s" s="11">
        <v>4267</v>
      </c>
      <c r="H2423" s="43">
        <v>3.84</v>
      </c>
      <c r="I2423" s="43">
        <v>15.86</v>
      </c>
      <c r="J2423" t="s" s="11">
        <v>12424</v>
      </c>
      <c r="K2423" t="s" s="11">
        <v>12425</v>
      </c>
      <c r="L2423" s="17">
        <f>HYPERLINK("http://www.communionsaves.com", "www.communionsaves.com")</f>
      </c>
      <c r="M2423" s="17">
        <f>HYPERLINK("https://my.pitchbook.com?c=529046-92", "View Company Online")</f>
      </c>
    </row>
    <row r="2424">
      <c r="A2424" t="s" s="10">
        <v>12427</v>
      </c>
      <c r="B2424" t="s" s="10">
        <v>12428</v>
      </c>
      <c r="C2424" t="s" s="10">
        <v>172</v>
      </c>
      <c r="D2424" t="s" s="10">
        <v>173</v>
      </c>
      <c r="E2424" t="s" s="10">
        <v>465</v>
      </c>
      <c r="F2424" t="s" s="27">
        <v>30</v>
      </c>
      <c r="G2424" t="s" s="10">
        <v>607</v>
      </c>
      <c r="H2424" t="s" s="42">
        <v>30</v>
      </c>
      <c r="I2424" s="42">
        <v>15.86</v>
      </c>
      <c r="J2424" t="s" s="10">
        <v>12429</v>
      </c>
      <c r="K2424" t="s" s="10">
        <v>12430</v>
      </c>
      <c r="L2424" s="16">
        <f>HYPERLINK("http://www.saffe.ai", "www.saffe.ai")</f>
      </c>
      <c r="M2424" s="16">
        <f>HYPERLINK("https://my.pitchbook.com?c=172819-45", "View Company Online")</f>
      </c>
    </row>
    <row r="2425">
      <c r="A2425" t="s" s="11">
        <v>12432</v>
      </c>
      <c r="B2425" t="s" s="11">
        <v>12433</v>
      </c>
      <c r="C2425" t="s" s="11">
        <v>27</v>
      </c>
      <c r="D2425" t="s" s="11">
        <v>28</v>
      </c>
      <c r="E2425" t="s" s="11">
        <v>3776</v>
      </c>
      <c r="F2425" s="28">
        <v>43013</v>
      </c>
      <c r="G2425" t="s" s="11">
        <v>146</v>
      </c>
      <c r="H2425" s="43">
        <v>1.58</v>
      </c>
      <c r="I2425" s="43">
        <v>15.84</v>
      </c>
      <c r="J2425" t="s" s="11">
        <v>12434</v>
      </c>
      <c r="K2425" t="s" s="11">
        <v>12435</v>
      </c>
      <c r="L2425" s="17">
        <f>HYPERLINK("http://www.payever.de", "www.payever.de")</f>
      </c>
      <c r="M2425" s="17">
        <f>HYPERLINK("https://my.pitchbook.com?c=92515-96", "View Company Online")</f>
      </c>
    </row>
    <row r="2426">
      <c r="A2426" t="s" s="10">
        <v>12437</v>
      </c>
      <c r="B2426" t="s" s="10">
        <v>12438</v>
      </c>
      <c r="C2426" t="s" s="10">
        <v>222</v>
      </c>
      <c r="D2426" t="s" s="10">
        <v>223</v>
      </c>
      <c r="E2426" t="s" s="10">
        <v>367</v>
      </c>
      <c r="F2426" s="27">
        <v>45580</v>
      </c>
      <c r="G2426" t="s" s="10">
        <v>40</v>
      </c>
      <c r="H2426" s="42">
        <v>5.83</v>
      </c>
      <c r="I2426" s="42">
        <v>15.83</v>
      </c>
      <c r="J2426" t="s" s="10">
        <v>12439</v>
      </c>
      <c r="K2426" t="s" s="10">
        <v>12440</v>
      </c>
      <c r="L2426" s="16">
        <f>HYPERLINK("http://www.osyte.com", "www.osyte.com")</f>
      </c>
      <c r="M2426" s="16">
        <f>HYPERLINK("https://my.pitchbook.com?c=277215-04", "View Company Online")</f>
      </c>
    </row>
    <row r="2427">
      <c r="A2427" t="s" s="11">
        <v>12442</v>
      </c>
      <c r="B2427" t="s" s="11">
        <v>12443</v>
      </c>
      <c r="C2427" t="s" s="11">
        <v>128</v>
      </c>
      <c r="D2427" t="s" s="11">
        <v>129</v>
      </c>
      <c r="E2427" t="s" s="11">
        <v>158</v>
      </c>
      <c r="F2427" s="28">
        <v>45597</v>
      </c>
      <c r="G2427" t="s" s="11">
        <v>40</v>
      </c>
      <c r="H2427" t="s" s="43">
        <v>30</v>
      </c>
      <c r="I2427" s="43">
        <v>15.8</v>
      </c>
      <c r="J2427" t="s" s="11">
        <v>12444</v>
      </c>
      <c r="K2427" t="s" s="11">
        <v>12445</v>
      </c>
      <c r="L2427" s="17">
        <f>HYPERLINK("http://www.bridgemoney.co", "www.bridgemoney.co")</f>
      </c>
      <c r="M2427" s="17">
        <f>HYPERLINK("https://my.pitchbook.com?c=433936-18", "View Company Online")</f>
      </c>
    </row>
    <row r="2428">
      <c r="A2428" t="s" s="10">
        <v>12447</v>
      </c>
      <c r="B2428" t="s" s="10">
        <v>12448</v>
      </c>
      <c r="C2428" t="s" s="10">
        <v>60</v>
      </c>
      <c r="D2428" t="s" s="10">
        <v>192</v>
      </c>
      <c r="E2428" t="s" s="10">
        <v>6920</v>
      </c>
      <c r="F2428" t="s" s="27">
        <v>30</v>
      </c>
      <c r="G2428" t="s" s="10">
        <v>607</v>
      </c>
      <c r="H2428" s="42">
        <v>0.13</v>
      </c>
      <c r="I2428" s="42">
        <v>15.8</v>
      </c>
      <c r="J2428" t="s" s="10">
        <v>12449</v>
      </c>
      <c r="K2428" t="s" s="10">
        <v>12450</v>
      </c>
      <c r="L2428" s="16">
        <f>HYPERLINK("http://www.edda.co", "www.edda.co")</f>
      </c>
      <c r="M2428" s="16">
        <f>HYPERLINK("https://my.pitchbook.com?c=222566-32", "View Company Online")</f>
      </c>
    </row>
    <row r="2429">
      <c r="A2429" t="s" s="11">
        <v>12452</v>
      </c>
      <c r="B2429" t="s" s="11">
        <v>12453</v>
      </c>
      <c r="C2429" t="s" s="11">
        <v>128</v>
      </c>
      <c r="D2429" t="s" s="11">
        <v>276</v>
      </c>
      <c r="E2429" t="s" s="11">
        <v>270</v>
      </c>
      <c r="F2429" t="s" s="28">
        <v>30</v>
      </c>
      <c r="G2429" t="s" s="11">
        <v>48</v>
      </c>
      <c r="H2429" t="s" s="43">
        <v>30</v>
      </c>
      <c r="I2429" s="43">
        <v>15.79</v>
      </c>
      <c r="J2429" t="s" s="11">
        <v>12454</v>
      </c>
      <c r="K2429" t="s" s="11">
        <v>12455</v>
      </c>
      <c r="L2429" s="17">
        <f>HYPERLINK("http://www.dhanipay.in", "www.dhanipay.in")</f>
      </c>
      <c r="M2429" s="17">
        <f>HYPERLINK("https://my.pitchbook.com?c=54817-39", "View Company Online")</f>
      </c>
    </row>
    <row r="2430">
      <c r="A2430" t="s" s="10">
        <v>12457</v>
      </c>
      <c r="B2430" t="s" s="10">
        <v>12458</v>
      </c>
      <c r="C2430" t="s" s="10">
        <v>27</v>
      </c>
      <c r="D2430" t="s" s="10">
        <v>28</v>
      </c>
      <c r="E2430" t="s" s="10">
        <v>973</v>
      </c>
      <c r="F2430" s="27">
        <v>45223</v>
      </c>
      <c r="G2430" t="s" s="10">
        <v>4267</v>
      </c>
      <c r="H2430" s="42">
        <v>2.75</v>
      </c>
      <c r="I2430" s="42">
        <v>15.75</v>
      </c>
      <c r="J2430" t="s" s="10">
        <v>12459</v>
      </c>
      <c r="K2430" t="s" s="10">
        <v>12460</v>
      </c>
      <c r="L2430" s="16">
        <f>HYPERLINK("http://www.nodeconnects.com", "www.nodeconnects.com")</f>
      </c>
      <c r="M2430" s="16">
        <f>HYPERLINK("https://my.pitchbook.com?c=538919-38", "View Company Online")</f>
      </c>
    </row>
    <row r="2431">
      <c r="A2431" t="s" s="11">
        <v>12462</v>
      </c>
      <c r="B2431" t="s" s="11">
        <v>12463</v>
      </c>
      <c r="C2431" t="s" s="11">
        <v>164</v>
      </c>
      <c r="D2431" t="s" s="11">
        <v>206</v>
      </c>
      <c r="E2431" t="s" s="11">
        <v>193</v>
      </c>
      <c r="F2431" s="28">
        <v>45882</v>
      </c>
      <c r="G2431" t="s" s="11">
        <v>40</v>
      </c>
      <c r="H2431" t="s" s="43">
        <v>30</v>
      </c>
      <c r="I2431" s="43">
        <v>15.7</v>
      </c>
      <c r="J2431" t="s" s="11">
        <v>12464</v>
      </c>
      <c r="K2431" t="s" s="11">
        <v>12465</v>
      </c>
      <c r="L2431" s="17">
        <f>HYPERLINK("http://www.eko.investments", "www.eko.investments")</f>
      </c>
      <c r="M2431" s="17">
        <f>HYPERLINK("https://my.pitchbook.com?c=519028-21", "View Company Online")</f>
      </c>
    </row>
    <row r="2432">
      <c r="A2432" t="s" s="10">
        <v>12467</v>
      </c>
      <c r="B2432" t="s" s="10">
        <v>12468</v>
      </c>
      <c r="C2432" t="s" s="10">
        <v>114</v>
      </c>
      <c r="D2432" t="s" s="10">
        <v>852</v>
      </c>
      <c r="E2432" t="s" s="10">
        <v>253</v>
      </c>
      <c r="F2432" s="27">
        <v>44914</v>
      </c>
      <c r="G2432" t="s" s="10">
        <v>146</v>
      </c>
      <c r="H2432" s="42">
        <v>3.14</v>
      </c>
      <c r="I2432" s="42">
        <v>15.67</v>
      </c>
      <c r="J2432" t="s" s="10">
        <v>12469</v>
      </c>
      <c r="K2432" t="s" s="10">
        <v>12470</v>
      </c>
      <c r="L2432" s="16">
        <f>HYPERLINK("http://www.covalt.eu", "www.covalt.eu")</f>
      </c>
      <c r="M2432" s="16">
        <f>HYPERLINK("https://my.pitchbook.com?c=516972-34", "View Company Online")</f>
      </c>
    </row>
    <row r="2433">
      <c r="A2433" t="s" s="11">
        <v>12472</v>
      </c>
      <c r="B2433" t="s" s="11">
        <v>12473</v>
      </c>
      <c r="C2433" t="s" s="11">
        <v>27</v>
      </c>
      <c r="D2433" t="s" s="11">
        <v>28</v>
      </c>
      <c r="E2433" t="s" s="11">
        <v>193</v>
      </c>
      <c r="F2433" s="28">
        <v>44991</v>
      </c>
      <c r="G2433" t="s" s="11">
        <v>40</v>
      </c>
      <c r="H2433" s="43">
        <v>0.12</v>
      </c>
      <c r="I2433" s="43">
        <v>15.67</v>
      </c>
      <c r="J2433" t="s" s="11">
        <v>12474</v>
      </c>
      <c r="K2433" t="s" s="11">
        <v>30</v>
      </c>
      <c r="L2433" s="17">
        <f>HYPERLINK("http://www.grafterr.com", "www.grafterr.com")</f>
      </c>
      <c r="M2433" s="17">
        <f>HYPERLINK("https://my.pitchbook.com?c=432437-32", "View Company Online")</f>
      </c>
    </row>
    <row r="2434">
      <c r="A2434" t="s" s="10">
        <v>12476</v>
      </c>
      <c r="B2434" t="s" s="10">
        <v>12477</v>
      </c>
      <c r="C2434" t="s" s="10">
        <v>144</v>
      </c>
      <c r="D2434" t="s" s="10">
        <v>38</v>
      </c>
      <c r="E2434" t="s" s="10">
        <v>1006</v>
      </c>
      <c r="F2434" t="s" s="27">
        <v>30</v>
      </c>
      <c r="G2434" t="s" s="10">
        <v>40</v>
      </c>
      <c r="H2434" t="s" s="42">
        <v>30</v>
      </c>
      <c r="I2434" s="42">
        <v>15.65</v>
      </c>
      <c r="J2434" t="s" s="10">
        <v>12478</v>
      </c>
      <c r="K2434" t="s" s="10">
        <v>12479</v>
      </c>
      <c r="L2434" s="16">
        <f>HYPERLINK("http://www.4g-capital.com", "www.4g-capital.com")</f>
      </c>
      <c r="M2434" s="16">
        <f>HYPERLINK("https://my.pitchbook.com?c=167533-75", "View Company Online")</f>
      </c>
    </row>
    <row r="2435">
      <c r="A2435" t="s" s="11">
        <v>12481</v>
      </c>
      <c r="B2435" t="s" s="11">
        <v>12482</v>
      </c>
      <c r="C2435" t="s" s="11">
        <v>27</v>
      </c>
      <c r="D2435" t="s" s="11">
        <v>28</v>
      </c>
      <c r="E2435" t="s" s="11">
        <v>373</v>
      </c>
      <c r="F2435" s="28">
        <v>45413</v>
      </c>
      <c r="G2435" t="s" s="11">
        <v>607</v>
      </c>
      <c r="H2435" t="s" s="43">
        <v>30</v>
      </c>
      <c r="I2435" s="43">
        <v>15.58</v>
      </c>
      <c r="J2435" t="s" s="11">
        <v>12483</v>
      </c>
      <c r="K2435" t="s" s="11">
        <v>12484</v>
      </c>
      <c r="L2435" s="17">
        <f>HYPERLINK("http://www.fennech.com", "www.fennech.com")</f>
      </c>
      <c r="M2435" s="17">
        <f>HYPERLINK("https://my.pitchbook.com?c=437306-59", "View Company Online")</f>
      </c>
    </row>
    <row r="2436">
      <c r="A2436" t="s" s="10">
        <v>12486</v>
      </c>
      <c r="B2436" t="s" s="10">
        <v>12487</v>
      </c>
      <c r="C2436" t="s" s="10">
        <v>46</v>
      </c>
      <c r="D2436" t="s" s="10">
        <v>397</v>
      </c>
      <c r="E2436" t="s" s="10">
        <v>1964</v>
      </c>
      <c r="F2436" t="s" s="27">
        <v>30</v>
      </c>
      <c r="G2436" t="s" s="10">
        <v>146</v>
      </c>
      <c r="H2436" t="s" s="42">
        <v>30</v>
      </c>
      <c r="I2436" s="42">
        <v>15.58</v>
      </c>
      <c r="J2436" t="s" s="10">
        <v>12488</v>
      </c>
      <c r="K2436" t="s" s="10">
        <v>12489</v>
      </c>
      <c r="L2436" s="16">
        <f>HYPERLINK("http://www.gonumeral.com", "www.gonumeral.com")</f>
      </c>
      <c r="M2436" s="16">
        <f>HYPERLINK("https://my.pitchbook.com?c=518028-13", "View Company Online")</f>
      </c>
    </row>
    <row r="2437">
      <c r="A2437" t="s" s="11">
        <v>12491</v>
      </c>
      <c r="B2437" t="s" s="11">
        <v>12492</v>
      </c>
      <c r="C2437" t="s" s="11">
        <v>222</v>
      </c>
      <c r="D2437" t="s" s="11">
        <v>252</v>
      </c>
      <c r="E2437" t="s" s="11">
        <v>634</v>
      </c>
      <c r="F2437" s="28">
        <v>45557</v>
      </c>
      <c r="G2437" t="s" s="11">
        <v>4267</v>
      </c>
      <c r="H2437" s="43">
        <v>6.43</v>
      </c>
      <c r="I2437" s="43">
        <v>15.56</v>
      </c>
      <c r="J2437" t="s" s="11">
        <v>12493</v>
      </c>
      <c r="K2437" t="s" s="11">
        <v>12494</v>
      </c>
      <c r="L2437" s="17">
        <f>HYPERLINK("http://www.ableinsights.com", "www.ableinsights.com")</f>
      </c>
      <c r="M2437" s="17">
        <f>HYPERLINK("https://my.pitchbook.com?c=439050-34", "View Company Online")</f>
      </c>
    </row>
    <row r="2438">
      <c r="A2438" t="s" s="10">
        <v>12496</v>
      </c>
      <c r="B2438" t="s" s="10">
        <v>12497</v>
      </c>
      <c r="C2438" t="s" s="10">
        <v>222</v>
      </c>
      <c r="D2438" t="s" s="10">
        <v>537</v>
      </c>
      <c r="E2438" t="s" s="10">
        <v>10539</v>
      </c>
      <c r="F2438" s="27">
        <v>45463</v>
      </c>
      <c r="G2438" t="s" s="10">
        <v>4267</v>
      </c>
      <c r="H2438" s="42">
        <v>5.53</v>
      </c>
      <c r="I2438" s="42">
        <v>15.53</v>
      </c>
      <c r="J2438" t="s" s="10">
        <v>12498</v>
      </c>
      <c r="K2438" t="s" s="10">
        <v>30</v>
      </c>
      <c r="L2438" s="16">
        <f>HYPERLINK("http://www.tradeoff.com", "www.tradeoff.com")</f>
      </c>
      <c r="M2438" s="16">
        <f>HYPERLINK("https://my.pitchbook.com?c=180681-76", "View Company Online")</f>
      </c>
    </row>
    <row r="2439">
      <c r="A2439" t="s" s="11">
        <v>12500</v>
      </c>
      <c r="B2439" t="s" s="11">
        <v>12501</v>
      </c>
      <c r="C2439" t="s" s="11">
        <v>172</v>
      </c>
      <c r="D2439" t="s" s="11">
        <v>338</v>
      </c>
      <c r="E2439" t="s" s="11">
        <v>12502</v>
      </c>
      <c r="F2439" s="28">
        <v>45903</v>
      </c>
      <c r="G2439" t="s" s="11">
        <v>4267</v>
      </c>
      <c r="H2439" s="43">
        <v>4.2</v>
      </c>
      <c r="I2439" s="43">
        <v>15.51</v>
      </c>
      <c r="J2439" t="s" s="11">
        <v>12503</v>
      </c>
      <c r="K2439" t="s" s="11">
        <v>12504</v>
      </c>
      <c r="L2439" s="17">
        <f>HYPERLINK("http://www.eunice.ai", "www.eunice.ai")</f>
      </c>
      <c r="M2439" s="17">
        <f>HYPERLINK("https://my.pitchbook.com?c=537311-26", "View Company Online")</f>
      </c>
    </row>
    <row r="2440">
      <c r="A2440" t="s" s="10">
        <v>12506</v>
      </c>
      <c r="B2440" t="s" s="10">
        <v>12507</v>
      </c>
      <c r="C2440" t="s" s="10">
        <v>60</v>
      </c>
      <c r="D2440" t="s" s="10">
        <v>246</v>
      </c>
      <c r="E2440" t="s" s="10">
        <v>270</v>
      </c>
      <c r="F2440" s="27">
        <v>45720</v>
      </c>
      <c r="G2440" t="s" s="10">
        <v>4267</v>
      </c>
      <c r="H2440" s="42">
        <v>3</v>
      </c>
      <c r="I2440" s="42">
        <v>15.5</v>
      </c>
      <c r="J2440" t="s" s="10">
        <v>12508</v>
      </c>
      <c r="K2440" t="s" s="10">
        <v>12509</v>
      </c>
      <c r="L2440" s="16">
        <f>HYPERLINK("http://www.deciml.in", "www.deciml.in")</f>
      </c>
      <c r="M2440" s="16">
        <f>HYPERLINK("https://my.pitchbook.com?c=497662-12", "View Company Online")</f>
      </c>
    </row>
    <row r="2441">
      <c r="A2441" t="s" s="11">
        <v>12511</v>
      </c>
      <c r="B2441" t="s" s="11">
        <v>12512</v>
      </c>
      <c r="C2441" t="s" s="11">
        <v>60</v>
      </c>
      <c r="D2441" t="s" s="11">
        <v>192</v>
      </c>
      <c r="E2441" t="s" s="11">
        <v>270</v>
      </c>
      <c r="F2441" s="28">
        <v>46062</v>
      </c>
      <c r="G2441" t="s" s="11">
        <v>4267</v>
      </c>
      <c r="H2441" s="43">
        <v>2.06</v>
      </c>
      <c r="I2441" s="43">
        <v>15.5</v>
      </c>
      <c r="J2441" t="s" s="11">
        <v>12513</v>
      </c>
      <c r="K2441" t="s" s="11">
        <v>12514</v>
      </c>
      <c r="L2441" s="17">
        <f>HYPERLINK("http://www.futuremoney.co", "www.futuremoney.co")</f>
      </c>
      <c r="M2441" s="17">
        <f>HYPERLINK("https://my.pitchbook.com?c=520933-15", "View Company Online")</f>
      </c>
    </row>
    <row r="2442">
      <c r="A2442" t="s" s="10">
        <v>12516</v>
      </c>
      <c r="B2442" t="s" s="10">
        <v>12517</v>
      </c>
      <c r="C2442" t="s" s="10">
        <v>222</v>
      </c>
      <c r="D2442" t="s" s="10">
        <v>223</v>
      </c>
      <c r="E2442" t="s" s="10">
        <v>367</v>
      </c>
      <c r="F2442" s="27">
        <v>43279</v>
      </c>
      <c r="G2442" t="s" s="10">
        <v>146</v>
      </c>
      <c r="H2442" s="42">
        <v>1.55</v>
      </c>
      <c r="I2442" s="42">
        <v>15.5</v>
      </c>
      <c r="J2442" t="s" s="10">
        <v>12518</v>
      </c>
      <c r="K2442" t="s" s="10">
        <v>30</v>
      </c>
      <c r="L2442" s="16">
        <f>HYPERLINK("http://www.mogu-ai.com", "www.mogu-ai.com")</f>
      </c>
      <c r="M2442" s="16">
        <f>HYPERLINK("https://my.pitchbook.com?c=431355-61", "View Company Online")</f>
      </c>
    </row>
    <row r="2443">
      <c r="A2443" t="s" s="11">
        <v>12520</v>
      </c>
      <c r="B2443" t="s" s="11">
        <v>12521</v>
      </c>
      <c r="C2443" t="s" s="11">
        <v>27</v>
      </c>
      <c r="D2443" t="s" s="11">
        <v>28</v>
      </c>
      <c r="E2443" t="s" s="11">
        <v>270</v>
      </c>
      <c r="F2443" s="28">
        <v>46113</v>
      </c>
      <c r="G2443" t="s" s="11">
        <v>48</v>
      </c>
      <c r="H2443" t="s" s="43">
        <v>30</v>
      </c>
      <c r="I2443" s="43">
        <v>15.5</v>
      </c>
      <c r="J2443" t="s" s="11">
        <v>12522</v>
      </c>
      <c r="K2443" t="s" s="11">
        <v>12523</v>
      </c>
      <c r="L2443" s="17">
        <f>HYPERLINK("http://www.supportpay.com", "www.supportpay.com")</f>
      </c>
      <c r="M2443" s="17">
        <f>HYPERLINK("https://my.pitchbook.com?c=489897-19", "View Company Online")</f>
      </c>
    </row>
    <row r="2444">
      <c r="A2444" t="s" s="10">
        <v>12525</v>
      </c>
      <c r="B2444" t="s" s="10">
        <v>12526</v>
      </c>
      <c r="C2444" t="s" s="10">
        <v>27</v>
      </c>
      <c r="D2444" t="s" s="10">
        <v>28</v>
      </c>
      <c r="E2444" t="s" s="10">
        <v>2897</v>
      </c>
      <c r="F2444" s="27">
        <v>46113</v>
      </c>
      <c r="G2444" t="s" s="10">
        <v>48</v>
      </c>
      <c r="H2444" t="s" s="42">
        <v>30</v>
      </c>
      <c r="I2444" s="42">
        <v>15.49</v>
      </c>
      <c r="J2444" t="s" s="10">
        <v>12527</v>
      </c>
      <c r="K2444" t="s" s="10">
        <v>12528</v>
      </c>
      <c r="L2444" s="16">
        <f>HYPERLINK("http://www.paylead.fr", "www.paylead.fr")</f>
      </c>
      <c r="M2444" s="16">
        <f>HYPERLINK("https://my.pitchbook.com?c=264579-31", "View Company Online")</f>
      </c>
    </row>
    <row r="2445">
      <c r="A2445" t="s" s="11">
        <v>12530</v>
      </c>
      <c r="B2445" t="s" s="11">
        <v>12531</v>
      </c>
      <c r="C2445" t="s" s="11">
        <v>164</v>
      </c>
      <c r="D2445" t="s" s="11">
        <v>206</v>
      </c>
      <c r="E2445" t="s" s="11">
        <v>414</v>
      </c>
      <c r="F2445" s="28">
        <v>45385</v>
      </c>
      <c r="G2445" t="s" s="11">
        <v>40</v>
      </c>
      <c r="H2445" s="43">
        <v>10</v>
      </c>
      <c r="I2445" s="43">
        <v>15.48</v>
      </c>
      <c r="J2445" t="s" s="11">
        <v>12532</v>
      </c>
      <c r="K2445" t="s" s="11">
        <v>12533</v>
      </c>
      <c r="L2445" s="17">
        <f>HYPERLINK("http://www.icebergdatalab.com", "www.icebergdatalab.com")</f>
      </c>
      <c r="M2445" s="17">
        <f>HYPERLINK("https://my.pitchbook.com?c=489618-01", "View Company Online")</f>
      </c>
    </row>
    <row r="2446">
      <c r="A2446" t="s" s="10">
        <v>12535</v>
      </c>
      <c r="B2446" t="s" s="10">
        <v>12536</v>
      </c>
      <c r="C2446" t="s" s="10">
        <v>60</v>
      </c>
      <c r="D2446" t="s" s="10">
        <v>727</v>
      </c>
      <c r="E2446" t="s" s="10">
        <v>759</v>
      </c>
      <c r="F2446" s="27">
        <v>44163</v>
      </c>
      <c r="G2446" t="s" s="10">
        <v>40</v>
      </c>
      <c r="H2446" s="42">
        <v>0.69</v>
      </c>
      <c r="I2446" s="42">
        <v>15.47</v>
      </c>
      <c r="J2446" t="s" s="10">
        <v>12537</v>
      </c>
      <c r="K2446" t="s" s="10">
        <v>12538</v>
      </c>
      <c r="L2446" s="16">
        <f>HYPERLINK("http://www.1crowd.co", "www.1crowd.co")</f>
      </c>
      <c r="M2446" s="16">
        <f>HYPERLINK("https://my.pitchbook.com?c=167701-51", "View Company Online")</f>
      </c>
    </row>
    <row r="2447">
      <c r="A2447" t="s" s="11">
        <v>12540</v>
      </c>
      <c r="B2447" t="s" s="11">
        <v>12541</v>
      </c>
      <c r="C2447" t="s" s="11">
        <v>46</v>
      </c>
      <c r="D2447" t="s" s="11">
        <v>47</v>
      </c>
      <c r="E2447" t="s" s="11">
        <v>3383</v>
      </c>
      <c r="F2447" s="28">
        <v>43872</v>
      </c>
      <c r="G2447" t="s" s="11">
        <v>40</v>
      </c>
      <c r="H2447" s="43">
        <v>1.66</v>
      </c>
      <c r="I2447" s="43">
        <v>15.47</v>
      </c>
      <c r="J2447" t="s" s="11">
        <v>12542</v>
      </c>
      <c r="K2447" t="s" s="11">
        <v>12543</v>
      </c>
      <c r="L2447" s="17">
        <f>HYPERLINK("http://www.edebex.com", "www.edebex.com")</f>
      </c>
      <c r="M2447" s="17">
        <f>HYPERLINK("https://my.pitchbook.com?c=171952-30", "View Company Online")</f>
      </c>
    </row>
    <row r="2448">
      <c r="A2448" t="s" s="10">
        <v>12545</v>
      </c>
      <c r="B2448" t="s" s="10">
        <v>12546</v>
      </c>
      <c r="C2448" t="s" s="10">
        <v>128</v>
      </c>
      <c r="D2448" t="s" s="10">
        <v>199</v>
      </c>
      <c r="E2448" t="s" s="10">
        <v>253</v>
      </c>
      <c r="F2448" s="27">
        <v>46125</v>
      </c>
      <c r="G2448" t="s" s="10">
        <v>40</v>
      </c>
      <c r="H2448" s="42">
        <v>5.3</v>
      </c>
      <c r="I2448" s="42">
        <v>15.46</v>
      </c>
      <c r="J2448" t="s" s="10">
        <v>12547</v>
      </c>
      <c r="K2448" t="s" s="10">
        <v>12548</v>
      </c>
      <c r="L2448" s="16">
        <f>HYPERLINK("http://www.joindebbie.com", "www.joindebbie.com")</f>
      </c>
      <c r="M2448" s="16">
        <f>HYPERLINK("https://my.pitchbook.com?c=490134-52", "View Company Online")</f>
      </c>
    </row>
    <row r="2449">
      <c r="A2449" t="s" s="11">
        <v>12550</v>
      </c>
      <c r="B2449" t="s" s="11">
        <v>12551</v>
      </c>
      <c r="C2449" t="s" s="11">
        <v>144</v>
      </c>
      <c r="D2449" t="s" s="11">
        <v>297</v>
      </c>
      <c r="E2449" t="s" s="11">
        <v>634</v>
      </c>
      <c r="F2449" s="28">
        <v>46065</v>
      </c>
      <c r="G2449" t="s" s="11">
        <v>40</v>
      </c>
      <c r="H2449" s="43">
        <v>5.36</v>
      </c>
      <c r="I2449" s="43">
        <v>15.45</v>
      </c>
      <c r="J2449" t="s" s="11">
        <v>12552</v>
      </c>
      <c r="K2449" t="s" s="11">
        <v>12553</v>
      </c>
      <c r="L2449" s="17">
        <f>HYPERLINK("http://www.tangible.finance", "www.tangible.finance")</f>
      </c>
      <c r="M2449" s="17">
        <f>HYPERLINK("https://my.pitchbook.com?c=471327-13", "View Company Online")</f>
      </c>
    </row>
    <row r="2450">
      <c r="A2450" t="s" s="10">
        <v>12555</v>
      </c>
      <c r="B2450" t="s" s="10">
        <v>12556</v>
      </c>
      <c r="C2450" t="s" s="10">
        <v>46</v>
      </c>
      <c r="D2450" t="s" s="10">
        <v>915</v>
      </c>
      <c r="E2450" t="s" s="10">
        <v>253</v>
      </c>
      <c r="F2450" s="27">
        <v>44958</v>
      </c>
      <c r="G2450" t="s" s="10">
        <v>40</v>
      </c>
      <c r="H2450" t="s" s="42">
        <v>30</v>
      </c>
      <c r="I2450" s="42">
        <v>15.35</v>
      </c>
      <c r="J2450" t="s" s="10">
        <v>12557</v>
      </c>
      <c r="K2450" t="s" s="10">
        <v>12558</v>
      </c>
      <c r="L2450" s="16">
        <f>HYPERLINK("http://www.oxceed.com", "www.oxceed.com")</f>
      </c>
      <c r="M2450" s="16">
        <f>HYPERLINK("https://my.pitchbook.com?c=478946-98", "View Company Online")</f>
      </c>
    </row>
    <row r="2451">
      <c r="A2451" t="s" s="11">
        <v>12560</v>
      </c>
      <c r="B2451" t="s" s="11">
        <v>12561</v>
      </c>
      <c r="C2451" t="s" s="11">
        <v>114</v>
      </c>
      <c r="D2451" t="s" s="11">
        <v>136</v>
      </c>
      <c r="E2451" t="s" s="11">
        <v>137</v>
      </c>
      <c r="F2451" s="28">
        <v>44409</v>
      </c>
      <c r="G2451" t="s" s="11">
        <v>48</v>
      </c>
      <c r="H2451" t="s" s="43">
        <v>30</v>
      </c>
      <c r="I2451" s="43">
        <v>15.29</v>
      </c>
      <c r="J2451" t="s" s="11">
        <v>12562</v>
      </c>
      <c r="K2451" t="s" s="11">
        <v>30</v>
      </c>
      <c r="L2451" s="17">
        <f>HYPERLINK("http://www.yelloan.com", "www.yelloan.com")</f>
      </c>
      <c r="M2451" s="17">
        <f>HYPERLINK("https://my.pitchbook.com?c=170686-63", "View Company Online")</f>
      </c>
    </row>
    <row r="2452">
      <c r="A2452" t="s" s="10">
        <v>12564</v>
      </c>
      <c r="B2452" t="s" s="10">
        <v>12565</v>
      </c>
      <c r="C2452" t="s" s="10">
        <v>164</v>
      </c>
      <c r="D2452" t="s" s="10">
        <v>206</v>
      </c>
      <c r="E2452" t="s" s="10">
        <v>270</v>
      </c>
      <c r="F2452" s="27">
        <v>45797</v>
      </c>
      <c r="G2452" t="s" s="10">
        <v>40</v>
      </c>
      <c r="H2452" s="42">
        <v>1.2</v>
      </c>
      <c r="I2452" s="42">
        <v>15.27</v>
      </c>
      <c r="J2452" t="s" s="10">
        <v>12566</v>
      </c>
      <c r="K2452" t="s" s="10">
        <v>12567</v>
      </c>
      <c r="L2452" s="16">
        <f>HYPERLINK("http://www.paysprint.in", "www.paysprint.in")</f>
      </c>
      <c r="M2452" s="16">
        <f>HYPERLINK("https://my.pitchbook.com?c=494981-47", "View Company Online")</f>
      </c>
    </row>
    <row r="2453">
      <c r="A2453" t="s" s="11">
        <v>12569</v>
      </c>
      <c r="B2453" t="s" s="11">
        <v>12570</v>
      </c>
      <c r="C2453" t="s" s="11">
        <v>37</v>
      </c>
      <c r="D2453" t="s" s="11">
        <v>304</v>
      </c>
      <c r="E2453" t="s" s="11">
        <v>193</v>
      </c>
      <c r="F2453" s="28">
        <v>46023</v>
      </c>
      <c r="G2453" t="s" s="11">
        <v>40</v>
      </c>
      <c r="H2453" t="s" s="43">
        <v>30</v>
      </c>
      <c r="I2453" s="43">
        <v>15.2</v>
      </c>
      <c r="J2453" t="s" s="11">
        <v>12571</v>
      </c>
      <c r="K2453" t="s" s="11">
        <v>12572</v>
      </c>
      <c r="L2453" s="17">
        <f>HYPERLINK("http://www.boompay.app", "www.boompay.app")</f>
      </c>
      <c r="M2453" s="17">
        <f>HYPERLINK("https://my.pitchbook.com?c=437938-66", "View Company Online")</f>
      </c>
    </row>
    <row r="2454">
      <c r="A2454" t="s" s="10">
        <v>12574</v>
      </c>
      <c r="B2454" t="s" s="10">
        <v>12575</v>
      </c>
      <c r="C2454" t="s" s="10">
        <v>114</v>
      </c>
      <c r="D2454" t="s" s="10">
        <v>852</v>
      </c>
      <c r="E2454" t="s" s="10">
        <v>414</v>
      </c>
      <c r="F2454" s="27">
        <v>45246</v>
      </c>
      <c r="G2454" t="s" s="10">
        <v>40</v>
      </c>
      <c r="H2454" s="42">
        <v>0.64</v>
      </c>
      <c r="I2454" s="42">
        <v>15.19</v>
      </c>
      <c r="J2454" t="s" s="10">
        <v>12576</v>
      </c>
      <c r="K2454" t="s" s="10">
        <v>12577</v>
      </c>
      <c r="L2454" s="16">
        <f>HYPERLINK("http://www.krea.se", "www.krea.se")</f>
      </c>
      <c r="M2454" s="16">
        <f>HYPERLINK("https://my.pitchbook.com?c=469645-12", "View Company Online")</f>
      </c>
    </row>
    <row r="2455">
      <c r="A2455" t="s" s="11">
        <v>12579</v>
      </c>
      <c r="B2455" t="s" s="11">
        <v>12580</v>
      </c>
      <c r="C2455" t="s" s="11">
        <v>222</v>
      </c>
      <c r="D2455" t="s" s="11">
        <v>537</v>
      </c>
      <c r="E2455" t="s" s="11">
        <v>414</v>
      </c>
      <c r="F2455" s="28">
        <v>44859</v>
      </c>
      <c r="G2455" t="s" s="11">
        <v>40</v>
      </c>
      <c r="H2455" t="s" s="43">
        <v>30</v>
      </c>
      <c r="I2455" s="43">
        <v>15.17</v>
      </c>
      <c r="J2455" t="s" s="11">
        <v>12581</v>
      </c>
      <c r="K2455" t="s" s="11">
        <v>12582</v>
      </c>
      <c r="L2455" s="17">
        <f>HYPERLINK("http://www.kafangtech.com", "www.kafangtech.com")</f>
      </c>
      <c r="M2455" s="17">
        <f>HYPERLINK("https://my.pitchbook.com?c=267354-82", "View Company Online")</f>
      </c>
    </row>
    <row r="2456">
      <c r="A2456" t="s" s="10">
        <v>12584</v>
      </c>
      <c r="B2456" t="s" s="10">
        <v>12585</v>
      </c>
      <c r="C2456" t="s" s="10">
        <v>46</v>
      </c>
      <c r="D2456" t="s" s="10">
        <v>47</v>
      </c>
      <c r="E2456" t="s" s="10">
        <v>253</v>
      </c>
      <c r="F2456" s="27">
        <v>45642</v>
      </c>
      <c r="G2456" t="s" s="10">
        <v>40</v>
      </c>
      <c r="H2456" s="42">
        <v>7.5</v>
      </c>
      <c r="I2456" s="42">
        <v>15.16</v>
      </c>
      <c r="J2456" t="s" s="10">
        <v>12586</v>
      </c>
      <c r="K2456" t="s" s="10">
        <v>12587</v>
      </c>
      <c r="L2456" s="16">
        <f>HYPERLINK("http://www.hostbooks.com", "www.hostbooks.com")</f>
      </c>
      <c r="M2456" s="16">
        <f>HYPERLINK("https://my.pitchbook.com?c=295320-97", "View Company Online")</f>
      </c>
    </row>
    <row r="2457">
      <c r="A2457" t="s" s="11">
        <v>12589</v>
      </c>
      <c r="B2457" t="s" s="11">
        <v>12590</v>
      </c>
      <c r="C2457" t="s" s="11">
        <v>164</v>
      </c>
      <c r="D2457" t="s" s="11">
        <v>206</v>
      </c>
      <c r="E2457" t="s" s="11">
        <v>373</v>
      </c>
      <c r="F2457" s="28">
        <v>45979</v>
      </c>
      <c r="G2457" t="s" s="11">
        <v>146</v>
      </c>
      <c r="H2457" s="43">
        <v>6.39</v>
      </c>
      <c r="I2457" s="43">
        <v>15.13</v>
      </c>
      <c r="J2457" t="s" s="11">
        <v>12591</v>
      </c>
      <c r="K2457" t="s" s="11">
        <v>12592</v>
      </c>
      <c r="L2457" s="17">
        <f>HYPERLINK("http://www.bourn.ai", "www.bourn.ai")</f>
      </c>
      <c r="M2457" s="17">
        <f>HYPERLINK("https://my.pitchbook.com?c=600123-07", "View Company Online")</f>
      </c>
    </row>
    <row r="2458">
      <c r="A2458" t="s" s="10">
        <v>12594</v>
      </c>
      <c r="B2458" t="s" s="10">
        <v>12595</v>
      </c>
      <c r="C2458" t="s" s="10">
        <v>27</v>
      </c>
      <c r="D2458" t="s" s="10">
        <v>28</v>
      </c>
      <c r="E2458" t="s" s="10">
        <v>137</v>
      </c>
      <c r="F2458" s="27">
        <v>45320</v>
      </c>
      <c r="G2458" t="s" s="10">
        <v>4267</v>
      </c>
      <c r="H2458" t="s" s="42">
        <v>30</v>
      </c>
      <c r="I2458" s="42">
        <v>15.11</v>
      </c>
      <c r="J2458" t="s" s="10">
        <v>12596</v>
      </c>
      <c r="K2458" t="s" s="10">
        <v>30</v>
      </c>
      <c r="L2458" s="16">
        <f>HYPERLINK("http://www.gomipayments.com", "www.gomipayments.com")</f>
      </c>
      <c r="M2458" s="16">
        <f>HYPERLINK("https://my.pitchbook.com?c=570287-98", "View Company Online")</f>
      </c>
    </row>
    <row r="2459">
      <c r="A2459" t="s" s="11">
        <v>12598</v>
      </c>
      <c r="B2459" t="s" s="11">
        <v>12599</v>
      </c>
      <c r="C2459" t="s" s="11">
        <v>128</v>
      </c>
      <c r="D2459" t="s" s="11">
        <v>199</v>
      </c>
      <c r="E2459" t="s" s="11">
        <v>270</v>
      </c>
      <c r="F2459" t="s" s="28">
        <v>30</v>
      </c>
      <c r="G2459" t="s" s="11">
        <v>607</v>
      </c>
      <c r="H2459" t="s" s="43">
        <v>30</v>
      </c>
      <c r="I2459" s="43">
        <v>15.1</v>
      </c>
      <c r="J2459" t="s" s="11">
        <v>12600</v>
      </c>
      <c r="K2459" t="s" s="11">
        <v>12601</v>
      </c>
      <c r="L2459" s="17">
        <f>HYPERLINK("http://my.getsimpl.com", "my.getsimpl.com")</f>
      </c>
      <c r="M2459" s="17">
        <f>HYPERLINK("https://my.pitchbook.com?c=166180-87", "View Company Online")</f>
      </c>
    </row>
    <row r="2460">
      <c r="A2460" t="s" s="10">
        <v>12603</v>
      </c>
      <c r="B2460" t="s" s="10">
        <v>12604</v>
      </c>
      <c r="C2460" t="s" s="10">
        <v>164</v>
      </c>
      <c r="D2460" t="s" s="10">
        <v>1678</v>
      </c>
      <c r="E2460" t="s" s="10">
        <v>373</v>
      </c>
      <c r="F2460" s="27">
        <v>46064</v>
      </c>
      <c r="G2460" t="s" s="10">
        <v>4267</v>
      </c>
      <c r="H2460" s="42">
        <v>3.07</v>
      </c>
      <c r="I2460" s="42">
        <v>15.05</v>
      </c>
      <c r="J2460" t="s" s="10">
        <v>12605</v>
      </c>
      <c r="K2460" t="s" s="10">
        <v>12606</v>
      </c>
      <c r="L2460" s="16">
        <f>HYPERLINK("http://www.withporters.com", "www.withporters.com")</f>
      </c>
      <c r="M2460" s="16">
        <f>HYPERLINK("https://my.pitchbook.com?c=1231453-99", "View Company Online")</f>
      </c>
    </row>
    <row r="2461">
      <c r="A2461" t="s" s="11">
        <v>12608</v>
      </c>
      <c r="B2461" t="s" s="11">
        <v>12609</v>
      </c>
      <c r="C2461" t="s" s="11">
        <v>46</v>
      </c>
      <c r="D2461" t="s" s="11">
        <v>78</v>
      </c>
      <c r="E2461" t="s" s="11">
        <v>270</v>
      </c>
      <c r="F2461" s="28">
        <v>45723</v>
      </c>
      <c r="G2461" t="s" s="11">
        <v>5274</v>
      </c>
      <c r="H2461" t="s" s="43">
        <v>30</v>
      </c>
      <c r="I2461" s="43">
        <v>15.03</v>
      </c>
      <c r="J2461" t="s" s="11">
        <v>12610</v>
      </c>
      <c r="K2461" t="s" s="11">
        <v>12611</v>
      </c>
      <c r="L2461" s="17">
        <f>HYPERLINK("http://www.flexee.eu", "www.flexee.eu")</f>
      </c>
      <c r="M2461" s="17">
        <f>HYPERLINK("https://my.pitchbook.com?c=469876-69", "View Company Online")</f>
      </c>
    </row>
    <row r="2462">
      <c r="A2462" t="s" s="10">
        <v>12613</v>
      </c>
      <c r="B2462" t="s" s="10">
        <v>12614</v>
      </c>
      <c r="C2462" t="s" s="10">
        <v>144</v>
      </c>
      <c r="D2462" t="s" s="10">
        <v>297</v>
      </c>
      <c r="E2462" t="s" s="10">
        <v>759</v>
      </c>
      <c r="F2462" s="27">
        <v>44181</v>
      </c>
      <c r="G2462" t="s" s="10">
        <v>146</v>
      </c>
      <c r="H2462" s="42">
        <v>0.72</v>
      </c>
      <c r="I2462" s="42">
        <v>15.02</v>
      </c>
      <c r="J2462" t="s" s="10">
        <v>12615</v>
      </c>
      <c r="K2462" t="s" s="10">
        <v>12616</v>
      </c>
      <c r="L2462" s="16">
        <f>HYPERLINK("http://www.borrox.com", "www.borrox.com")</f>
      </c>
      <c r="M2462" s="16">
        <f>HYPERLINK("https://my.pitchbook.com?c=467570-98", "View Company Online")</f>
      </c>
    </row>
    <row r="2463">
      <c r="A2463" t="s" s="11">
        <v>12618</v>
      </c>
      <c r="B2463" t="s" s="11">
        <v>12619</v>
      </c>
      <c r="C2463" t="s" s="11">
        <v>164</v>
      </c>
      <c r="D2463" t="s" s="11">
        <v>206</v>
      </c>
      <c r="E2463" t="s" s="11">
        <v>29</v>
      </c>
      <c r="F2463" s="28">
        <v>45397</v>
      </c>
      <c r="G2463" t="s" s="11">
        <v>40</v>
      </c>
      <c r="H2463" s="43">
        <v>0.76</v>
      </c>
      <c r="I2463" s="43">
        <v>15.02</v>
      </c>
      <c r="J2463" t="s" s="11">
        <v>12620</v>
      </c>
      <c r="K2463" t="s" s="11">
        <v>12621</v>
      </c>
      <c r="L2463" s="17">
        <f>HYPERLINK("http://www.nemuru.com", "www.nemuru.com")</f>
      </c>
      <c r="M2463" s="17">
        <f>HYPERLINK("https://my.pitchbook.com?c=268597-90", "View Company Online")</f>
      </c>
    </row>
    <row r="2464">
      <c r="A2464" t="s" s="10">
        <v>12623</v>
      </c>
      <c r="B2464" t="s" s="10">
        <v>12624</v>
      </c>
      <c r="C2464" t="s" s="10">
        <v>46</v>
      </c>
      <c r="D2464" t="s" s="10">
        <v>47</v>
      </c>
      <c r="E2464" t="s" s="10">
        <v>629</v>
      </c>
      <c r="F2464" s="27">
        <v>45159</v>
      </c>
      <c r="G2464" t="s" s="10">
        <v>4267</v>
      </c>
      <c r="H2464" s="42">
        <v>3.25</v>
      </c>
      <c r="I2464" s="42">
        <v>15</v>
      </c>
      <c r="J2464" t="s" s="10">
        <v>12625</v>
      </c>
      <c r="K2464" t="s" s="10">
        <v>12626</v>
      </c>
      <c r="L2464" s="16">
        <f>HYPERLINK("http://www.acctual.com", "www.acctual.com")</f>
      </c>
      <c r="M2464" s="16">
        <f>HYPERLINK("https://my.pitchbook.com?c=518814-73", "View Company Online")</f>
      </c>
    </row>
    <row r="2465">
      <c r="A2465" t="s" s="11">
        <v>12628</v>
      </c>
      <c r="B2465" t="s" s="11">
        <v>12629</v>
      </c>
      <c r="C2465" t="s" s="11">
        <v>114</v>
      </c>
      <c r="D2465" t="s" s="11">
        <v>136</v>
      </c>
      <c r="E2465" t="s" s="11">
        <v>253</v>
      </c>
      <c r="F2465" s="28">
        <v>45902</v>
      </c>
      <c r="G2465" t="s" s="11">
        <v>607</v>
      </c>
      <c r="H2465" t="s" s="43">
        <v>30</v>
      </c>
      <c r="I2465" s="43">
        <v>15</v>
      </c>
      <c r="J2465" t="s" s="11">
        <v>12630</v>
      </c>
      <c r="K2465" t="s" s="11">
        <v>12631</v>
      </c>
      <c r="L2465" s="17">
        <f>HYPERLINK("http://www.assetdirect.io", "www.assetdirect.io")</f>
      </c>
      <c r="M2465" s="17">
        <f>HYPERLINK("https://my.pitchbook.com?c=233014-69", "View Company Online")</f>
      </c>
    </row>
    <row r="2466">
      <c r="A2466" t="s" s="10">
        <v>12633</v>
      </c>
      <c r="B2466" t="s" s="10">
        <v>12634</v>
      </c>
      <c r="C2466" t="s" s="10">
        <v>60</v>
      </c>
      <c r="D2466" t="s" s="10">
        <v>432</v>
      </c>
      <c r="E2466" t="s" s="10">
        <v>373</v>
      </c>
      <c r="F2466" s="27">
        <v>45979</v>
      </c>
      <c r="G2466" t="s" s="10">
        <v>4267</v>
      </c>
      <c r="H2466" s="42">
        <v>4.2</v>
      </c>
      <c r="I2466" s="42">
        <v>15</v>
      </c>
      <c r="J2466" t="s" s="10">
        <v>12635</v>
      </c>
      <c r="K2466" t="s" s="10">
        <v>12636</v>
      </c>
      <c r="L2466" s="16">
        <f>HYPERLINK("http://www.asseta.ai", "www.asseta.ai")</f>
      </c>
      <c r="M2466" s="16">
        <f>HYPERLINK("https://my.pitchbook.com?c=600490-72", "View Company Online")</f>
      </c>
    </row>
    <row r="2467">
      <c r="A2467" t="s" s="11">
        <v>12638</v>
      </c>
      <c r="B2467" t="s" s="11">
        <v>12639</v>
      </c>
      <c r="C2467" t="s" s="11">
        <v>114</v>
      </c>
      <c r="D2467" t="s" s="11">
        <v>115</v>
      </c>
      <c r="E2467" t="s" s="11">
        <v>12640</v>
      </c>
      <c r="F2467" s="28">
        <v>45627</v>
      </c>
      <c r="G2467" t="s" s="11">
        <v>271</v>
      </c>
      <c r="H2467" s="43">
        <v>1.8</v>
      </c>
      <c r="I2467" s="43">
        <v>15</v>
      </c>
      <c r="J2467" t="s" s="11">
        <v>12641</v>
      </c>
      <c r="K2467" t="s" s="11">
        <v>12642</v>
      </c>
      <c r="L2467" s="17">
        <f>HYPERLINK("http://www.beemortgageapp.com", "www.beemortgageapp.com")</f>
      </c>
      <c r="M2467" s="17">
        <f>HYPERLINK("https://my.pitchbook.com?c=433370-89", "View Company Online")</f>
      </c>
    </row>
    <row r="2468">
      <c r="A2468" t="s" s="10">
        <v>12644</v>
      </c>
      <c r="B2468" t="s" s="10">
        <v>12645</v>
      </c>
      <c r="C2468" t="s" s="10">
        <v>172</v>
      </c>
      <c r="D2468" t="s" s="10">
        <v>173</v>
      </c>
      <c r="E2468" t="s" s="10">
        <v>367</v>
      </c>
      <c r="F2468" s="27">
        <v>46027</v>
      </c>
      <c r="G2468" t="s" s="10">
        <v>146</v>
      </c>
      <c r="H2468" t="s" s="42">
        <v>30</v>
      </c>
      <c r="I2468" s="42">
        <v>15</v>
      </c>
      <c r="J2468" t="s" s="10">
        <v>12646</v>
      </c>
      <c r="K2468" t="s" s="10">
        <v>12647</v>
      </c>
      <c r="L2468" s="16">
        <f>HYPERLINK("http://www.bliinkai.com", "www.bliinkai.com")</f>
      </c>
      <c r="M2468" s="16">
        <f>HYPERLINK("https://my.pitchbook.com?c=905261-41", "View Company Online")</f>
      </c>
    </row>
    <row r="2469">
      <c r="A2469" t="s" s="11">
        <v>12649</v>
      </c>
      <c r="B2469" t="s" s="11">
        <v>12650</v>
      </c>
      <c r="C2469" t="s" s="11">
        <v>37</v>
      </c>
      <c r="D2469" t="s" s="11">
        <v>304</v>
      </c>
      <c r="E2469" t="s" s="11">
        <v>137</v>
      </c>
      <c r="F2469" s="28">
        <v>45992</v>
      </c>
      <c r="G2469" t="s" s="11">
        <v>607</v>
      </c>
      <c r="H2469" t="s" s="43">
        <v>30</v>
      </c>
      <c r="I2469" s="43">
        <v>15</v>
      </c>
      <c r="J2469" t="s" s="11">
        <v>12651</v>
      </c>
      <c r="K2469" t="s" s="11">
        <v>12652</v>
      </c>
      <c r="L2469" s="17">
        <f>HYPERLINK("http://www.trybree.com", "www.trybree.com")</f>
      </c>
      <c r="M2469" s="17">
        <f>HYPERLINK("https://my.pitchbook.com?c=481286-08", "View Company Online")</f>
      </c>
    </row>
    <row r="2470">
      <c r="A2470" t="s" s="10">
        <v>12654</v>
      </c>
      <c r="B2470" t="s" s="10">
        <v>12655</v>
      </c>
      <c r="C2470" t="s" s="10">
        <v>164</v>
      </c>
      <c r="D2470" t="s" s="10">
        <v>206</v>
      </c>
      <c r="E2470" t="s" s="10">
        <v>137</v>
      </c>
      <c r="F2470" s="27">
        <v>45433</v>
      </c>
      <c r="G2470" t="s" s="10">
        <v>607</v>
      </c>
      <c r="H2470" t="s" s="42">
        <v>30</v>
      </c>
      <c r="I2470" s="42">
        <v>15</v>
      </c>
      <c r="J2470" t="s" s="10">
        <v>12656</v>
      </c>
      <c r="K2470" t="s" s="10">
        <v>12657</v>
      </c>
      <c r="L2470" s="16">
        <f>HYPERLINK("http://bridgecard.cards", "bridgecard.cards")</f>
      </c>
      <c r="M2470" s="16">
        <f>HYPERLINK("https://my.pitchbook.com?c=492999-22", "View Company Online")</f>
      </c>
    </row>
    <row r="2471">
      <c r="A2471" t="s" s="11">
        <v>12659</v>
      </c>
      <c r="B2471" t="s" s="11">
        <v>12660</v>
      </c>
      <c r="C2471" t="s" s="11">
        <v>114</v>
      </c>
      <c r="D2471" t="s" s="11">
        <v>136</v>
      </c>
      <c r="E2471" t="s" s="11">
        <v>11890</v>
      </c>
      <c r="F2471" s="28">
        <v>45636</v>
      </c>
      <c r="G2471" t="s" s="11">
        <v>146</v>
      </c>
      <c r="H2471" s="43">
        <v>3</v>
      </c>
      <c r="I2471" s="43">
        <v>15</v>
      </c>
      <c r="J2471" t="s" s="11">
        <v>12661</v>
      </c>
      <c r="K2471" t="s" s="11">
        <v>12662</v>
      </c>
      <c r="L2471" s="17">
        <f>HYPERLINK("http://www.concentro.io", "www.concentro.io")</f>
      </c>
      <c r="M2471" s="17">
        <f>HYPERLINK("https://my.pitchbook.com?c=537095-89", "View Company Online")</f>
      </c>
    </row>
    <row r="2472">
      <c r="A2472" t="s" s="10">
        <v>12664</v>
      </c>
      <c r="B2472" t="s" s="10">
        <v>12665</v>
      </c>
      <c r="C2472" t="s" s="10">
        <v>60</v>
      </c>
      <c r="D2472" t="s" s="10">
        <v>192</v>
      </c>
      <c r="E2472" t="s" s="10">
        <v>193</v>
      </c>
      <c r="F2472" t="s" s="27">
        <v>30</v>
      </c>
      <c r="G2472" t="s" s="10">
        <v>146</v>
      </c>
      <c r="H2472" s="42">
        <v>0.93</v>
      </c>
      <c r="I2472" s="42">
        <v>15</v>
      </c>
      <c r="J2472" t="s" s="10">
        <v>12666</v>
      </c>
      <c r="K2472" t="s" s="10">
        <v>12667</v>
      </c>
      <c r="L2472" s="16">
        <f>HYPERLINK("http://www.dollarize.me", "www.dollarize.me")</f>
      </c>
      <c r="M2472" s="16">
        <f>HYPERLINK("https://my.pitchbook.com?c=343466-38", "View Company Online")</f>
      </c>
    </row>
    <row r="2473">
      <c r="A2473" t="s" s="11">
        <v>12669</v>
      </c>
      <c r="B2473" t="s" s="11">
        <v>12670</v>
      </c>
      <c r="C2473" t="s" s="11">
        <v>60</v>
      </c>
      <c r="D2473" t="s" s="11">
        <v>192</v>
      </c>
      <c r="E2473" t="s" s="11">
        <v>414</v>
      </c>
      <c r="F2473" s="28">
        <v>45384</v>
      </c>
      <c r="G2473" t="s" s="11">
        <v>4267</v>
      </c>
      <c r="H2473" s="43">
        <v>6.3</v>
      </c>
      <c r="I2473" s="43">
        <v>15</v>
      </c>
      <c r="J2473" t="s" s="11">
        <v>12671</v>
      </c>
      <c r="K2473" t="s" s="11">
        <v>12672</v>
      </c>
      <c r="L2473" s="17">
        <f>HYPERLINK("http://spheresmith.com", "spheresmith.com")</f>
      </c>
      <c r="M2473" s="17">
        <f>HYPERLINK("https://my.pitchbook.com?c=541459-63", "View Company Online")</f>
      </c>
    </row>
    <row r="2474">
      <c r="A2474" t="s" s="10">
        <v>12674</v>
      </c>
      <c r="B2474" t="s" s="10">
        <v>12675</v>
      </c>
      <c r="C2474" t="s" s="10">
        <v>60</v>
      </c>
      <c r="D2474" t="s" s="10">
        <v>61</v>
      </c>
      <c r="E2474" t="s" s="10">
        <v>253</v>
      </c>
      <c r="F2474" s="27">
        <v>45362</v>
      </c>
      <c r="G2474" t="s" s="10">
        <v>4267</v>
      </c>
      <c r="H2474" s="42">
        <v>4.68</v>
      </c>
      <c r="I2474" s="42">
        <v>15</v>
      </c>
      <c r="J2474" t="s" s="10">
        <v>12676</v>
      </c>
      <c r="K2474" t="s" s="10">
        <v>12677</v>
      </c>
      <c r="L2474" s="16">
        <f>HYPERLINK("http://www.hedge.io", "www.hedge.io")</f>
      </c>
      <c r="M2474" s="16">
        <f>HYPERLINK("https://my.pitchbook.com?c=495664-21", "View Company Online")</f>
      </c>
    </row>
    <row r="2475">
      <c r="A2475" t="s" s="11">
        <v>12679</v>
      </c>
      <c r="B2475" t="s" s="11">
        <v>12680</v>
      </c>
      <c r="C2475" t="s" s="11">
        <v>172</v>
      </c>
      <c r="D2475" t="s" s="11">
        <v>1454</v>
      </c>
      <c r="E2475" t="s" s="11">
        <v>373</v>
      </c>
      <c r="F2475" s="28">
        <v>45292</v>
      </c>
      <c r="G2475" t="s" s="11">
        <v>48</v>
      </c>
      <c r="H2475" t="s" s="43">
        <v>30</v>
      </c>
      <c r="I2475" s="43">
        <v>15</v>
      </c>
      <c r="J2475" t="s" s="11">
        <v>12681</v>
      </c>
      <c r="K2475" t="s" s="11">
        <v>12682</v>
      </c>
      <c r="L2475" s="17">
        <f>HYPERLINK("http://www.infima.io", "www.infima.io")</f>
      </c>
      <c r="M2475" s="17">
        <f>HYPERLINK("https://my.pitchbook.com?c=433222-39", "View Company Online")</f>
      </c>
    </row>
    <row r="2476">
      <c r="A2476" t="s" s="10">
        <v>12684</v>
      </c>
      <c r="B2476" t="s" s="10">
        <v>12685</v>
      </c>
      <c r="C2476" t="s" s="10">
        <v>164</v>
      </c>
      <c r="D2476" t="s" s="10">
        <v>206</v>
      </c>
      <c r="E2476" t="s" s="10">
        <v>634</v>
      </c>
      <c r="F2476" s="27">
        <v>46143</v>
      </c>
      <c r="G2476" t="s" s="10">
        <v>48</v>
      </c>
      <c r="H2476" t="s" s="42">
        <v>30</v>
      </c>
      <c r="I2476" s="42">
        <v>15</v>
      </c>
      <c r="J2476" t="s" s="10">
        <v>12686</v>
      </c>
      <c r="K2476" t="s" s="10">
        <v>12687</v>
      </c>
      <c r="L2476" s="16">
        <f>HYPERLINK("http://www.kapitalwise.com", "www.kapitalwise.com")</f>
      </c>
      <c r="M2476" s="16">
        <f>HYPERLINK("https://my.pitchbook.com?c=171460-90", "View Company Online")</f>
      </c>
    </row>
    <row r="2477">
      <c r="A2477" t="s" s="11">
        <v>12689</v>
      </c>
      <c r="B2477" t="s" s="11">
        <v>12690</v>
      </c>
      <c r="C2477" t="s" s="11">
        <v>128</v>
      </c>
      <c r="D2477" t="s" s="11">
        <v>129</v>
      </c>
      <c r="E2477" t="s" s="11">
        <v>12691</v>
      </c>
      <c r="F2477" s="28">
        <v>45777</v>
      </c>
      <c r="G2477" t="s" s="11">
        <v>4267</v>
      </c>
      <c r="H2477" s="43">
        <v>0.75</v>
      </c>
      <c r="I2477" s="43">
        <v>15</v>
      </c>
      <c r="J2477" t="s" s="11">
        <v>12692</v>
      </c>
      <c r="K2477" t="s" s="11">
        <v>30</v>
      </c>
      <c r="L2477" s="17">
        <f>HYPERLINK("http://www.addkiwii.com", "www.addkiwii.com")</f>
      </c>
      <c r="M2477" s="17">
        <f>HYPERLINK("https://my.pitchbook.com?c=535745-44", "View Company Online")</f>
      </c>
    </row>
    <row r="2478">
      <c r="A2478" t="s" s="10">
        <v>12694</v>
      </c>
      <c r="B2478" t="s" s="10">
        <v>12695</v>
      </c>
      <c r="C2478" t="s" s="10">
        <v>27</v>
      </c>
      <c r="D2478" t="s" s="10">
        <v>28</v>
      </c>
      <c r="E2478" t="s" s="10">
        <v>193</v>
      </c>
      <c r="F2478" t="s" s="27">
        <v>30</v>
      </c>
      <c r="G2478" t="s" s="10">
        <v>48</v>
      </c>
      <c r="H2478" t="s" s="42">
        <v>30</v>
      </c>
      <c r="I2478" s="42">
        <v>15</v>
      </c>
      <c r="J2478" t="s" s="10">
        <v>12696</v>
      </c>
      <c r="K2478" t="s" s="10">
        <v>12697</v>
      </c>
      <c r="L2478" s="16">
        <f>HYPERLINK("http://www.latipay.net", "www.latipay.net")</f>
      </c>
      <c r="M2478" s="16">
        <f>HYPERLINK("https://my.pitchbook.com?c=170162-38", "View Company Online")</f>
      </c>
    </row>
    <row r="2479">
      <c r="A2479" t="s" s="11">
        <v>12699</v>
      </c>
      <c r="B2479" t="s" s="11">
        <v>12700</v>
      </c>
      <c r="C2479" t="s" s="11">
        <v>114</v>
      </c>
      <c r="D2479" t="s" s="11">
        <v>136</v>
      </c>
      <c r="E2479" t="s" s="11">
        <v>253</v>
      </c>
      <c r="F2479" s="28">
        <v>44635</v>
      </c>
      <c r="G2479" t="s" s="11">
        <v>146</v>
      </c>
      <c r="H2479" t="s" s="43">
        <v>30</v>
      </c>
      <c r="I2479" s="43">
        <v>15</v>
      </c>
      <c r="J2479" t="s" s="11">
        <v>12701</v>
      </c>
      <c r="K2479" t="s" s="11">
        <v>12702</v>
      </c>
      <c r="L2479" s="17">
        <f>HYPERLINK("http://www.loanglide.com", "www.loanglide.com")</f>
      </c>
      <c r="M2479" s="17">
        <f>HYPERLINK("https://my.pitchbook.com?c=399076-12", "View Company Online")</f>
      </c>
    </row>
    <row r="2480">
      <c r="A2480" t="s" s="10">
        <v>12704</v>
      </c>
      <c r="B2480" t="s" s="10">
        <v>12705</v>
      </c>
      <c r="C2480" t="s" s="10">
        <v>60</v>
      </c>
      <c r="D2480" t="s" s="10">
        <v>192</v>
      </c>
      <c r="E2480" t="s" s="10">
        <v>253</v>
      </c>
      <c r="F2480" s="27">
        <v>44652</v>
      </c>
      <c r="G2480" t="s" s="10">
        <v>146</v>
      </c>
      <c r="H2480" t="s" s="42">
        <v>30</v>
      </c>
      <c r="I2480" s="42">
        <v>15</v>
      </c>
      <c r="J2480" t="s" s="10">
        <v>12706</v>
      </c>
      <c r="K2480" t="s" s="10">
        <v>12707</v>
      </c>
      <c r="L2480" s="16">
        <f>HYPERLINK("http://www.lobus.io", "www.lobus.io")</f>
      </c>
      <c r="M2480" s="16">
        <f>HYPERLINK("https://my.pitchbook.com?c=266703-94", "View Company Online")</f>
      </c>
    </row>
    <row r="2481">
      <c r="A2481" t="s" s="11">
        <v>12709</v>
      </c>
      <c r="B2481" t="s" s="11">
        <v>12710</v>
      </c>
      <c r="C2481" t="s" s="11">
        <v>46</v>
      </c>
      <c r="D2481" t="s" s="11">
        <v>78</v>
      </c>
      <c r="E2481" t="s" s="11">
        <v>137</v>
      </c>
      <c r="F2481" s="28">
        <v>45995</v>
      </c>
      <c r="G2481" t="s" s="11">
        <v>40</v>
      </c>
      <c r="H2481" s="43">
        <v>24</v>
      </c>
      <c r="I2481" s="43">
        <v>15</v>
      </c>
      <c r="J2481" t="s" s="11">
        <v>12711</v>
      </c>
      <c r="K2481" t="s" s="11">
        <v>12712</v>
      </c>
      <c r="L2481" s="17">
        <f>HYPERLINK("http://www.monet.com.co", "www.monet.com.co")</f>
      </c>
      <c r="M2481" s="17">
        <f>HYPERLINK("https://my.pitchbook.com?c=489070-90", "View Company Online")</f>
      </c>
    </row>
    <row r="2482">
      <c r="A2482" t="s" s="10">
        <v>12714</v>
      </c>
      <c r="B2482" t="s" s="10">
        <v>12715</v>
      </c>
      <c r="C2482" t="s" s="10">
        <v>60</v>
      </c>
      <c r="D2482" t="s" s="10">
        <v>432</v>
      </c>
      <c r="E2482" t="s" s="10">
        <v>193</v>
      </c>
      <c r="F2482" s="27">
        <v>46114</v>
      </c>
      <c r="G2482" t="s" s="10">
        <v>40</v>
      </c>
      <c r="H2482" t="s" s="42">
        <v>30</v>
      </c>
      <c r="I2482" s="42">
        <v>15</v>
      </c>
      <c r="J2482" t="s" s="10">
        <v>12716</v>
      </c>
      <c r="K2482" t="s" s="10">
        <v>12717</v>
      </c>
      <c r="L2482" s="16">
        <f>HYPERLINK("http://www.myfotech.com", "www.myfotech.com")</f>
      </c>
      <c r="M2482" s="16">
        <f>HYPERLINK("https://my.pitchbook.com?c=472114-18", "View Company Online")</f>
      </c>
    </row>
    <row r="2483">
      <c r="A2483" t="s" s="11">
        <v>12719</v>
      </c>
      <c r="B2483" t="s" s="11">
        <v>12720</v>
      </c>
      <c r="C2483" t="s" s="11">
        <v>144</v>
      </c>
      <c r="D2483" t="s" s="11">
        <v>38</v>
      </c>
      <c r="E2483" t="s" s="11">
        <v>332</v>
      </c>
      <c r="F2483" s="28">
        <v>45176</v>
      </c>
      <c r="G2483" t="s" s="11">
        <v>607</v>
      </c>
      <c r="H2483" t="s" s="43">
        <v>30</v>
      </c>
      <c r="I2483" s="43">
        <v>15</v>
      </c>
      <c r="J2483" t="s" s="11">
        <v>12721</v>
      </c>
      <c r="K2483" t="s" s="11">
        <v>8671</v>
      </c>
      <c r="L2483" s="17">
        <f>HYPERLINK("http://www.narvi.com", "www.narvi.com")</f>
      </c>
      <c r="M2483" s="17">
        <f>HYPERLINK("https://my.pitchbook.com?c=503962-39", "View Company Online")</f>
      </c>
    </row>
    <row r="2484">
      <c r="A2484" t="s" s="10">
        <v>12723</v>
      </c>
      <c r="B2484" t="s" s="10">
        <v>12724</v>
      </c>
      <c r="C2484" t="s" s="10">
        <v>144</v>
      </c>
      <c r="D2484" t="s" s="10">
        <v>38</v>
      </c>
      <c r="E2484" t="s" s="10">
        <v>158</v>
      </c>
      <c r="F2484" s="27">
        <v>46146</v>
      </c>
      <c r="G2484" t="s" s="10">
        <v>146</v>
      </c>
      <c r="H2484" s="42">
        <v>2</v>
      </c>
      <c r="I2484" s="42">
        <v>15</v>
      </c>
      <c r="J2484" t="s" s="10">
        <v>12725</v>
      </c>
      <c r="K2484" t="s" s="10">
        <v>12726</v>
      </c>
      <c r="L2484" s="16">
        <f>HYPERLINK("http://www.nearpays.com", "www.nearpays.com")</f>
      </c>
      <c r="M2484" s="16">
        <f>HYPERLINK("https://my.pitchbook.com?c=567579-79", "View Company Online")</f>
      </c>
    </row>
    <row r="2485">
      <c r="A2485" t="s" s="11">
        <v>12728</v>
      </c>
      <c r="B2485" t="s" s="11">
        <v>12729</v>
      </c>
      <c r="C2485" t="s" s="11">
        <v>46</v>
      </c>
      <c r="D2485" t="s" s="11">
        <v>47</v>
      </c>
      <c r="E2485" t="s" s="11">
        <v>259</v>
      </c>
      <c r="F2485" s="28">
        <v>45693</v>
      </c>
      <c r="G2485" t="s" s="11">
        <v>4267</v>
      </c>
      <c r="H2485" s="43">
        <v>5.83</v>
      </c>
      <c r="I2485" s="43">
        <v>15</v>
      </c>
      <c r="J2485" t="s" s="11">
        <v>12730</v>
      </c>
      <c r="K2485" t="s" s="11">
        <v>12731</v>
      </c>
      <c r="L2485" s="17">
        <f>HYPERLINK("http://www.neofin.com.br", "www.neofin.com.br")</f>
      </c>
      <c r="M2485" s="17">
        <f>HYPERLINK("https://my.pitchbook.com?c=527352-22", "View Company Online")</f>
      </c>
    </row>
    <row r="2486">
      <c r="A2486" t="s" s="10">
        <v>12733</v>
      </c>
      <c r="B2486" t="s" s="10">
        <v>12734</v>
      </c>
      <c r="C2486" t="s" s="10">
        <v>60</v>
      </c>
      <c r="D2486" t="s" s="10">
        <v>192</v>
      </c>
      <c r="E2486" t="s" s="10">
        <v>634</v>
      </c>
      <c r="F2486" s="27">
        <v>44562</v>
      </c>
      <c r="G2486" t="s" s="10">
        <v>607</v>
      </c>
      <c r="H2486" t="s" s="42">
        <v>30</v>
      </c>
      <c r="I2486" s="42">
        <v>15</v>
      </c>
      <c r="J2486" t="s" s="10">
        <v>12735</v>
      </c>
      <c r="K2486" t="s" s="10">
        <v>12736</v>
      </c>
      <c r="L2486" s="16">
        <f>HYPERLINK("http://www.noonum.ai", "www.noonum.ai")</f>
      </c>
      <c r="M2486" s="16">
        <f>HYPERLINK("https://my.pitchbook.com?c=169908-76", "View Company Online")</f>
      </c>
    </row>
    <row r="2487">
      <c r="A2487" t="s" s="11">
        <v>12738</v>
      </c>
      <c r="B2487" t="s" s="11">
        <v>12739</v>
      </c>
      <c r="C2487" t="s" s="11">
        <v>222</v>
      </c>
      <c r="D2487" t="s" s="11">
        <v>235</v>
      </c>
      <c r="E2487" t="s" s="11">
        <v>137</v>
      </c>
      <c r="F2487" s="28">
        <v>46182</v>
      </c>
      <c r="G2487" t="s" s="11">
        <v>2051</v>
      </c>
      <c r="H2487" t="s" s="43">
        <v>30</v>
      </c>
      <c r="I2487" s="43">
        <v>15</v>
      </c>
      <c r="J2487" t="s" s="11">
        <v>12740</v>
      </c>
      <c r="K2487" t="s" s="11">
        <v>30</v>
      </c>
      <c r="L2487" s="17">
        <f>HYPERLINK("http://www.opalvest.com", "www.opalvest.com")</f>
      </c>
      <c r="M2487" s="17">
        <f>HYPERLINK("https://my.pitchbook.com?c=492755-77", "View Company Online")</f>
      </c>
    </row>
    <row r="2488">
      <c r="A2488" t="s" s="10">
        <v>12742</v>
      </c>
      <c r="B2488" t="s" s="10">
        <v>12743</v>
      </c>
      <c r="C2488" t="s" s="10">
        <v>60</v>
      </c>
      <c r="D2488" t="s" s="10">
        <v>420</v>
      </c>
      <c r="E2488" t="s" s="10">
        <v>152</v>
      </c>
      <c r="F2488" s="27">
        <v>45175</v>
      </c>
      <c r="G2488" t="s" s="10">
        <v>40</v>
      </c>
      <c r="H2488" s="42">
        <v>0.13</v>
      </c>
      <c r="I2488" s="42">
        <v>15</v>
      </c>
      <c r="J2488" t="s" s="10">
        <v>12744</v>
      </c>
      <c r="K2488" t="s" s="10">
        <v>12745</v>
      </c>
      <c r="L2488" s="16">
        <f>HYPERLINK("http://www.ptoexchange.com", "www.ptoexchange.com")</f>
      </c>
      <c r="M2488" s="16">
        <f>HYPERLINK("https://my.pitchbook.com?c=180160-03", "View Company Online")</f>
      </c>
    </row>
    <row r="2489">
      <c r="A2489" t="s" s="11">
        <v>12747</v>
      </c>
      <c r="B2489" t="s" s="11">
        <v>12748</v>
      </c>
      <c r="C2489" t="s" s="11">
        <v>114</v>
      </c>
      <c r="D2489" t="s" s="11">
        <v>870</v>
      </c>
      <c r="E2489" t="s" s="11">
        <v>116</v>
      </c>
      <c r="F2489" s="28">
        <v>46153</v>
      </c>
      <c r="G2489" t="s" s="11">
        <v>607</v>
      </c>
      <c r="H2489" s="43">
        <v>0.05</v>
      </c>
      <c r="I2489" s="43">
        <v>15</v>
      </c>
      <c r="J2489" t="s" s="11">
        <v>12749</v>
      </c>
      <c r="K2489" t="s" s="11">
        <v>12750</v>
      </c>
      <c r="L2489" s="17">
        <f>HYPERLINK("http://www.quipu.com.co", "www.quipu.com.co")</f>
      </c>
      <c r="M2489" s="17">
        <f>HYPERLINK("https://my.pitchbook.com?c=264289-87", "View Company Online")</f>
      </c>
    </row>
    <row r="2490">
      <c r="A2490" t="s" s="10">
        <v>12752</v>
      </c>
      <c r="B2490" t="s" s="10">
        <v>12753</v>
      </c>
      <c r="C2490" t="s" s="10">
        <v>60</v>
      </c>
      <c r="D2490" t="s" s="10">
        <v>727</v>
      </c>
      <c r="E2490" t="s" s="10">
        <v>137</v>
      </c>
      <c r="F2490" s="27">
        <v>44600</v>
      </c>
      <c r="G2490" t="s" s="10">
        <v>146</v>
      </c>
      <c r="H2490" s="42">
        <v>5.16</v>
      </c>
      <c r="I2490" s="42">
        <v>15</v>
      </c>
      <c r="J2490" t="s" s="10">
        <v>12754</v>
      </c>
      <c r="K2490" t="s" s="10">
        <v>12755</v>
      </c>
      <c r="L2490" s="16">
        <f>HYPERLINK("http://rares.io", "rares.io")</f>
      </c>
      <c r="M2490" s="16">
        <f>HYPERLINK("https://my.pitchbook.com?c=464132-89", "View Company Online")</f>
      </c>
    </row>
    <row r="2491">
      <c r="A2491" t="s" s="11">
        <v>12757</v>
      </c>
      <c r="B2491" t="s" s="11">
        <v>12758</v>
      </c>
      <c r="C2491" t="s" s="11">
        <v>128</v>
      </c>
      <c r="D2491" t="s" s="11">
        <v>129</v>
      </c>
      <c r="E2491" t="s" s="11">
        <v>12759</v>
      </c>
      <c r="F2491" s="28">
        <v>45693</v>
      </c>
      <c r="G2491" t="s" s="11">
        <v>146</v>
      </c>
      <c r="H2491" s="43">
        <v>2.73</v>
      </c>
      <c r="I2491" s="43">
        <v>15</v>
      </c>
      <c r="J2491" t="s" s="11">
        <v>12760</v>
      </c>
      <c r="K2491" t="s" s="11">
        <v>30</v>
      </c>
      <c r="L2491" s="17">
        <f>HYPERLINK("http://www.spendr.com", "www.spendr.com")</f>
      </c>
      <c r="M2491" s="17">
        <f>HYPERLINK("https://my.pitchbook.com?c=518272-30", "View Company Online")</f>
      </c>
    </row>
    <row r="2492">
      <c r="A2492" t="s" s="10">
        <v>12762</v>
      </c>
      <c r="B2492" t="s" s="10">
        <v>12763</v>
      </c>
      <c r="C2492" t="s" s="10">
        <v>114</v>
      </c>
      <c r="D2492" t="s" s="10">
        <v>1386</v>
      </c>
      <c r="E2492" t="s" s="10">
        <v>634</v>
      </c>
      <c r="F2492" t="s" s="27">
        <v>30</v>
      </c>
      <c r="G2492" t="s" s="10">
        <v>40</v>
      </c>
      <c r="H2492" s="42">
        <v>10</v>
      </c>
      <c r="I2492" s="42">
        <v>15</v>
      </c>
      <c r="J2492" t="s" s="10">
        <v>12764</v>
      </c>
      <c r="K2492" t="s" s="10">
        <v>12765</v>
      </c>
      <c r="L2492" s="16">
        <f>HYPERLINK("http://www.spin-analytics.com", "www.spin-analytics.com")</f>
      </c>
      <c r="M2492" s="16">
        <f>HYPERLINK("https://my.pitchbook.com?c=223908-31", "View Company Online")</f>
      </c>
    </row>
    <row r="2493">
      <c r="A2493" t="s" s="11">
        <v>12767</v>
      </c>
      <c r="B2493" t="s" s="11">
        <v>12768</v>
      </c>
      <c r="C2493" t="s" s="11">
        <v>46</v>
      </c>
      <c r="D2493" t="s" s="11">
        <v>397</v>
      </c>
      <c r="E2493" t="s" s="11">
        <v>193</v>
      </c>
      <c r="F2493" s="28">
        <v>44440</v>
      </c>
      <c r="G2493" t="s" s="11">
        <v>40</v>
      </c>
      <c r="H2493" t="s" s="43">
        <v>30</v>
      </c>
      <c r="I2493" s="43">
        <v>15</v>
      </c>
      <c r="J2493" t="s" s="11">
        <v>12769</v>
      </c>
      <c r="K2493" t="s" s="11">
        <v>12770</v>
      </c>
      <c r="L2493" s="17">
        <f>HYPERLINK("http://www.neat.com", "www.neat.com")</f>
      </c>
      <c r="M2493" s="17">
        <f>HYPERLINK("https://my.pitchbook.com?c=43104-70", "View Company Online")</f>
      </c>
    </row>
    <row r="2494">
      <c r="A2494" t="s" s="10">
        <v>12772</v>
      </c>
      <c r="B2494" t="s" s="10">
        <v>12773</v>
      </c>
      <c r="C2494" t="s" s="10">
        <v>46</v>
      </c>
      <c r="D2494" t="s" s="10">
        <v>915</v>
      </c>
      <c r="E2494" t="s" s="10">
        <v>3782</v>
      </c>
      <c r="F2494" s="27">
        <v>45654</v>
      </c>
      <c r="G2494" t="s" s="10">
        <v>4267</v>
      </c>
      <c r="H2494" s="42">
        <v>3.35</v>
      </c>
      <c r="I2494" s="42">
        <v>15</v>
      </c>
      <c r="J2494" t="s" s="10">
        <v>12774</v>
      </c>
      <c r="K2494" t="s" s="10">
        <v>12775</v>
      </c>
      <c r="L2494" s="16">
        <f>HYPERLINK("http://www.topogy.com", "www.topogy.com")</f>
      </c>
      <c r="M2494" s="16">
        <f>HYPERLINK("https://my.pitchbook.com?c=711774-73", "View Company Online")</f>
      </c>
    </row>
    <row r="2495">
      <c r="A2495" t="s" s="11">
        <v>12777</v>
      </c>
      <c r="B2495" t="s" s="11">
        <v>12778</v>
      </c>
      <c r="C2495" t="s" s="11">
        <v>222</v>
      </c>
      <c r="D2495" t="s" s="11">
        <v>235</v>
      </c>
      <c r="E2495" t="s" s="11">
        <v>137</v>
      </c>
      <c r="F2495" s="28">
        <v>46209</v>
      </c>
      <c r="G2495" t="s" s="11">
        <v>2051</v>
      </c>
      <c r="H2495" t="s" s="43">
        <v>30</v>
      </c>
      <c r="I2495" s="43">
        <v>15</v>
      </c>
      <c r="J2495" t="s" s="11">
        <v>12779</v>
      </c>
      <c r="K2495" t="s" s="11">
        <v>30</v>
      </c>
      <c r="L2495" s="17">
        <f>HYPERLINK("http://velvet.investments", "velvet.investments")</f>
      </c>
      <c r="M2495" s="17">
        <f>HYPERLINK("https://my.pitchbook.com?c=484535-35", "View Company Online")</f>
      </c>
    </row>
    <row r="2496">
      <c r="A2496" t="s" s="10">
        <v>12781</v>
      </c>
      <c r="B2496" t="s" s="10">
        <v>12782</v>
      </c>
      <c r="C2496" t="s" s="10">
        <v>222</v>
      </c>
      <c r="D2496" t="s" s="10">
        <v>223</v>
      </c>
      <c r="E2496" t="s" s="10">
        <v>253</v>
      </c>
      <c r="F2496" s="27">
        <v>45777</v>
      </c>
      <c r="G2496" t="s" s="10">
        <v>4267</v>
      </c>
      <c r="H2496" s="42">
        <v>2.5</v>
      </c>
      <c r="I2496" s="42">
        <v>15</v>
      </c>
      <c r="J2496" t="s" s="10">
        <v>12783</v>
      </c>
      <c r="K2496" t="s" s="10">
        <v>12784</v>
      </c>
      <c r="L2496" s="16">
        <f>HYPERLINK("http://www.vmetrix.com", "www.vmetrix.com")</f>
      </c>
      <c r="M2496" s="16">
        <f>HYPERLINK("https://my.pitchbook.com?c=647517-07", "View Company Online")</f>
      </c>
    </row>
    <row r="2497">
      <c r="A2497" t="s" s="11">
        <v>12786</v>
      </c>
      <c r="B2497" t="s" s="11">
        <v>12787</v>
      </c>
      <c r="C2497" t="s" s="11">
        <v>37</v>
      </c>
      <c r="D2497" t="s" s="11">
        <v>38</v>
      </c>
      <c r="E2497" t="s" s="11">
        <v>137</v>
      </c>
      <c r="F2497" s="28">
        <v>45138</v>
      </c>
      <c r="G2497" t="s" s="11">
        <v>4267</v>
      </c>
      <c r="H2497" s="43">
        <v>1.3</v>
      </c>
      <c r="I2497" s="43">
        <v>15</v>
      </c>
      <c r="J2497" t="s" s="11">
        <v>12788</v>
      </c>
      <c r="K2497" t="s" s="11">
        <v>12789</v>
      </c>
      <c r="L2497" s="17">
        <f>HYPERLINK("http://wallbit.io", "wallbit.io")</f>
      </c>
      <c r="M2497" s="17">
        <f>HYPERLINK("https://my.pitchbook.com?c=513393-40", "View Company Online")</f>
      </c>
    </row>
    <row r="2498">
      <c r="A2498" t="s" s="10">
        <v>12791</v>
      </c>
      <c r="B2498" t="s" s="10">
        <v>12792</v>
      </c>
      <c r="C2498" t="s" s="10">
        <v>60</v>
      </c>
      <c r="D2498" t="s" s="10">
        <v>192</v>
      </c>
      <c r="E2498" t="s" s="10">
        <v>29</v>
      </c>
      <c r="F2498" s="27">
        <v>45658</v>
      </c>
      <c r="G2498" t="s" s="10">
        <v>607</v>
      </c>
      <c r="H2498" t="s" s="42">
        <v>30</v>
      </c>
      <c r="I2498" s="42">
        <v>15</v>
      </c>
      <c r="J2498" t="s" s="10">
        <v>12793</v>
      </c>
      <c r="K2498" t="s" s="10">
        <v>12794</v>
      </c>
      <c r="L2498" s="16">
        <f>HYPERLINK("http://www.zephlex.com", "www.zephlex.com")</f>
      </c>
      <c r="M2498" s="16">
        <f>HYPERLINK("https://my.pitchbook.com?c=552532-69", "View Company Online")</f>
      </c>
    </row>
    <row r="2499">
      <c r="A2499" t="s" s="11">
        <v>12796</v>
      </c>
      <c r="B2499" t="s" s="11">
        <v>12797</v>
      </c>
      <c r="C2499" t="s" s="11">
        <v>60</v>
      </c>
      <c r="D2499" t="s" s="11">
        <v>246</v>
      </c>
      <c r="E2499" t="s" s="11">
        <v>623</v>
      </c>
      <c r="F2499" t="s" s="28">
        <v>30</v>
      </c>
      <c r="G2499" t="s" s="11">
        <v>607</v>
      </c>
      <c r="H2499" t="s" s="43">
        <v>30</v>
      </c>
      <c r="I2499" s="43">
        <v>14.97</v>
      </c>
      <c r="J2499" t="s" s="11">
        <v>12798</v>
      </c>
      <c r="K2499" t="s" s="11">
        <v>12799</v>
      </c>
      <c r="L2499" s="17">
        <f>HYPERLINK("http://www.oneutilitybill.co", "www.oneutilitybill.co")</f>
      </c>
      <c r="M2499" s="17">
        <f>HYPERLINK("https://my.pitchbook.com?c=128428-39", "View Company Online")</f>
      </c>
    </row>
    <row r="2500">
      <c r="A2500" t="s" s="10">
        <v>12801</v>
      </c>
      <c r="B2500" t="s" s="10">
        <v>12802</v>
      </c>
      <c r="C2500" t="s" s="10">
        <v>164</v>
      </c>
      <c r="D2500" t="s" s="10">
        <v>206</v>
      </c>
      <c r="E2500" t="s" s="10">
        <v>373</v>
      </c>
      <c r="F2500" s="27">
        <v>45722</v>
      </c>
      <c r="G2500" t="s" s="10">
        <v>40</v>
      </c>
      <c r="H2500" s="42">
        <v>5</v>
      </c>
      <c r="I2500" s="42">
        <v>14.93</v>
      </c>
      <c r="J2500" t="s" s="10">
        <v>12803</v>
      </c>
      <c r="K2500" t="s" s="10">
        <v>12804</v>
      </c>
      <c r="L2500" s="16">
        <f>HYPERLINK("http://www.futurevault.com", "www.futurevault.com")</f>
      </c>
      <c r="M2500" s="16">
        <f>HYPERLINK("https://my.pitchbook.com?c=161789-23", "View Company Online")</f>
      </c>
    </row>
    <row r="2501">
      <c r="A2501" t="s" s="11">
        <v>12806</v>
      </c>
      <c r="B2501" t="s" s="11">
        <v>12807</v>
      </c>
      <c r="C2501" t="s" s="11">
        <v>60</v>
      </c>
      <c r="D2501" t="s" s="11">
        <v>192</v>
      </c>
      <c r="E2501" t="s" s="11">
        <v>12808</v>
      </c>
      <c r="F2501" s="28">
        <v>45114</v>
      </c>
      <c r="G2501" t="s" s="11">
        <v>4267</v>
      </c>
      <c r="H2501" s="43">
        <v>4.46</v>
      </c>
      <c r="I2501" s="43">
        <v>14.92</v>
      </c>
      <c r="J2501" t="s" s="11">
        <v>12809</v>
      </c>
      <c r="K2501" t="s" s="11">
        <v>12810</v>
      </c>
      <c r="L2501" s="17">
        <f>HYPERLINK("http://www.finres.org", "www.finres.org")</f>
      </c>
      <c r="M2501" s="17">
        <f>HYPERLINK("https://my.pitchbook.com?c=530716-51", "View Company Online")</f>
      </c>
    </row>
    <row r="2502">
      <c r="A2502" t="s" s="10">
        <v>12812</v>
      </c>
      <c r="B2502" t="s" s="10">
        <v>12813</v>
      </c>
      <c r="C2502" t="s" s="10">
        <v>114</v>
      </c>
      <c r="D2502" t="s" s="10">
        <v>870</v>
      </c>
      <c r="E2502" t="s" s="10">
        <v>12814</v>
      </c>
      <c r="F2502" s="27">
        <v>44671</v>
      </c>
      <c r="G2502" t="s" s="10">
        <v>607</v>
      </c>
      <c r="H2502" t="s" s="42">
        <v>30</v>
      </c>
      <c r="I2502" s="42">
        <v>14.89</v>
      </c>
      <c r="J2502" t="s" s="10">
        <v>12815</v>
      </c>
      <c r="K2502" t="s" s="10">
        <v>12816</v>
      </c>
      <c r="L2502" s="16">
        <f>HYPERLINK("http://www.ftcash.com", "www.ftcash.com")</f>
      </c>
      <c r="M2502" s="16">
        <f>HYPERLINK("https://my.pitchbook.com?c=154980-01", "View Company Online")</f>
      </c>
    </row>
    <row r="2503">
      <c r="A2503" t="s" s="11">
        <v>12818</v>
      </c>
      <c r="B2503" t="s" s="11">
        <v>12819</v>
      </c>
      <c r="C2503" t="s" s="11">
        <v>27</v>
      </c>
      <c r="D2503" t="s" s="11">
        <v>28</v>
      </c>
      <c r="E2503" t="s" s="11">
        <v>270</v>
      </c>
      <c r="F2503" s="28">
        <v>45866</v>
      </c>
      <c r="G2503" t="s" s="11">
        <v>146</v>
      </c>
      <c r="H2503" s="43">
        <v>1.52</v>
      </c>
      <c r="I2503" s="43">
        <v>14.88</v>
      </c>
      <c r="J2503" t="s" s="11">
        <v>12820</v>
      </c>
      <c r="K2503" t="s" s="11">
        <v>12821</v>
      </c>
      <c r="L2503" s="17">
        <f>HYPERLINK("http://www.anykrowd.com", "www.anykrowd.com")</f>
      </c>
      <c r="M2503" s="17">
        <f>HYPERLINK("https://my.pitchbook.com?c=539661-79", "View Company Online")</f>
      </c>
    </row>
    <row r="2504">
      <c r="A2504" t="s" s="10">
        <v>12823</v>
      </c>
      <c r="B2504" t="s" s="10">
        <v>12824</v>
      </c>
      <c r="C2504" t="s" s="10">
        <v>27</v>
      </c>
      <c r="D2504" t="s" s="10">
        <v>28</v>
      </c>
      <c r="E2504" t="s" s="10">
        <v>137</v>
      </c>
      <c r="F2504" s="27">
        <v>45960</v>
      </c>
      <c r="G2504" t="s" s="10">
        <v>4267</v>
      </c>
      <c r="H2504" s="42">
        <v>1.03</v>
      </c>
      <c r="I2504" s="42">
        <v>14.86</v>
      </c>
      <c r="J2504" t="s" s="10">
        <v>12825</v>
      </c>
      <c r="K2504" t="s" s="10">
        <v>12826</v>
      </c>
      <c r="L2504" s="16">
        <f>HYPERLINK("http://www.shr.app", "www.shr.app")</f>
      </c>
      <c r="M2504" s="16">
        <f>HYPERLINK("https://my.pitchbook.com?c=293101-66", "View Company Online")</f>
      </c>
    </row>
    <row r="2505">
      <c r="A2505" t="s" s="11">
        <v>12828</v>
      </c>
      <c r="B2505" t="s" s="11">
        <v>12829</v>
      </c>
      <c r="C2505" t="s" s="11">
        <v>164</v>
      </c>
      <c r="D2505" t="s" s="11">
        <v>206</v>
      </c>
      <c r="E2505" t="s" s="11">
        <v>1964</v>
      </c>
      <c r="F2505" s="28">
        <v>44774</v>
      </c>
      <c r="G2505" t="s" s="11">
        <v>40</v>
      </c>
      <c r="H2505" t="s" s="43">
        <v>30</v>
      </c>
      <c r="I2505" s="43">
        <v>14.85</v>
      </c>
      <c r="J2505" t="s" s="11">
        <v>12830</v>
      </c>
      <c r="K2505" t="s" s="11">
        <v>12831</v>
      </c>
      <c r="L2505" s="17">
        <f>HYPERLINK("http://www.bankbi.com", "www.bankbi.com")</f>
      </c>
      <c r="M2505" s="17">
        <f>HYPERLINK("https://my.pitchbook.com?c=139599-64", "View Company Online")</f>
      </c>
    </row>
    <row r="2506">
      <c r="A2506" t="s" s="10">
        <v>12833</v>
      </c>
      <c r="B2506" t="s" s="10">
        <v>12834</v>
      </c>
      <c r="C2506" t="s" s="10">
        <v>27</v>
      </c>
      <c r="D2506" t="s" s="10">
        <v>28</v>
      </c>
      <c r="E2506" t="s" s="10">
        <v>270</v>
      </c>
      <c r="F2506" s="27">
        <v>46105</v>
      </c>
      <c r="G2506" t="s" s="10">
        <v>40</v>
      </c>
      <c r="H2506" s="42">
        <v>8.8</v>
      </c>
      <c r="I2506" s="42">
        <v>14.81</v>
      </c>
      <c r="J2506" t="s" s="10">
        <v>12835</v>
      </c>
      <c r="K2506" t="s" s="10">
        <v>12836</v>
      </c>
      <c r="L2506" s="16">
        <f>HYPERLINK("http://www.wearetipjar.com", "www.wearetipjar.com")</f>
      </c>
      <c r="M2506" s="16">
        <f>HYPERLINK("https://my.pitchbook.com?c=438449-41", "View Company Online")</f>
      </c>
    </row>
    <row r="2507">
      <c r="A2507" t="s" s="11">
        <v>12838</v>
      </c>
      <c r="B2507" t="s" s="11">
        <v>12839</v>
      </c>
      <c r="C2507" t="s" s="11">
        <v>27</v>
      </c>
      <c r="D2507" t="s" s="11">
        <v>122</v>
      </c>
      <c r="E2507" t="s" s="11">
        <v>859</v>
      </c>
      <c r="F2507" s="28">
        <v>45855</v>
      </c>
      <c r="G2507" t="s" s="11">
        <v>146</v>
      </c>
      <c r="H2507" s="43">
        <v>0.84</v>
      </c>
      <c r="I2507" s="43">
        <v>14.77</v>
      </c>
      <c r="J2507" t="s" s="11">
        <v>12840</v>
      </c>
      <c r="K2507" t="s" s="11">
        <v>12841</v>
      </c>
      <c r="L2507" s="17">
        <f>HYPERLINK("http://www.kun.global", "www.kun.global")</f>
      </c>
      <c r="M2507" s="17">
        <f>HYPERLINK("https://my.pitchbook.com?c=749327-14", "View Company Online")</f>
      </c>
    </row>
    <row r="2508">
      <c r="A2508" t="s" s="10">
        <v>12843</v>
      </c>
      <c r="B2508" t="s" s="10">
        <v>4120</v>
      </c>
      <c r="C2508" t="s" s="10">
        <v>60</v>
      </c>
      <c r="D2508" t="s" s="10">
        <v>727</v>
      </c>
      <c r="E2508" t="s" s="10">
        <v>270</v>
      </c>
      <c r="F2508" s="27">
        <v>44516</v>
      </c>
      <c r="G2508" t="s" s="10">
        <v>40</v>
      </c>
      <c r="H2508" s="42">
        <v>2.39</v>
      </c>
      <c r="I2508" s="42">
        <v>14.76</v>
      </c>
      <c r="J2508" t="s" s="10">
        <v>12844</v>
      </c>
      <c r="K2508" t="s" s="10">
        <v>12845</v>
      </c>
      <c r="L2508" s="16">
        <f>HYPERLINK("http://www.segofinance.com", "www.segofinance.com")</f>
      </c>
      <c r="M2508" s="16">
        <f>HYPERLINK("https://my.pitchbook.com?c=431215-03", "View Company Online")</f>
      </c>
    </row>
    <row r="2509">
      <c r="A2509" t="s" s="11">
        <v>12847</v>
      </c>
      <c r="B2509" t="s" s="11">
        <v>12848</v>
      </c>
      <c r="C2509" t="s" s="11">
        <v>114</v>
      </c>
      <c r="D2509" t="s" s="11">
        <v>115</v>
      </c>
      <c r="E2509" t="s" s="11">
        <v>137</v>
      </c>
      <c r="F2509" s="28">
        <v>45639</v>
      </c>
      <c r="G2509" t="s" s="11">
        <v>146</v>
      </c>
      <c r="H2509" t="s" s="43">
        <v>30</v>
      </c>
      <c r="I2509" s="43">
        <v>14.75</v>
      </c>
      <c r="J2509" t="s" s="11">
        <v>12849</v>
      </c>
      <c r="K2509" t="s" s="11">
        <v>12850</v>
      </c>
      <c r="L2509" s="17">
        <f>HYPERLINK("http://www.splitero.com", "www.splitero.com")</f>
      </c>
      <c r="M2509" s="17">
        <f>HYPERLINK("https://my.pitchbook.com?c=494946-37", "View Company Online")</f>
      </c>
    </row>
    <row r="2510">
      <c r="A2510" t="s" s="10">
        <v>12852</v>
      </c>
      <c r="B2510" t="s" s="10">
        <v>12853</v>
      </c>
      <c r="C2510" t="s" s="10">
        <v>60</v>
      </c>
      <c r="D2510" t="s" s="10">
        <v>727</v>
      </c>
      <c r="E2510" t="s" s="10">
        <v>414</v>
      </c>
      <c r="F2510" s="27">
        <v>45784</v>
      </c>
      <c r="G2510" t="s" s="10">
        <v>48</v>
      </c>
      <c r="H2510" t="s" s="42">
        <v>30</v>
      </c>
      <c r="I2510" s="42">
        <v>14.75</v>
      </c>
      <c r="J2510" t="s" s="10">
        <v>12854</v>
      </c>
      <c r="K2510" t="s" s="10">
        <v>12855</v>
      </c>
      <c r="L2510" s="16">
        <f>HYPERLINK("http://www.verve.vc", "www.verve.vc")</f>
      </c>
      <c r="M2510" s="16">
        <f>HYPERLINK("https://my.pitchbook.com?c=157481-47", "View Company Online")</f>
      </c>
    </row>
    <row r="2511">
      <c r="A2511" t="s" s="11">
        <v>12857</v>
      </c>
      <c r="B2511" t="s" s="11">
        <v>12858</v>
      </c>
      <c r="C2511" t="s" s="11">
        <v>222</v>
      </c>
      <c r="D2511" t="s" s="11">
        <v>223</v>
      </c>
      <c r="E2511" t="s" s="11">
        <v>367</v>
      </c>
      <c r="F2511" s="28">
        <v>45211</v>
      </c>
      <c r="G2511" t="s" s="11">
        <v>40</v>
      </c>
      <c r="H2511" s="43">
        <v>1.63</v>
      </c>
      <c r="I2511" s="43">
        <v>14.66</v>
      </c>
      <c r="J2511" t="s" s="11">
        <v>12859</v>
      </c>
      <c r="K2511" t="s" s="11">
        <v>12860</v>
      </c>
      <c r="L2511" s="17">
        <f>HYPERLINK("http://www.newchangefx.com", "www.newchangefx.com")</f>
      </c>
      <c r="M2511" s="17">
        <f>HYPERLINK("https://my.pitchbook.com?c=442465-12", "View Company Online")</f>
      </c>
    </row>
    <row r="2512">
      <c r="A2512" t="s" s="10">
        <v>12862</v>
      </c>
      <c r="B2512" t="s" s="10">
        <v>12863</v>
      </c>
      <c r="C2512" t="s" s="10">
        <v>144</v>
      </c>
      <c r="D2512" t="s" s="10">
        <v>38</v>
      </c>
      <c r="E2512" t="s" s="10">
        <v>253</v>
      </c>
      <c r="F2512" s="27">
        <v>45093</v>
      </c>
      <c r="G2512" t="s" s="10">
        <v>146</v>
      </c>
      <c r="H2512" s="42">
        <v>47</v>
      </c>
      <c r="I2512" s="42">
        <v>14.59</v>
      </c>
      <c r="J2512" t="s" s="10">
        <v>12864</v>
      </c>
      <c r="K2512" t="s" s="10">
        <v>12865</v>
      </c>
      <c r="L2512" s="16">
        <f>HYPERLINK("http://www.blank.app", "www.blank.app")</f>
      </c>
      <c r="M2512" s="16">
        <f>HYPERLINK("https://my.pitchbook.com?c=469853-83", "View Company Online")</f>
      </c>
    </row>
    <row r="2513">
      <c r="A2513" t="s" s="11">
        <v>12867</v>
      </c>
      <c r="B2513" t="s" s="11">
        <v>12868</v>
      </c>
      <c r="C2513" t="s" s="11">
        <v>172</v>
      </c>
      <c r="D2513" t="s" s="11">
        <v>173</v>
      </c>
      <c r="E2513" t="s" s="11">
        <v>373</v>
      </c>
      <c r="F2513" s="28">
        <v>45905</v>
      </c>
      <c r="G2513" t="s" s="11">
        <v>607</v>
      </c>
      <c r="H2513" t="s" s="43">
        <v>30</v>
      </c>
      <c r="I2513" s="43">
        <v>14.58</v>
      </c>
      <c r="J2513" t="s" s="11">
        <v>12869</v>
      </c>
      <c r="K2513" t="s" s="11">
        <v>12870</v>
      </c>
      <c r="L2513" s="17">
        <f>HYPERLINK("http://www.corgilabs.ai", "www.corgilabs.ai")</f>
      </c>
      <c r="M2513" s="17">
        <f>HYPERLINK("https://my.pitchbook.com?c=522902-98", "View Company Online")</f>
      </c>
    </row>
    <row r="2514">
      <c r="A2514" t="s" s="10">
        <v>12872</v>
      </c>
      <c r="B2514" t="s" s="10">
        <v>12873</v>
      </c>
      <c r="C2514" t="s" s="10">
        <v>60</v>
      </c>
      <c r="D2514" t="s" s="10">
        <v>192</v>
      </c>
      <c r="E2514" t="s" s="10">
        <v>193</v>
      </c>
      <c r="F2514" s="27">
        <v>45572</v>
      </c>
      <c r="G2514" t="s" s="10">
        <v>40</v>
      </c>
      <c r="H2514" s="42">
        <v>14.43</v>
      </c>
      <c r="I2514" s="42">
        <v>14.55</v>
      </c>
      <c r="J2514" t="s" s="10">
        <v>12874</v>
      </c>
      <c r="K2514" t="s" s="10">
        <v>12875</v>
      </c>
      <c r="L2514" s="16">
        <f>HYPERLINK("http://www.easyvest.be", "www.easyvest.be")</f>
      </c>
      <c r="M2514" s="16">
        <f>HYPERLINK("https://my.pitchbook.com?c=454620-43", "View Company Online")</f>
      </c>
    </row>
    <row r="2515">
      <c r="A2515" t="s" s="11">
        <v>12877</v>
      </c>
      <c r="B2515" t="s" s="11">
        <v>12878</v>
      </c>
      <c r="C2515" t="s" s="11">
        <v>164</v>
      </c>
      <c r="D2515" t="s" s="11">
        <v>165</v>
      </c>
      <c r="E2515" t="s" s="11">
        <v>1277</v>
      </c>
      <c r="F2515" s="28">
        <v>44602</v>
      </c>
      <c r="G2515" t="s" s="11">
        <v>271</v>
      </c>
      <c r="H2515" s="43">
        <v>0.54</v>
      </c>
      <c r="I2515" s="43">
        <v>14.54</v>
      </c>
      <c r="J2515" t="s" s="11">
        <v>12879</v>
      </c>
      <c r="K2515" t="s" s="11">
        <v>12880</v>
      </c>
      <c r="L2515" s="17">
        <f>HYPERLINK("http://www.hexanika.com", "www.hexanika.com")</f>
      </c>
      <c r="M2515" s="17">
        <f>HYPERLINK("https://my.pitchbook.com?c=89838-46", "View Company Online")</f>
      </c>
    </row>
    <row r="2516">
      <c r="A2516" t="s" s="10">
        <v>12882</v>
      </c>
      <c r="B2516" t="s" s="10">
        <v>12883</v>
      </c>
      <c r="C2516" t="s" s="10">
        <v>27</v>
      </c>
      <c r="D2516" t="s" s="10">
        <v>28</v>
      </c>
      <c r="E2516" t="s" s="10">
        <v>137</v>
      </c>
      <c r="F2516" s="27">
        <v>45838</v>
      </c>
      <c r="G2516" t="s" s="10">
        <v>4267</v>
      </c>
      <c r="H2516" s="42">
        <v>3.46</v>
      </c>
      <c r="I2516" s="42">
        <v>14.52</v>
      </c>
      <c r="J2516" t="s" s="10">
        <v>12884</v>
      </c>
      <c r="K2516" t="s" s="10">
        <v>12885</v>
      </c>
      <c r="L2516" s="16">
        <f>HYPERLINK("http://www.jamm-pay.jp", "www.jamm-pay.jp")</f>
      </c>
      <c r="M2516" s="16">
        <f>HYPERLINK("https://my.pitchbook.com?c=534976-03", "View Company Online")</f>
      </c>
    </row>
    <row r="2517">
      <c r="A2517" t="s" s="11">
        <v>12887</v>
      </c>
      <c r="B2517" t="s" s="11">
        <v>12888</v>
      </c>
      <c r="C2517" t="s" s="11">
        <v>128</v>
      </c>
      <c r="D2517" t="s" s="11">
        <v>276</v>
      </c>
      <c r="E2517" t="s" s="11">
        <v>29</v>
      </c>
      <c r="F2517" s="28">
        <v>44339</v>
      </c>
      <c r="G2517" t="s" s="11">
        <v>271</v>
      </c>
      <c r="H2517" s="43">
        <v>0.51</v>
      </c>
      <c r="I2517" s="43">
        <v>14.52</v>
      </c>
      <c r="J2517" t="s" s="11">
        <v>12889</v>
      </c>
      <c r="K2517" t="s" s="11">
        <v>12890</v>
      </c>
      <c r="L2517" s="17">
        <f>HYPERLINK("http://www.longevity.cards", "www.longevity.cards")</f>
      </c>
      <c r="M2517" s="17">
        <f>HYPERLINK("https://my.pitchbook.com?c=435244-33", "View Company Online")</f>
      </c>
    </row>
    <row r="2518">
      <c r="A2518" t="s" s="10">
        <v>12892</v>
      </c>
      <c r="B2518" t="s" s="10">
        <v>12893</v>
      </c>
      <c r="C2518" t="s" s="10">
        <v>27</v>
      </c>
      <c r="D2518" t="s" s="10">
        <v>28</v>
      </c>
      <c r="E2518" t="s" s="10">
        <v>137</v>
      </c>
      <c r="F2518" s="27">
        <v>42866</v>
      </c>
      <c r="G2518" t="s" s="10">
        <v>146</v>
      </c>
      <c r="H2518" s="42">
        <v>4.36</v>
      </c>
      <c r="I2518" s="42">
        <v>14.52</v>
      </c>
      <c r="J2518" t="s" s="10">
        <v>12894</v>
      </c>
      <c r="K2518" t="s" s="10">
        <v>12895</v>
      </c>
      <c r="L2518" s="16">
        <f>HYPERLINK("http://www.zhongmakj.com", "www.zhongmakj.com")</f>
      </c>
      <c r="M2518" s="16">
        <f>HYPERLINK("https://my.pitchbook.com?c=436575-34", "View Company Online")</f>
      </c>
    </row>
    <row r="2519">
      <c r="A2519" t="s" s="11">
        <v>12897</v>
      </c>
      <c r="B2519" t="s" s="11">
        <v>12898</v>
      </c>
      <c r="C2519" t="s" s="11">
        <v>114</v>
      </c>
      <c r="D2519" t="s" s="11">
        <v>136</v>
      </c>
      <c r="E2519" t="s" s="11">
        <v>137</v>
      </c>
      <c r="F2519" s="28">
        <v>46044</v>
      </c>
      <c r="G2519" t="s" s="11">
        <v>40</v>
      </c>
      <c r="H2519" s="43">
        <v>6.4</v>
      </c>
      <c r="I2519" s="43">
        <v>14.51</v>
      </c>
      <c r="J2519" t="s" s="11">
        <v>12899</v>
      </c>
      <c r="K2519" t="s" s="11">
        <v>12900</v>
      </c>
      <c r="L2519" s="17">
        <f>HYPERLINK("http://uangcermat.com", "uangcermat.com")</f>
      </c>
      <c r="M2519" s="17">
        <f>HYPERLINK("https://my.pitchbook.com?c=463163-50", "View Company Online")</f>
      </c>
    </row>
    <row r="2520">
      <c r="A2520" t="s" s="10">
        <v>12902</v>
      </c>
      <c r="B2520" t="s" s="10">
        <v>12903</v>
      </c>
      <c r="C2520" t="s" s="10">
        <v>46</v>
      </c>
      <c r="D2520" t="s" s="10">
        <v>915</v>
      </c>
      <c r="E2520" t="s" s="10">
        <v>373</v>
      </c>
      <c r="F2520" s="27">
        <v>45446</v>
      </c>
      <c r="G2520" t="s" s="10">
        <v>4267</v>
      </c>
      <c r="H2520" s="42">
        <v>2.5</v>
      </c>
      <c r="I2520" s="42">
        <v>14.5</v>
      </c>
      <c r="J2520" t="s" s="10">
        <v>12904</v>
      </c>
      <c r="K2520" t="s" s="10">
        <v>12905</v>
      </c>
      <c r="L2520" s="16">
        <f>HYPERLINK("http://www.balancecash.io", "www.balancecash.io")</f>
      </c>
      <c r="M2520" s="16">
        <f>HYPERLINK("https://my.pitchbook.com?c=594135-37", "View Company Online")</f>
      </c>
    </row>
    <row r="2521">
      <c r="A2521" t="s" s="11">
        <v>12907</v>
      </c>
      <c r="B2521" t="s" s="11">
        <v>12908</v>
      </c>
      <c r="C2521" t="s" s="11">
        <v>164</v>
      </c>
      <c r="D2521" t="s" s="11">
        <v>165</v>
      </c>
      <c r="E2521" t="s" s="11">
        <v>1625</v>
      </c>
      <c r="F2521" s="28">
        <v>45358</v>
      </c>
      <c r="G2521" t="s" s="11">
        <v>40</v>
      </c>
      <c r="H2521" s="43">
        <v>4.43</v>
      </c>
      <c r="I2521" s="43">
        <v>14.5</v>
      </c>
      <c r="J2521" t="s" s="11">
        <v>12909</v>
      </c>
      <c r="K2521" t="s" s="11">
        <v>12910</v>
      </c>
      <c r="L2521" s="17">
        <f>HYPERLINK("http://www.blockgencorp.com", "www.blockgencorp.com")</f>
      </c>
      <c r="M2521" s="17">
        <f>HYPERLINK("https://my.pitchbook.com?c=495386-92", "View Company Online")</f>
      </c>
    </row>
    <row r="2522">
      <c r="A2522" t="s" s="10">
        <v>12912</v>
      </c>
      <c r="B2522" t="s" s="10">
        <v>12913</v>
      </c>
      <c r="C2522" t="s" s="10">
        <v>60</v>
      </c>
      <c r="D2522" t="s" s="10">
        <v>61</v>
      </c>
      <c r="E2522" t="s" s="10">
        <v>193</v>
      </c>
      <c r="F2522" s="27">
        <v>45138</v>
      </c>
      <c r="G2522" t="s" s="10">
        <v>4267</v>
      </c>
      <c r="H2522" s="42">
        <v>3</v>
      </c>
      <c r="I2522" s="42">
        <v>14.5</v>
      </c>
      <c r="J2522" t="s" s="10">
        <v>12914</v>
      </c>
      <c r="K2522" t="s" s="10">
        <v>12915</v>
      </c>
      <c r="L2522" s="16">
        <f>HYPERLINK("http://scoredating.app", "scoredating.app")</f>
      </c>
      <c r="M2522" s="16">
        <f>HYPERLINK("https://my.pitchbook.com?c=509549-41", "View Company Online")</f>
      </c>
    </row>
    <row r="2523">
      <c r="A2523" t="s" s="11">
        <v>12917</v>
      </c>
      <c r="B2523" t="s" s="11">
        <v>12918</v>
      </c>
      <c r="C2523" t="s" s="11">
        <v>172</v>
      </c>
      <c r="D2523" t="s" s="11">
        <v>338</v>
      </c>
      <c r="E2523" t="s" s="11">
        <v>1277</v>
      </c>
      <c r="F2523" s="28">
        <v>45586</v>
      </c>
      <c r="G2523" t="s" s="11">
        <v>40</v>
      </c>
      <c r="H2523" t="s" s="43">
        <v>30</v>
      </c>
      <c r="I2523" s="43">
        <v>14.49</v>
      </c>
      <c r="J2523" t="s" s="11">
        <v>12919</v>
      </c>
      <c r="K2523" t="s" s="11">
        <v>12920</v>
      </c>
      <c r="L2523" s="17">
        <f>HYPERLINK("http://www.tookitaki.com", "www.tookitaki.com")</f>
      </c>
      <c r="M2523" s="17">
        <f>HYPERLINK("https://my.pitchbook.com?c=95463-37", "View Company Online")</f>
      </c>
    </row>
    <row r="2524">
      <c r="A2524" t="s" s="10">
        <v>12922</v>
      </c>
      <c r="B2524" t="s" s="10">
        <v>12923</v>
      </c>
      <c r="C2524" t="s" s="10">
        <v>27</v>
      </c>
      <c r="D2524" t="s" s="10">
        <v>28</v>
      </c>
      <c r="E2524" t="s" s="10">
        <v>1859</v>
      </c>
      <c r="F2524" s="27">
        <v>45916</v>
      </c>
      <c r="G2524" t="s" s="10">
        <v>146</v>
      </c>
      <c r="H2524" s="42">
        <v>5.01</v>
      </c>
      <c r="I2524" s="42">
        <v>14.47</v>
      </c>
      <c r="J2524" t="s" s="10">
        <v>12924</v>
      </c>
      <c r="K2524" t="s" s="10">
        <v>12925</v>
      </c>
      <c r="L2524" s="16">
        <f>HYPERLINK("http://pelocal.com", "pelocal.com")</f>
      </c>
      <c r="M2524" s="16">
        <f>HYPERLINK("https://my.pitchbook.com?c=537417-73", "View Company Online")</f>
      </c>
    </row>
    <row r="2525">
      <c r="A2525" t="s" s="11">
        <v>12927</v>
      </c>
      <c r="B2525" t="s" s="11">
        <v>12928</v>
      </c>
      <c r="C2525" t="s" s="11">
        <v>222</v>
      </c>
      <c r="D2525" t="s" s="11">
        <v>223</v>
      </c>
      <c r="E2525" t="s" s="11">
        <v>634</v>
      </c>
      <c r="F2525" s="28">
        <v>45958</v>
      </c>
      <c r="G2525" t="s" s="11">
        <v>40</v>
      </c>
      <c r="H2525" s="43">
        <v>7</v>
      </c>
      <c r="I2525" s="43">
        <v>14.42</v>
      </c>
      <c r="J2525" t="s" s="11">
        <v>12929</v>
      </c>
      <c r="K2525" t="s" s="11">
        <v>12930</v>
      </c>
      <c r="L2525" s="17">
        <f>HYPERLINK("http://www.grasp-ai.com", "www.grasp-ai.com")</f>
      </c>
      <c r="M2525" s="17">
        <f>HYPERLINK("https://my.pitchbook.com?c=507336-40", "View Company Online")</f>
      </c>
    </row>
    <row r="2526">
      <c r="A2526" t="s" s="10">
        <v>12932</v>
      </c>
      <c r="B2526" t="s" s="10">
        <v>12933</v>
      </c>
      <c r="C2526" t="s" s="10">
        <v>164</v>
      </c>
      <c r="D2526" t="s" s="10">
        <v>165</v>
      </c>
      <c r="E2526" t="s" s="10">
        <v>137</v>
      </c>
      <c r="F2526" s="27">
        <v>43764</v>
      </c>
      <c r="G2526" t="s" s="10">
        <v>146</v>
      </c>
      <c r="H2526" s="42">
        <v>1.41</v>
      </c>
      <c r="I2526" s="42">
        <v>14.4</v>
      </c>
      <c r="J2526" t="s" s="10">
        <v>12934</v>
      </c>
      <c r="K2526" t="s" s="10">
        <v>12935</v>
      </c>
      <c r="L2526" s="16">
        <f>HYPERLINK("http://www.shareplus.cn", "www.shareplus.cn")</f>
      </c>
      <c r="M2526" s="16">
        <f>HYPERLINK("https://my.pitchbook.com?c=339777-01", "View Company Online")</f>
      </c>
    </row>
    <row r="2527">
      <c r="A2527" t="s" s="11">
        <v>12937</v>
      </c>
      <c r="B2527" t="s" s="11">
        <v>12938</v>
      </c>
      <c r="C2527" t="s" s="11">
        <v>114</v>
      </c>
      <c r="D2527" t="s" s="11">
        <v>115</v>
      </c>
      <c r="E2527" t="s" s="11">
        <v>270</v>
      </c>
      <c r="F2527" s="28">
        <v>45446</v>
      </c>
      <c r="G2527" t="s" s="11">
        <v>146</v>
      </c>
      <c r="H2527" s="43">
        <v>5.42</v>
      </c>
      <c r="I2527" s="43">
        <v>14.4</v>
      </c>
      <c r="J2527" t="s" s="11">
        <v>12939</v>
      </c>
      <c r="K2527" t="s" s="11">
        <v>12940</v>
      </c>
      <c r="L2527" s="17">
        <f>HYPERLINK("http://www.infinid.id", "www.infinid.id")</f>
      </c>
      <c r="M2527" s="17">
        <f>HYPERLINK("https://my.pitchbook.com?c=519107-59", "View Company Online")</f>
      </c>
    </row>
    <row r="2528">
      <c r="A2528" t="s" s="10">
        <v>12942</v>
      </c>
      <c r="B2528" t="s" s="10">
        <v>12943</v>
      </c>
      <c r="C2528" t="s" s="10">
        <v>60</v>
      </c>
      <c r="D2528" t="s" s="10">
        <v>61</v>
      </c>
      <c r="E2528" t="s" s="10">
        <v>12122</v>
      </c>
      <c r="F2528" s="27">
        <v>45922</v>
      </c>
      <c r="G2528" t="s" s="10">
        <v>146</v>
      </c>
      <c r="H2528" s="42">
        <v>4.21</v>
      </c>
      <c r="I2528" s="42">
        <v>14.4</v>
      </c>
      <c r="J2528" t="s" s="10">
        <v>12944</v>
      </c>
      <c r="K2528" t="s" s="10">
        <v>12945</v>
      </c>
      <c r="L2528" s="16">
        <f>HYPERLINK("http://www.onfinance.ai", "www.onfinance.ai")</f>
      </c>
      <c r="M2528" s="16">
        <f>HYPERLINK("https://my.pitchbook.com?c=520068-61", "View Company Online")</f>
      </c>
    </row>
    <row r="2529">
      <c r="A2529" t="s" s="11">
        <v>12947</v>
      </c>
      <c r="B2529" t="s" s="11">
        <v>12948</v>
      </c>
      <c r="C2529" t="s" s="11">
        <v>222</v>
      </c>
      <c r="D2529" t="s" s="11">
        <v>537</v>
      </c>
      <c r="E2529" t="s" s="11">
        <v>373</v>
      </c>
      <c r="F2529" s="28">
        <v>45217</v>
      </c>
      <c r="G2529" t="s" s="11">
        <v>607</v>
      </c>
      <c r="H2529" t="s" s="43">
        <v>30</v>
      </c>
      <c r="I2529" s="43">
        <v>14.4</v>
      </c>
      <c r="J2529" t="s" s="11">
        <v>12949</v>
      </c>
      <c r="K2529" t="s" s="11">
        <v>12950</v>
      </c>
      <c r="L2529" s="17">
        <f>HYPERLINK("http://www.spiking.com", "www.spiking.com")</f>
      </c>
      <c r="M2529" s="17">
        <f>HYPERLINK("https://my.pitchbook.com?c=117100-63", "View Company Online")</f>
      </c>
    </row>
    <row r="2530">
      <c r="A2530" t="s" s="10">
        <v>12952</v>
      </c>
      <c r="B2530" t="s" s="10">
        <v>12953</v>
      </c>
      <c r="C2530" t="s" s="10">
        <v>60</v>
      </c>
      <c r="D2530" t="s" s="10">
        <v>432</v>
      </c>
      <c r="E2530" t="s" s="10">
        <v>253</v>
      </c>
      <c r="F2530" s="27">
        <v>44866</v>
      </c>
      <c r="G2530" t="s" s="10">
        <v>146</v>
      </c>
      <c r="H2530" t="s" s="42">
        <v>30</v>
      </c>
      <c r="I2530" s="42">
        <v>14.38</v>
      </c>
      <c r="J2530" t="s" s="10">
        <v>12954</v>
      </c>
      <c r="K2530" t="s" s="10">
        <v>12955</v>
      </c>
      <c r="L2530" s="16">
        <f>HYPERLINK("http://www.futora.com", "www.futora.com")</f>
      </c>
      <c r="M2530" s="16">
        <f>HYPERLINK("https://my.pitchbook.com?c=471040-48", "View Company Online")</f>
      </c>
    </row>
    <row r="2531">
      <c r="A2531" t="s" s="11">
        <v>12957</v>
      </c>
      <c r="B2531" t="s" s="11">
        <v>12958</v>
      </c>
      <c r="C2531" t="s" s="11">
        <v>114</v>
      </c>
      <c r="D2531" t="s" s="11">
        <v>115</v>
      </c>
      <c r="E2531" t="s" s="11">
        <v>12959</v>
      </c>
      <c r="F2531" t="s" s="28">
        <v>30</v>
      </c>
      <c r="G2531" t="s" s="11">
        <v>607</v>
      </c>
      <c r="H2531" t="s" s="43">
        <v>30</v>
      </c>
      <c r="I2531" s="43">
        <v>14.37</v>
      </c>
      <c r="J2531" t="s" s="11">
        <v>12960</v>
      </c>
      <c r="K2531" t="s" s="11">
        <v>12961</v>
      </c>
      <c r="L2531" s="17">
        <f>HYPERLINK("http://www.invocap.com", "www.invocap.com")</f>
      </c>
      <c r="M2531" s="17">
        <f>HYPERLINK("https://my.pitchbook.com?c=161429-50", "View Company Online")</f>
      </c>
    </row>
    <row r="2532">
      <c r="A2532" t="s" s="10">
        <v>12963</v>
      </c>
      <c r="B2532" t="s" s="10">
        <v>12964</v>
      </c>
      <c r="C2532" t="s" s="10">
        <v>60</v>
      </c>
      <c r="D2532" t="s" s="10">
        <v>246</v>
      </c>
      <c r="E2532" t="s" s="10">
        <v>2695</v>
      </c>
      <c r="F2532" s="27">
        <v>45020</v>
      </c>
      <c r="G2532" t="s" s="10">
        <v>607</v>
      </c>
      <c r="H2532" t="s" s="42">
        <v>30</v>
      </c>
      <c r="I2532" s="42">
        <v>14.35</v>
      </c>
      <c r="J2532" t="s" s="10">
        <v>12965</v>
      </c>
      <c r="K2532" t="s" s="10">
        <v>12966</v>
      </c>
      <c r="L2532" s="16">
        <f>HYPERLINK("http://www.active-asset-allocation.com", "www.active-asset-allocation.com")</f>
      </c>
      <c r="M2532" s="16">
        <f>HYPERLINK("https://my.pitchbook.com?c=125842-60", "View Company Online")</f>
      </c>
    </row>
    <row r="2533">
      <c r="A2533" t="s" s="11">
        <v>12968</v>
      </c>
      <c r="B2533" t="s" s="11">
        <v>12969</v>
      </c>
      <c r="C2533" t="s" s="11">
        <v>144</v>
      </c>
      <c r="D2533" t="s" s="11">
        <v>297</v>
      </c>
      <c r="E2533" t="s" s="11">
        <v>253</v>
      </c>
      <c r="F2533" s="28">
        <v>46209</v>
      </c>
      <c r="G2533" t="s" s="11">
        <v>4267</v>
      </c>
      <c r="H2533" s="43">
        <v>3.44</v>
      </c>
      <c r="I2533" s="43">
        <v>14.34</v>
      </c>
      <c r="J2533" t="s" s="11">
        <v>12970</v>
      </c>
      <c r="K2533" t="s" s="11">
        <v>30</v>
      </c>
      <c r="L2533" s="17">
        <f>HYPERLINK("http://www.finspot.com", "www.finspot.com")</f>
      </c>
      <c r="M2533" s="17">
        <f>HYPERLINK("https://my.pitchbook.com?c=496738-63", "View Company Online")</f>
      </c>
    </row>
    <row r="2534">
      <c r="A2534" t="s" s="10">
        <v>12972</v>
      </c>
      <c r="B2534" t="s" s="10">
        <v>12973</v>
      </c>
      <c r="C2534" t="s" s="10">
        <v>27</v>
      </c>
      <c r="D2534" t="s" s="10">
        <v>28</v>
      </c>
      <c r="E2534" t="s" s="10">
        <v>270</v>
      </c>
      <c r="F2534" s="27">
        <v>44805</v>
      </c>
      <c r="G2534" t="s" s="10">
        <v>48</v>
      </c>
      <c r="H2534" t="s" s="42">
        <v>30</v>
      </c>
      <c r="I2534" s="42">
        <v>14.34</v>
      </c>
      <c r="J2534" t="s" s="10">
        <v>12974</v>
      </c>
      <c r="K2534" t="s" s="10">
        <v>12975</v>
      </c>
      <c r="L2534" s="16">
        <f>HYPERLINK("http://www.paythru.com", "www.paythru.com")</f>
      </c>
      <c r="M2534" s="16">
        <f>HYPERLINK("https://my.pitchbook.com?c=55715-32", "View Company Online")</f>
      </c>
    </row>
    <row r="2535">
      <c r="A2535" t="s" s="11">
        <v>12977</v>
      </c>
      <c r="B2535" t="s" s="11">
        <v>12978</v>
      </c>
      <c r="C2535" t="s" s="11">
        <v>46</v>
      </c>
      <c r="D2535" t="s" s="11">
        <v>397</v>
      </c>
      <c r="E2535" t="s" s="11">
        <v>373</v>
      </c>
      <c r="F2535" s="28">
        <v>45274</v>
      </c>
      <c r="G2535" t="s" s="11">
        <v>4267</v>
      </c>
      <c r="H2535" s="43">
        <v>2.5</v>
      </c>
      <c r="I2535" s="43">
        <v>14.32</v>
      </c>
      <c r="J2535" t="s" s="11">
        <v>12979</v>
      </c>
      <c r="K2535" t="s" s="11">
        <v>12980</v>
      </c>
      <c r="L2535" s="17">
        <f>HYPERLINK("http://www.digitoo.ai", "www.digitoo.ai")</f>
      </c>
      <c r="M2535" s="17">
        <f>HYPERLINK("https://my.pitchbook.com?c=462383-83", "View Company Online")</f>
      </c>
    </row>
    <row r="2536">
      <c r="A2536" t="s" s="10">
        <v>12982</v>
      </c>
      <c r="B2536" t="s" s="10">
        <v>12983</v>
      </c>
      <c r="C2536" t="s" s="10">
        <v>27</v>
      </c>
      <c r="D2536" t="s" s="10">
        <v>70</v>
      </c>
      <c r="E2536" t="s" s="10">
        <v>332</v>
      </c>
      <c r="F2536" s="27">
        <v>44529</v>
      </c>
      <c r="G2536" t="s" s="10">
        <v>40</v>
      </c>
      <c r="H2536" s="42">
        <v>48</v>
      </c>
      <c r="I2536" s="42">
        <v>14.3</v>
      </c>
      <c r="J2536" t="s" s="10">
        <v>12984</v>
      </c>
      <c r="K2536" t="s" s="10">
        <v>12985</v>
      </c>
      <c r="L2536" s="16">
        <f>HYPERLINK("http://www.ozow.com", "www.ozow.com")</f>
      </c>
      <c r="M2536" s="16">
        <f>HYPERLINK("https://my.pitchbook.com?c=222616-90", "View Company Online")</f>
      </c>
    </row>
    <row r="2537">
      <c r="A2537" t="s" s="11">
        <v>12987</v>
      </c>
      <c r="B2537" t="s" s="11">
        <v>12988</v>
      </c>
      <c r="C2537" t="s" s="11">
        <v>172</v>
      </c>
      <c r="D2537" t="s" s="11">
        <v>1454</v>
      </c>
      <c r="E2537" t="s" s="11">
        <v>29</v>
      </c>
      <c r="F2537" s="28">
        <v>45384</v>
      </c>
      <c r="G2537" t="s" s="11">
        <v>4267</v>
      </c>
      <c r="H2537" s="43">
        <v>1.62</v>
      </c>
      <c r="I2537" s="43">
        <v>14.28</v>
      </c>
      <c r="J2537" t="s" s="11">
        <v>12989</v>
      </c>
      <c r="K2537" t="s" s="11">
        <v>12990</v>
      </c>
      <c r="L2537" s="17">
        <f>HYPERLINK("http://www.aio.network", "www.aio.network")</f>
      </c>
      <c r="M2537" s="17">
        <f>HYPERLINK("https://my.pitchbook.com?c=437876-29", "View Company Online")</f>
      </c>
    </row>
    <row r="2538">
      <c r="A2538" t="s" s="10">
        <v>12992</v>
      </c>
      <c r="B2538" t="s" s="10">
        <v>12993</v>
      </c>
      <c r="C2538" t="s" s="10">
        <v>60</v>
      </c>
      <c r="D2538" t="s" s="10">
        <v>246</v>
      </c>
      <c r="E2538" t="s" s="10">
        <v>253</v>
      </c>
      <c r="F2538" t="s" s="27">
        <v>30</v>
      </c>
      <c r="G2538" t="s" s="10">
        <v>271</v>
      </c>
      <c r="H2538" s="42">
        <v>0.53</v>
      </c>
      <c r="I2538" s="42">
        <v>14.23</v>
      </c>
      <c r="J2538" t="s" s="10">
        <v>12994</v>
      </c>
      <c r="K2538" t="s" s="10">
        <v>12995</v>
      </c>
      <c r="L2538" s="16">
        <f>HYPERLINK("http://www.vircle.com", "www.vircle.com")</f>
      </c>
      <c r="M2538" s="16">
        <f>HYPERLINK("https://my.pitchbook.com?c=416555-92", "View Company Online")</f>
      </c>
    </row>
    <row r="2539">
      <c r="A2539" t="s" s="11">
        <v>12997</v>
      </c>
      <c r="B2539" t="s" s="11">
        <v>12998</v>
      </c>
      <c r="C2539" t="s" s="11">
        <v>27</v>
      </c>
      <c r="D2539" t="s" s="11">
        <v>122</v>
      </c>
      <c r="E2539" t="s" s="11">
        <v>259</v>
      </c>
      <c r="F2539" s="28">
        <v>45331</v>
      </c>
      <c r="G2539" t="s" s="11">
        <v>146</v>
      </c>
      <c r="H2539" s="43">
        <v>1.73</v>
      </c>
      <c r="I2539" s="43">
        <v>14.2</v>
      </c>
      <c r="J2539" t="s" s="11">
        <v>12999</v>
      </c>
      <c r="K2539" t="s" s="11">
        <v>13000</v>
      </c>
      <c r="L2539" s="17">
        <f>HYPERLINK("http://www.lesslie.se", "www.lesslie.se")</f>
      </c>
      <c r="M2539" s="17">
        <f>HYPERLINK("https://my.pitchbook.com?c=497432-35", "View Company Online")</f>
      </c>
    </row>
    <row r="2540">
      <c r="A2540" t="s" s="10">
        <v>13002</v>
      </c>
      <c r="B2540" t="s" s="10">
        <v>13003</v>
      </c>
      <c r="C2540" t="s" s="10">
        <v>114</v>
      </c>
      <c r="D2540" t="s" s="10">
        <v>852</v>
      </c>
      <c r="E2540" t="s" s="10">
        <v>137</v>
      </c>
      <c r="F2540" s="27">
        <v>45453</v>
      </c>
      <c r="G2540" t="s" s="10">
        <v>40</v>
      </c>
      <c r="H2540" s="42">
        <v>6</v>
      </c>
      <c r="I2540" s="42">
        <v>14.15</v>
      </c>
      <c r="J2540" t="s" s="10">
        <v>13004</v>
      </c>
      <c r="K2540" t="s" s="10">
        <v>13005</v>
      </c>
      <c r="L2540" s="16">
        <f>HYPERLINK("http://www.arthan.finance", "www.arthan.finance")</f>
      </c>
      <c r="M2540" s="16">
        <f>HYPERLINK("https://my.pitchbook.com?c=343611-82", "View Company Online")</f>
      </c>
    </row>
    <row r="2541">
      <c r="A2541" t="s" s="11">
        <v>13007</v>
      </c>
      <c r="B2541" t="s" s="11">
        <v>13008</v>
      </c>
      <c r="C2541" t="s" s="11">
        <v>60</v>
      </c>
      <c r="D2541" t="s" s="11">
        <v>727</v>
      </c>
      <c r="E2541" t="s" s="11">
        <v>13009</v>
      </c>
      <c r="F2541" t="s" s="28">
        <v>30</v>
      </c>
      <c r="G2541" t="s" s="11">
        <v>48</v>
      </c>
      <c r="H2541" t="s" s="43">
        <v>30</v>
      </c>
      <c r="I2541" s="43">
        <v>14.15</v>
      </c>
      <c r="J2541" t="s" s="11">
        <v>13010</v>
      </c>
      <c r="K2541" t="s" s="11">
        <v>13011</v>
      </c>
      <c r="L2541" s="17">
        <f>HYPERLINK("http://www.grandhood.dk", "www.grandhood.dk")</f>
      </c>
      <c r="M2541" s="17">
        <f>HYPERLINK("https://my.pitchbook.com?c=228393-64", "View Company Online")</f>
      </c>
    </row>
    <row r="2542">
      <c r="A2542" t="s" s="10">
        <v>13013</v>
      </c>
      <c r="B2542" t="s" s="10">
        <v>13014</v>
      </c>
      <c r="C2542" t="s" s="10">
        <v>46</v>
      </c>
      <c r="D2542" t="s" s="10">
        <v>78</v>
      </c>
      <c r="E2542" t="s" s="10">
        <v>253</v>
      </c>
      <c r="F2542" s="27">
        <v>46104</v>
      </c>
      <c r="G2542" t="s" s="10">
        <v>607</v>
      </c>
      <c r="H2542" s="42">
        <v>0.12</v>
      </c>
      <c r="I2542" s="42">
        <v>14.1</v>
      </c>
      <c r="J2542" t="s" s="10">
        <v>13015</v>
      </c>
      <c r="K2542" t="s" s="10">
        <v>13016</v>
      </c>
      <c r="L2542" s="16">
        <f>HYPERLINK("http://www.karbonpay.com", "www.karbonpay.com")</f>
      </c>
      <c r="M2542" s="16">
        <f>HYPERLINK("https://my.pitchbook.com?c=442356-67", "View Company Online")</f>
      </c>
    </row>
    <row r="2543">
      <c r="A2543" t="s" s="11">
        <v>13018</v>
      </c>
      <c r="B2543" t="s" s="11">
        <v>13019</v>
      </c>
      <c r="C2543" t="s" s="11">
        <v>60</v>
      </c>
      <c r="D2543" t="s" s="11">
        <v>246</v>
      </c>
      <c r="E2543" t="s" s="11">
        <v>270</v>
      </c>
      <c r="F2543" s="28">
        <v>45407</v>
      </c>
      <c r="G2543" t="s" s="11">
        <v>40</v>
      </c>
      <c r="H2543" s="43">
        <v>10.03</v>
      </c>
      <c r="I2543" s="43">
        <v>14.08</v>
      </c>
      <c r="J2543" t="s" s="11">
        <v>13020</v>
      </c>
      <c r="K2543" t="s" s="11">
        <v>13021</v>
      </c>
      <c r="L2543" s="17">
        <f>HYPERLINK("http://www.wollit.com", "www.wollit.com")</f>
      </c>
      <c r="M2543" s="17">
        <f>HYPERLINK("https://my.pitchbook.com?c=327336-94", "View Company Online")</f>
      </c>
    </row>
    <row r="2544">
      <c r="A2544" t="s" s="10">
        <v>13023</v>
      </c>
      <c r="B2544" t="s" s="10">
        <v>13024</v>
      </c>
      <c r="C2544" t="s" s="10">
        <v>60</v>
      </c>
      <c r="D2544" t="s" s="10">
        <v>192</v>
      </c>
      <c r="E2544" t="s" s="10">
        <v>137</v>
      </c>
      <c r="F2544" s="27">
        <v>46023</v>
      </c>
      <c r="G2544" t="s" s="10">
        <v>607</v>
      </c>
      <c r="H2544" t="s" s="42">
        <v>30</v>
      </c>
      <c r="I2544" s="42">
        <v>14.05</v>
      </c>
      <c r="J2544" t="s" s="10">
        <v>13025</v>
      </c>
      <c r="K2544" t="s" s="10">
        <v>13026</v>
      </c>
      <c r="L2544" s="16">
        <f>HYPERLINK("http://www.dreamplan.io", "www.dreamplan.io")</f>
      </c>
      <c r="M2544" s="16">
        <f>HYPERLINK("https://my.pitchbook.com?c=462617-74", "View Company Online")</f>
      </c>
    </row>
    <row r="2545">
      <c r="A2545" t="s" s="11">
        <v>13028</v>
      </c>
      <c r="B2545" t="s" s="11">
        <v>13029</v>
      </c>
      <c r="C2545" t="s" s="11">
        <v>27</v>
      </c>
      <c r="D2545" t="s" s="11">
        <v>122</v>
      </c>
      <c r="E2545" t="s" s="11">
        <v>253</v>
      </c>
      <c r="F2545" s="28">
        <v>46057</v>
      </c>
      <c r="G2545" t="s" s="11">
        <v>40</v>
      </c>
      <c r="H2545" s="43">
        <v>25</v>
      </c>
      <c r="I2545" s="43">
        <v>14</v>
      </c>
      <c r="J2545" t="s" s="11">
        <v>13030</v>
      </c>
      <c r="K2545" t="s" s="11">
        <v>13031</v>
      </c>
      <c r="L2545" s="17">
        <f>HYPERLINK("http://www.bound.co", "www.bound.co")</f>
      </c>
      <c r="M2545" s="17">
        <f>HYPERLINK("https://my.pitchbook.com?c=470065-87", "View Company Online")</f>
      </c>
    </row>
    <row r="2546">
      <c r="A2546" t="s" s="10">
        <v>13033</v>
      </c>
      <c r="B2546" t="s" s="10">
        <v>13034</v>
      </c>
      <c r="C2546" t="s" s="10">
        <v>60</v>
      </c>
      <c r="D2546" t="s" s="10">
        <v>432</v>
      </c>
      <c r="E2546" t="s" s="10">
        <v>443</v>
      </c>
      <c r="F2546" s="27">
        <v>46014</v>
      </c>
      <c r="G2546" t="s" s="10">
        <v>146</v>
      </c>
      <c r="H2546" s="42">
        <v>0.75</v>
      </c>
      <c r="I2546" s="42">
        <v>14</v>
      </c>
      <c r="J2546" t="s" s="10">
        <v>13035</v>
      </c>
      <c r="K2546" t="s" s="10">
        <v>13036</v>
      </c>
      <c r="L2546" s="16">
        <f>HYPERLINK("http://www.thebquest.com", "www.thebquest.com")</f>
      </c>
      <c r="M2546" s="16">
        <f>HYPERLINK("https://my.pitchbook.com?c=615923-83", "View Company Online")</f>
      </c>
    </row>
    <row r="2547">
      <c r="A2547" t="s" s="11">
        <v>13038</v>
      </c>
      <c r="B2547" t="s" s="11">
        <v>13039</v>
      </c>
      <c r="C2547" t="s" s="11">
        <v>60</v>
      </c>
      <c r="D2547" t="s" s="11">
        <v>192</v>
      </c>
      <c r="E2547" t="s" s="11">
        <v>253</v>
      </c>
      <c r="F2547" s="28">
        <v>44599</v>
      </c>
      <c r="G2547" t="s" s="11">
        <v>40</v>
      </c>
      <c r="H2547" s="43">
        <v>1.97</v>
      </c>
      <c r="I2547" s="43">
        <v>14</v>
      </c>
      <c r="J2547" t="s" s="11">
        <v>13040</v>
      </c>
      <c r="K2547" t="s" s="11">
        <v>30</v>
      </c>
      <c r="L2547" s="17">
        <f>HYPERLINK("http://www.corpaxe.com", "www.corpaxe.com")</f>
      </c>
      <c r="M2547" s="17">
        <f>HYPERLINK("https://my.pitchbook.com?c=227160-01", "View Company Online")</f>
      </c>
    </row>
    <row r="2548">
      <c r="A2548" t="s" s="10">
        <v>13042</v>
      </c>
      <c r="B2548" t="s" s="10">
        <v>13043</v>
      </c>
      <c r="C2548" t="s" s="10">
        <v>172</v>
      </c>
      <c r="D2548" t="s" s="10">
        <v>338</v>
      </c>
      <c r="E2548" t="s" s="10">
        <v>916</v>
      </c>
      <c r="F2548" s="27">
        <v>45845</v>
      </c>
      <c r="G2548" t="s" s="10">
        <v>40</v>
      </c>
      <c r="H2548" t="s" s="42">
        <v>30</v>
      </c>
      <c r="I2548" s="42">
        <v>14</v>
      </c>
      <c r="J2548" t="s" s="10">
        <v>13044</v>
      </c>
      <c r="K2548" t="s" s="10">
        <v>13045</v>
      </c>
      <c r="L2548" s="16">
        <f>HYPERLINK("http://www.genrocket.com", "www.genrocket.com")</f>
      </c>
      <c r="M2548" s="16">
        <f>HYPERLINK("https://my.pitchbook.com?c=265575-97", "View Company Online")</f>
      </c>
    </row>
    <row r="2549">
      <c r="A2549" t="s" s="11">
        <v>13047</v>
      </c>
      <c r="B2549" t="s" s="11">
        <v>13048</v>
      </c>
      <c r="C2549" t="s" s="11">
        <v>114</v>
      </c>
      <c r="D2549" t="s" s="11">
        <v>115</v>
      </c>
      <c r="E2549" t="s" s="11">
        <v>10079</v>
      </c>
      <c r="F2549" s="28">
        <v>45870</v>
      </c>
      <c r="G2549" t="s" s="11">
        <v>4267</v>
      </c>
      <c r="H2549" s="43">
        <v>3.4</v>
      </c>
      <c r="I2549" s="43">
        <v>14</v>
      </c>
      <c r="J2549" t="s" s="11">
        <v>13049</v>
      </c>
      <c r="K2549" t="s" s="11">
        <v>13050</v>
      </c>
      <c r="L2549" s="17">
        <f>HYPERLINK("http://www.keyway.ai", "www.keyway.ai")</f>
      </c>
      <c r="M2549" s="17">
        <f>HYPERLINK("https://my.pitchbook.com?c=461995-57", "View Company Online")</f>
      </c>
    </row>
    <row r="2550">
      <c r="A2550" t="s" s="10">
        <v>13052</v>
      </c>
      <c r="B2550" t="s" s="10">
        <v>13053</v>
      </c>
      <c r="C2550" t="s" s="10">
        <v>114</v>
      </c>
      <c r="D2550" t="s" s="10">
        <v>852</v>
      </c>
      <c r="E2550" t="s" s="10">
        <v>253</v>
      </c>
      <c r="F2550" s="27">
        <v>45002</v>
      </c>
      <c r="G2550" t="s" s="10">
        <v>4267</v>
      </c>
      <c r="H2550" s="42">
        <v>4</v>
      </c>
      <c r="I2550" s="42">
        <v>14</v>
      </c>
      <c r="J2550" t="s" s="10">
        <v>13054</v>
      </c>
      <c r="K2550" t="s" s="10">
        <v>13055</v>
      </c>
      <c r="L2550" s="16">
        <f>HYPERLINK("http://www.lunchpayments.com", "www.lunchpayments.com")</f>
      </c>
      <c r="M2550" s="16">
        <f>HYPERLINK("https://my.pitchbook.com?c=489203-74", "View Company Online")</f>
      </c>
    </row>
    <row r="2551">
      <c r="A2551" t="s" s="11">
        <v>13057</v>
      </c>
      <c r="B2551" t="s" s="11">
        <v>13058</v>
      </c>
      <c r="C2551" t="s" s="11">
        <v>114</v>
      </c>
      <c r="D2551" t="s" s="11">
        <v>136</v>
      </c>
      <c r="E2551" t="s" s="11">
        <v>137</v>
      </c>
      <c r="F2551" s="28">
        <v>45730</v>
      </c>
      <c r="G2551" t="s" s="11">
        <v>4267</v>
      </c>
      <c r="H2551" t="s" s="43">
        <v>30</v>
      </c>
      <c r="I2551" s="43">
        <v>14</v>
      </c>
      <c r="J2551" t="s" s="11">
        <v>13059</v>
      </c>
      <c r="K2551" t="s" s="11">
        <v>13060</v>
      </c>
      <c r="L2551" s="17">
        <f>HYPERLINK("http://www.measuredhq.com", "www.measuredhq.com")</f>
      </c>
      <c r="M2551" s="17">
        <f>HYPERLINK("https://my.pitchbook.com?c=528295-69", "View Company Online")</f>
      </c>
    </row>
    <row r="2552">
      <c r="A2552" t="s" s="10">
        <v>13062</v>
      </c>
      <c r="B2552" t="s" s="10">
        <v>13063</v>
      </c>
      <c r="C2552" t="s" s="10">
        <v>128</v>
      </c>
      <c r="D2552" t="s" s="10">
        <v>276</v>
      </c>
      <c r="E2552" t="s" s="10">
        <v>158</v>
      </c>
      <c r="F2552" s="27">
        <v>45565</v>
      </c>
      <c r="G2552" t="s" s="10">
        <v>40</v>
      </c>
      <c r="H2552" s="42">
        <v>2.82</v>
      </c>
      <c r="I2552" s="42">
        <v>14</v>
      </c>
      <c r="J2552" t="s" s="10">
        <v>13064</v>
      </c>
      <c r="K2552" t="s" s="10">
        <v>13065</v>
      </c>
      <c r="L2552" s="16">
        <f>HYPERLINK("http://www.mozper.com", "www.mozper.com")</f>
      </c>
      <c r="M2552" s="16">
        <f>HYPERLINK("https://my.pitchbook.com?c=436085-11", "View Company Online")</f>
      </c>
    </row>
    <row r="2553">
      <c r="A2553" t="s" s="11">
        <v>13067</v>
      </c>
      <c r="B2553" t="s" s="11">
        <v>13068</v>
      </c>
      <c r="C2553" t="s" s="11">
        <v>46</v>
      </c>
      <c r="D2553" t="s" s="11">
        <v>47</v>
      </c>
      <c r="E2553" t="s" s="11">
        <v>13069</v>
      </c>
      <c r="F2553" s="28">
        <v>44239</v>
      </c>
      <c r="G2553" t="s" s="11">
        <v>146</v>
      </c>
      <c r="H2553" s="43">
        <v>4</v>
      </c>
      <c r="I2553" s="43">
        <v>14</v>
      </c>
      <c r="J2553" t="s" s="11">
        <v>13070</v>
      </c>
      <c r="K2553" t="s" s="11">
        <v>13071</v>
      </c>
      <c r="L2553" s="17">
        <f>HYPERLINK("http://www.nationalmedicalfundingservices.com", "www.nationalmedicalfundingservices.com")</f>
      </c>
      <c r="M2553" s="17">
        <f>HYPERLINK("https://my.pitchbook.com?c=433728-10", "View Company Online")</f>
      </c>
    </row>
    <row r="2554">
      <c r="A2554" t="s" s="10">
        <v>13073</v>
      </c>
      <c r="B2554" t="s" s="10">
        <v>13074</v>
      </c>
      <c r="C2554" t="s" s="10">
        <v>27</v>
      </c>
      <c r="D2554" t="s" s="10">
        <v>28</v>
      </c>
      <c r="E2554" t="s" s="10">
        <v>253</v>
      </c>
      <c r="F2554" s="27">
        <v>46192</v>
      </c>
      <c r="G2554" t="s" s="10">
        <v>2051</v>
      </c>
      <c r="H2554" t="s" s="42">
        <v>30</v>
      </c>
      <c r="I2554" s="42">
        <v>14</v>
      </c>
      <c r="J2554" t="s" s="10">
        <v>13075</v>
      </c>
      <c r="K2554" t="s" s="10">
        <v>30</v>
      </c>
      <c r="L2554" s="16">
        <f>HYPERLINK("http://www.payquid.net", "www.payquid.net")</f>
      </c>
      <c r="M2554" s="16">
        <f>HYPERLINK("https://my.pitchbook.com?c=515710-54", "View Company Online")</f>
      </c>
    </row>
    <row r="2555">
      <c r="A2555" t="s" s="11">
        <v>13077</v>
      </c>
      <c r="B2555" t="s" s="11">
        <v>13078</v>
      </c>
      <c r="C2555" t="s" s="11">
        <v>27</v>
      </c>
      <c r="D2555" t="s" s="11">
        <v>28</v>
      </c>
      <c r="E2555" t="s" s="11">
        <v>137</v>
      </c>
      <c r="F2555" s="28">
        <v>45412</v>
      </c>
      <c r="G2555" t="s" s="11">
        <v>4267</v>
      </c>
      <c r="H2555" s="43">
        <v>2</v>
      </c>
      <c r="I2555" s="43">
        <v>14</v>
      </c>
      <c r="J2555" t="s" s="11">
        <v>13079</v>
      </c>
      <c r="K2555" t="s" s="11">
        <v>13080</v>
      </c>
      <c r="L2555" s="17">
        <f>HYPERLINK("http://www.payverse.com", "www.payverse.com")</f>
      </c>
      <c r="M2555" s="17">
        <f>HYPERLINK("https://my.pitchbook.com?c=496120-78", "View Company Online")</f>
      </c>
    </row>
    <row r="2556">
      <c r="A2556" t="s" s="10">
        <v>13082</v>
      </c>
      <c r="B2556" t="s" s="10">
        <v>13083</v>
      </c>
      <c r="C2556" t="s" s="10">
        <v>60</v>
      </c>
      <c r="D2556" t="s" s="10">
        <v>246</v>
      </c>
      <c r="E2556" t="s" s="10">
        <v>13084</v>
      </c>
      <c r="F2556" s="27">
        <v>45944</v>
      </c>
      <c r="G2556" t="s" s="10">
        <v>4267</v>
      </c>
      <c r="H2556" s="42">
        <v>5.4</v>
      </c>
      <c r="I2556" s="42">
        <v>14</v>
      </c>
      <c r="J2556" t="s" s="10">
        <v>13085</v>
      </c>
      <c r="K2556" t="s" s="10">
        <v>13086</v>
      </c>
      <c r="L2556" s="16">
        <f>HYPERLINK("http://www.join-thebeans.io", "www.join-thebeans.io")</f>
      </c>
      <c r="M2556" s="16">
        <f>HYPERLINK("https://my.pitchbook.com?c=169469-83", "View Company Online")</f>
      </c>
    </row>
    <row r="2557">
      <c r="A2557" t="s" s="11">
        <v>13088</v>
      </c>
      <c r="B2557" t="s" s="11">
        <v>13089</v>
      </c>
      <c r="C2557" t="s" s="11">
        <v>27</v>
      </c>
      <c r="D2557" t="s" s="11">
        <v>28</v>
      </c>
      <c r="E2557" t="s" s="11">
        <v>200</v>
      </c>
      <c r="F2557" s="28">
        <v>44811</v>
      </c>
      <c r="G2557" t="s" s="11">
        <v>40</v>
      </c>
      <c r="H2557" s="43">
        <v>3.95</v>
      </c>
      <c r="I2557" s="43">
        <v>13.99</v>
      </c>
      <c r="J2557" t="s" s="11">
        <v>13090</v>
      </c>
      <c r="K2557" t="s" s="11">
        <v>13091</v>
      </c>
      <c r="L2557" s="17">
        <f>HYPERLINK("http://www.wi-q.com", "www.wi-q.com")</f>
      </c>
      <c r="M2557" s="17">
        <f>HYPERLINK("https://my.pitchbook.com?c=180561-16", "View Company Online")</f>
      </c>
    </row>
    <row r="2558">
      <c r="A2558" t="s" s="10">
        <v>13093</v>
      </c>
      <c r="B2558" t="s" s="10">
        <v>13094</v>
      </c>
      <c r="C2558" t="s" s="10">
        <v>114</v>
      </c>
      <c r="D2558" t="s" s="10">
        <v>852</v>
      </c>
      <c r="E2558" t="s" s="10">
        <v>137</v>
      </c>
      <c r="F2558" s="27">
        <v>46082</v>
      </c>
      <c r="G2558" t="s" s="10">
        <v>40</v>
      </c>
      <c r="H2558" s="42">
        <v>0.5</v>
      </c>
      <c r="I2558" s="42">
        <v>13.98</v>
      </c>
      <c r="J2558" t="s" s="10">
        <v>13095</v>
      </c>
      <c r="K2558" t="s" s="10">
        <v>13096</v>
      </c>
      <c r="L2558" s="16">
        <f>HYPERLINK("http://www.flowglobal.net", "www.flowglobal.net")</f>
      </c>
      <c r="M2558" s="16">
        <f>HYPERLINK("https://my.pitchbook.com?c=434167-30", "View Company Online")</f>
      </c>
    </row>
    <row r="2559">
      <c r="A2559" t="s" s="11">
        <v>13098</v>
      </c>
      <c r="B2559" t="s" s="11">
        <v>13099</v>
      </c>
      <c r="C2559" t="s" s="11">
        <v>222</v>
      </c>
      <c r="D2559" t="s" s="11">
        <v>235</v>
      </c>
      <c r="E2559" t="s" s="11">
        <v>137</v>
      </c>
      <c r="F2559" s="28">
        <v>46082</v>
      </c>
      <c r="G2559" t="s" s="11">
        <v>48</v>
      </c>
      <c r="H2559" t="s" s="43">
        <v>30</v>
      </c>
      <c r="I2559" s="43">
        <v>13.95</v>
      </c>
      <c r="J2559" t="s" s="11">
        <v>13100</v>
      </c>
      <c r="K2559" t="s" s="11">
        <v>13101</v>
      </c>
      <c r="L2559" s="17">
        <f>HYPERLINK("http://www.lvxventures.com", "www.lvxventures.com")</f>
      </c>
      <c r="M2559" s="17">
        <f>HYPERLINK("https://my.pitchbook.com?c=63098-65", "View Company Online")</f>
      </c>
    </row>
    <row r="2560">
      <c r="A2560" t="s" s="10">
        <v>13103</v>
      </c>
      <c r="B2560" t="s" s="10">
        <v>13104</v>
      </c>
      <c r="C2560" t="s" s="10">
        <v>27</v>
      </c>
      <c r="D2560" t="s" s="10">
        <v>28</v>
      </c>
      <c r="E2560" t="s" s="10">
        <v>253</v>
      </c>
      <c r="F2560" s="27">
        <v>45803</v>
      </c>
      <c r="G2560" t="s" s="10">
        <v>40</v>
      </c>
      <c r="H2560" s="42">
        <v>6.23</v>
      </c>
      <c r="I2560" s="42">
        <v>13.93</v>
      </c>
      <c r="J2560" t="s" s="10">
        <v>13105</v>
      </c>
      <c r="K2560" t="s" s="10">
        <v>13106</v>
      </c>
      <c r="L2560" s="16">
        <f>HYPERLINK("http://www.durianpay.id", "www.durianpay.id")</f>
      </c>
      <c r="M2560" s="16">
        <f>HYPERLINK("https://my.pitchbook.com?c=454738-33", "View Company Online")</f>
      </c>
    </row>
    <row r="2561">
      <c r="A2561" t="s" s="11">
        <v>13108</v>
      </c>
      <c r="B2561" t="s" s="11">
        <v>13109</v>
      </c>
      <c r="C2561" t="s" s="11">
        <v>114</v>
      </c>
      <c r="D2561" t="s" s="11">
        <v>136</v>
      </c>
      <c r="E2561" t="s" s="11">
        <v>13110</v>
      </c>
      <c r="F2561" s="28">
        <v>45870</v>
      </c>
      <c r="G2561" t="s" s="11">
        <v>40</v>
      </c>
      <c r="H2561" t="s" s="43">
        <v>30</v>
      </c>
      <c r="I2561" s="43">
        <v>13.89</v>
      </c>
      <c r="J2561" t="s" s="11">
        <v>13111</v>
      </c>
      <c r="K2561" t="s" s="11">
        <v>13112</v>
      </c>
      <c r="L2561" s="17">
        <f>HYPERLINK("http://www.erudifi.com", "www.erudifi.com")</f>
      </c>
      <c r="M2561" s="17">
        <f>HYPERLINK("https://my.pitchbook.com?c=226929-43", "View Company Online")</f>
      </c>
    </row>
    <row r="2562">
      <c r="A2562" t="s" s="10">
        <v>13114</v>
      </c>
      <c r="B2562" t="s" s="10">
        <v>13115</v>
      </c>
      <c r="C2562" t="s" s="10">
        <v>27</v>
      </c>
      <c r="D2562" t="s" s="10">
        <v>122</v>
      </c>
      <c r="E2562" t="s" s="10">
        <v>253</v>
      </c>
      <c r="F2562" t="s" s="27">
        <v>30</v>
      </c>
      <c r="G2562" t="s" s="10">
        <v>48</v>
      </c>
      <c r="H2562" t="s" s="42">
        <v>30</v>
      </c>
      <c r="I2562" s="42">
        <v>13.86</v>
      </c>
      <c r="J2562" t="s" s="10">
        <v>13116</v>
      </c>
      <c r="K2562" t="s" s="10">
        <v>13117</v>
      </c>
      <c r="L2562" s="16">
        <f>HYPERLINK("http://www.eximpe.com", "www.eximpe.com")</f>
      </c>
      <c r="M2562" s="16">
        <f>HYPERLINK("https://my.pitchbook.com?c=494912-35", "View Company Online")</f>
      </c>
    </row>
    <row r="2563">
      <c r="A2563" t="s" s="11">
        <v>13119</v>
      </c>
      <c r="B2563" t="s" s="11">
        <v>13120</v>
      </c>
      <c r="C2563" t="s" s="11">
        <v>27</v>
      </c>
      <c r="D2563" t="s" s="11">
        <v>28</v>
      </c>
      <c r="E2563" t="s" s="11">
        <v>158</v>
      </c>
      <c r="F2563" s="28">
        <v>45790</v>
      </c>
      <c r="G2563" t="s" s="11">
        <v>607</v>
      </c>
      <c r="H2563" t="s" s="43">
        <v>30</v>
      </c>
      <c r="I2563" s="43">
        <v>13.86</v>
      </c>
      <c r="J2563" t="s" s="11">
        <v>13121</v>
      </c>
      <c r="K2563" t="s" s="11">
        <v>13122</v>
      </c>
      <c r="L2563" s="17">
        <f>HYPERLINK("http://www.fingpay.co.in", "www.fingpay.co.in")</f>
      </c>
      <c r="M2563" s="17">
        <f>HYPERLINK("https://my.pitchbook.com?c=171059-41", "View Company Online")</f>
      </c>
    </row>
    <row r="2564">
      <c r="A2564" t="s" s="10">
        <v>13124</v>
      </c>
      <c r="B2564" t="s" s="10">
        <v>13125</v>
      </c>
      <c r="C2564" t="s" s="10">
        <v>222</v>
      </c>
      <c r="D2564" t="s" s="10">
        <v>223</v>
      </c>
      <c r="E2564" t="s" s="10">
        <v>634</v>
      </c>
      <c r="F2564" t="s" s="27">
        <v>30</v>
      </c>
      <c r="G2564" t="s" s="10">
        <v>48</v>
      </c>
      <c r="H2564" t="s" s="42">
        <v>30</v>
      </c>
      <c r="I2564" s="42">
        <v>13.82</v>
      </c>
      <c r="J2564" t="s" s="10">
        <v>13126</v>
      </c>
      <c r="K2564" t="s" s="10">
        <v>30</v>
      </c>
      <c r="L2564" s="16">
        <f>HYPERLINK("http://www.chartmogul.com", "www.chartmogul.com")</f>
      </c>
      <c r="M2564" s="16">
        <f>HYPERLINK("https://my.pitchbook.com?c=101037-43", "View Company Online")</f>
      </c>
    </row>
    <row r="2565">
      <c r="A2565" t="s" s="11">
        <v>13128</v>
      </c>
      <c r="B2565" t="s" s="11">
        <v>13129</v>
      </c>
      <c r="C2565" t="s" s="11">
        <v>222</v>
      </c>
      <c r="D2565" t="s" s="11">
        <v>223</v>
      </c>
      <c r="E2565" t="s" s="11">
        <v>13130</v>
      </c>
      <c r="F2565" s="28">
        <v>45623</v>
      </c>
      <c r="G2565" t="s" s="11">
        <v>146</v>
      </c>
      <c r="H2565" s="43">
        <v>2.24</v>
      </c>
      <c r="I2565" s="43">
        <v>13.78</v>
      </c>
      <c r="J2565" t="s" s="11">
        <v>13131</v>
      </c>
      <c r="K2565" t="s" s="11">
        <v>13132</v>
      </c>
      <c r="L2565" s="17">
        <f>HYPERLINK("http://www.naturealpha.ai", "www.naturealpha.ai")</f>
      </c>
      <c r="M2565" s="17">
        <f>HYPERLINK("https://my.pitchbook.com?c=521631-73", "View Company Online")</f>
      </c>
    </row>
    <row r="2566">
      <c r="A2566" t="s" s="10">
        <v>13134</v>
      </c>
      <c r="B2566" t="s" s="10">
        <v>13135</v>
      </c>
      <c r="C2566" t="s" s="10">
        <v>60</v>
      </c>
      <c r="D2566" t="s" s="10">
        <v>61</v>
      </c>
      <c r="E2566" t="s" s="10">
        <v>1054</v>
      </c>
      <c r="F2566" s="27">
        <v>45736</v>
      </c>
      <c r="G2566" t="s" s="10">
        <v>4267</v>
      </c>
      <c r="H2566" s="42">
        <v>7</v>
      </c>
      <c r="I2566" s="42">
        <v>13.75</v>
      </c>
      <c r="J2566" t="s" s="10">
        <v>13136</v>
      </c>
      <c r="K2566" t="s" s="10">
        <v>13137</v>
      </c>
      <c r="L2566" s="16">
        <f>HYPERLINK("http://www.punch.trade", "www.punch.trade")</f>
      </c>
      <c r="M2566" s="16">
        <f>HYPERLINK("https://my.pitchbook.com?c=143406-01", "View Company Online")</f>
      </c>
    </row>
    <row r="2567">
      <c r="A2567" t="s" s="11">
        <v>13139</v>
      </c>
      <c r="B2567" t="s" s="11">
        <v>13140</v>
      </c>
      <c r="C2567" t="s" s="11">
        <v>46</v>
      </c>
      <c r="D2567" t="s" s="11">
        <v>78</v>
      </c>
      <c r="E2567" t="s" s="11">
        <v>253</v>
      </c>
      <c r="F2567" s="28">
        <v>43980</v>
      </c>
      <c r="G2567" t="s" s="11">
        <v>271</v>
      </c>
      <c r="H2567" s="43">
        <v>0.53</v>
      </c>
      <c r="I2567" s="43">
        <v>13.73</v>
      </c>
      <c r="J2567" t="s" s="11">
        <v>13141</v>
      </c>
      <c r="K2567" t="s" s="11">
        <v>13142</v>
      </c>
      <c r="L2567" s="17">
        <f>HYPERLINK("http://www.huskyfinance.com", "www.huskyfinance.com")</f>
      </c>
      <c r="M2567" s="17">
        <f>HYPERLINK("https://my.pitchbook.com?c=126510-76", "View Company Online")</f>
      </c>
    </row>
    <row r="2568">
      <c r="A2568" t="s" s="10">
        <v>13144</v>
      </c>
      <c r="B2568" t="s" s="10">
        <v>13145</v>
      </c>
      <c r="C2568" t="s" s="10">
        <v>164</v>
      </c>
      <c r="D2568" t="s" s="10">
        <v>206</v>
      </c>
      <c r="E2568" t="s" s="10">
        <v>634</v>
      </c>
      <c r="F2568" s="27">
        <v>45595</v>
      </c>
      <c r="G2568" t="s" s="10">
        <v>5274</v>
      </c>
      <c r="H2568" t="s" s="42">
        <v>30</v>
      </c>
      <c r="I2568" s="42">
        <v>13.72</v>
      </c>
      <c r="J2568" t="s" s="10">
        <v>13146</v>
      </c>
      <c r="K2568" t="s" s="10">
        <v>13147</v>
      </c>
      <c r="L2568" s="16">
        <f>HYPERLINK("http://www.crowdsmart.ai", "www.crowdsmart.ai")</f>
      </c>
      <c r="M2568" s="16">
        <f>HYPERLINK("https://my.pitchbook.com?c=108046-81", "View Company Online")</f>
      </c>
    </row>
    <row r="2569">
      <c r="A2569" t="s" s="11">
        <v>13149</v>
      </c>
      <c r="B2569" t="s" s="11">
        <v>13150</v>
      </c>
      <c r="C2569" t="s" s="11">
        <v>60</v>
      </c>
      <c r="D2569" t="s" s="11">
        <v>192</v>
      </c>
      <c r="E2569" t="s" s="11">
        <v>414</v>
      </c>
      <c r="F2569" t="s" s="28">
        <v>30</v>
      </c>
      <c r="G2569" t="s" s="11">
        <v>48</v>
      </c>
      <c r="H2569" t="s" s="43">
        <v>30</v>
      </c>
      <c r="I2569" s="43">
        <v>13.67</v>
      </c>
      <c r="J2569" t="s" s="11">
        <v>13151</v>
      </c>
      <c r="K2569" t="s" s="11">
        <v>13152</v>
      </c>
      <c r="L2569" s="17">
        <f>HYPERLINK("http://www.cityfalcon.ai", "www.cityfalcon.ai")</f>
      </c>
      <c r="M2569" s="17">
        <f>HYPERLINK("https://my.pitchbook.com?c=103958-92", "View Company Online")</f>
      </c>
    </row>
    <row r="2570">
      <c r="A2570" t="s" s="10">
        <v>13154</v>
      </c>
      <c r="B2570" t="s" s="10">
        <v>13155</v>
      </c>
      <c r="C2570" t="s" s="10">
        <v>222</v>
      </c>
      <c r="D2570" t="s" s="10">
        <v>223</v>
      </c>
      <c r="E2570" t="s" s="10">
        <v>414</v>
      </c>
      <c r="F2570" s="27">
        <v>45717</v>
      </c>
      <c r="G2570" t="s" s="10">
        <v>40</v>
      </c>
      <c r="H2570" s="42">
        <v>10</v>
      </c>
      <c r="I2570" s="42">
        <v>13.59</v>
      </c>
      <c r="J2570" t="s" s="10">
        <v>13156</v>
      </c>
      <c r="K2570" t="s" s="10">
        <v>13157</v>
      </c>
      <c r="L2570" s="16">
        <f>HYPERLINK("http://www.aisot.com", "www.aisot.com")</f>
      </c>
      <c r="M2570" s="16">
        <f>HYPERLINK("https://my.pitchbook.com?c=463070-35", "View Company Online")</f>
      </c>
    </row>
    <row r="2571">
      <c r="A2571" t="s" s="11">
        <v>13159</v>
      </c>
      <c r="B2571" t="s" s="11">
        <v>13160</v>
      </c>
      <c r="C2571" t="s" s="11">
        <v>222</v>
      </c>
      <c r="D2571" t="s" s="11">
        <v>223</v>
      </c>
      <c r="E2571" t="s" s="11">
        <v>253</v>
      </c>
      <c r="F2571" s="28">
        <v>45699</v>
      </c>
      <c r="G2571" t="s" s="11">
        <v>40</v>
      </c>
      <c r="H2571" s="43">
        <v>4.16</v>
      </c>
      <c r="I2571" s="43">
        <v>13.56</v>
      </c>
      <c r="J2571" t="s" s="11">
        <v>13161</v>
      </c>
      <c r="K2571" t="s" s="11">
        <v>13162</v>
      </c>
      <c r="L2571" s="17">
        <f>HYPERLINK("http://www.etfbook.com", "www.etfbook.com")</f>
      </c>
      <c r="M2571" s="17">
        <f>HYPERLINK("https://my.pitchbook.com?c=551274-04", "View Company Online")</f>
      </c>
    </row>
    <row r="2572">
      <c r="A2572" t="s" s="10">
        <v>13164</v>
      </c>
      <c r="B2572" t="s" s="10">
        <v>13165</v>
      </c>
      <c r="C2572" t="s" s="10">
        <v>46</v>
      </c>
      <c r="D2572" t="s" s="10">
        <v>47</v>
      </c>
      <c r="E2572" t="s" s="10">
        <v>253</v>
      </c>
      <c r="F2572" s="27">
        <v>44847</v>
      </c>
      <c r="G2572" t="s" s="10">
        <v>40</v>
      </c>
      <c r="H2572" t="s" s="42">
        <v>30</v>
      </c>
      <c r="I2572" s="42">
        <v>13.53</v>
      </c>
      <c r="J2572" t="s" s="10">
        <v>13166</v>
      </c>
      <c r="K2572" t="s" s="10">
        <v>13167</v>
      </c>
      <c r="L2572" s="16">
        <f>HYPERLINK("http://www.astonai.com", "www.astonai.com")</f>
      </c>
      <c r="M2572" s="16">
        <f>HYPERLINK("https://my.pitchbook.com?c=171024-85", "View Company Online")</f>
      </c>
    </row>
    <row r="2573">
      <c r="A2573" t="s" s="11">
        <v>13169</v>
      </c>
      <c r="B2573" t="s" s="11">
        <v>13170</v>
      </c>
      <c r="C2573" t="s" s="11">
        <v>60</v>
      </c>
      <c r="D2573" t="s" s="11">
        <v>61</v>
      </c>
      <c r="E2573" t="s" s="11">
        <v>116</v>
      </c>
      <c r="F2573" s="28">
        <v>43858</v>
      </c>
      <c r="G2573" t="s" s="11">
        <v>40</v>
      </c>
      <c r="H2573" s="43">
        <v>4.91</v>
      </c>
      <c r="I2573" s="43">
        <v>13.52</v>
      </c>
      <c r="J2573" t="s" s="11">
        <v>13171</v>
      </c>
      <c r="K2573" t="s" s="11">
        <v>13172</v>
      </c>
      <c r="L2573" s="17">
        <f>HYPERLINK("http://www.samco.in", "www.samco.in")</f>
      </c>
      <c r="M2573" s="17">
        <f>HYPERLINK("https://my.pitchbook.com?c=130175-83", "View Company Online")</f>
      </c>
    </row>
    <row r="2574">
      <c r="A2574" t="s" s="10">
        <v>13174</v>
      </c>
      <c r="B2574" t="s" s="10">
        <v>13175</v>
      </c>
      <c r="C2574" t="s" s="10">
        <v>144</v>
      </c>
      <c r="D2574" t="s" s="10">
        <v>297</v>
      </c>
      <c r="E2574" t="s" s="10">
        <v>3433</v>
      </c>
      <c r="F2574" s="27">
        <v>44984</v>
      </c>
      <c r="G2574" t="s" s="10">
        <v>40</v>
      </c>
      <c r="H2574" t="s" s="42">
        <v>30</v>
      </c>
      <c r="I2574" s="42">
        <v>13.5</v>
      </c>
      <c r="J2574" t="s" s="10">
        <v>13176</v>
      </c>
      <c r="K2574" t="s" s="10">
        <v>13177</v>
      </c>
      <c r="L2574" s="16">
        <f>HYPERLINK("http://www.captiq.com", "www.captiq.com")</f>
      </c>
      <c r="M2574" s="16">
        <f>HYPERLINK("https://my.pitchbook.com?c=327547-99", "View Company Online")</f>
      </c>
    </row>
    <row r="2575">
      <c r="A2575" t="s" s="11">
        <v>13179</v>
      </c>
      <c r="B2575" t="s" s="11">
        <v>13180</v>
      </c>
      <c r="C2575" t="s" s="11">
        <v>27</v>
      </c>
      <c r="D2575" t="s" s="11">
        <v>122</v>
      </c>
      <c r="E2575" t="s" s="11">
        <v>11648</v>
      </c>
      <c r="F2575" s="28">
        <v>45695</v>
      </c>
      <c r="G2575" t="s" s="11">
        <v>4267</v>
      </c>
      <c r="H2575" s="43">
        <v>3.5</v>
      </c>
      <c r="I2575" s="43">
        <v>13.5</v>
      </c>
      <c r="J2575" t="s" s="11">
        <v>13181</v>
      </c>
      <c r="K2575" t="s" s="11">
        <v>13182</v>
      </c>
      <c r="L2575" s="17">
        <f>HYPERLINK("http://coalapay.org", "coalapay.org")</f>
      </c>
      <c r="M2575" s="17">
        <f>HYPERLINK("https://my.pitchbook.com?c=515623-96", "View Company Online")</f>
      </c>
    </row>
    <row r="2576">
      <c r="A2576" t="s" s="10">
        <v>13184</v>
      </c>
      <c r="B2576" t="s" s="10">
        <v>13185</v>
      </c>
      <c r="C2576" t="s" s="10">
        <v>144</v>
      </c>
      <c r="D2576" t="s" s="10">
        <v>38</v>
      </c>
      <c r="E2576" t="s" s="10">
        <v>137</v>
      </c>
      <c r="F2576" s="27">
        <v>45966</v>
      </c>
      <c r="G2576" t="s" s="10">
        <v>4267</v>
      </c>
      <c r="H2576" s="42">
        <v>3.8</v>
      </c>
      <c r="I2576" s="42">
        <v>13.5</v>
      </c>
      <c r="J2576" t="s" s="10">
        <v>13186</v>
      </c>
      <c r="K2576" t="s" s="10">
        <v>13187</v>
      </c>
      <c r="L2576" s="16">
        <f>HYPERLINK("http://www.trycrew.com", "www.trycrew.com")</f>
      </c>
      <c r="M2576" s="16">
        <f>HYPERLINK("https://my.pitchbook.com?c=527184-55", "View Company Online")</f>
      </c>
    </row>
    <row r="2577">
      <c r="A2577" t="s" s="11">
        <v>13189</v>
      </c>
      <c r="B2577" t="s" s="11">
        <v>13190</v>
      </c>
      <c r="C2577" t="s" s="11">
        <v>46</v>
      </c>
      <c r="D2577" t="s" s="11">
        <v>397</v>
      </c>
      <c r="E2577" t="s" s="11">
        <v>13191</v>
      </c>
      <c r="F2577" s="28">
        <v>46199</v>
      </c>
      <c r="G2577" t="s" s="11">
        <v>146</v>
      </c>
      <c r="H2577" s="43">
        <v>0.25</v>
      </c>
      <c r="I2577" s="43">
        <v>13.5</v>
      </c>
      <c r="J2577" t="s" s="11">
        <v>13192</v>
      </c>
      <c r="K2577" t="s" s="11">
        <v>30</v>
      </c>
      <c r="L2577" s="17">
        <f>HYPERLINK("http://www.emotivesoftware.com", "www.emotivesoftware.com")</f>
      </c>
      <c r="M2577" s="17">
        <f>HYPERLINK("https://my.pitchbook.com?c=741496-24", "View Company Online")</f>
      </c>
    </row>
    <row r="2578">
      <c r="A2578" t="s" s="10">
        <v>13194</v>
      </c>
      <c r="B2578" t="s" s="10">
        <v>13195</v>
      </c>
      <c r="C2578" t="s" s="10">
        <v>27</v>
      </c>
      <c r="D2578" t="s" s="10">
        <v>28</v>
      </c>
      <c r="E2578" t="s" s="10">
        <v>13196</v>
      </c>
      <c r="F2578" s="27">
        <v>46146</v>
      </c>
      <c r="G2578" t="s" s="10">
        <v>2446</v>
      </c>
      <c r="H2578" t="s" s="42">
        <v>30</v>
      </c>
      <c r="I2578" s="42">
        <v>13.5</v>
      </c>
      <c r="J2578" t="s" s="10">
        <v>13197</v>
      </c>
      <c r="K2578" t="s" s="10">
        <v>30</v>
      </c>
      <c r="L2578" s="16">
        <f>HYPERLINK("http://www.gaspos.co", "www.gaspos.co")</f>
      </c>
      <c r="M2578" s="16">
        <f>HYPERLINK("https://my.pitchbook.com?c=168336-46", "View Company Online")</f>
      </c>
    </row>
    <row r="2579">
      <c r="A2579" t="s" s="11">
        <v>13199</v>
      </c>
      <c r="B2579" t="s" s="11">
        <v>13200</v>
      </c>
      <c r="C2579" t="s" s="11">
        <v>27</v>
      </c>
      <c r="D2579" t="s" s="11">
        <v>122</v>
      </c>
      <c r="E2579" t="s" s="11">
        <v>137</v>
      </c>
      <c r="F2579" s="28">
        <v>45846</v>
      </c>
      <c r="G2579" t="s" s="11">
        <v>40</v>
      </c>
      <c r="H2579" s="43">
        <v>3.8</v>
      </c>
      <c r="I2579" s="43">
        <v>13.5</v>
      </c>
      <c r="J2579" t="s" s="11">
        <v>13201</v>
      </c>
      <c r="K2579" t="s" s="11">
        <v>30</v>
      </c>
      <c r="L2579" s="17">
        <f>HYPERLINK("http://www.getpayrecs.com", "www.getpayrecs.com")</f>
      </c>
      <c r="M2579" s="17">
        <f>HYPERLINK("https://my.pitchbook.com?c=266381-29", "View Company Online")</f>
      </c>
    </row>
    <row r="2580">
      <c r="A2580" t="s" s="10">
        <v>13203</v>
      </c>
      <c r="B2580" t="s" s="10">
        <v>13204</v>
      </c>
      <c r="C2580" t="s" s="10">
        <v>46</v>
      </c>
      <c r="D2580" t="s" s="10">
        <v>915</v>
      </c>
      <c r="E2580" t="s" s="10">
        <v>414</v>
      </c>
      <c r="F2580" s="27">
        <v>46057</v>
      </c>
      <c r="G2580" t="s" s="10">
        <v>4267</v>
      </c>
      <c r="H2580" s="42">
        <v>2.1</v>
      </c>
      <c r="I2580" s="42">
        <v>13.5</v>
      </c>
      <c r="J2580" t="s" s="10">
        <v>13205</v>
      </c>
      <c r="K2580" t="s" s="10">
        <v>13206</v>
      </c>
      <c r="L2580" s="16">
        <f>HYPERLINK("http://www.pleasefix.ai", "www.pleasefix.ai")</f>
      </c>
      <c r="M2580" s="16">
        <f>HYPERLINK("https://my.pitchbook.com?c=896993-83", "View Company Online")</f>
      </c>
    </row>
    <row r="2581">
      <c r="A2581" t="s" s="11">
        <v>13208</v>
      </c>
      <c r="B2581" t="s" s="11">
        <v>13209</v>
      </c>
      <c r="C2581" t="s" s="11">
        <v>114</v>
      </c>
      <c r="D2581" t="s" s="11">
        <v>115</v>
      </c>
      <c r="E2581" t="s" s="11">
        <v>3604</v>
      </c>
      <c r="F2581" s="28">
        <v>44963</v>
      </c>
      <c r="G2581" t="s" s="11">
        <v>146</v>
      </c>
      <c r="H2581" s="43">
        <v>1.5</v>
      </c>
      <c r="I2581" s="43">
        <v>13.5</v>
      </c>
      <c r="J2581" t="s" s="11">
        <v>13210</v>
      </c>
      <c r="K2581" t="s" s="11">
        <v>30</v>
      </c>
      <c r="L2581" s="17">
        <f>HYPERLINK("http://propcaptechnologies.com", "propcaptechnologies.com")</f>
      </c>
      <c r="M2581" s="17">
        <f>HYPERLINK("https://my.pitchbook.com?c=494676-55", "View Company Online")</f>
      </c>
    </row>
    <row r="2582">
      <c r="A2582" t="s" s="10">
        <v>13212</v>
      </c>
      <c r="B2582" t="s" s="10">
        <v>13213</v>
      </c>
      <c r="C2582" t="s" s="10">
        <v>164</v>
      </c>
      <c r="D2582" t="s" s="10">
        <v>206</v>
      </c>
      <c r="E2582" t="s" s="10">
        <v>270</v>
      </c>
      <c r="F2582" s="27">
        <v>44210</v>
      </c>
      <c r="G2582" t="s" s="10">
        <v>40</v>
      </c>
      <c r="H2582" s="42">
        <v>3.36</v>
      </c>
      <c r="I2582" s="42">
        <v>13.5</v>
      </c>
      <c r="J2582" t="s" s="10">
        <v>13214</v>
      </c>
      <c r="K2582" t="s" s="10">
        <v>13215</v>
      </c>
      <c r="L2582" s="16">
        <f>HYPERLINK("http://www.transwap.com", "www.transwap.com")</f>
      </c>
      <c r="M2582" s="16">
        <f>HYPERLINK("https://my.pitchbook.com?c=149037-76", "View Company Online")</f>
      </c>
    </row>
    <row r="2583">
      <c r="A2583" t="s" s="11">
        <v>13217</v>
      </c>
      <c r="B2583" t="s" s="11">
        <v>13218</v>
      </c>
      <c r="C2583" t="s" s="11">
        <v>46</v>
      </c>
      <c r="D2583" t="s" s="11">
        <v>47</v>
      </c>
      <c r="E2583" t="s" s="11">
        <v>259</v>
      </c>
      <c r="F2583" s="28">
        <v>44677</v>
      </c>
      <c r="G2583" t="s" s="11">
        <v>40</v>
      </c>
      <c r="H2583" s="43">
        <v>1.57</v>
      </c>
      <c r="I2583" s="43">
        <v>13.46</v>
      </c>
      <c r="J2583" t="s" s="11">
        <v>13219</v>
      </c>
      <c r="K2583" t="s" s="11">
        <v>13220</v>
      </c>
      <c r="L2583" s="17">
        <f>HYPERLINK("http://www.chaserhq.com", "www.chaserhq.com")</f>
      </c>
      <c r="M2583" s="17">
        <f>HYPERLINK("https://my.pitchbook.com?c=104545-63", "View Company Online")</f>
      </c>
    </row>
    <row r="2584">
      <c r="A2584" t="s" s="10">
        <v>13222</v>
      </c>
      <c r="B2584" t="s" s="10">
        <v>13223</v>
      </c>
      <c r="C2584" t="s" s="10">
        <v>60</v>
      </c>
      <c r="D2584" t="s" s="10">
        <v>192</v>
      </c>
      <c r="E2584" t="s" s="10">
        <v>253</v>
      </c>
      <c r="F2584" s="27">
        <v>46241</v>
      </c>
      <c r="G2584" t="s" s="10">
        <v>2051</v>
      </c>
      <c r="H2584" t="s" s="42">
        <v>30</v>
      </c>
      <c r="I2584" s="42">
        <v>13.46</v>
      </c>
      <c r="J2584" t="s" s="10">
        <v>13224</v>
      </c>
      <c r="K2584" t="s" s="10">
        <v>30</v>
      </c>
      <c r="L2584" s="16">
        <f>HYPERLINK("http://www.askurvin.com", "www.askurvin.com")</f>
      </c>
      <c r="M2584" s="16">
        <f>HYPERLINK("https://my.pitchbook.com?c=481563-28", "View Company Online")</f>
      </c>
    </row>
    <row r="2585">
      <c r="A2585" t="s" s="11">
        <v>13226</v>
      </c>
      <c r="B2585" t="s" s="11">
        <v>13227</v>
      </c>
      <c r="C2585" t="s" s="11">
        <v>27</v>
      </c>
      <c r="D2585" t="s" s="11">
        <v>70</v>
      </c>
      <c r="E2585" t="s" s="11">
        <v>973</v>
      </c>
      <c r="F2585" s="28">
        <v>45278</v>
      </c>
      <c r="G2585" t="s" s="11">
        <v>40</v>
      </c>
      <c r="H2585" s="43">
        <v>3.79</v>
      </c>
      <c r="I2585" s="43">
        <v>13.45</v>
      </c>
      <c r="J2585" t="s" s="11">
        <v>13228</v>
      </c>
      <c r="K2585" t="s" s="11">
        <v>13229</v>
      </c>
      <c r="L2585" s="17">
        <f>HYPERLINK("http://www.plick.eu", "www.plick.eu")</f>
      </c>
      <c r="M2585" s="17">
        <f>HYPERLINK("https://my.pitchbook.com?c=465247-72", "View Company Online")</f>
      </c>
    </row>
    <row r="2586">
      <c r="A2586" t="s" s="10">
        <v>13231</v>
      </c>
      <c r="B2586" t="s" s="10">
        <v>13232</v>
      </c>
      <c r="C2586" t="s" s="10">
        <v>60</v>
      </c>
      <c r="D2586" t="s" s="10">
        <v>727</v>
      </c>
      <c r="E2586" t="s" s="10">
        <v>373</v>
      </c>
      <c r="F2586" s="27">
        <v>45876</v>
      </c>
      <c r="G2586" t="s" s="10">
        <v>4267</v>
      </c>
      <c r="H2586" s="42">
        <v>1.21</v>
      </c>
      <c r="I2586" s="42">
        <v>13.39</v>
      </c>
      <c r="J2586" t="s" s="10">
        <v>13233</v>
      </c>
      <c r="K2586" t="s" s="10">
        <v>30</v>
      </c>
      <c r="L2586" s="16">
        <f>HYPERLINK("http://www.dotinvesting.com", "www.dotinvesting.com")</f>
      </c>
      <c r="M2586" s="16">
        <f>HYPERLINK("https://my.pitchbook.com?c=433435-78", "View Company Online")</f>
      </c>
    </row>
    <row r="2587">
      <c r="A2587" t="s" s="11">
        <v>13235</v>
      </c>
      <c r="B2587" t="s" s="11">
        <v>13236</v>
      </c>
      <c r="C2587" t="s" s="11">
        <v>128</v>
      </c>
      <c r="D2587" t="s" s="11">
        <v>276</v>
      </c>
      <c r="E2587" t="s" s="11">
        <v>137</v>
      </c>
      <c r="F2587" s="28">
        <v>45474</v>
      </c>
      <c r="G2587" t="s" s="11">
        <v>40</v>
      </c>
      <c r="H2587" t="s" s="43">
        <v>30</v>
      </c>
      <c r="I2587" s="43">
        <v>13.37</v>
      </c>
      <c r="J2587" t="s" s="11">
        <v>13237</v>
      </c>
      <c r="K2587" t="s" s="11">
        <v>13238</v>
      </c>
      <c r="L2587" s="17">
        <f>HYPERLINK("http://www.collctiv.com", "www.collctiv.com")</f>
      </c>
      <c r="M2587" s="17">
        <f>HYPERLINK("https://my.pitchbook.com?c=416596-06", "View Company Online")</f>
      </c>
    </row>
    <row r="2588">
      <c r="A2588" t="s" s="10">
        <v>13240</v>
      </c>
      <c r="B2588" t="s" s="10">
        <v>13241</v>
      </c>
      <c r="C2588" t="s" s="10">
        <v>27</v>
      </c>
      <c r="D2588" t="s" s="10">
        <v>28</v>
      </c>
      <c r="E2588" t="s" s="10">
        <v>3320</v>
      </c>
      <c r="F2588" t="s" s="27">
        <v>30</v>
      </c>
      <c r="G2588" t="s" s="10">
        <v>48</v>
      </c>
      <c r="H2588" t="s" s="42">
        <v>30</v>
      </c>
      <c r="I2588" s="42">
        <v>13.36</v>
      </c>
      <c r="J2588" t="s" s="10">
        <v>13242</v>
      </c>
      <c r="K2588" t="s" s="10">
        <v>13243</v>
      </c>
      <c r="L2588" s="16">
        <f>HYPERLINK("http://www.givers.com", "www.givers.com")</f>
      </c>
      <c r="M2588" s="16">
        <f>HYPERLINK("https://my.pitchbook.com?c=496722-43", "View Company Online")</f>
      </c>
    </row>
    <row r="2589">
      <c r="A2589" t="s" s="11">
        <v>13245</v>
      </c>
      <c r="B2589" t="s" s="11">
        <v>13246</v>
      </c>
      <c r="C2589" t="s" s="11">
        <v>46</v>
      </c>
      <c r="D2589" t="s" s="11">
        <v>47</v>
      </c>
      <c r="E2589" t="s" s="11">
        <v>259</v>
      </c>
      <c r="F2589" s="28">
        <v>44981</v>
      </c>
      <c r="G2589" t="s" s="11">
        <v>40</v>
      </c>
      <c r="H2589" t="s" s="43">
        <v>30</v>
      </c>
      <c r="I2589" s="43">
        <v>13.34</v>
      </c>
      <c r="J2589" t="s" s="11">
        <v>13247</v>
      </c>
      <c r="K2589" t="s" s="11">
        <v>13248</v>
      </c>
      <c r="L2589" s="17">
        <f>HYPERLINK("http://www.nitrobox.com", "www.nitrobox.com")</f>
      </c>
      <c r="M2589" s="17">
        <f>HYPERLINK("https://my.pitchbook.com?c=431333-38", "View Company Online")</f>
      </c>
    </row>
    <row r="2590">
      <c r="A2590" t="s" s="10">
        <v>13250</v>
      </c>
      <c r="B2590" t="s" s="10">
        <v>13251</v>
      </c>
      <c r="C2590" t="s" s="10">
        <v>222</v>
      </c>
      <c r="D2590" t="s" s="10">
        <v>537</v>
      </c>
      <c r="E2590" t="s" s="10">
        <v>137</v>
      </c>
      <c r="F2590" s="27">
        <v>45952</v>
      </c>
      <c r="G2590" t="s" s="10">
        <v>146</v>
      </c>
      <c r="H2590" s="42">
        <v>2.23</v>
      </c>
      <c r="I2590" s="42">
        <v>13.34</v>
      </c>
      <c r="J2590" t="s" s="10">
        <v>13252</v>
      </c>
      <c r="K2590" t="s" s="10">
        <v>13253</v>
      </c>
      <c r="L2590" s="16">
        <f>HYPERLINK("http://www.optaxe.com", "www.optaxe.com")</f>
      </c>
      <c r="M2590" s="16">
        <f>HYPERLINK("https://my.pitchbook.com?c=551431-36", "View Company Online")</f>
      </c>
    </row>
    <row r="2591">
      <c r="A2591" t="s" s="11">
        <v>13255</v>
      </c>
      <c r="B2591" t="s" s="11">
        <v>13256</v>
      </c>
      <c r="C2591" t="s" s="11">
        <v>172</v>
      </c>
      <c r="D2591" t="s" s="11">
        <v>1454</v>
      </c>
      <c r="E2591" t="s" s="11">
        <v>253</v>
      </c>
      <c r="F2591" s="28">
        <v>45383</v>
      </c>
      <c r="G2591" t="s" s="11">
        <v>40</v>
      </c>
      <c r="H2591" t="s" s="43">
        <v>30</v>
      </c>
      <c r="I2591" s="43">
        <v>13.31</v>
      </c>
      <c r="J2591" t="s" s="11">
        <v>13257</v>
      </c>
      <c r="K2591" t="s" s="11">
        <v>13258</v>
      </c>
      <c r="L2591" s="17">
        <f>HYPERLINK("http://www.sernovafinancial.com", "www.sernovafinancial.com")</f>
      </c>
      <c r="M2591" s="17">
        <f>HYPERLINK("https://my.pitchbook.com?c=172012-78", "View Company Online")</f>
      </c>
    </row>
    <row r="2592">
      <c r="A2592" t="s" s="10">
        <v>13260</v>
      </c>
      <c r="B2592" t="s" s="10">
        <v>13261</v>
      </c>
      <c r="C2592" t="s" s="10">
        <v>60</v>
      </c>
      <c r="D2592" t="s" s="10">
        <v>246</v>
      </c>
      <c r="E2592" t="s" s="10">
        <v>253</v>
      </c>
      <c r="F2592" s="27">
        <v>45413</v>
      </c>
      <c r="G2592" t="s" s="10">
        <v>607</v>
      </c>
      <c r="H2592" t="s" s="42">
        <v>30</v>
      </c>
      <c r="I2592" s="42">
        <v>13.3</v>
      </c>
      <c r="J2592" t="s" s="10">
        <v>13262</v>
      </c>
      <c r="K2592" t="s" s="10">
        <v>13263</v>
      </c>
      <c r="L2592" s="16">
        <f>HYPERLINK("http://www.kestrl.io", "www.kestrl.io")</f>
      </c>
      <c r="M2592" s="16">
        <f>HYPERLINK("https://my.pitchbook.com?c=434311-30", "View Company Online")</f>
      </c>
    </row>
    <row r="2593">
      <c r="A2593" t="s" s="11">
        <v>13265</v>
      </c>
      <c r="B2593" t="s" s="11">
        <v>13266</v>
      </c>
      <c r="C2593" t="s" s="11">
        <v>27</v>
      </c>
      <c r="D2593" t="s" s="11">
        <v>28</v>
      </c>
      <c r="E2593" t="s" s="11">
        <v>13267</v>
      </c>
      <c r="F2593" s="28">
        <v>43682</v>
      </c>
      <c r="G2593" t="s" s="11">
        <v>40</v>
      </c>
      <c r="H2593" t="s" s="43">
        <v>30</v>
      </c>
      <c r="I2593" s="43">
        <v>13.25</v>
      </c>
      <c r="J2593" t="s" s="11">
        <v>13268</v>
      </c>
      <c r="K2593" t="s" s="11">
        <v>13269</v>
      </c>
      <c r="L2593" s="17">
        <f>HYPERLINK("http://www.pawoon.com", "www.pawoon.com")</f>
      </c>
      <c r="M2593" s="17">
        <f>HYPERLINK("https://my.pitchbook.com?c=112430-17", "View Company Online")</f>
      </c>
    </row>
    <row r="2594">
      <c r="A2594" t="s" s="10">
        <v>13271</v>
      </c>
      <c r="B2594" t="s" s="10">
        <v>13272</v>
      </c>
      <c r="C2594" t="s" s="10">
        <v>114</v>
      </c>
      <c r="D2594" t="s" s="10">
        <v>1386</v>
      </c>
      <c r="E2594" t="s" s="10">
        <v>373</v>
      </c>
      <c r="F2594" s="27">
        <v>46234</v>
      </c>
      <c r="G2594" t="s" s="10">
        <v>138</v>
      </c>
      <c r="H2594" t="s" s="42">
        <v>30</v>
      </c>
      <c r="I2594" s="42">
        <v>13.25</v>
      </c>
      <c r="J2594" t="s" s="10">
        <v>13273</v>
      </c>
      <c r="K2594" t="s" s="10">
        <v>30</v>
      </c>
      <c r="L2594" s="16">
        <f>HYPERLINK("http://www.creditmountain.co", "www.creditmountain.co")</f>
      </c>
      <c r="M2594" s="16">
        <f>HYPERLINK("https://my.pitchbook.com?c=443132-56", "View Company Online")</f>
      </c>
    </row>
    <row r="2595">
      <c r="A2595" t="s" s="11">
        <v>13275</v>
      </c>
      <c r="B2595" t="s" s="11">
        <v>13276</v>
      </c>
      <c r="C2595" t="s" s="11">
        <v>27</v>
      </c>
      <c r="D2595" t="s" s="11">
        <v>70</v>
      </c>
      <c r="E2595" t="s" s="11">
        <v>253</v>
      </c>
      <c r="F2595" s="28">
        <v>46212</v>
      </c>
      <c r="G2595" t="s" s="11">
        <v>391</v>
      </c>
      <c r="H2595" t="s" s="43">
        <v>30</v>
      </c>
      <c r="I2595" s="43">
        <v>13.24</v>
      </c>
      <c r="J2595" t="s" s="11">
        <v>13277</v>
      </c>
      <c r="K2595" t="s" s="11">
        <v>13278</v>
      </c>
      <c r="L2595" s="17">
        <f>HYPERLINK("http://www.paydock.com", "www.paydock.com")</f>
      </c>
      <c r="M2595" s="17">
        <f>HYPERLINK("https://my.pitchbook.com?c=444186-10", "View Company Online")</f>
      </c>
    </row>
    <row r="2596">
      <c r="A2596" t="s" s="10">
        <v>13280</v>
      </c>
      <c r="B2596" t="s" s="10">
        <v>13281</v>
      </c>
      <c r="C2596" t="s" s="10">
        <v>114</v>
      </c>
      <c r="D2596" t="s" s="10">
        <v>852</v>
      </c>
      <c r="E2596" t="s" s="10">
        <v>137</v>
      </c>
      <c r="F2596" s="27">
        <v>45408</v>
      </c>
      <c r="G2596" t="s" s="10">
        <v>4267</v>
      </c>
      <c r="H2596" s="42">
        <v>2.5</v>
      </c>
      <c r="I2596" s="42">
        <v>13.23</v>
      </c>
      <c r="J2596" t="s" s="10">
        <v>13282</v>
      </c>
      <c r="K2596" t="s" s="10">
        <v>13283</v>
      </c>
      <c r="L2596" s="16">
        <f>HYPERLINK("http://www.interfold.ai", "www.interfold.ai")</f>
      </c>
      <c r="M2596" s="16">
        <f>HYPERLINK("https://my.pitchbook.com?c=593256-07", "View Company Online")</f>
      </c>
    </row>
    <row r="2597">
      <c r="A2597" t="s" s="11">
        <v>13285</v>
      </c>
      <c r="B2597" t="s" s="11">
        <v>13286</v>
      </c>
      <c r="C2597" t="s" s="11">
        <v>172</v>
      </c>
      <c r="D2597" t="s" s="11">
        <v>173</v>
      </c>
      <c r="E2597" t="s" s="11">
        <v>634</v>
      </c>
      <c r="F2597" s="28">
        <v>44620</v>
      </c>
      <c r="G2597" t="s" s="11">
        <v>40</v>
      </c>
      <c r="H2597" s="43">
        <v>1.89</v>
      </c>
      <c r="I2597" s="43">
        <v>13.22</v>
      </c>
      <c r="J2597" t="s" s="11">
        <v>13287</v>
      </c>
      <c r="K2597" t="s" s="11">
        <v>13288</v>
      </c>
      <c r="L2597" s="17">
        <f>HYPERLINK("http://www.neterium.io", "www.neterium.io")</f>
      </c>
      <c r="M2597" s="17">
        <f>HYPERLINK("https://my.pitchbook.com?c=229653-10", "View Company Online")</f>
      </c>
    </row>
    <row r="2598">
      <c r="A2598" t="s" s="10">
        <v>13290</v>
      </c>
      <c r="B2598" t="s" s="10">
        <v>13291</v>
      </c>
      <c r="C2598" t="s" s="10">
        <v>164</v>
      </c>
      <c r="D2598" t="s" s="10">
        <v>206</v>
      </c>
      <c r="E2598" t="s" s="10">
        <v>253</v>
      </c>
      <c r="F2598" s="27">
        <v>45292</v>
      </c>
      <c r="G2598" t="s" s="10">
        <v>40</v>
      </c>
      <c r="H2598" t="s" s="42">
        <v>30</v>
      </c>
      <c r="I2598" s="42">
        <v>13.21</v>
      </c>
      <c r="J2598" t="s" s="10">
        <v>13292</v>
      </c>
      <c r="K2598" t="s" s="10">
        <v>13293</v>
      </c>
      <c r="L2598" s="16">
        <f>HYPERLINK("http://blockfint.com", "blockfint.com")</f>
      </c>
      <c r="M2598" s="16">
        <f>HYPERLINK("https://my.pitchbook.com?c=588813-76", "View Company Online")</f>
      </c>
    </row>
    <row r="2599">
      <c r="A2599" t="s" s="11">
        <v>13295</v>
      </c>
      <c r="B2599" t="s" s="11">
        <v>13296</v>
      </c>
      <c r="C2599" t="s" s="11">
        <v>27</v>
      </c>
      <c r="D2599" t="s" s="11">
        <v>70</v>
      </c>
      <c r="E2599" t="s" s="11">
        <v>200</v>
      </c>
      <c r="F2599" s="28">
        <v>45457</v>
      </c>
      <c r="G2599" t="s" s="11">
        <v>40</v>
      </c>
      <c r="H2599" s="43">
        <v>8.67</v>
      </c>
      <c r="I2599" s="43">
        <v>13.21</v>
      </c>
      <c r="J2599" t="s" s="11">
        <v>13297</v>
      </c>
      <c r="K2599" t="s" s="11">
        <v>13298</v>
      </c>
      <c r="L2599" s="17">
        <f>HYPERLINK("http://www.clevercards.com", "www.clevercards.com")</f>
      </c>
      <c r="M2599" s="17">
        <f>HYPERLINK("https://my.pitchbook.com?c=53945-20", "View Company Online")</f>
      </c>
    </row>
    <row r="2600">
      <c r="A2600" t="s" s="10">
        <v>13300</v>
      </c>
      <c r="B2600" t="s" s="10">
        <v>13301</v>
      </c>
      <c r="C2600" t="s" s="10">
        <v>27</v>
      </c>
      <c r="D2600" t="s" s="10">
        <v>28</v>
      </c>
      <c r="E2600" t="s" s="10">
        <v>5072</v>
      </c>
      <c r="F2600" s="27">
        <v>44562</v>
      </c>
      <c r="G2600" t="s" s="10">
        <v>40</v>
      </c>
      <c r="H2600" s="42">
        <v>0.57</v>
      </c>
      <c r="I2600" s="42">
        <v>13.21</v>
      </c>
      <c r="J2600" t="s" s="10">
        <v>13302</v>
      </c>
      <c r="K2600" t="s" s="10">
        <v>13303</v>
      </c>
      <c r="L2600" s="16">
        <f>HYPERLINK("http://www.instamojo.com", "www.instamojo.com")</f>
      </c>
      <c r="M2600" s="16">
        <f>HYPERLINK("https://my.pitchbook.com?c=56063-98", "View Company Online")</f>
      </c>
    </row>
    <row r="2601">
      <c r="A2601" t="s" s="11">
        <v>13305</v>
      </c>
      <c r="B2601" t="s" s="11">
        <v>13306</v>
      </c>
      <c r="C2601" t="s" s="11">
        <v>46</v>
      </c>
      <c r="D2601" t="s" s="11">
        <v>915</v>
      </c>
      <c r="E2601" t="s" s="11">
        <v>414</v>
      </c>
      <c r="F2601" t="s" s="28">
        <v>30</v>
      </c>
      <c r="G2601" t="s" s="11">
        <v>48</v>
      </c>
      <c r="H2601" t="s" s="43">
        <v>30</v>
      </c>
      <c r="I2601" s="43">
        <v>13.2</v>
      </c>
      <c r="J2601" t="s" s="11">
        <v>13307</v>
      </c>
      <c r="K2601" t="s" s="11">
        <v>13308</v>
      </c>
      <c r="L2601" s="17">
        <f>HYPERLINK("http://www.brightflow.ai", "www.brightflow.ai")</f>
      </c>
      <c r="M2601" s="17">
        <f>HYPERLINK("https://my.pitchbook.com?c=439129-90", "View Company Online")</f>
      </c>
    </row>
    <row r="2602">
      <c r="A2602" t="s" s="10">
        <v>13310</v>
      </c>
      <c r="B2602" t="s" s="10">
        <v>13311</v>
      </c>
      <c r="C2602" t="s" s="10">
        <v>27</v>
      </c>
      <c r="D2602" t="s" s="10">
        <v>28</v>
      </c>
      <c r="E2602" t="s" s="10">
        <v>137</v>
      </c>
      <c r="F2602" s="27">
        <v>43808</v>
      </c>
      <c r="G2602" t="s" s="10">
        <v>607</v>
      </c>
      <c r="H2602" t="s" s="42">
        <v>30</v>
      </c>
      <c r="I2602" s="42">
        <v>13.19</v>
      </c>
      <c r="J2602" t="s" s="10">
        <v>13312</v>
      </c>
      <c r="K2602" t="s" s="10">
        <v>13313</v>
      </c>
      <c r="L2602" s="16">
        <f>HYPERLINK("http://europasschina.com", "europasschina.com")</f>
      </c>
      <c r="M2602" s="16">
        <f>HYPERLINK("https://my.pitchbook.com?c=158448-97", "View Company Online")</f>
      </c>
    </row>
    <row r="2603">
      <c r="A2603" t="s" s="11">
        <v>13315</v>
      </c>
      <c r="B2603" t="s" s="11">
        <v>13316</v>
      </c>
      <c r="C2603" t="s" s="11">
        <v>164</v>
      </c>
      <c r="D2603" t="s" s="11">
        <v>165</v>
      </c>
      <c r="E2603" t="s" s="11">
        <v>7678</v>
      </c>
      <c r="F2603" s="28">
        <v>44370</v>
      </c>
      <c r="G2603" t="s" s="11">
        <v>146</v>
      </c>
      <c r="H2603" s="43">
        <v>4.15</v>
      </c>
      <c r="I2603" s="43">
        <v>13.15</v>
      </c>
      <c r="J2603" t="s" s="11">
        <v>13317</v>
      </c>
      <c r="K2603" t="s" s="11">
        <v>13318</v>
      </c>
      <c r="L2603" s="17">
        <f>HYPERLINK("http://www.lct1.com", "www.lct1.com")</f>
      </c>
      <c r="M2603" s="17">
        <f>HYPERLINK("https://my.pitchbook.com?c=469040-05", "View Company Online")</f>
      </c>
    </row>
    <row r="2604">
      <c r="A2604" t="s" s="10">
        <v>13320</v>
      </c>
      <c r="B2604" t="s" s="10">
        <v>13321</v>
      </c>
      <c r="C2604" t="s" s="10">
        <v>222</v>
      </c>
      <c r="D2604" t="s" s="10">
        <v>223</v>
      </c>
      <c r="E2604" t="s" s="10">
        <v>373</v>
      </c>
      <c r="F2604" s="27">
        <v>46111</v>
      </c>
      <c r="G2604" t="s" s="10">
        <v>4267</v>
      </c>
      <c r="H2604" s="42">
        <v>1.74</v>
      </c>
      <c r="I2604" s="42">
        <v>13.13</v>
      </c>
      <c r="J2604" t="s" s="10">
        <v>13322</v>
      </c>
      <c r="K2604" t="s" s="10">
        <v>13323</v>
      </c>
      <c r="L2604" s="16">
        <f>HYPERLINK("http://www.financialnewssystems.com", "www.financialnewssystems.com")</f>
      </c>
      <c r="M2604" s="16">
        <f>HYPERLINK("https://my.pitchbook.com?c=1366538-59", "View Company Online")</f>
      </c>
    </row>
    <row r="2605">
      <c r="A2605" t="s" s="11">
        <v>13325</v>
      </c>
      <c r="B2605" t="s" s="11">
        <v>13326</v>
      </c>
      <c r="C2605" t="s" s="11">
        <v>46</v>
      </c>
      <c r="D2605" t="s" s="11">
        <v>47</v>
      </c>
      <c r="E2605" t="s" s="11">
        <v>253</v>
      </c>
      <c r="F2605" s="28">
        <v>46150</v>
      </c>
      <c r="G2605" t="s" s="11">
        <v>391</v>
      </c>
      <c r="H2605" s="43">
        <v>13.1</v>
      </c>
      <c r="I2605" s="43">
        <v>13.1</v>
      </c>
      <c r="J2605" t="s" s="11">
        <v>13327</v>
      </c>
      <c r="K2605" t="s" s="11">
        <v>13328</v>
      </c>
      <c r="L2605" s="17">
        <f>HYPERLINK("http://www.dice.tech", "www.dice.tech")</f>
      </c>
      <c r="M2605" s="17">
        <f>HYPERLINK("https://my.pitchbook.com?c=523093-60", "View Company Online")</f>
      </c>
    </row>
    <row r="2606">
      <c r="A2606" t="s" s="10">
        <v>13330</v>
      </c>
      <c r="B2606" t="s" s="10">
        <v>13331</v>
      </c>
      <c r="C2606" t="s" s="10">
        <v>164</v>
      </c>
      <c r="D2606" t="s" s="10">
        <v>206</v>
      </c>
      <c r="E2606" t="s" s="10">
        <v>137</v>
      </c>
      <c r="F2606" s="27">
        <v>46167</v>
      </c>
      <c r="G2606" t="s" s="10">
        <v>391</v>
      </c>
      <c r="H2606" t="s" s="42">
        <v>30</v>
      </c>
      <c r="I2606" s="42">
        <v>13.1</v>
      </c>
      <c r="J2606" t="s" s="10">
        <v>13332</v>
      </c>
      <c r="K2606" t="s" s="10">
        <v>30</v>
      </c>
      <c r="L2606" s="16">
        <f>HYPERLINK("http://www.goliza.com.br", "www.goliza.com.br")</f>
      </c>
      <c r="M2606" s="16">
        <f>HYPERLINK("https://my.pitchbook.com?c=268302-79", "View Company Online")</f>
      </c>
    </row>
    <row r="2607">
      <c r="A2607" t="s" s="11">
        <v>13334</v>
      </c>
      <c r="B2607" t="s" s="11">
        <v>13335</v>
      </c>
      <c r="C2607" t="s" s="11">
        <v>46</v>
      </c>
      <c r="D2607" t="s" s="11">
        <v>47</v>
      </c>
      <c r="E2607" t="s" s="11">
        <v>1162</v>
      </c>
      <c r="F2607" s="28">
        <v>45962</v>
      </c>
      <c r="G2607" t="s" s="11">
        <v>48</v>
      </c>
      <c r="H2607" t="s" s="43">
        <v>30</v>
      </c>
      <c r="I2607" s="43">
        <v>13.1</v>
      </c>
      <c r="J2607" t="s" s="11">
        <v>13336</v>
      </c>
      <c r="K2607" t="s" s="11">
        <v>13337</v>
      </c>
      <c r="L2607" s="17">
        <f>HYPERLINK("http://www.plooto.com", "www.plooto.com")</f>
      </c>
      <c r="M2607" s="17">
        <f>HYPERLINK("https://my.pitchbook.com?c=166780-45", "View Company Online")</f>
      </c>
    </row>
    <row r="2608">
      <c r="A2608" t="s" s="10">
        <v>13339</v>
      </c>
      <c r="B2608" t="s" s="10">
        <v>13340</v>
      </c>
      <c r="C2608" t="s" s="10">
        <v>114</v>
      </c>
      <c r="D2608" t="s" s="10">
        <v>136</v>
      </c>
      <c r="E2608" t="s" s="10">
        <v>1859</v>
      </c>
      <c r="F2608" s="27">
        <v>44097</v>
      </c>
      <c r="G2608" t="s" s="10">
        <v>40</v>
      </c>
      <c r="H2608" s="42">
        <v>3.55</v>
      </c>
      <c r="I2608" s="42">
        <v>13.03</v>
      </c>
      <c r="J2608" t="s" s="10">
        <v>13341</v>
      </c>
      <c r="K2608" t="s" s="10">
        <v>13342</v>
      </c>
      <c r="L2608" s="16">
        <f>HYPERLINK("http://www.mozzeno.com", "www.mozzeno.com")</f>
      </c>
      <c r="M2608" s="16">
        <f>HYPERLINK("https://my.pitchbook.com?c=439465-87", "View Company Online")</f>
      </c>
    </row>
    <row r="2609">
      <c r="A2609" t="s" s="11">
        <v>13344</v>
      </c>
      <c r="B2609" t="s" s="11">
        <v>13345</v>
      </c>
      <c r="C2609" t="s" s="11">
        <v>60</v>
      </c>
      <c r="D2609" t="s" s="11">
        <v>192</v>
      </c>
      <c r="E2609" t="s" s="11">
        <v>634</v>
      </c>
      <c r="F2609" s="28">
        <v>45810</v>
      </c>
      <c r="G2609" t="s" s="11">
        <v>40</v>
      </c>
      <c r="H2609" t="s" s="43">
        <v>30</v>
      </c>
      <c r="I2609" s="43">
        <v>13.01</v>
      </c>
      <c r="J2609" t="s" s="11">
        <v>13346</v>
      </c>
      <c r="K2609" t="s" s="11">
        <v>13347</v>
      </c>
      <c r="L2609" s="17">
        <f>HYPERLINK("http://www.danelfin.com", "www.danelfin.com")</f>
      </c>
      <c r="M2609" s="17">
        <f>HYPERLINK("https://my.pitchbook.com?c=522511-84", "View Company Online")</f>
      </c>
    </row>
    <row r="2610">
      <c r="A2610" t="s" s="10">
        <v>13349</v>
      </c>
      <c r="B2610" t="s" s="10">
        <v>13350</v>
      </c>
      <c r="C2610" t="s" s="10">
        <v>222</v>
      </c>
      <c r="D2610" t="s" s="10">
        <v>223</v>
      </c>
      <c r="E2610" t="s" s="10">
        <v>414</v>
      </c>
      <c r="F2610" s="27">
        <v>45200</v>
      </c>
      <c r="G2610" t="s" s="10">
        <v>607</v>
      </c>
      <c r="H2610" t="s" s="42">
        <v>30</v>
      </c>
      <c r="I2610" s="42">
        <v>13</v>
      </c>
      <c r="J2610" t="s" s="10">
        <v>13351</v>
      </c>
      <c r="K2610" t="s" s="10">
        <v>13352</v>
      </c>
      <c r="L2610" s="16">
        <f>HYPERLINK("http://www.4thoughtglobal.com", "www.4thoughtglobal.com")</f>
      </c>
      <c r="M2610" s="16">
        <f>HYPERLINK("https://my.pitchbook.com?c=471632-77", "View Company Online")</f>
      </c>
    </row>
    <row r="2611">
      <c r="A2611" t="s" s="11">
        <v>13354</v>
      </c>
      <c r="B2611" t="s" s="11">
        <v>13355</v>
      </c>
      <c r="C2611" t="s" s="11">
        <v>222</v>
      </c>
      <c r="D2611" t="s" s="11">
        <v>223</v>
      </c>
      <c r="E2611" t="s" s="11">
        <v>634</v>
      </c>
      <c r="F2611" s="28">
        <v>44729</v>
      </c>
      <c r="G2611" t="s" s="11">
        <v>4267</v>
      </c>
      <c r="H2611" s="43">
        <v>3.52</v>
      </c>
      <c r="I2611" s="43">
        <v>13</v>
      </c>
      <c r="J2611" t="s" s="11">
        <v>13356</v>
      </c>
      <c r="K2611" t="s" s="11">
        <v>13357</v>
      </c>
      <c r="L2611" s="17">
        <f>HYPERLINK("http://www.7-chord.com", "www.7-chord.com")</f>
      </c>
      <c r="M2611" s="17">
        <f>HYPERLINK("https://my.pitchbook.com?c=178260-22", "View Company Online")</f>
      </c>
    </row>
    <row r="2612">
      <c r="A2612" t="s" s="10">
        <v>13359</v>
      </c>
      <c r="B2612" t="s" s="10">
        <v>13360</v>
      </c>
      <c r="C2612" t="s" s="10">
        <v>172</v>
      </c>
      <c r="D2612" t="s" s="10">
        <v>338</v>
      </c>
      <c r="E2612" t="s" s="10">
        <v>193</v>
      </c>
      <c r="F2612" s="27">
        <v>45610</v>
      </c>
      <c r="G2612" t="s" s="10">
        <v>40</v>
      </c>
      <c r="H2612" t="s" s="42">
        <v>30</v>
      </c>
      <c r="I2612" s="42">
        <v>13</v>
      </c>
      <c r="J2612" t="s" s="10">
        <v>13361</v>
      </c>
      <c r="K2612" t="s" s="10">
        <v>30</v>
      </c>
      <c r="L2612" s="16">
        <f>HYPERLINK("http://www.bridgeportft.com", "www.bridgeportft.com")</f>
      </c>
      <c r="M2612" s="16">
        <f>HYPERLINK("https://my.pitchbook.com?c=231780-70", "View Company Online")</f>
      </c>
    </row>
    <row r="2613">
      <c r="A2613" t="s" s="11">
        <v>13363</v>
      </c>
      <c r="B2613" t="s" s="11">
        <v>13364</v>
      </c>
      <c r="C2613" t="s" s="11">
        <v>164</v>
      </c>
      <c r="D2613" t="s" s="11">
        <v>206</v>
      </c>
      <c r="E2613" t="s" s="11">
        <v>493</v>
      </c>
      <c r="F2613" s="28">
        <v>45723</v>
      </c>
      <c r="G2613" t="s" s="11">
        <v>4267</v>
      </c>
      <c r="H2613" s="43">
        <v>3.2</v>
      </c>
      <c r="I2613" s="43">
        <v>13</v>
      </c>
      <c r="J2613" t="s" s="11">
        <v>13365</v>
      </c>
      <c r="K2613" t="s" s="11">
        <v>13366</v>
      </c>
      <c r="L2613" s="17">
        <f>HYPERLINK("http://www.equipt.ai", "www.equipt.ai")</f>
      </c>
      <c r="M2613" s="17">
        <f>HYPERLINK("https://my.pitchbook.com?c=498202-21", "View Company Online")</f>
      </c>
    </row>
    <row r="2614">
      <c r="A2614" t="s" s="10">
        <v>13368</v>
      </c>
      <c r="B2614" t="s" s="10">
        <v>13369</v>
      </c>
      <c r="C2614" t="s" s="10">
        <v>46</v>
      </c>
      <c r="D2614" t="s" s="10">
        <v>78</v>
      </c>
      <c r="E2614" t="s" s="10">
        <v>13370</v>
      </c>
      <c r="F2614" s="27">
        <v>45741</v>
      </c>
      <c r="G2614" t="s" s="10">
        <v>40</v>
      </c>
      <c r="H2614" s="42">
        <v>3.27</v>
      </c>
      <c r="I2614" s="42">
        <v>13</v>
      </c>
      <c r="J2614" t="s" s="10">
        <v>13371</v>
      </c>
      <c r="K2614" t="s" s="10">
        <v>13372</v>
      </c>
      <c r="L2614" s="16">
        <f>HYPERLINK("http://www.jemhr.com", "www.jemhr.com")</f>
      </c>
      <c r="M2614" s="16">
        <f>HYPERLINK("https://my.pitchbook.com?c=436691-53", "View Company Online")</f>
      </c>
    </row>
    <row r="2615">
      <c r="A2615" t="s" s="11">
        <v>13374</v>
      </c>
      <c r="B2615" t="s" s="11">
        <v>13375</v>
      </c>
      <c r="C2615" t="s" s="11">
        <v>164</v>
      </c>
      <c r="D2615" t="s" s="11">
        <v>165</v>
      </c>
      <c r="E2615" t="s" s="11">
        <v>253</v>
      </c>
      <c r="F2615" s="28">
        <v>45569</v>
      </c>
      <c r="G2615" t="s" s="11">
        <v>4267</v>
      </c>
      <c r="H2615" s="43">
        <v>4.25</v>
      </c>
      <c r="I2615" s="43">
        <v>13</v>
      </c>
      <c r="J2615" t="s" s="11">
        <v>13376</v>
      </c>
      <c r="K2615" t="s" s="11">
        <v>13377</v>
      </c>
      <c r="L2615" s="17">
        <f>HYPERLINK("http://www.nedhelps.com", "www.nedhelps.com")</f>
      </c>
      <c r="M2615" s="17">
        <f>HYPERLINK("https://my.pitchbook.com?c=501609-25", "View Company Online")</f>
      </c>
    </row>
    <row r="2616">
      <c r="A2616" t="s" s="10">
        <v>13379</v>
      </c>
      <c r="B2616" t="s" s="10">
        <v>13380</v>
      </c>
      <c r="C2616" t="s" s="10">
        <v>222</v>
      </c>
      <c r="D2616" t="s" s="10">
        <v>252</v>
      </c>
      <c r="E2616" t="s" s="10">
        <v>137</v>
      </c>
      <c r="F2616" s="27">
        <v>45145</v>
      </c>
      <c r="G2616" t="s" s="10">
        <v>4267</v>
      </c>
      <c r="H2616" s="42">
        <v>3</v>
      </c>
      <c r="I2616" s="42">
        <v>13</v>
      </c>
      <c r="J2616" t="s" s="10">
        <v>13381</v>
      </c>
      <c r="K2616" t="s" s="10">
        <v>13382</v>
      </c>
      <c r="L2616" s="16">
        <f>HYPERLINK("http://www.optimx.com", "www.optimx.com")</f>
      </c>
      <c r="M2616" s="16">
        <f>HYPERLINK("https://my.pitchbook.com?c=496719-01", "View Company Online")</f>
      </c>
    </row>
    <row r="2617">
      <c r="A2617" t="s" s="11">
        <v>13384</v>
      </c>
      <c r="B2617" t="s" s="11">
        <v>13385</v>
      </c>
      <c r="C2617" t="s" s="11">
        <v>27</v>
      </c>
      <c r="D2617" t="s" s="11">
        <v>28</v>
      </c>
      <c r="E2617" t="s" s="11">
        <v>1859</v>
      </c>
      <c r="F2617" s="28">
        <v>44914</v>
      </c>
      <c r="G2617" t="s" s="11">
        <v>40</v>
      </c>
      <c r="H2617" s="43">
        <v>1.6</v>
      </c>
      <c r="I2617" s="43">
        <v>13</v>
      </c>
      <c r="J2617" t="s" s="11">
        <v>13386</v>
      </c>
      <c r="K2617" t="s" s="11">
        <v>13387</v>
      </c>
      <c r="L2617" s="17">
        <f>HYPERLINK("http://www.prommt.com", "www.prommt.com")</f>
      </c>
      <c r="M2617" s="17">
        <f>HYPERLINK("https://my.pitchbook.com?c=453434-14", "View Company Online")</f>
      </c>
    </row>
    <row r="2618">
      <c r="A2618" t="s" s="10">
        <v>13389</v>
      </c>
      <c r="B2618" t="s" s="10">
        <v>13390</v>
      </c>
      <c r="C2618" t="s" s="10">
        <v>60</v>
      </c>
      <c r="D2618" t="s" s="10">
        <v>727</v>
      </c>
      <c r="E2618" t="s" s="10">
        <v>116</v>
      </c>
      <c r="F2618" s="27">
        <v>46216</v>
      </c>
      <c r="G2618" t="s" s="10">
        <v>391</v>
      </c>
      <c r="H2618" s="42">
        <v>13</v>
      </c>
      <c r="I2618" s="42">
        <v>13</v>
      </c>
      <c r="J2618" t="s" s="10">
        <v>13391</v>
      </c>
      <c r="K2618" t="s" s="10">
        <v>30</v>
      </c>
      <c r="L2618" s="16">
        <f>HYPERLINK("http://www.siiibo.com", "www.siiibo.com")</f>
      </c>
      <c r="M2618" s="16">
        <f>HYPERLINK("https://my.pitchbook.com?c=398954-44", "View Company Online")</f>
      </c>
    </row>
    <row r="2619">
      <c r="A2619" t="s" s="11">
        <v>13393</v>
      </c>
      <c r="B2619" t="s" s="11">
        <v>13394</v>
      </c>
      <c r="C2619" t="s" s="11">
        <v>114</v>
      </c>
      <c r="D2619" t="s" s="11">
        <v>115</v>
      </c>
      <c r="E2619" t="s" s="11">
        <v>3433</v>
      </c>
      <c r="F2619" s="28">
        <v>45715</v>
      </c>
      <c r="G2619" t="s" s="11">
        <v>146</v>
      </c>
      <c r="H2619" s="43">
        <v>0.12</v>
      </c>
      <c r="I2619" s="43">
        <v>13</v>
      </c>
      <c r="J2619" t="s" s="11">
        <v>13395</v>
      </c>
      <c r="K2619" t="s" s="11">
        <v>30</v>
      </c>
      <c r="L2619" s="17">
        <f>HYPERLINK("http://www.thebigpos.com", "www.thebigpos.com")</f>
      </c>
      <c r="M2619" s="17">
        <f>HYPERLINK("https://my.pitchbook.com?c=519096-16", "View Company Online")</f>
      </c>
    </row>
    <row r="2620">
      <c r="A2620" t="s" s="10">
        <v>13397</v>
      </c>
      <c r="B2620" t="s" s="10">
        <v>13398</v>
      </c>
      <c r="C2620" t="s" s="10">
        <v>128</v>
      </c>
      <c r="D2620" t="s" s="10">
        <v>129</v>
      </c>
      <c r="E2620" t="s" s="10">
        <v>3776</v>
      </c>
      <c r="F2620" s="27">
        <v>43455</v>
      </c>
      <c r="G2620" t="s" s="10">
        <v>4267</v>
      </c>
      <c r="H2620" s="42">
        <v>4.58</v>
      </c>
      <c r="I2620" s="42">
        <v>13</v>
      </c>
      <c r="J2620" t="s" s="10">
        <v>13399</v>
      </c>
      <c r="K2620" t="s" s="10">
        <v>13400</v>
      </c>
      <c r="L2620" s="16">
        <f>HYPERLINK("http://www.theguestbook.com", "www.theguestbook.com")</f>
      </c>
      <c r="M2620" s="16">
        <f>HYPERLINK("https://my.pitchbook.com?c=104747-86", "View Company Online")</f>
      </c>
    </row>
    <row r="2621">
      <c r="A2621" t="s" s="11">
        <v>13402</v>
      </c>
      <c r="B2621" t="s" s="11">
        <v>13403</v>
      </c>
      <c r="C2621" t="s" s="11">
        <v>114</v>
      </c>
      <c r="D2621" t="s" s="11">
        <v>852</v>
      </c>
      <c r="E2621" t="s" s="11">
        <v>137</v>
      </c>
      <c r="F2621" s="28">
        <v>43889</v>
      </c>
      <c r="G2621" t="s" s="11">
        <v>40</v>
      </c>
      <c r="H2621" s="43">
        <v>2.4</v>
      </c>
      <c r="I2621" s="43">
        <v>12.99</v>
      </c>
      <c r="J2621" t="s" s="11">
        <v>13404</v>
      </c>
      <c r="K2621" t="s" s="11">
        <v>13405</v>
      </c>
      <c r="L2621" s="17">
        <f>HYPERLINK("http://www.levantor.com", "www.levantor.com")</f>
      </c>
      <c r="M2621" s="17">
        <f>HYPERLINK("https://my.pitchbook.com?c=435445-12", "View Company Online")</f>
      </c>
    </row>
    <row r="2622">
      <c r="A2622" t="s" s="10">
        <v>13407</v>
      </c>
      <c r="B2622" t="s" s="10">
        <v>13408</v>
      </c>
      <c r="C2622" t="s" s="10">
        <v>114</v>
      </c>
      <c r="D2622" t="s" s="10">
        <v>136</v>
      </c>
      <c r="E2622" t="s" s="10">
        <v>5790</v>
      </c>
      <c r="F2622" s="27">
        <v>44929</v>
      </c>
      <c r="G2622" t="s" s="10">
        <v>146</v>
      </c>
      <c r="H2622" s="42">
        <v>39.56</v>
      </c>
      <c r="I2622" s="42">
        <v>12.97</v>
      </c>
      <c r="J2622" t="s" s="10">
        <v>13409</v>
      </c>
      <c r="K2622" t="s" s="10">
        <v>13410</v>
      </c>
      <c r="L2622" s="16">
        <f>HYPERLINK("http://www.studentfinance.com", "www.studentfinance.com")</f>
      </c>
      <c r="M2622" s="16">
        <f>HYPERLINK("https://my.pitchbook.com?c=343354-87", "View Company Online")</f>
      </c>
    </row>
    <row r="2623">
      <c r="A2623" t="s" s="11">
        <v>13412</v>
      </c>
      <c r="B2623" t="s" s="11">
        <v>13413</v>
      </c>
      <c r="C2623" t="s" s="11">
        <v>60</v>
      </c>
      <c r="D2623" t="s" s="11">
        <v>727</v>
      </c>
      <c r="E2623" t="s" s="11">
        <v>2782</v>
      </c>
      <c r="F2623" s="28">
        <v>44105</v>
      </c>
      <c r="G2623" t="s" s="11">
        <v>4267</v>
      </c>
      <c r="H2623" t="s" s="43">
        <v>30</v>
      </c>
      <c r="I2623" s="43">
        <v>12.97</v>
      </c>
      <c r="J2623" t="s" s="11">
        <v>13414</v>
      </c>
      <c r="K2623" t="s" s="11">
        <v>13415</v>
      </c>
      <c r="L2623" s="17">
        <f>HYPERLINK("http://www.yielders.co.uk", "www.yielders.co.uk")</f>
      </c>
      <c r="M2623" s="17">
        <f>HYPERLINK("https://my.pitchbook.com?c=221930-47", "View Company Online")</f>
      </c>
    </row>
    <row r="2624">
      <c r="A2624" t="s" s="10">
        <v>13417</v>
      </c>
      <c r="B2624" t="s" s="10">
        <v>13418</v>
      </c>
      <c r="C2624" t="s" s="10">
        <v>60</v>
      </c>
      <c r="D2624" t="s" s="10">
        <v>192</v>
      </c>
      <c r="E2624" t="s" s="10">
        <v>193</v>
      </c>
      <c r="F2624" s="27">
        <v>44422</v>
      </c>
      <c r="G2624" t="s" s="10">
        <v>40</v>
      </c>
      <c r="H2624" s="42">
        <v>1.34</v>
      </c>
      <c r="I2624" s="42">
        <v>12.96</v>
      </c>
      <c r="J2624" t="s" s="10">
        <v>13419</v>
      </c>
      <c r="K2624" t="s" s="10">
        <v>13420</v>
      </c>
      <c r="L2624" s="16">
        <f>HYPERLINK("http://www.stockedge.com", "www.stockedge.com")</f>
      </c>
      <c r="M2624" s="16">
        <f>HYPERLINK("https://my.pitchbook.com?c=434894-77", "View Company Online")</f>
      </c>
    </row>
    <row r="2625">
      <c r="A2625" t="s" s="11">
        <v>13422</v>
      </c>
      <c r="B2625" t="s" s="11">
        <v>13423</v>
      </c>
      <c r="C2625" t="s" s="11">
        <v>27</v>
      </c>
      <c r="D2625" t="s" s="11">
        <v>28</v>
      </c>
      <c r="E2625" t="s" s="11">
        <v>253</v>
      </c>
      <c r="F2625" s="28">
        <v>45716</v>
      </c>
      <c r="G2625" t="s" s="11">
        <v>40</v>
      </c>
      <c r="H2625" t="s" s="43">
        <v>30</v>
      </c>
      <c r="I2625" s="43">
        <v>12.95</v>
      </c>
      <c r="J2625" t="s" s="11">
        <v>13424</v>
      </c>
      <c r="K2625" t="s" s="11">
        <v>13425</v>
      </c>
      <c r="L2625" s="17">
        <f>HYPERLINK("http://www.frekuent.com", "www.frekuent.com")</f>
      </c>
      <c r="M2625" s="17">
        <f>HYPERLINK("https://my.pitchbook.com?c=121969-18", "View Company Online")</f>
      </c>
    </row>
    <row r="2626">
      <c r="A2626" t="s" s="10">
        <v>13427</v>
      </c>
      <c r="B2626" t="s" s="10">
        <v>13428</v>
      </c>
      <c r="C2626" t="s" s="10">
        <v>172</v>
      </c>
      <c r="D2626" t="s" s="10">
        <v>338</v>
      </c>
      <c r="E2626" t="s" s="10">
        <v>2824</v>
      </c>
      <c r="F2626" t="s" s="27">
        <v>30</v>
      </c>
      <c r="G2626" t="s" s="10">
        <v>48</v>
      </c>
      <c r="H2626" t="s" s="42">
        <v>30</v>
      </c>
      <c r="I2626" s="42">
        <v>12.87</v>
      </c>
      <c r="J2626" t="s" s="10">
        <v>13429</v>
      </c>
      <c r="K2626" t="s" s="10">
        <v>13430</v>
      </c>
      <c r="L2626" s="16">
        <f>HYPERLINK("http://www.taktikal.com", "www.taktikal.com")</f>
      </c>
      <c r="M2626" s="16">
        <f>HYPERLINK("https://my.pitchbook.com?c=490010-50", "View Company Online")</f>
      </c>
    </row>
    <row r="2627">
      <c r="A2627" t="s" s="11">
        <v>13432</v>
      </c>
      <c r="B2627" t="s" s="11">
        <v>13433</v>
      </c>
      <c r="C2627" t="s" s="11">
        <v>164</v>
      </c>
      <c r="D2627" t="s" s="11">
        <v>206</v>
      </c>
      <c r="E2627" t="s" s="11">
        <v>253</v>
      </c>
      <c r="F2627" s="28">
        <v>45686</v>
      </c>
      <c r="G2627" t="s" s="11">
        <v>4267</v>
      </c>
      <c r="H2627" s="43">
        <v>2.32</v>
      </c>
      <c r="I2627" s="43">
        <v>12.85</v>
      </c>
      <c r="J2627" t="s" s="11">
        <v>13434</v>
      </c>
      <c r="K2627" t="s" s="11">
        <v>13435</v>
      </c>
      <c r="L2627" s="17">
        <f>HYPERLINK("http://www.yavr.io", "www.yavr.io")</f>
      </c>
      <c r="M2627" s="17">
        <f>HYPERLINK("https://my.pitchbook.com?c=702967-51", "View Company Online")</f>
      </c>
    </row>
    <row r="2628">
      <c r="A2628" t="s" s="10">
        <v>13437</v>
      </c>
      <c r="B2628" t="s" s="10">
        <v>13438</v>
      </c>
      <c r="C2628" t="s" s="10">
        <v>27</v>
      </c>
      <c r="D2628" t="s" s="10">
        <v>28</v>
      </c>
      <c r="E2628" t="s" s="10">
        <v>973</v>
      </c>
      <c r="F2628" s="27">
        <v>45962</v>
      </c>
      <c r="G2628" t="s" s="10">
        <v>48</v>
      </c>
      <c r="H2628" t="s" s="42">
        <v>30</v>
      </c>
      <c r="I2628" s="42">
        <v>12.83</v>
      </c>
      <c r="J2628" t="s" s="10">
        <v>13439</v>
      </c>
      <c r="K2628" t="s" s="10">
        <v>30</v>
      </c>
      <c r="L2628" s="16">
        <f>HYPERLINK("http://www.airpay.co.in", "www.airpay.co.in")</f>
      </c>
      <c r="M2628" s="16">
        <f>HYPERLINK("https://my.pitchbook.com?c=130018-60", "View Company Online")</f>
      </c>
    </row>
    <row r="2629">
      <c r="A2629" t="s" s="11">
        <v>13441</v>
      </c>
      <c r="B2629" t="s" s="11">
        <v>13442</v>
      </c>
      <c r="C2629" t="s" s="11">
        <v>144</v>
      </c>
      <c r="D2629" t="s" s="11">
        <v>297</v>
      </c>
      <c r="E2629" t="s" s="11">
        <v>13443</v>
      </c>
      <c r="F2629" s="28">
        <v>45278</v>
      </c>
      <c r="G2629" t="s" s="11">
        <v>4267</v>
      </c>
      <c r="H2629" s="43">
        <v>3.07</v>
      </c>
      <c r="I2629" s="43">
        <v>12.83</v>
      </c>
      <c r="J2629" t="s" s="11">
        <v>13444</v>
      </c>
      <c r="K2629" t="s" s="11">
        <v>13445</v>
      </c>
      <c r="L2629" s="17">
        <f>HYPERLINK("http://fundly.ai", "fundly.ai")</f>
      </c>
      <c r="M2629" s="17">
        <f>HYPERLINK("https://my.pitchbook.com?c=527293-00", "View Company Online")</f>
      </c>
    </row>
    <row r="2630">
      <c r="A2630" t="s" s="10">
        <v>13447</v>
      </c>
      <c r="B2630" t="s" s="10">
        <v>13448</v>
      </c>
      <c r="C2630" t="s" s="10">
        <v>114</v>
      </c>
      <c r="D2630" t="s" s="10">
        <v>1386</v>
      </c>
      <c r="E2630" t="s" s="10">
        <v>373</v>
      </c>
      <c r="F2630" s="27">
        <v>45930</v>
      </c>
      <c r="G2630" t="s" s="10">
        <v>146</v>
      </c>
      <c r="H2630" s="42">
        <v>2.6</v>
      </c>
      <c r="I2630" s="42">
        <v>12.8</v>
      </c>
      <c r="J2630" t="s" s="10">
        <v>13449</v>
      </c>
      <c r="K2630" t="s" s="10">
        <v>13450</v>
      </c>
      <c r="L2630" s="16">
        <f>HYPERLINK("http://www.laminr.ai", "www.laminr.ai")</f>
      </c>
      <c r="M2630" s="16">
        <f>HYPERLINK("https://my.pitchbook.com?c=897589-54", "View Company Online")</f>
      </c>
    </row>
    <row r="2631">
      <c r="A2631" t="s" s="11">
        <v>13452</v>
      </c>
      <c r="B2631" t="s" s="11">
        <v>13453</v>
      </c>
      <c r="C2631" t="s" s="11">
        <v>46</v>
      </c>
      <c r="D2631" t="s" s="11">
        <v>47</v>
      </c>
      <c r="E2631" t="s" s="11">
        <v>13454</v>
      </c>
      <c r="F2631" t="s" s="28">
        <v>30</v>
      </c>
      <c r="G2631" t="s" s="11">
        <v>40</v>
      </c>
      <c r="H2631" t="s" s="43">
        <v>30</v>
      </c>
      <c r="I2631" s="43">
        <v>12.8</v>
      </c>
      <c r="J2631" t="s" s="11">
        <v>13455</v>
      </c>
      <c r="K2631" t="s" s="11">
        <v>13456</v>
      </c>
      <c r="L2631" s="17">
        <f>HYPERLINK("http://www.placements.io", "www.placements.io")</f>
      </c>
      <c r="M2631" s="17">
        <f>HYPERLINK("https://my.pitchbook.com?c=88542-82", "View Company Online")</f>
      </c>
    </row>
    <row r="2632">
      <c r="A2632" t="s" s="10">
        <v>13458</v>
      </c>
      <c r="B2632" t="s" s="10">
        <v>13459</v>
      </c>
      <c r="C2632" t="s" s="10">
        <v>60</v>
      </c>
      <c r="D2632" t="s" s="10">
        <v>246</v>
      </c>
      <c r="E2632" t="s" s="10">
        <v>158</v>
      </c>
      <c r="F2632" s="27">
        <v>46112</v>
      </c>
      <c r="G2632" t="s" s="10">
        <v>146</v>
      </c>
      <c r="H2632" s="42">
        <v>12.1</v>
      </c>
      <c r="I2632" s="42">
        <v>12.79</v>
      </c>
      <c r="J2632" t="s" s="10">
        <v>13460</v>
      </c>
      <c r="K2632" t="s" s="10">
        <v>13461</v>
      </c>
      <c r="L2632" s="16">
        <f>HYPERLINK("http://www.bachatt.app", "www.bachatt.app")</f>
      </c>
      <c r="M2632" s="16">
        <f>HYPERLINK("https://my.pitchbook.com?c=746653-78", "View Company Online")</f>
      </c>
    </row>
    <row r="2633">
      <c r="A2633" t="s" s="11">
        <v>13463</v>
      </c>
      <c r="B2633" t="s" s="11">
        <v>13464</v>
      </c>
      <c r="C2633" t="s" s="11">
        <v>222</v>
      </c>
      <c r="D2633" t="s" s="11">
        <v>235</v>
      </c>
      <c r="E2633" t="s" s="11">
        <v>137</v>
      </c>
      <c r="F2633" t="s" s="28">
        <v>30</v>
      </c>
      <c r="G2633" t="s" s="11">
        <v>607</v>
      </c>
      <c r="H2633" t="s" s="43">
        <v>30</v>
      </c>
      <c r="I2633" s="43">
        <v>12.77</v>
      </c>
      <c r="J2633" t="s" s="11">
        <v>13465</v>
      </c>
      <c r="K2633" t="s" s="11">
        <v>13466</v>
      </c>
      <c r="L2633" s="17">
        <f>HYPERLINK("http://www.frontfundr.com", "www.frontfundr.com")</f>
      </c>
      <c r="M2633" s="17">
        <f>HYPERLINK("https://my.pitchbook.com?c=124926-76", "View Company Online")</f>
      </c>
    </row>
    <row r="2634">
      <c r="A2634" t="s" s="10">
        <v>13468</v>
      </c>
      <c r="B2634" t="s" s="10">
        <v>13469</v>
      </c>
      <c r="C2634" t="s" s="10">
        <v>60</v>
      </c>
      <c r="D2634" t="s" s="10">
        <v>192</v>
      </c>
      <c r="E2634" t="s" s="10">
        <v>253</v>
      </c>
      <c r="F2634" s="27">
        <v>43678</v>
      </c>
      <c r="G2634" t="s" s="10">
        <v>40</v>
      </c>
      <c r="H2634" s="42">
        <v>0.85</v>
      </c>
      <c r="I2634" s="42">
        <v>12.77</v>
      </c>
      <c r="J2634" t="s" s="10">
        <v>13470</v>
      </c>
      <c r="K2634" t="s" s="10">
        <v>13471</v>
      </c>
      <c r="L2634" s="16">
        <f>HYPERLINK("http://www.quai-digital.co.uk", "www.quai-digital.co.uk")</f>
      </c>
      <c r="M2634" s="16">
        <f>HYPERLINK("https://my.pitchbook.com?c=61590-43", "View Company Online")</f>
      </c>
    </row>
    <row r="2635">
      <c r="A2635" t="s" s="11">
        <v>13473</v>
      </c>
      <c r="B2635" t="s" s="11">
        <v>13474</v>
      </c>
      <c r="C2635" t="s" s="11">
        <v>27</v>
      </c>
      <c r="D2635" t="s" s="11">
        <v>28</v>
      </c>
      <c r="E2635" t="s" s="11">
        <v>137</v>
      </c>
      <c r="F2635" s="28">
        <v>43040</v>
      </c>
      <c r="G2635" t="s" s="11">
        <v>4267</v>
      </c>
      <c r="H2635" s="43">
        <v>3.02</v>
      </c>
      <c r="I2635" s="43">
        <v>12.71</v>
      </c>
      <c r="J2635" t="s" s="11">
        <v>13475</v>
      </c>
      <c r="K2635" t="s" s="11">
        <v>30</v>
      </c>
      <c r="L2635" s="17">
        <f>HYPERLINK("http://www.xft123.com", "www.xft123.com")</f>
      </c>
      <c r="M2635" s="17">
        <f>HYPERLINK("https://my.pitchbook.com?c=756570-97", "View Company Online")</f>
      </c>
    </row>
    <row r="2636">
      <c r="A2636" t="s" s="10">
        <v>13477</v>
      </c>
      <c r="B2636" t="s" s="10">
        <v>13478</v>
      </c>
      <c r="C2636" t="s" s="10">
        <v>222</v>
      </c>
      <c r="D2636" t="s" s="10">
        <v>223</v>
      </c>
      <c r="E2636" t="s" s="10">
        <v>13479</v>
      </c>
      <c r="F2636" s="27">
        <v>45701</v>
      </c>
      <c r="G2636" t="s" s="10">
        <v>607</v>
      </c>
      <c r="H2636" t="s" s="42">
        <v>30</v>
      </c>
      <c r="I2636" s="42">
        <v>12.7</v>
      </c>
      <c r="J2636" t="s" s="10">
        <v>13480</v>
      </c>
      <c r="K2636" t="s" s="10">
        <v>13481</v>
      </c>
      <c r="L2636" s="16">
        <f>HYPERLINK("http://www.auquan.com", "www.auquan.com")</f>
      </c>
      <c r="M2636" s="16">
        <f>HYPERLINK("https://my.pitchbook.com?c=222341-50", "View Company Online")</f>
      </c>
    </row>
    <row r="2637">
      <c r="A2637" t="s" s="11">
        <v>13483</v>
      </c>
      <c r="B2637" t="s" s="11">
        <v>13484</v>
      </c>
      <c r="C2637" t="s" s="11">
        <v>114</v>
      </c>
      <c r="D2637" t="s" s="11">
        <v>136</v>
      </c>
      <c r="E2637" t="s" s="11">
        <v>137</v>
      </c>
      <c r="F2637" s="28">
        <v>43901</v>
      </c>
      <c r="G2637" t="s" s="11">
        <v>146</v>
      </c>
      <c r="H2637" s="43">
        <v>3.06</v>
      </c>
      <c r="I2637" s="43">
        <v>12.7</v>
      </c>
      <c r="J2637" t="s" s="11">
        <v>13485</v>
      </c>
      <c r="K2637" t="s" s="11">
        <v>13486</v>
      </c>
      <c r="L2637" s="17">
        <f>HYPERLINK("http://www.automony.in", "www.automony.in")</f>
      </c>
      <c r="M2637" s="17">
        <f>HYPERLINK("https://my.pitchbook.com?c=433087-21", "View Company Online")</f>
      </c>
    </row>
    <row r="2638">
      <c r="A2638" t="s" s="10">
        <v>13488</v>
      </c>
      <c r="B2638" t="s" s="10">
        <v>13489</v>
      </c>
      <c r="C2638" t="s" s="10">
        <v>46</v>
      </c>
      <c r="D2638" t="s" s="10">
        <v>47</v>
      </c>
      <c r="E2638" t="s" s="10">
        <v>137</v>
      </c>
      <c r="F2638" s="27">
        <v>43831</v>
      </c>
      <c r="G2638" t="s" s="10">
        <v>146</v>
      </c>
      <c r="H2638" s="42">
        <v>6.89</v>
      </c>
      <c r="I2638" s="42">
        <v>12.7</v>
      </c>
      <c r="J2638" t="s" s="10">
        <v>13490</v>
      </c>
      <c r="K2638" t="s" s="10">
        <v>13491</v>
      </c>
      <c r="L2638" s="16">
        <f>HYPERLINK("http://www.invevo.com", "www.invevo.com")</f>
      </c>
      <c r="M2638" s="16">
        <f>HYPERLINK("https://my.pitchbook.com?c=481474-63", "View Company Online")</f>
      </c>
    </row>
    <row r="2639">
      <c r="A2639" t="s" s="11">
        <v>13493</v>
      </c>
      <c r="B2639" t="s" s="11">
        <v>13494</v>
      </c>
      <c r="C2639" t="s" s="11">
        <v>222</v>
      </c>
      <c r="D2639" t="s" s="11">
        <v>235</v>
      </c>
      <c r="E2639" t="s" s="11">
        <v>137</v>
      </c>
      <c r="F2639" s="28">
        <v>45338</v>
      </c>
      <c r="G2639" t="s" s="11">
        <v>4267</v>
      </c>
      <c r="H2639" s="43">
        <v>1.6</v>
      </c>
      <c r="I2639" s="43">
        <v>12.67</v>
      </c>
      <c r="J2639" t="s" s="11">
        <v>13495</v>
      </c>
      <c r="K2639" t="s" s="11">
        <v>13496</v>
      </c>
      <c r="L2639" s="17">
        <f>HYPERLINK("http://www.coop.exchange", "www.coop.exchange")</f>
      </c>
      <c r="M2639" s="17">
        <f>HYPERLINK("https://my.pitchbook.com?c=588586-96", "View Company Online")</f>
      </c>
    </row>
    <row r="2640">
      <c r="A2640" t="s" s="10">
        <v>13498</v>
      </c>
      <c r="B2640" t="s" s="10">
        <v>13499</v>
      </c>
      <c r="C2640" t="s" s="10">
        <v>128</v>
      </c>
      <c r="D2640" t="s" s="10">
        <v>276</v>
      </c>
      <c r="E2640" t="s" s="10">
        <v>270</v>
      </c>
      <c r="F2640" s="27">
        <v>44715</v>
      </c>
      <c r="G2640" t="s" s="10">
        <v>146</v>
      </c>
      <c r="H2640" s="42">
        <v>0.65</v>
      </c>
      <c r="I2640" s="42">
        <v>12.65</v>
      </c>
      <c r="J2640" t="s" s="10">
        <v>13500</v>
      </c>
      <c r="K2640" t="s" s="10">
        <v>13501</v>
      </c>
      <c r="L2640" s="16">
        <f>HYPERLINK("http://www.everup.uk", "www.everup.uk")</f>
      </c>
      <c r="M2640" s="16">
        <f>HYPERLINK("https://my.pitchbook.com?c=458211-52", "View Company Online")</f>
      </c>
    </row>
    <row r="2641">
      <c r="A2641" t="s" s="11">
        <v>13503</v>
      </c>
      <c r="B2641" t="s" s="11">
        <v>13504</v>
      </c>
      <c r="C2641" t="s" s="11">
        <v>114</v>
      </c>
      <c r="D2641" t="s" s="11">
        <v>1386</v>
      </c>
      <c r="E2641" t="s" s="11">
        <v>253</v>
      </c>
      <c r="F2641" s="28">
        <v>46105</v>
      </c>
      <c r="G2641" t="s" s="11">
        <v>146</v>
      </c>
      <c r="H2641" s="43">
        <v>3.15</v>
      </c>
      <c r="I2641" s="43">
        <v>12.56</v>
      </c>
      <c r="J2641" t="s" s="11">
        <v>13505</v>
      </c>
      <c r="K2641" t="s" s="11">
        <v>13506</v>
      </c>
      <c r="L2641" s="17">
        <f>HYPERLINK("http://www.nogginhq.com", "www.nogginhq.com")</f>
      </c>
      <c r="M2641" s="17">
        <f>HYPERLINK("https://my.pitchbook.com?c=489235-24", "View Company Online")</f>
      </c>
    </row>
    <row r="2642">
      <c r="A2642" t="s" s="10">
        <v>13508</v>
      </c>
      <c r="B2642" t="s" s="10">
        <v>13509</v>
      </c>
      <c r="C2642" t="s" s="10">
        <v>114</v>
      </c>
      <c r="D2642" t="s" s="10">
        <v>136</v>
      </c>
      <c r="E2642" t="s" s="10">
        <v>1859</v>
      </c>
      <c r="F2642" t="s" s="27">
        <v>30</v>
      </c>
      <c r="G2642" t="s" s="10">
        <v>607</v>
      </c>
      <c r="H2642" t="s" s="42">
        <v>30</v>
      </c>
      <c r="I2642" s="42">
        <v>12.55</v>
      </c>
      <c r="J2642" t="s" s="10">
        <v>13510</v>
      </c>
      <c r="K2642" t="s" s="10">
        <v>13511</v>
      </c>
      <c r="L2642" s="16">
        <f>HYPERLINK("http://www.marvin.com.br", "www.marvin.com.br")</f>
      </c>
      <c r="M2642" s="16">
        <f>HYPERLINK("https://my.pitchbook.com?c=471432-88", "View Company Online")</f>
      </c>
    </row>
    <row r="2643">
      <c r="A2643" t="s" s="11">
        <v>13513</v>
      </c>
      <c r="B2643" t="s" s="11">
        <v>13514</v>
      </c>
      <c r="C2643" t="s" s="11">
        <v>46</v>
      </c>
      <c r="D2643" t="s" s="11">
        <v>47</v>
      </c>
      <c r="E2643" t="s" s="11">
        <v>13515</v>
      </c>
      <c r="F2643" t="s" s="28">
        <v>30</v>
      </c>
      <c r="G2643" t="s" s="11">
        <v>607</v>
      </c>
      <c r="H2643" t="s" s="43">
        <v>30</v>
      </c>
      <c r="I2643" s="43">
        <v>12.51</v>
      </c>
      <c r="J2643" t="s" s="11">
        <v>13516</v>
      </c>
      <c r="K2643" t="s" s="11">
        <v>13517</v>
      </c>
      <c r="L2643" s="17">
        <f>HYPERLINK("http://www.withless.com", "www.withless.com")</f>
      </c>
      <c r="M2643" s="17">
        <f>HYPERLINK("https://my.pitchbook.com?c=552511-63", "View Company Online")</f>
      </c>
    </row>
    <row r="2644">
      <c r="A2644" t="s" s="10">
        <v>13519</v>
      </c>
      <c r="B2644" t="s" s="10">
        <v>13520</v>
      </c>
      <c r="C2644" t="s" s="10">
        <v>144</v>
      </c>
      <c r="D2644" t="s" s="10">
        <v>297</v>
      </c>
      <c r="E2644" t="s" s="10">
        <v>373</v>
      </c>
      <c r="F2644" s="27">
        <v>44776</v>
      </c>
      <c r="G2644" t="s" s="10">
        <v>4267</v>
      </c>
      <c r="H2644" s="42">
        <v>1.5</v>
      </c>
      <c r="I2644" s="42">
        <v>12.5</v>
      </c>
      <c r="J2644" t="s" s="10">
        <v>13521</v>
      </c>
      <c r="K2644" t="s" s="10">
        <v>13522</v>
      </c>
      <c r="L2644" s="16">
        <f>HYPERLINK("http://metaphi.ai", "metaphi.ai")</f>
      </c>
      <c r="M2644" s="16">
        <f>HYPERLINK("https://my.pitchbook.com?c=509096-17", "View Company Online")</f>
      </c>
    </row>
    <row r="2645">
      <c r="A2645" t="s" s="11">
        <v>13524</v>
      </c>
      <c r="B2645" t="s" s="11">
        <v>13525</v>
      </c>
      <c r="C2645" t="s" s="11">
        <v>60</v>
      </c>
      <c r="D2645" t="s" s="11">
        <v>727</v>
      </c>
      <c r="E2645" t="s" s="11">
        <v>253</v>
      </c>
      <c r="F2645" t="s" s="28">
        <v>30</v>
      </c>
      <c r="G2645" t="s" s="11">
        <v>146</v>
      </c>
      <c r="H2645" t="s" s="43">
        <v>30</v>
      </c>
      <c r="I2645" s="43">
        <v>12.5</v>
      </c>
      <c r="J2645" t="s" s="11">
        <v>13526</v>
      </c>
      <c r="K2645" t="s" s="11">
        <v>13527</v>
      </c>
      <c r="L2645" s="17">
        <f>HYPERLINK("http://www.splintinvest.com", "www.splintinvest.com")</f>
      </c>
      <c r="M2645" s="17">
        <f>HYPERLINK("https://my.pitchbook.com?c=493742-35", "View Company Online")</f>
      </c>
    </row>
    <row r="2646">
      <c r="A2646" t="s" s="10">
        <v>13529</v>
      </c>
      <c r="B2646" t="s" s="10">
        <v>13530</v>
      </c>
      <c r="C2646" t="s" s="10">
        <v>164</v>
      </c>
      <c r="D2646" t="s" s="10">
        <v>165</v>
      </c>
      <c r="E2646" t="s" s="10">
        <v>4013</v>
      </c>
      <c r="F2646" s="27">
        <v>45802</v>
      </c>
      <c r="G2646" t="s" s="10">
        <v>607</v>
      </c>
      <c r="H2646" t="s" s="42">
        <v>30</v>
      </c>
      <c r="I2646" s="42">
        <v>12.49</v>
      </c>
      <c r="J2646" t="s" s="10">
        <v>13531</v>
      </c>
      <c r="K2646" t="s" s="10">
        <v>13532</v>
      </c>
      <c r="L2646" s="16">
        <f>HYPERLINK("http://www.tumelo.com", "www.tumelo.com")</f>
      </c>
      <c r="M2646" s="16">
        <f>HYPERLINK("https://my.pitchbook.com?c=279832-24", "View Company Online")</f>
      </c>
    </row>
    <row r="2647">
      <c r="A2647" t="s" s="11">
        <v>13534</v>
      </c>
      <c r="B2647" t="s" s="11">
        <v>13535</v>
      </c>
      <c r="C2647" t="s" s="11">
        <v>144</v>
      </c>
      <c r="D2647" t="s" s="11">
        <v>38</v>
      </c>
      <c r="E2647" t="s" s="11">
        <v>137</v>
      </c>
      <c r="F2647" s="28">
        <v>46054</v>
      </c>
      <c r="G2647" t="s" s="11">
        <v>146</v>
      </c>
      <c r="H2647" t="s" s="43">
        <v>30</v>
      </c>
      <c r="I2647" s="43">
        <v>12.48</v>
      </c>
      <c r="J2647" t="s" s="11">
        <v>13536</v>
      </c>
      <c r="K2647" t="s" s="11">
        <v>13537</v>
      </c>
      <c r="L2647" s="17">
        <f>HYPERLINK("http://www.fleming.de", "www.fleming.de")</f>
      </c>
      <c r="M2647" s="17">
        <f>HYPERLINK("https://my.pitchbook.com?c=539685-10", "View Company Online")</f>
      </c>
    </row>
    <row r="2648">
      <c r="A2648" t="s" s="10">
        <v>13539</v>
      </c>
      <c r="B2648" t="s" s="10">
        <v>13540</v>
      </c>
      <c r="C2648" t="s" s="10">
        <v>222</v>
      </c>
      <c r="D2648" t="s" s="10">
        <v>252</v>
      </c>
      <c r="E2648" t="s" s="10">
        <v>759</v>
      </c>
      <c r="F2648" s="27">
        <v>43799</v>
      </c>
      <c r="G2648" t="s" s="10">
        <v>40</v>
      </c>
      <c r="H2648" s="42">
        <v>1.27</v>
      </c>
      <c r="I2648" s="42">
        <v>12.48</v>
      </c>
      <c r="J2648" t="s" s="10">
        <v>13541</v>
      </c>
      <c r="K2648" t="s" s="10">
        <v>13542</v>
      </c>
      <c r="L2648" s="16">
        <f>HYPERLINK("http://www.r5fx.co.uk", "www.r5fx.co.uk")</f>
      </c>
      <c r="M2648" s="16">
        <f>HYPERLINK("https://my.pitchbook.com?c=108349-84", "View Company Online")</f>
      </c>
    </row>
    <row r="2649">
      <c r="A2649" t="s" s="11">
        <v>13544</v>
      </c>
      <c r="B2649" t="s" s="11">
        <v>13545</v>
      </c>
      <c r="C2649" t="s" s="11">
        <v>222</v>
      </c>
      <c r="D2649" t="s" s="11">
        <v>252</v>
      </c>
      <c r="E2649" t="s" s="11">
        <v>859</v>
      </c>
      <c r="F2649" s="28">
        <v>46204</v>
      </c>
      <c r="G2649" t="s" s="11">
        <v>40</v>
      </c>
      <c r="H2649" t="s" s="43">
        <v>30</v>
      </c>
      <c r="I2649" s="43">
        <v>12.47</v>
      </c>
      <c r="J2649" t="s" s="11">
        <v>13546</v>
      </c>
      <c r="K2649" t="s" s="11">
        <v>13547</v>
      </c>
      <c r="L2649" s="17">
        <f>HYPERLINK("http://www.knabu.me", "www.knabu.me")</f>
      </c>
      <c r="M2649" s="17">
        <f>HYPERLINK("https://my.pitchbook.com?c=454462-57", "View Company Online")</f>
      </c>
    </row>
    <row r="2650">
      <c r="A2650" t="s" s="10">
        <v>13549</v>
      </c>
      <c r="B2650" t="s" s="10">
        <v>13550</v>
      </c>
      <c r="C2650" t="s" s="10">
        <v>37</v>
      </c>
      <c r="D2650" t="s" s="10">
        <v>38</v>
      </c>
      <c r="E2650" t="s" s="10">
        <v>253</v>
      </c>
      <c r="F2650" s="27">
        <v>45265</v>
      </c>
      <c r="G2650" t="s" s="10">
        <v>146</v>
      </c>
      <c r="H2650" s="42">
        <v>6</v>
      </c>
      <c r="I2650" s="42">
        <v>12.45</v>
      </c>
      <c r="J2650" t="s" s="10">
        <v>13551</v>
      </c>
      <c r="K2650" t="s" s="10">
        <v>13552</v>
      </c>
      <c r="L2650" s="16">
        <f>HYPERLINK("http://www.dgv.in", "www.dgv.in")</f>
      </c>
      <c r="M2650" s="16">
        <f>HYPERLINK("https://my.pitchbook.com?c=483902-29", "View Company Online")</f>
      </c>
    </row>
    <row r="2651">
      <c r="A2651" t="s" s="11">
        <v>13554</v>
      </c>
      <c r="B2651" t="s" s="11">
        <v>13555</v>
      </c>
      <c r="C2651" t="s" s="11">
        <v>164</v>
      </c>
      <c r="D2651" t="s" s="11">
        <v>206</v>
      </c>
      <c r="E2651" t="s" s="11">
        <v>1207</v>
      </c>
      <c r="F2651" s="28">
        <v>44720</v>
      </c>
      <c r="G2651" t="s" s="11">
        <v>40</v>
      </c>
      <c r="H2651" s="43">
        <v>0.9</v>
      </c>
      <c r="I2651" s="43">
        <v>12.43</v>
      </c>
      <c r="J2651" t="s" s="11">
        <v>13556</v>
      </c>
      <c r="K2651" t="s" s="11">
        <v>13557</v>
      </c>
      <c r="L2651" s="17">
        <f>HYPERLINK("http://www.sprintenterprise.co.uk", "www.sprintenterprise.co.uk")</f>
      </c>
      <c r="M2651" s="17">
        <f>HYPERLINK("https://my.pitchbook.com?c=98313-94", "View Company Online")</f>
      </c>
    </row>
    <row r="2652">
      <c r="A2652" t="s" s="10">
        <v>13559</v>
      </c>
      <c r="B2652" t="s" s="10">
        <v>13560</v>
      </c>
      <c r="C2652" t="s" s="10">
        <v>164</v>
      </c>
      <c r="D2652" t="s" s="10">
        <v>165</v>
      </c>
      <c r="E2652" t="s" s="10">
        <v>414</v>
      </c>
      <c r="F2652" s="27">
        <v>45897</v>
      </c>
      <c r="G2652" t="s" s="10">
        <v>146</v>
      </c>
      <c r="H2652" s="42">
        <v>0.29</v>
      </c>
      <c r="I2652" s="42">
        <v>12.4</v>
      </c>
      <c r="J2652" t="s" s="10">
        <v>13561</v>
      </c>
      <c r="K2652" t="s" s="10">
        <v>13562</v>
      </c>
      <c r="L2652" s="16">
        <f>HYPERLINK("http://www.tbx.co.in", "www.tbx.co.in")</f>
      </c>
      <c r="M2652" s="16">
        <f>HYPERLINK("https://my.pitchbook.com?c=529619-05", "View Company Online")</f>
      </c>
    </row>
    <row r="2653">
      <c r="A2653" t="s" s="11">
        <v>13564</v>
      </c>
      <c r="B2653" t="s" s="11">
        <v>13565</v>
      </c>
      <c r="C2653" t="s" s="11">
        <v>164</v>
      </c>
      <c r="D2653" t="s" s="11">
        <v>165</v>
      </c>
      <c r="E2653" t="s" s="11">
        <v>270</v>
      </c>
      <c r="F2653" s="28">
        <v>45016</v>
      </c>
      <c r="G2653" t="s" s="11">
        <v>146</v>
      </c>
      <c r="H2653" s="43">
        <v>4.28</v>
      </c>
      <c r="I2653" s="43">
        <v>12.38</v>
      </c>
      <c r="J2653" t="s" s="11">
        <v>13566</v>
      </c>
      <c r="K2653" t="s" s="11">
        <v>13567</v>
      </c>
      <c r="L2653" s="17">
        <f>HYPERLINK("http://www.billsight.tech", "www.billsight.tech")</f>
      </c>
      <c r="M2653" s="17">
        <f>HYPERLINK("https://my.pitchbook.com?c=491184-82", "View Company Online")</f>
      </c>
    </row>
    <row r="2654">
      <c r="A2654" t="s" s="10">
        <v>13569</v>
      </c>
      <c r="B2654" t="s" s="10">
        <v>13570</v>
      </c>
      <c r="C2654" t="s" s="10">
        <v>60</v>
      </c>
      <c r="D2654" t="s" s="10">
        <v>246</v>
      </c>
      <c r="E2654" t="s" s="10">
        <v>253</v>
      </c>
      <c r="F2654" s="27">
        <v>45784</v>
      </c>
      <c r="G2654" t="s" s="10">
        <v>40</v>
      </c>
      <c r="H2654" s="42">
        <v>30.4</v>
      </c>
      <c r="I2654" s="42">
        <v>12.37</v>
      </c>
      <c r="J2654" t="s" s="10">
        <v>13571</v>
      </c>
      <c r="K2654" t="s" s="10">
        <v>13572</v>
      </c>
      <c r="L2654" s="16">
        <f>HYPERLINK("http://www.circula.com", "www.circula.com")</f>
      </c>
      <c r="M2654" s="16">
        <f>HYPERLINK("https://my.pitchbook.com?c=268175-53", "View Company Online")</f>
      </c>
    </row>
    <row r="2655">
      <c r="A2655" t="s" s="11">
        <v>13574</v>
      </c>
      <c r="B2655" t="s" s="11">
        <v>13575</v>
      </c>
      <c r="C2655" t="s" s="11">
        <v>222</v>
      </c>
      <c r="D2655" t="s" s="11">
        <v>235</v>
      </c>
      <c r="E2655" t="s" s="11">
        <v>253</v>
      </c>
      <c r="F2655" s="28">
        <v>45945</v>
      </c>
      <c r="G2655" t="s" s="11">
        <v>40</v>
      </c>
      <c r="H2655" s="43">
        <v>2.17</v>
      </c>
      <c r="I2655" s="43">
        <v>12.37</v>
      </c>
      <c r="J2655" t="s" s="11">
        <v>13576</v>
      </c>
      <c r="K2655" t="s" s="11">
        <v>13577</v>
      </c>
      <c r="L2655" s="17">
        <f>HYPERLINK("http://www.gxe.com", "www.gxe.com")</f>
      </c>
      <c r="M2655" s="17">
        <f>HYPERLINK("https://my.pitchbook.com?c=519441-94", "View Company Online")</f>
      </c>
    </row>
    <row r="2656">
      <c r="A2656" t="s" s="10">
        <v>13579</v>
      </c>
      <c r="B2656" t="s" s="10">
        <v>13580</v>
      </c>
      <c r="C2656" t="s" s="10">
        <v>46</v>
      </c>
      <c r="D2656" t="s" s="10">
        <v>47</v>
      </c>
      <c r="E2656" t="s" s="10">
        <v>2293</v>
      </c>
      <c r="F2656" s="27">
        <v>45926</v>
      </c>
      <c r="G2656" t="s" s="10">
        <v>40</v>
      </c>
      <c r="H2656" s="42">
        <v>5</v>
      </c>
      <c r="I2656" s="42">
        <v>12.37</v>
      </c>
      <c r="J2656" t="s" s="10">
        <v>13581</v>
      </c>
      <c r="K2656" t="s" s="10">
        <v>13582</v>
      </c>
      <c r="L2656" s="16">
        <f>HYPERLINK("http://www.predictap.com", "www.predictap.com")</f>
      </c>
      <c r="M2656" s="16">
        <f>HYPERLINK("https://my.pitchbook.com?c=438831-82", "View Company Online")</f>
      </c>
    </row>
    <row r="2657">
      <c r="A2657" t="s" s="11">
        <v>13584</v>
      </c>
      <c r="B2657" t="s" s="11">
        <v>13585</v>
      </c>
      <c r="C2657" t="s" s="11">
        <v>60</v>
      </c>
      <c r="D2657" t="s" s="11">
        <v>192</v>
      </c>
      <c r="E2657" t="s" s="11">
        <v>253</v>
      </c>
      <c r="F2657" s="28">
        <v>45988</v>
      </c>
      <c r="G2657" t="s" s="11">
        <v>40</v>
      </c>
      <c r="H2657" s="43">
        <v>4.72</v>
      </c>
      <c r="I2657" s="43">
        <v>12.37</v>
      </c>
      <c r="J2657" t="s" s="11">
        <v>13586</v>
      </c>
      <c r="K2657" t="s" s="11">
        <v>13587</v>
      </c>
      <c r="L2657" s="17">
        <f>HYPERLINK("http://www.tijorifinance.com", "www.tijorifinance.com")</f>
      </c>
      <c r="M2657" s="17">
        <f>HYPERLINK("https://my.pitchbook.com?c=568898-65", "View Company Online")</f>
      </c>
    </row>
    <row r="2658">
      <c r="A2658" t="s" s="10">
        <v>13589</v>
      </c>
      <c r="B2658" t="s" s="10">
        <v>13590</v>
      </c>
      <c r="C2658" t="s" s="10">
        <v>60</v>
      </c>
      <c r="D2658" t="s" s="10">
        <v>727</v>
      </c>
      <c r="E2658" t="s" s="10">
        <v>270</v>
      </c>
      <c r="F2658" t="s" s="27">
        <v>30</v>
      </c>
      <c r="G2658" t="s" s="10">
        <v>48</v>
      </c>
      <c r="H2658" t="s" s="42">
        <v>30</v>
      </c>
      <c r="I2658" s="42">
        <v>12.36</v>
      </c>
      <c r="J2658" t="s" s="10">
        <v>13591</v>
      </c>
      <c r="K2658" t="s" s="10">
        <v>13592</v>
      </c>
      <c r="L2658" s="16">
        <f>HYPERLINK("http://siply.in", "siply.in")</f>
      </c>
      <c r="M2658" s="16">
        <f>HYPERLINK("https://my.pitchbook.com?c=458556-85", "View Company Online")</f>
      </c>
    </row>
    <row r="2659">
      <c r="A2659" t="s" s="11">
        <v>13594</v>
      </c>
      <c r="B2659" t="s" s="11">
        <v>13595</v>
      </c>
      <c r="C2659" t="s" s="11">
        <v>172</v>
      </c>
      <c r="D2659" t="s" s="11">
        <v>338</v>
      </c>
      <c r="E2659" t="s" s="11">
        <v>1679</v>
      </c>
      <c r="F2659" t="s" s="28">
        <v>30</v>
      </c>
      <c r="G2659" t="s" s="11">
        <v>40</v>
      </c>
      <c r="H2659" t="s" s="43">
        <v>30</v>
      </c>
      <c r="I2659" s="43">
        <v>12.32</v>
      </c>
      <c r="J2659" t="s" s="11">
        <v>13596</v>
      </c>
      <c r="K2659" t="s" s="11">
        <v>13597</v>
      </c>
      <c r="L2659" s="17">
        <f>HYPERLINK("http://www.aptus.ai", "www.aptus.ai")</f>
      </c>
      <c r="M2659" s="17">
        <f>HYPERLINK("https://my.pitchbook.com?c=503009-11", "View Company Online")</f>
      </c>
    </row>
    <row r="2660">
      <c r="A2660" t="s" s="10">
        <v>13599</v>
      </c>
      <c r="B2660" t="s" s="10">
        <v>13600</v>
      </c>
      <c r="C2660" t="s" s="10">
        <v>164</v>
      </c>
      <c r="D2660" t="s" s="10">
        <v>206</v>
      </c>
      <c r="E2660" t="s" s="10">
        <v>2695</v>
      </c>
      <c r="F2660" s="27">
        <v>45393</v>
      </c>
      <c r="G2660" t="s" s="10">
        <v>40</v>
      </c>
      <c r="H2660" s="42">
        <v>0.6</v>
      </c>
      <c r="I2660" s="42">
        <v>12.31</v>
      </c>
      <c r="J2660" t="s" s="10">
        <v>13601</v>
      </c>
      <c r="K2660" t="s" s="10">
        <v>13602</v>
      </c>
      <c r="L2660" s="16">
        <f>HYPERLINK("http://www.gradatim.co.in", "www.gradatim.co.in")</f>
      </c>
      <c r="M2660" s="16">
        <f>HYPERLINK("https://my.pitchbook.com?c=56270-80", "View Company Online")</f>
      </c>
    </row>
    <row r="2661">
      <c r="A2661" t="s" s="11">
        <v>13604</v>
      </c>
      <c r="B2661" t="s" s="11">
        <v>13605</v>
      </c>
      <c r="C2661" t="s" s="11">
        <v>60</v>
      </c>
      <c r="D2661" t="s" s="11">
        <v>246</v>
      </c>
      <c r="E2661" t="s" s="11">
        <v>1625</v>
      </c>
      <c r="F2661" s="28">
        <v>43719</v>
      </c>
      <c r="G2661" t="s" s="11">
        <v>146</v>
      </c>
      <c r="H2661" s="43">
        <v>4.43</v>
      </c>
      <c r="I2661" s="43">
        <v>12.31</v>
      </c>
      <c r="J2661" t="s" s="11">
        <v>13606</v>
      </c>
      <c r="K2661" t="s" s="11">
        <v>13607</v>
      </c>
      <c r="L2661" s="17">
        <f>HYPERLINK("http://www.hellopret.fr", "www.hellopret.fr")</f>
      </c>
      <c r="M2661" s="17">
        <f>HYPERLINK("https://my.pitchbook.com?c=300969-37", "View Company Online")</f>
      </c>
    </row>
    <row r="2662">
      <c r="A2662" t="s" s="10">
        <v>13609</v>
      </c>
      <c r="B2662" t="s" s="10">
        <v>13610</v>
      </c>
      <c r="C2662" t="s" s="10">
        <v>27</v>
      </c>
      <c r="D2662" t="s" s="10">
        <v>28</v>
      </c>
      <c r="E2662" t="s" s="10">
        <v>13611</v>
      </c>
      <c r="F2662" t="s" s="27">
        <v>30</v>
      </c>
      <c r="G2662" t="s" s="10">
        <v>48</v>
      </c>
      <c r="H2662" t="s" s="42">
        <v>30</v>
      </c>
      <c r="I2662" s="42">
        <v>12.3</v>
      </c>
      <c r="J2662" t="s" s="10">
        <v>13612</v>
      </c>
      <c r="K2662" t="s" s="10">
        <v>13613</v>
      </c>
      <c r="L2662" s="16">
        <f>HYPERLINK("http://www.beepbeep.tech", "www.beepbeep.tech")</f>
      </c>
      <c r="M2662" s="16">
        <f>HYPERLINK("https://my.pitchbook.com?c=435633-58", "View Company Online")</f>
      </c>
    </row>
    <row r="2663">
      <c r="A2663" t="s" s="11">
        <v>13615</v>
      </c>
      <c r="B2663" t="s" s="11">
        <v>13616</v>
      </c>
      <c r="C2663" t="s" s="11">
        <v>60</v>
      </c>
      <c r="D2663" t="s" s="11">
        <v>246</v>
      </c>
      <c r="E2663" t="s" s="11">
        <v>270</v>
      </c>
      <c r="F2663" s="28">
        <v>44497</v>
      </c>
      <c r="G2663" t="s" s="11">
        <v>4267</v>
      </c>
      <c r="H2663" s="43">
        <v>3.29</v>
      </c>
      <c r="I2663" s="43">
        <v>12.29</v>
      </c>
      <c r="J2663" t="s" s="11">
        <v>13617</v>
      </c>
      <c r="K2663" t="s" s="11">
        <v>13618</v>
      </c>
      <c r="L2663" s="17">
        <f>HYPERLINK("http://www.able.com", "www.able.com")</f>
      </c>
      <c r="M2663" s="17">
        <f>HYPERLINK("https://my.pitchbook.com?c=483327-01", "View Company Online")</f>
      </c>
    </row>
    <row r="2664">
      <c r="A2664" t="s" s="10">
        <v>13620</v>
      </c>
      <c r="B2664" t="s" s="10">
        <v>13621</v>
      </c>
      <c r="C2664" t="s" s="10">
        <v>164</v>
      </c>
      <c r="D2664" t="s" s="10">
        <v>206</v>
      </c>
      <c r="E2664" t="s" s="10">
        <v>373</v>
      </c>
      <c r="F2664" s="27">
        <v>45985</v>
      </c>
      <c r="G2664" t="s" s="10">
        <v>607</v>
      </c>
      <c r="H2664" t="s" s="42">
        <v>30</v>
      </c>
      <c r="I2664" s="42">
        <v>12.29</v>
      </c>
      <c r="J2664" t="s" s="10">
        <v>13622</v>
      </c>
      <c r="K2664" t="s" s="10">
        <v>13623</v>
      </c>
      <c r="L2664" s="16">
        <f>HYPERLINK("http://www.stockrepublic.io", "www.stockrepublic.io")</f>
      </c>
      <c r="M2664" s="16">
        <f>HYPERLINK("https://my.pitchbook.com?c=437218-03", "View Company Online")</f>
      </c>
    </row>
    <row r="2665">
      <c r="A2665" t="s" s="11">
        <v>13625</v>
      </c>
      <c r="B2665" t="s" s="11">
        <v>13626</v>
      </c>
      <c r="C2665" t="s" s="11">
        <v>128</v>
      </c>
      <c r="D2665" t="s" s="11">
        <v>199</v>
      </c>
      <c r="E2665" t="s" s="11">
        <v>1054</v>
      </c>
      <c r="F2665" s="28">
        <v>46211</v>
      </c>
      <c r="G2665" t="s" s="11">
        <v>40</v>
      </c>
      <c r="H2665" s="43">
        <v>8.76</v>
      </c>
      <c r="I2665" s="43">
        <v>12.29</v>
      </c>
      <c r="J2665" t="s" s="11">
        <v>13627</v>
      </c>
      <c r="K2665" t="s" s="11">
        <v>13628</v>
      </c>
      <c r="L2665" s="17">
        <f>HYPERLINK("http://www.wallit.app", "www.wallit.app")</f>
      </c>
      <c r="M2665" s="17">
        <f>HYPERLINK("https://my.pitchbook.com?c=156673-09", "View Company Online")</f>
      </c>
    </row>
    <row r="2666">
      <c r="A2666" t="s" s="10">
        <v>13630</v>
      </c>
      <c r="B2666" t="s" s="10">
        <v>13631</v>
      </c>
      <c r="C2666" t="s" s="10">
        <v>46</v>
      </c>
      <c r="D2666" t="s" s="10">
        <v>47</v>
      </c>
      <c r="E2666" t="s" s="10">
        <v>13632</v>
      </c>
      <c r="F2666" s="27">
        <v>45760</v>
      </c>
      <c r="G2666" t="s" s="10">
        <v>607</v>
      </c>
      <c r="H2666" t="s" s="42">
        <v>30</v>
      </c>
      <c r="I2666" s="42">
        <v>12.28</v>
      </c>
      <c r="J2666" t="s" s="10">
        <v>13633</v>
      </c>
      <c r="K2666" t="s" s="10">
        <v>13634</v>
      </c>
      <c r="L2666" s="16">
        <f>HYPERLINK("http://www.doxa-holdings.com", "www.doxa-holdings.com")</f>
      </c>
      <c r="M2666" s="16">
        <f>HYPERLINK("https://my.pitchbook.com?c=495460-36", "View Company Online")</f>
      </c>
    </row>
    <row r="2667">
      <c r="A2667" t="s" s="11">
        <v>13636</v>
      </c>
      <c r="B2667" t="s" s="11">
        <v>13637</v>
      </c>
      <c r="C2667" t="s" s="11">
        <v>172</v>
      </c>
      <c r="D2667" t="s" s="11">
        <v>173</v>
      </c>
      <c r="E2667" t="s" s="11">
        <v>1685</v>
      </c>
      <c r="F2667" s="28">
        <v>46054</v>
      </c>
      <c r="G2667" t="s" s="11">
        <v>5274</v>
      </c>
      <c r="H2667" t="s" s="43">
        <v>30</v>
      </c>
      <c r="I2667" s="43">
        <v>12.27</v>
      </c>
      <c r="J2667" t="s" s="11">
        <v>13638</v>
      </c>
      <c r="K2667" t="s" s="11">
        <v>13639</v>
      </c>
      <c r="L2667" s="17">
        <f>HYPERLINK("http://www.fincrimedynamics.com", "www.fincrimedynamics.com")</f>
      </c>
      <c r="M2667" s="17">
        <f>HYPERLINK("https://my.pitchbook.com?c=462076-39", "View Company Online")</f>
      </c>
    </row>
    <row r="2668">
      <c r="A2668" t="s" s="10">
        <v>13641</v>
      </c>
      <c r="B2668" t="s" s="10">
        <v>13642</v>
      </c>
      <c r="C2668" t="s" s="10">
        <v>172</v>
      </c>
      <c r="D2668" t="s" s="10">
        <v>1454</v>
      </c>
      <c r="E2668" t="s" s="10">
        <v>634</v>
      </c>
      <c r="F2668" s="27">
        <v>45761</v>
      </c>
      <c r="G2668" t="s" s="10">
        <v>2651</v>
      </c>
      <c r="H2668" s="42">
        <v>1.75</v>
      </c>
      <c r="I2668" s="42">
        <v>12.23</v>
      </c>
      <c r="J2668" t="s" s="10">
        <v>13643</v>
      </c>
      <c r="K2668" t="s" s="10">
        <v>13644</v>
      </c>
      <c r="L2668" s="16">
        <f>HYPERLINK("http://www.calvin-risk.com", "www.calvin-risk.com")</f>
      </c>
      <c r="M2668" s="16">
        <f>HYPERLINK("https://my.pitchbook.com?c=509461-21", "View Company Online")</f>
      </c>
    </row>
    <row r="2669">
      <c r="A2669" t="s" s="11">
        <v>13646</v>
      </c>
      <c r="B2669" t="s" s="11">
        <v>13647</v>
      </c>
      <c r="C2669" t="s" s="11">
        <v>27</v>
      </c>
      <c r="D2669" t="s" s="11">
        <v>28</v>
      </c>
      <c r="E2669" t="s" s="11">
        <v>200</v>
      </c>
      <c r="F2669" s="28">
        <v>45611</v>
      </c>
      <c r="G2669" t="s" s="11">
        <v>40</v>
      </c>
      <c r="H2669" s="43">
        <v>20</v>
      </c>
      <c r="I2669" s="43">
        <v>12.21</v>
      </c>
      <c r="J2669" t="s" s="11">
        <v>13648</v>
      </c>
      <c r="K2669" t="s" s="11">
        <v>13649</v>
      </c>
      <c r="L2669" s="17">
        <f>HYPERLINK("http://www.kody.com", "www.kody.com")</f>
      </c>
      <c r="M2669" s="17">
        <f>HYPERLINK("https://my.pitchbook.com?c=438878-53", "View Company Online")</f>
      </c>
    </row>
    <row r="2670">
      <c r="A2670" t="s" s="10">
        <v>13651</v>
      </c>
      <c r="B2670" t="s" s="10">
        <v>13652</v>
      </c>
      <c r="C2670" t="s" s="10">
        <v>27</v>
      </c>
      <c r="D2670" t="s" s="10">
        <v>70</v>
      </c>
      <c r="E2670" t="s" s="10">
        <v>193</v>
      </c>
      <c r="F2670" t="s" s="27">
        <v>30</v>
      </c>
      <c r="G2670" t="s" s="10">
        <v>40</v>
      </c>
      <c r="H2670" t="s" s="42">
        <v>30</v>
      </c>
      <c r="I2670" s="42">
        <v>12.19</v>
      </c>
      <c r="J2670" t="s" s="10">
        <v>13653</v>
      </c>
      <c r="K2670" t="s" s="10">
        <v>13654</v>
      </c>
      <c r="L2670" s="16">
        <f>HYPERLINK("http://www.payoutsnetwork.com", "www.payoutsnetwork.com")</f>
      </c>
      <c r="M2670" s="16">
        <f>HYPERLINK("https://my.pitchbook.com?c=65614-78", "View Company Online")</f>
      </c>
    </row>
    <row r="2671">
      <c r="A2671" t="s" s="11">
        <v>13656</v>
      </c>
      <c r="B2671" t="s" s="11">
        <v>13657</v>
      </c>
      <c r="C2671" t="s" s="11">
        <v>60</v>
      </c>
      <c r="D2671" t="s" s="11">
        <v>727</v>
      </c>
      <c r="E2671" t="s" s="11">
        <v>629</v>
      </c>
      <c r="F2671" s="28">
        <v>45755</v>
      </c>
      <c r="G2671" t="s" s="11">
        <v>40</v>
      </c>
      <c r="H2671" t="s" s="43">
        <v>30</v>
      </c>
      <c r="I2671" s="43">
        <v>12.18</v>
      </c>
      <c r="J2671" t="s" s="11">
        <v>13658</v>
      </c>
      <c r="K2671" t="s" s="11">
        <v>13659</v>
      </c>
      <c r="L2671" s="17">
        <f>HYPERLINK("http://www.ctrl-alt.co", "www.ctrl-alt.co")</f>
      </c>
      <c r="M2671" s="17">
        <f>HYPERLINK("https://my.pitchbook.com?c=513281-62", "View Company Online")</f>
      </c>
    </row>
    <row r="2672">
      <c r="A2672" t="s" s="10">
        <v>13661</v>
      </c>
      <c r="B2672" t="s" s="10">
        <v>13662</v>
      </c>
      <c r="C2672" t="s" s="10">
        <v>114</v>
      </c>
      <c r="D2672" t="s" s="10">
        <v>852</v>
      </c>
      <c r="E2672" t="s" s="10">
        <v>13663</v>
      </c>
      <c r="F2672" s="27">
        <v>44713</v>
      </c>
      <c r="G2672" t="s" s="10">
        <v>146</v>
      </c>
      <c r="H2672" s="42">
        <v>3.43</v>
      </c>
      <c r="I2672" s="42">
        <v>12.18</v>
      </c>
      <c r="J2672" t="s" s="10">
        <v>13664</v>
      </c>
      <c r="K2672" t="s" s="10">
        <v>13665</v>
      </c>
      <c r="L2672" s="16">
        <f>HYPERLINK("http://www.marlo.co", "www.marlo.co")</f>
      </c>
      <c r="M2672" s="16">
        <f>HYPERLINK("https://my.pitchbook.com?c=327335-68", "View Company Online")</f>
      </c>
    </row>
    <row r="2673">
      <c r="A2673" t="s" s="11">
        <v>13667</v>
      </c>
      <c r="B2673" t="s" s="11">
        <v>13668</v>
      </c>
      <c r="C2673" t="s" s="11">
        <v>27</v>
      </c>
      <c r="D2673" t="s" s="11">
        <v>28</v>
      </c>
      <c r="E2673" t="s" s="11">
        <v>13669</v>
      </c>
      <c r="F2673" t="s" s="28">
        <v>30</v>
      </c>
      <c r="G2673" t="s" s="11">
        <v>40</v>
      </c>
      <c r="H2673" t="s" s="43">
        <v>30</v>
      </c>
      <c r="I2673" s="43">
        <v>12.17</v>
      </c>
      <c r="J2673" t="s" s="11">
        <v>13670</v>
      </c>
      <c r="K2673" t="s" s="11">
        <v>13671</v>
      </c>
      <c r="L2673" s="17">
        <f>HYPERLINK("http://www.disclosurefacts.com", "www.disclosurefacts.com")</f>
      </c>
      <c r="M2673" s="17">
        <f>HYPERLINK("https://my.pitchbook.com?c=442374-85", "View Company Online")</f>
      </c>
    </row>
    <row r="2674">
      <c r="A2674" t="s" s="10">
        <v>13673</v>
      </c>
      <c r="B2674" t="s" s="10">
        <v>13674</v>
      </c>
      <c r="C2674" t="s" s="10">
        <v>164</v>
      </c>
      <c r="D2674" t="s" s="10">
        <v>165</v>
      </c>
      <c r="E2674" t="s" s="10">
        <v>253</v>
      </c>
      <c r="F2674" t="s" s="27">
        <v>30</v>
      </c>
      <c r="G2674" t="s" s="10">
        <v>146</v>
      </c>
      <c r="H2674" s="42">
        <v>2</v>
      </c>
      <c r="I2674" s="42">
        <v>12.17</v>
      </c>
      <c r="J2674" t="s" s="10">
        <v>13675</v>
      </c>
      <c r="K2674" t="s" s="10">
        <v>13676</v>
      </c>
      <c r="L2674" s="16">
        <f>HYPERLINK("http://www.timvero.com", "www.timvero.com")</f>
      </c>
      <c r="M2674" s="16">
        <f>HYPERLINK("https://my.pitchbook.com?c=517798-90", "View Company Online")</f>
      </c>
    </row>
    <row r="2675">
      <c r="A2675" t="s" s="11">
        <v>13678</v>
      </c>
      <c r="B2675" t="s" s="11">
        <v>13679</v>
      </c>
      <c r="C2675" t="s" s="11">
        <v>114</v>
      </c>
      <c r="D2675" t="s" s="11">
        <v>1386</v>
      </c>
      <c r="E2675" t="s" s="11">
        <v>759</v>
      </c>
      <c r="F2675" s="28">
        <v>43655</v>
      </c>
      <c r="G2675" t="s" s="11">
        <v>40</v>
      </c>
      <c r="H2675" s="43">
        <v>1.12</v>
      </c>
      <c r="I2675" s="43">
        <v>12.12</v>
      </c>
      <c r="J2675" t="s" s="11">
        <v>13680</v>
      </c>
      <c r="K2675" t="s" s="11">
        <v>13681</v>
      </c>
      <c r="L2675" s="17">
        <f>HYPERLINK("http://www.adviserratings.com.au", "www.adviserratings.com.au")</f>
      </c>
      <c r="M2675" s="17">
        <f>HYPERLINK("https://my.pitchbook.com?c=185918-23", "View Company Online")</f>
      </c>
    </row>
    <row r="2676">
      <c r="A2676" t="s" s="10">
        <v>13683</v>
      </c>
      <c r="B2676" t="s" s="10">
        <v>13684</v>
      </c>
      <c r="C2676" t="s" s="10">
        <v>46</v>
      </c>
      <c r="D2676" t="s" s="10">
        <v>78</v>
      </c>
      <c r="E2676" t="s" s="10">
        <v>13370</v>
      </c>
      <c r="F2676" s="27">
        <v>44722</v>
      </c>
      <c r="G2676" t="s" s="10">
        <v>4267</v>
      </c>
      <c r="H2676" s="42">
        <v>5.2</v>
      </c>
      <c r="I2676" s="42">
        <v>12.12</v>
      </c>
      <c r="J2676" t="s" s="10">
        <v>13685</v>
      </c>
      <c r="K2676" t="s" s="10">
        <v>13686</v>
      </c>
      <c r="L2676" s="16">
        <f>HYPERLINK("http://www.kini.id", "www.kini.id")</f>
      </c>
      <c r="M2676" s="16">
        <f>HYPERLINK("https://my.pitchbook.com?c=489770-65", "View Company Online")</f>
      </c>
    </row>
    <row r="2677">
      <c r="A2677" t="s" s="11">
        <v>13688</v>
      </c>
      <c r="B2677" t="s" s="11">
        <v>13689</v>
      </c>
      <c r="C2677" t="s" s="11">
        <v>46</v>
      </c>
      <c r="D2677" t="s" s="11">
        <v>47</v>
      </c>
      <c r="E2677" t="s" s="11">
        <v>193</v>
      </c>
      <c r="F2677" s="28">
        <v>45490</v>
      </c>
      <c r="G2677" t="s" s="11">
        <v>40</v>
      </c>
      <c r="H2677" s="43">
        <v>3</v>
      </c>
      <c r="I2677" s="43">
        <v>12.1</v>
      </c>
      <c r="J2677" t="s" s="11">
        <v>13690</v>
      </c>
      <c r="K2677" t="s" s="11">
        <v>13691</v>
      </c>
      <c r="L2677" s="17">
        <f>HYPERLINK("http://www.omnicard.in", "www.omnicard.in")</f>
      </c>
      <c r="M2677" s="17">
        <f>HYPERLINK("https://my.pitchbook.com?c=455104-63", "View Company Online")</f>
      </c>
    </row>
    <row r="2678">
      <c r="A2678" t="s" s="10">
        <v>13693</v>
      </c>
      <c r="B2678" t="s" s="10">
        <v>13694</v>
      </c>
      <c r="C2678" t="s" s="10">
        <v>172</v>
      </c>
      <c r="D2678" t="s" s="10">
        <v>173</v>
      </c>
      <c r="E2678" t="s" s="10">
        <v>13695</v>
      </c>
      <c r="F2678" s="27">
        <v>45943</v>
      </c>
      <c r="G2678" t="s" s="10">
        <v>40</v>
      </c>
      <c r="H2678" s="42">
        <v>25</v>
      </c>
      <c r="I2678" s="42">
        <v>12.1</v>
      </c>
      <c r="J2678" t="s" s="10">
        <v>13696</v>
      </c>
      <c r="K2678" t="s" s="10">
        <v>13697</v>
      </c>
      <c r="L2678" s="16">
        <f>HYPERLINK("http://www.resistant.ai", "www.resistant.ai")</f>
      </c>
      <c r="M2678" s="16">
        <f>HYPERLINK("https://my.pitchbook.com?c=434419-75", "View Company Online")</f>
      </c>
    </row>
    <row r="2679">
      <c r="A2679" t="s" s="11">
        <v>13699</v>
      </c>
      <c r="B2679" t="s" s="11">
        <v>13700</v>
      </c>
      <c r="C2679" t="s" s="11">
        <v>27</v>
      </c>
      <c r="D2679" t="s" s="11">
        <v>28</v>
      </c>
      <c r="E2679" t="s" s="11">
        <v>108</v>
      </c>
      <c r="F2679" s="28">
        <v>46129</v>
      </c>
      <c r="G2679" t="s" s="11">
        <v>40</v>
      </c>
      <c r="H2679" t="s" s="43">
        <v>30</v>
      </c>
      <c r="I2679" s="43">
        <v>12.1</v>
      </c>
      <c r="J2679" t="s" s="11">
        <v>13701</v>
      </c>
      <c r="K2679" t="s" s="11">
        <v>13702</v>
      </c>
      <c r="L2679" s="17">
        <f>HYPERLINK("http://www.gosuppli.com", "www.gosuppli.com")</f>
      </c>
      <c r="M2679" s="17">
        <f>HYPERLINK("https://my.pitchbook.com?c=467793-19", "View Company Online")</f>
      </c>
    </row>
    <row r="2680">
      <c r="A2680" t="s" s="10">
        <v>13704</v>
      </c>
      <c r="B2680" t="s" s="10">
        <v>13705</v>
      </c>
      <c r="C2680" t="s" s="10">
        <v>114</v>
      </c>
      <c r="D2680" t="s" s="10">
        <v>1386</v>
      </c>
      <c r="E2680" t="s" s="10">
        <v>3831</v>
      </c>
      <c r="F2680" s="27">
        <v>45975</v>
      </c>
      <c r="G2680" t="s" s="10">
        <v>146</v>
      </c>
      <c r="H2680" s="42">
        <v>22</v>
      </c>
      <c r="I2680" s="42">
        <v>12.07</v>
      </c>
      <c r="J2680" t="s" s="10">
        <v>13706</v>
      </c>
      <c r="K2680" t="s" s="10">
        <v>13707</v>
      </c>
      <c r="L2680" s="16">
        <f>HYPERLINK("http://www.tidalwave.com", "www.tidalwave.com")</f>
      </c>
      <c r="M2680" s="16">
        <f>HYPERLINK("https://my.pitchbook.com?c=519670-54", "View Company Online")</f>
      </c>
    </row>
    <row r="2681">
      <c r="A2681" t="s" s="11">
        <v>13709</v>
      </c>
      <c r="B2681" t="s" s="11">
        <v>13710</v>
      </c>
      <c r="C2681" t="s" s="11">
        <v>222</v>
      </c>
      <c r="D2681" t="s" s="11">
        <v>252</v>
      </c>
      <c r="E2681" t="s" s="11">
        <v>634</v>
      </c>
      <c r="F2681" s="28">
        <v>45966</v>
      </c>
      <c r="G2681" t="s" s="11">
        <v>40</v>
      </c>
      <c r="H2681" s="43">
        <v>2.28</v>
      </c>
      <c r="I2681" s="43">
        <v>12.04</v>
      </c>
      <c r="J2681" t="s" s="11">
        <v>13711</v>
      </c>
      <c r="K2681" t="s" s="11">
        <v>13712</v>
      </c>
      <c r="L2681" s="17">
        <f>HYPERLINK("http://www.clearstake.com", "www.clearstake.com")</f>
      </c>
      <c r="M2681" s="17">
        <f>HYPERLINK("https://my.pitchbook.com?c=520810-66", "View Company Online")</f>
      </c>
    </row>
    <row r="2682">
      <c r="A2682" t="s" s="10">
        <v>13714</v>
      </c>
      <c r="B2682" t="s" s="10">
        <v>13715</v>
      </c>
      <c r="C2682" t="s" s="10">
        <v>164</v>
      </c>
      <c r="D2682" t="s" s="10">
        <v>165</v>
      </c>
      <c r="E2682" t="s" s="10">
        <v>253</v>
      </c>
      <c r="F2682" s="27">
        <v>45960</v>
      </c>
      <c r="G2682" t="s" s="10">
        <v>4267</v>
      </c>
      <c r="H2682" s="42">
        <v>1.36</v>
      </c>
      <c r="I2682" s="42">
        <v>12.03</v>
      </c>
      <c r="J2682" t="s" s="10">
        <v>13716</v>
      </c>
      <c r="K2682" t="s" s="10">
        <v>13717</v>
      </c>
      <c r="L2682" s="16">
        <f>HYPERLINK("http://www.vijyafintech.com", "www.vijyafintech.com")</f>
      </c>
      <c r="M2682" s="16">
        <f>HYPERLINK("https://my.pitchbook.com?c=513341-92", "View Company Online")</f>
      </c>
    </row>
    <row r="2683">
      <c r="A2683" t="s" s="11">
        <v>13719</v>
      </c>
      <c r="B2683" t="s" s="11">
        <v>13720</v>
      </c>
      <c r="C2683" t="s" s="11">
        <v>222</v>
      </c>
      <c r="D2683" t="s" s="11">
        <v>235</v>
      </c>
      <c r="E2683" t="s" s="11">
        <v>270</v>
      </c>
      <c r="F2683" s="28">
        <v>45231</v>
      </c>
      <c r="G2683" t="s" s="11">
        <v>146</v>
      </c>
      <c r="H2683" t="s" s="43">
        <v>30</v>
      </c>
      <c r="I2683" s="43">
        <v>12.02</v>
      </c>
      <c r="J2683" t="s" s="11">
        <v>13721</v>
      </c>
      <c r="K2683" t="s" s="11">
        <v>13722</v>
      </c>
      <c r="L2683" s="17">
        <f>HYPERLINK("http://www.wealthstack.ca", "www.wealthstack.ca")</f>
      </c>
      <c r="M2683" s="17">
        <f>HYPERLINK("https://my.pitchbook.com?c=482471-47", "View Company Online")</f>
      </c>
    </row>
    <row r="2684">
      <c r="A2684" t="s" s="10">
        <v>13724</v>
      </c>
      <c r="B2684" t="s" s="10">
        <v>13725</v>
      </c>
      <c r="C2684" t="s" s="10">
        <v>128</v>
      </c>
      <c r="D2684" t="s" s="10">
        <v>276</v>
      </c>
      <c r="E2684" t="s" s="10">
        <v>137</v>
      </c>
      <c r="F2684" s="27">
        <v>44748</v>
      </c>
      <c r="G2684" t="s" s="10">
        <v>146</v>
      </c>
      <c r="H2684" s="42">
        <v>4.52</v>
      </c>
      <c r="I2684" s="42">
        <v>12.01</v>
      </c>
      <c r="J2684" t="s" s="10">
        <v>13726</v>
      </c>
      <c r="K2684" t="s" s="10">
        <v>13727</v>
      </c>
      <c r="L2684" s="16">
        <f>HYPERLINK("http://www.shuttlepay.jp", "www.shuttlepay.jp")</f>
      </c>
      <c r="M2684" s="16">
        <f>HYPERLINK("https://my.pitchbook.com?c=501050-62", "View Company Online")</f>
      </c>
    </row>
    <row r="2685">
      <c r="A2685" t="s" s="11">
        <v>13729</v>
      </c>
      <c r="B2685" t="s" s="11">
        <v>13730</v>
      </c>
      <c r="C2685" t="s" s="11">
        <v>222</v>
      </c>
      <c r="D2685" t="s" s="11">
        <v>223</v>
      </c>
      <c r="E2685" t="s" s="11">
        <v>373</v>
      </c>
      <c r="F2685" s="28">
        <v>45164</v>
      </c>
      <c r="G2685" t="s" s="11">
        <v>146</v>
      </c>
      <c r="H2685" s="43">
        <v>1.5</v>
      </c>
      <c r="I2685" s="43">
        <v>12</v>
      </c>
      <c r="J2685" t="s" s="11">
        <v>13731</v>
      </c>
      <c r="K2685" t="s" s="11">
        <v>13732</v>
      </c>
      <c r="L2685" s="17">
        <f>HYPERLINK("http://evermark.ai", "evermark.ai")</f>
      </c>
      <c r="M2685" s="17">
        <f>HYPERLINK("https://my.pitchbook.com?c=494894-89", "View Company Online")</f>
      </c>
    </row>
    <row r="2686">
      <c r="A2686" t="s" s="10">
        <v>13734</v>
      </c>
      <c r="B2686" t="s" s="10">
        <v>13735</v>
      </c>
      <c r="C2686" t="s" s="10">
        <v>164</v>
      </c>
      <c r="D2686" t="s" s="10">
        <v>206</v>
      </c>
      <c r="E2686" t="s" s="10">
        <v>13736</v>
      </c>
      <c r="F2686" t="s" s="27">
        <v>30</v>
      </c>
      <c r="G2686" t="s" s="10">
        <v>607</v>
      </c>
      <c r="H2686" t="s" s="42">
        <v>30</v>
      </c>
      <c r="I2686" s="42">
        <v>12</v>
      </c>
      <c r="J2686" t="s" s="10">
        <v>13737</v>
      </c>
      <c r="K2686" t="s" s="10">
        <v>13738</v>
      </c>
      <c r="L2686" s="16">
        <f>HYPERLINK("http://www.akibadigital.com", "www.akibadigital.com")</f>
      </c>
      <c r="M2686" s="16">
        <f>HYPERLINK("https://my.pitchbook.com?c=231692-86", "View Company Online")</f>
      </c>
    </row>
    <row r="2687">
      <c r="A2687" t="s" s="11">
        <v>13740</v>
      </c>
      <c r="B2687" t="s" s="11">
        <v>13741</v>
      </c>
      <c r="C2687" t="s" s="11">
        <v>172</v>
      </c>
      <c r="D2687" t="s" s="11">
        <v>338</v>
      </c>
      <c r="E2687" t="s" s="11">
        <v>414</v>
      </c>
      <c r="F2687" s="28">
        <v>46008</v>
      </c>
      <c r="G2687" t="s" s="11">
        <v>4267</v>
      </c>
      <c r="H2687" s="43">
        <v>2</v>
      </c>
      <c r="I2687" s="43">
        <v>12</v>
      </c>
      <c r="J2687" t="s" s="11">
        <v>13742</v>
      </c>
      <c r="K2687" t="s" s="11">
        <v>13743</v>
      </c>
      <c r="L2687" s="17">
        <f>HYPERLINK("http://www.anqa.ai", "www.anqa.ai")</f>
      </c>
      <c r="M2687" s="17">
        <f>HYPERLINK("https://my.pitchbook.com?c=1318163-41", "View Company Online")</f>
      </c>
    </row>
    <row r="2688">
      <c r="A2688" t="s" s="10">
        <v>13745</v>
      </c>
      <c r="B2688" t="s" s="10">
        <v>13746</v>
      </c>
      <c r="C2688" t="s" s="10">
        <v>60</v>
      </c>
      <c r="D2688" t="s" s="10">
        <v>246</v>
      </c>
      <c r="E2688" t="s" s="10">
        <v>414</v>
      </c>
      <c r="F2688" s="27">
        <v>45916</v>
      </c>
      <c r="G2688" t="s" s="10">
        <v>4267</v>
      </c>
      <c r="H2688" t="s" s="42">
        <v>30</v>
      </c>
      <c r="I2688" s="42">
        <v>12</v>
      </c>
      <c r="J2688" t="s" s="10">
        <v>13747</v>
      </c>
      <c r="K2688" t="s" s="10">
        <v>13748</v>
      </c>
      <c r="L2688" t="s" s="10">
        <v>30</v>
      </c>
      <c r="M2688" s="16">
        <f>HYPERLINK("https://my.pitchbook.com?c=995837-50", "View Company Online")</f>
      </c>
    </row>
    <row r="2689">
      <c r="A2689" t="s" s="11">
        <v>13749</v>
      </c>
      <c r="B2689" t="s" s="11">
        <v>13750</v>
      </c>
      <c r="C2689" t="s" s="11">
        <v>27</v>
      </c>
      <c r="D2689" t="s" s="11">
        <v>28</v>
      </c>
      <c r="E2689" t="s" s="11">
        <v>137</v>
      </c>
      <c r="F2689" s="28">
        <v>45748</v>
      </c>
      <c r="G2689" t="s" s="11">
        <v>146</v>
      </c>
      <c r="H2689" t="s" s="43">
        <v>30</v>
      </c>
      <c r="I2689" s="43">
        <v>12</v>
      </c>
      <c r="J2689" t="s" s="11">
        <v>13751</v>
      </c>
      <c r="K2689" t="s" s="11">
        <v>13752</v>
      </c>
      <c r="L2689" s="17">
        <f>HYPERLINK("http://www.backpackpay.com", "www.backpackpay.com")</f>
      </c>
      <c r="M2689" s="17">
        <f>HYPERLINK("https://my.pitchbook.com?c=537904-09", "View Company Online")</f>
      </c>
    </row>
    <row r="2690">
      <c r="A2690" t="s" s="10">
        <v>13754</v>
      </c>
      <c r="B2690" t="s" s="10">
        <v>13755</v>
      </c>
      <c r="C2690" t="s" s="10">
        <v>46</v>
      </c>
      <c r="D2690" t="s" s="10">
        <v>47</v>
      </c>
      <c r="E2690" t="s" s="10">
        <v>108</v>
      </c>
      <c r="F2690" s="27">
        <v>44901</v>
      </c>
      <c r="G2690" t="s" s="10">
        <v>146</v>
      </c>
      <c r="H2690" t="s" s="42">
        <v>30</v>
      </c>
      <c r="I2690" s="42">
        <v>12</v>
      </c>
      <c r="J2690" t="s" s="10">
        <v>13756</v>
      </c>
      <c r="K2690" t="s" s="10">
        <v>13757</v>
      </c>
      <c r="L2690" s="16">
        <f>HYPERLINK("http://www.mybedrock.com", "www.mybedrock.com")</f>
      </c>
      <c r="M2690" s="16">
        <f>HYPERLINK("https://my.pitchbook.com?c=502950-70", "View Company Online")</f>
      </c>
    </row>
    <row r="2691">
      <c r="A2691" t="s" s="11">
        <v>13759</v>
      </c>
      <c r="B2691" t="s" s="11">
        <v>13760</v>
      </c>
      <c r="C2691" t="s" s="11">
        <v>164</v>
      </c>
      <c r="D2691" t="s" s="11">
        <v>206</v>
      </c>
      <c r="E2691" t="s" s="11">
        <v>259</v>
      </c>
      <c r="F2691" s="28">
        <v>46142</v>
      </c>
      <c r="G2691" t="s" s="11">
        <v>48</v>
      </c>
      <c r="H2691" t="s" s="43">
        <v>30</v>
      </c>
      <c r="I2691" s="43">
        <v>12</v>
      </c>
      <c r="J2691" t="s" s="11">
        <v>13761</v>
      </c>
      <c r="K2691" t="s" s="11">
        <v>13762</v>
      </c>
      <c r="L2691" s="17">
        <f>HYPERLINK("http://www.decentro.tech", "www.decentro.tech")</f>
      </c>
      <c r="M2691" s="17">
        <f>HYPERLINK("https://my.pitchbook.com?c=436898-44", "View Company Online")</f>
      </c>
    </row>
    <row r="2692">
      <c r="A2692" t="s" s="10">
        <v>13764</v>
      </c>
      <c r="B2692" t="s" s="10">
        <v>13765</v>
      </c>
      <c r="C2692" t="s" s="10">
        <v>164</v>
      </c>
      <c r="D2692" t="s" s="10">
        <v>165</v>
      </c>
      <c r="E2692" t="s" s="10">
        <v>373</v>
      </c>
      <c r="F2692" s="27">
        <v>45371</v>
      </c>
      <c r="G2692" t="s" s="10">
        <v>146</v>
      </c>
      <c r="H2692" s="42">
        <v>4.85</v>
      </c>
      <c r="I2692" s="42">
        <v>12</v>
      </c>
      <c r="J2692" t="s" s="10">
        <v>13766</v>
      </c>
      <c r="K2692" t="s" s="10">
        <v>13767</v>
      </c>
      <c r="L2692" s="16">
        <f>HYPERLINK("http://www.equabli.com", "www.equabli.com")</f>
      </c>
      <c r="M2692" s="16">
        <f>HYPERLINK("https://my.pitchbook.com?c=482469-94", "View Company Online")</f>
      </c>
    </row>
    <row r="2693">
      <c r="A2693" t="s" s="11">
        <v>13769</v>
      </c>
      <c r="B2693" t="s" s="11">
        <v>13770</v>
      </c>
      <c r="C2693" t="s" s="11">
        <v>164</v>
      </c>
      <c r="D2693" t="s" s="11">
        <v>206</v>
      </c>
      <c r="E2693" t="s" s="11">
        <v>193</v>
      </c>
      <c r="F2693" s="28">
        <v>44742</v>
      </c>
      <c r="G2693" t="s" s="11">
        <v>40</v>
      </c>
      <c r="H2693" s="43">
        <v>2</v>
      </c>
      <c r="I2693" s="43">
        <v>12</v>
      </c>
      <c r="J2693" t="s" s="11">
        <v>13771</v>
      </c>
      <c r="K2693" t="s" s="11">
        <v>13772</v>
      </c>
      <c r="L2693" s="17">
        <f>HYPERLINK("http://www.finfan.io", "www.finfan.io")</f>
      </c>
      <c r="M2693" s="17">
        <f>HYPERLINK("https://my.pitchbook.com?c=472280-59", "View Company Online")</f>
      </c>
    </row>
    <row r="2694">
      <c r="A2694" t="s" s="10">
        <v>13774</v>
      </c>
      <c r="B2694" t="s" s="10">
        <v>13775</v>
      </c>
      <c r="C2694" t="s" s="10">
        <v>164</v>
      </c>
      <c r="D2694" t="s" s="10">
        <v>206</v>
      </c>
      <c r="E2694" t="s" s="10">
        <v>367</v>
      </c>
      <c r="F2694" s="27">
        <v>46148</v>
      </c>
      <c r="G2694" t="s" s="10">
        <v>607</v>
      </c>
      <c r="H2694" t="s" s="42">
        <v>30</v>
      </c>
      <c r="I2694" s="42">
        <v>12</v>
      </c>
      <c r="J2694" t="s" s="10">
        <v>13776</v>
      </c>
      <c r="K2694" t="s" s="10">
        <v>13777</v>
      </c>
      <c r="L2694" s="16">
        <f>HYPERLINK("http://www.fingoal.com", "www.fingoal.com")</f>
      </c>
      <c r="M2694" s="16">
        <f>HYPERLINK("https://my.pitchbook.com?c=434118-16", "View Company Online")</f>
      </c>
    </row>
    <row r="2695">
      <c r="A2695" t="s" s="11">
        <v>13779</v>
      </c>
      <c r="B2695" t="s" s="11">
        <v>13780</v>
      </c>
      <c r="C2695" t="s" s="11">
        <v>60</v>
      </c>
      <c r="D2695" t="s" s="11">
        <v>192</v>
      </c>
      <c r="E2695" t="s" s="11">
        <v>634</v>
      </c>
      <c r="F2695" s="28">
        <v>45821</v>
      </c>
      <c r="G2695" t="s" s="11">
        <v>4267</v>
      </c>
      <c r="H2695" s="43">
        <v>3</v>
      </c>
      <c r="I2695" s="43">
        <v>12</v>
      </c>
      <c r="J2695" t="s" s="11">
        <v>13781</v>
      </c>
      <c r="K2695" t="s" s="11">
        <v>13782</v>
      </c>
      <c r="L2695" s="17">
        <f>HYPERLINK("http://www.globalpredictions.com", "www.globalpredictions.com")</f>
      </c>
      <c r="M2695" s="17">
        <f>HYPERLINK("https://my.pitchbook.com?c=462086-65", "View Company Online")</f>
      </c>
    </row>
    <row r="2696">
      <c r="A2696" t="s" s="10">
        <v>13784</v>
      </c>
      <c r="B2696" t="s" s="10">
        <v>13785</v>
      </c>
      <c r="C2696" t="s" s="10">
        <v>172</v>
      </c>
      <c r="D2696" t="s" s="10">
        <v>338</v>
      </c>
      <c r="E2696" t="s" s="10">
        <v>13786</v>
      </c>
      <c r="F2696" s="27">
        <v>45462</v>
      </c>
      <c r="G2696" t="s" s="10">
        <v>40</v>
      </c>
      <c r="H2696" t="s" s="42">
        <v>30</v>
      </c>
      <c r="I2696" s="42">
        <v>12</v>
      </c>
      <c r="J2696" t="s" s="10">
        <v>13787</v>
      </c>
      <c r="K2696" t="s" s="10">
        <v>13788</v>
      </c>
      <c r="L2696" s="16">
        <f>HYPERLINK("http://www.knowyourcustomer.com", "www.knowyourcustomer.com")</f>
      </c>
      <c r="M2696" s="16">
        <f>HYPERLINK("https://my.pitchbook.com?c=177452-20", "View Company Online")</f>
      </c>
    </row>
    <row r="2697">
      <c r="A2697" t="s" s="11">
        <v>13790</v>
      </c>
      <c r="B2697" t="s" s="11">
        <v>13791</v>
      </c>
      <c r="C2697" t="s" s="11">
        <v>60</v>
      </c>
      <c r="D2697" t="s" s="11">
        <v>192</v>
      </c>
      <c r="E2697" t="s" s="11">
        <v>6584</v>
      </c>
      <c r="F2697" s="28">
        <v>44541</v>
      </c>
      <c r="G2697" t="s" s="11">
        <v>146</v>
      </c>
      <c r="H2697" s="43">
        <v>1</v>
      </c>
      <c r="I2697" s="43">
        <v>12</v>
      </c>
      <c r="J2697" t="s" s="11">
        <v>13792</v>
      </c>
      <c r="K2697" t="s" s="11">
        <v>13793</v>
      </c>
      <c r="L2697" s="17">
        <f>HYPERLINK("http://www.legalpay.in", "www.legalpay.in")</f>
      </c>
      <c r="M2697" s="17">
        <f>HYPERLINK("https://my.pitchbook.com?c=466723-45", "View Company Online")</f>
      </c>
    </row>
    <row r="2698">
      <c r="A2698" t="s" s="10">
        <v>13795</v>
      </c>
      <c r="B2698" t="s" s="10">
        <v>13796</v>
      </c>
      <c r="C2698" t="s" s="10">
        <v>114</v>
      </c>
      <c r="D2698" t="s" s="10">
        <v>136</v>
      </c>
      <c r="E2698" t="s" s="10">
        <v>270</v>
      </c>
      <c r="F2698" s="27">
        <v>45170</v>
      </c>
      <c r="G2698" t="s" s="10">
        <v>607</v>
      </c>
      <c r="H2698" t="s" s="42">
        <v>30</v>
      </c>
      <c r="I2698" s="42">
        <v>12</v>
      </c>
      <c r="J2698" t="s" s="10">
        <v>13797</v>
      </c>
      <c r="K2698" t="s" s="10">
        <v>13798</v>
      </c>
      <c r="L2698" s="16">
        <f>HYPERLINK("http://www.lenme.com", "www.lenme.com")</f>
      </c>
      <c r="M2698" s="16">
        <f>HYPERLINK("https://my.pitchbook.com?c=277224-31", "View Company Online")</f>
      </c>
    </row>
    <row r="2699">
      <c r="A2699" t="s" s="11">
        <v>13800</v>
      </c>
      <c r="B2699" t="s" s="11">
        <v>13801</v>
      </c>
      <c r="C2699" t="s" s="11">
        <v>114</v>
      </c>
      <c r="D2699" t="s" s="11">
        <v>870</v>
      </c>
      <c r="E2699" t="s" s="11">
        <v>137</v>
      </c>
      <c r="F2699" s="28">
        <v>46064</v>
      </c>
      <c r="G2699" t="s" s="11">
        <v>146</v>
      </c>
      <c r="H2699" t="s" s="43">
        <v>30</v>
      </c>
      <c r="I2699" s="43">
        <v>12</v>
      </c>
      <c r="J2699" t="s" s="11">
        <v>13802</v>
      </c>
      <c r="K2699" t="s" s="11">
        <v>13803</v>
      </c>
      <c r="L2699" s="17">
        <f>HYPERLINK("http://www.madcapital.com", "www.madcapital.com")</f>
      </c>
      <c r="M2699" s="17">
        <f>HYPERLINK("https://my.pitchbook.com?c=509314-87", "View Company Online")</f>
      </c>
    </row>
    <row r="2700">
      <c r="A2700" t="s" s="10">
        <v>13805</v>
      </c>
      <c r="B2700" t="s" s="10">
        <v>13806</v>
      </c>
      <c r="C2700" t="s" s="10">
        <v>60</v>
      </c>
      <c r="D2700" t="s" s="10">
        <v>246</v>
      </c>
      <c r="E2700" t="s" s="10">
        <v>137</v>
      </c>
      <c r="F2700" s="27">
        <v>46167</v>
      </c>
      <c r="G2700" t="s" s="10">
        <v>2051</v>
      </c>
      <c r="H2700" t="s" s="42">
        <v>30</v>
      </c>
      <c r="I2700" s="42">
        <v>12</v>
      </c>
      <c r="J2700" t="s" s="10">
        <v>13807</v>
      </c>
      <c r="K2700" t="s" s="10">
        <v>30</v>
      </c>
      <c r="L2700" s="16">
        <f>HYPERLINK("http://www.myhomepathway.com", "www.myhomepathway.com")</f>
      </c>
      <c r="M2700" s="16">
        <f>HYPERLINK("https://my.pitchbook.com?c=463359-43", "View Company Online")</f>
      </c>
    </row>
    <row r="2701">
      <c r="A2701" t="s" s="11">
        <v>13809</v>
      </c>
      <c r="B2701" t="s" s="11">
        <v>13810</v>
      </c>
      <c r="C2701" t="s" s="11">
        <v>222</v>
      </c>
      <c r="D2701" t="s" s="11">
        <v>235</v>
      </c>
      <c r="E2701" t="s" s="11">
        <v>253</v>
      </c>
      <c r="F2701" s="28">
        <v>43254</v>
      </c>
      <c r="G2701" t="s" s="11">
        <v>4267</v>
      </c>
      <c r="H2701" s="43">
        <v>4.3</v>
      </c>
      <c r="I2701" s="43">
        <v>12</v>
      </c>
      <c r="J2701" t="s" s="11">
        <v>13811</v>
      </c>
      <c r="K2701" t="s" s="11">
        <v>13812</v>
      </c>
      <c r="L2701" s="17">
        <f>HYPERLINK("http://www.nthround.com", "www.nthround.com")</f>
      </c>
      <c r="M2701" s="17">
        <f>HYPERLINK("https://my.pitchbook.com?c=264422-08", "View Company Online")</f>
      </c>
    </row>
    <row r="2702">
      <c r="A2702" t="s" s="10">
        <v>13814</v>
      </c>
      <c r="B2702" t="s" s="10">
        <v>13815</v>
      </c>
      <c r="C2702" t="s" s="10">
        <v>27</v>
      </c>
      <c r="D2702" t="s" s="10">
        <v>70</v>
      </c>
      <c r="E2702" t="s" s="10">
        <v>193</v>
      </c>
      <c r="F2702" s="27">
        <v>45936</v>
      </c>
      <c r="G2702" t="s" s="10">
        <v>40</v>
      </c>
      <c r="H2702" s="42">
        <v>20</v>
      </c>
      <c r="I2702" s="42">
        <v>12</v>
      </c>
      <c r="J2702" t="s" s="10">
        <v>13816</v>
      </c>
      <c r="K2702" t="s" s="10">
        <v>13817</v>
      </c>
      <c r="L2702" s="16">
        <f>HYPERLINK("http://www.business.remitee.com", "www.business.remitee.com")</f>
      </c>
      <c r="M2702" s="16">
        <f>HYPERLINK("https://my.pitchbook.com?c=467795-26", "View Company Online")</f>
      </c>
    </row>
    <row r="2703">
      <c r="A2703" t="s" s="11">
        <v>13819</v>
      </c>
      <c r="B2703" t="s" s="11">
        <v>13820</v>
      </c>
      <c r="C2703" t="s" s="11">
        <v>46</v>
      </c>
      <c r="D2703" t="s" s="11">
        <v>78</v>
      </c>
      <c r="E2703" t="s" s="11">
        <v>1207</v>
      </c>
      <c r="F2703" s="28">
        <v>45323</v>
      </c>
      <c r="G2703" t="s" s="11">
        <v>4267</v>
      </c>
      <c r="H2703" t="s" s="43">
        <v>30</v>
      </c>
      <c r="I2703" s="43">
        <v>12</v>
      </c>
      <c r="J2703" t="s" s="11">
        <v>13821</v>
      </c>
      <c r="K2703" t="s" s="11">
        <v>13822</v>
      </c>
      <c r="L2703" s="17">
        <f>HYPERLINK("http://www.gettongo.com", "www.gettongo.com")</f>
      </c>
      <c r="M2703" s="17">
        <f>HYPERLINK("https://my.pitchbook.com?c=154720-36", "View Company Online")</f>
      </c>
    </row>
    <row r="2704">
      <c r="A2704" t="s" s="10">
        <v>13824</v>
      </c>
      <c r="B2704" t="s" s="10">
        <v>13825</v>
      </c>
      <c r="C2704" t="s" s="10">
        <v>27</v>
      </c>
      <c r="D2704" t="s" s="10">
        <v>28</v>
      </c>
      <c r="E2704" t="s" s="10">
        <v>158</v>
      </c>
      <c r="F2704" s="27">
        <v>45382</v>
      </c>
      <c r="G2704" t="s" s="10">
        <v>40</v>
      </c>
      <c r="H2704" s="42">
        <v>1.48</v>
      </c>
      <c r="I2704" s="42">
        <v>12</v>
      </c>
      <c r="J2704" t="s" s="10">
        <v>13826</v>
      </c>
      <c r="K2704" t="s" s="10">
        <v>13827</v>
      </c>
      <c r="L2704" s="16">
        <f>HYPERLINK("http://www.trendigo.com", "www.trendigo.com")</f>
      </c>
      <c r="M2704" s="16">
        <f>HYPERLINK("https://my.pitchbook.com?c=455116-96", "View Company Online")</f>
      </c>
    </row>
    <row r="2705">
      <c r="A2705" t="s" s="11">
        <v>13829</v>
      </c>
      <c r="B2705" t="s" s="11">
        <v>13830</v>
      </c>
      <c r="C2705" t="s" s="11">
        <v>46</v>
      </c>
      <c r="D2705" t="s" s="11">
        <v>397</v>
      </c>
      <c r="E2705" t="s" s="11">
        <v>1859</v>
      </c>
      <c r="F2705" t="s" s="28">
        <v>30</v>
      </c>
      <c r="G2705" t="s" s="11">
        <v>4267</v>
      </c>
      <c r="H2705" s="43">
        <v>2</v>
      </c>
      <c r="I2705" s="43">
        <v>12</v>
      </c>
      <c r="J2705" t="s" s="11">
        <v>13831</v>
      </c>
      <c r="K2705" t="s" s="11">
        <v>13832</v>
      </c>
      <c r="L2705" s="17">
        <f>HYPERLINK("http://www.getvom.com", "www.getvom.com")</f>
      </c>
      <c r="M2705" s="17">
        <f>HYPERLINK("https://my.pitchbook.com?c=460277-29", "View Company Online")</f>
      </c>
    </row>
    <row r="2706">
      <c r="A2706" t="s" s="10">
        <v>13834</v>
      </c>
      <c r="B2706" t="s" s="10">
        <v>13835</v>
      </c>
      <c r="C2706" t="s" s="10">
        <v>128</v>
      </c>
      <c r="D2706" t="s" s="10">
        <v>129</v>
      </c>
      <c r="E2706" t="s" s="10">
        <v>193</v>
      </c>
      <c r="F2706" s="27">
        <v>46076</v>
      </c>
      <c r="G2706" t="s" s="10">
        <v>40</v>
      </c>
      <c r="H2706" s="42">
        <v>4</v>
      </c>
      <c r="I2706" s="42">
        <v>12</v>
      </c>
      <c r="J2706" t="s" s="10">
        <v>13836</v>
      </c>
      <c r="K2706" t="s" s="10">
        <v>13837</v>
      </c>
      <c r="L2706" s="16">
        <f>HYPERLINK("http://www.wafr.co", "www.wafr.co")</f>
      </c>
      <c r="M2706" s="16">
        <f>HYPERLINK("https://my.pitchbook.com?c=491822-65", "View Company Online")</f>
      </c>
    </row>
    <row r="2707">
      <c r="A2707" t="s" s="11">
        <v>13839</v>
      </c>
      <c r="B2707" t="s" s="11">
        <v>13840</v>
      </c>
      <c r="C2707" t="s" s="11">
        <v>144</v>
      </c>
      <c r="D2707" t="s" s="11">
        <v>297</v>
      </c>
      <c r="E2707" t="s" s="11">
        <v>137</v>
      </c>
      <c r="F2707" s="28">
        <v>45386</v>
      </c>
      <c r="G2707" t="s" s="11">
        <v>146</v>
      </c>
      <c r="H2707" s="43">
        <v>1.89</v>
      </c>
      <c r="I2707" s="43">
        <v>11.97</v>
      </c>
      <c r="J2707" t="s" s="11">
        <v>13841</v>
      </c>
      <c r="K2707" t="s" s="11">
        <v>13842</v>
      </c>
      <c r="L2707" s="17">
        <f>HYPERLINK("http://www.numarqe.com", "www.numarqe.com")</f>
      </c>
      <c r="M2707" s="17">
        <f>HYPERLINK("https://my.pitchbook.com?c=462888-37", "View Company Online")</f>
      </c>
    </row>
    <row r="2708">
      <c r="A2708" t="s" s="10">
        <v>13844</v>
      </c>
      <c r="B2708" t="s" s="10">
        <v>13845</v>
      </c>
      <c r="C2708" t="s" s="10">
        <v>27</v>
      </c>
      <c r="D2708" t="s" s="10">
        <v>28</v>
      </c>
      <c r="E2708" t="s" s="10">
        <v>13846</v>
      </c>
      <c r="F2708" s="27">
        <v>44393</v>
      </c>
      <c r="G2708" t="s" s="10">
        <v>146</v>
      </c>
      <c r="H2708" s="42">
        <v>0.71</v>
      </c>
      <c r="I2708" s="42">
        <v>11.97</v>
      </c>
      <c r="J2708" t="s" s="10">
        <v>13847</v>
      </c>
      <c r="K2708" t="s" s="10">
        <v>13848</v>
      </c>
      <c r="L2708" s="16">
        <f>HYPERLINK("http://www.playerlands.com", "www.playerlands.com")</f>
      </c>
      <c r="M2708" s="16">
        <f>HYPERLINK("https://my.pitchbook.com?c=230535-64", "View Company Online")</f>
      </c>
    </row>
    <row r="2709">
      <c r="A2709" t="s" s="11">
        <v>13850</v>
      </c>
      <c r="B2709" t="s" s="11">
        <v>13851</v>
      </c>
      <c r="C2709" t="s" s="11">
        <v>60</v>
      </c>
      <c r="D2709" t="s" s="11">
        <v>246</v>
      </c>
      <c r="E2709" t="s" s="11">
        <v>137</v>
      </c>
      <c r="F2709" s="28">
        <v>45377</v>
      </c>
      <c r="G2709" t="s" s="11">
        <v>40</v>
      </c>
      <c r="H2709" s="43">
        <v>0.93</v>
      </c>
      <c r="I2709" s="43">
        <v>11.89</v>
      </c>
      <c r="J2709" t="s" s="11">
        <v>13852</v>
      </c>
      <c r="K2709" t="s" s="11">
        <v>30</v>
      </c>
      <c r="L2709" s="17">
        <f>HYPERLINK("http://www.moneyguided.com", "www.moneyguided.com")</f>
      </c>
      <c r="M2709" s="17">
        <f>HYPERLINK("https://my.pitchbook.com?c=516064-60", "View Company Online")</f>
      </c>
    </row>
    <row r="2710">
      <c r="A2710" t="s" s="10">
        <v>13854</v>
      </c>
      <c r="B2710" t="s" s="10">
        <v>13855</v>
      </c>
      <c r="C2710" t="s" s="10">
        <v>27</v>
      </c>
      <c r="D2710" t="s" s="10">
        <v>70</v>
      </c>
      <c r="E2710" t="s" s="10">
        <v>11890</v>
      </c>
      <c r="F2710" s="27">
        <v>45552</v>
      </c>
      <c r="G2710" t="s" s="10">
        <v>607</v>
      </c>
      <c r="H2710" t="s" s="42">
        <v>30</v>
      </c>
      <c r="I2710" s="42">
        <v>11.89</v>
      </c>
      <c r="J2710" t="s" s="10">
        <v>13856</v>
      </c>
      <c r="K2710" t="s" s="10">
        <v>13857</v>
      </c>
      <c r="L2710" s="16">
        <f>HYPERLINK("http://www.zeti.co.uk", "www.zeti.co.uk")</f>
      </c>
      <c r="M2710" s="16">
        <f>HYPERLINK("https://my.pitchbook.com?c=462866-05", "View Company Online")</f>
      </c>
    </row>
    <row r="2711">
      <c r="A2711" t="s" s="11">
        <v>13859</v>
      </c>
      <c r="B2711" t="s" s="11">
        <v>13860</v>
      </c>
      <c r="C2711" t="s" s="11">
        <v>60</v>
      </c>
      <c r="D2711" t="s" s="11">
        <v>246</v>
      </c>
      <c r="E2711" t="s" s="11">
        <v>1006</v>
      </c>
      <c r="F2711" s="28">
        <v>45597</v>
      </c>
      <c r="G2711" t="s" s="11">
        <v>146</v>
      </c>
      <c r="H2711" t="s" s="43">
        <v>30</v>
      </c>
      <c r="I2711" s="43">
        <v>11.88</v>
      </c>
      <c r="J2711" t="s" s="11">
        <v>13861</v>
      </c>
      <c r="K2711" t="s" s="11">
        <v>13862</v>
      </c>
      <c r="L2711" s="17">
        <f>HYPERLINK("http://www.finku.id", "www.finku.id")</f>
      </c>
      <c r="M2711" s="17">
        <f>HYPERLINK("https://my.pitchbook.com?c=489351-25", "View Company Online")</f>
      </c>
    </row>
    <row r="2712">
      <c r="A2712" t="s" s="10">
        <v>13864</v>
      </c>
      <c r="B2712" t="s" s="10">
        <v>13865</v>
      </c>
      <c r="C2712" t="s" s="10">
        <v>60</v>
      </c>
      <c r="D2712" t="s" s="10">
        <v>192</v>
      </c>
      <c r="E2712" t="s" s="10">
        <v>137</v>
      </c>
      <c r="F2712" s="27">
        <v>44958</v>
      </c>
      <c r="G2712" t="s" s="10">
        <v>5274</v>
      </c>
      <c r="H2712" s="42">
        <v>0.61</v>
      </c>
      <c r="I2712" s="42">
        <v>11.87</v>
      </c>
      <c r="J2712" t="s" s="10">
        <v>13866</v>
      </c>
      <c r="K2712" t="s" s="10">
        <v>13867</v>
      </c>
      <c r="L2712" s="16">
        <f>HYPERLINK("http://www.clearglass.com", "www.clearglass.com")</f>
      </c>
      <c r="M2712" s="16">
        <f>HYPERLINK("https://my.pitchbook.com?c=327159-37", "View Company Online")</f>
      </c>
    </row>
    <row r="2713">
      <c r="A2713" t="s" s="11">
        <v>13869</v>
      </c>
      <c r="B2713" t="s" s="11">
        <v>13870</v>
      </c>
      <c r="C2713" t="s" s="11">
        <v>222</v>
      </c>
      <c r="D2713" t="s" s="11">
        <v>235</v>
      </c>
      <c r="E2713" t="s" s="11">
        <v>11176</v>
      </c>
      <c r="F2713" s="28">
        <v>44573</v>
      </c>
      <c r="G2713" t="s" s="11">
        <v>40</v>
      </c>
      <c r="H2713" s="43">
        <v>5.89</v>
      </c>
      <c r="I2713" s="43">
        <v>11.86</v>
      </c>
      <c r="J2713" t="s" s="11">
        <v>13871</v>
      </c>
      <c r="K2713" t="s" s="11">
        <v>13872</v>
      </c>
      <c r="L2713" s="17">
        <f>HYPERLINK("http://www.crowdo.com", "www.crowdo.com")</f>
      </c>
      <c r="M2713" s="17">
        <f>HYPERLINK("https://my.pitchbook.com?c=85653-01", "View Company Online")</f>
      </c>
    </row>
    <row r="2714">
      <c r="A2714" t="s" s="10">
        <v>13874</v>
      </c>
      <c r="B2714" t="s" s="10">
        <v>13875</v>
      </c>
      <c r="C2714" t="s" s="10">
        <v>222</v>
      </c>
      <c r="D2714" t="s" s="10">
        <v>223</v>
      </c>
      <c r="E2714" t="s" s="10">
        <v>414</v>
      </c>
      <c r="F2714" s="27">
        <v>45853</v>
      </c>
      <c r="G2714" t="s" s="10">
        <v>146</v>
      </c>
      <c r="H2714" t="s" s="42">
        <v>30</v>
      </c>
      <c r="I2714" s="42">
        <v>11.85</v>
      </c>
      <c r="J2714" t="s" s="10">
        <v>13876</v>
      </c>
      <c r="K2714" t="s" s="10">
        <v>13877</v>
      </c>
      <c r="L2714" s="16">
        <f>HYPERLINK("http://www.sigmafinancial.ai", "www.sigmafinancial.ai")</f>
      </c>
      <c r="M2714" s="16">
        <f>HYPERLINK("https://my.pitchbook.com?c=713157-58", "View Company Online")</f>
      </c>
    </row>
    <row r="2715">
      <c r="A2715" t="s" s="11">
        <v>13879</v>
      </c>
      <c r="B2715" t="s" s="11">
        <v>13880</v>
      </c>
      <c r="C2715" t="s" s="11">
        <v>46</v>
      </c>
      <c r="D2715" t="s" s="11">
        <v>47</v>
      </c>
      <c r="E2715" t="s" s="11">
        <v>137</v>
      </c>
      <c r="F2715" t="s" s="28">
        <v>30</v>
      </c>
      <c r="G2715" t="s" s="11">
        <v>48</v>
      </c>
      <c r="H2715" t="s" s="43">
        <v>30</v>
      </c>
      <c r="I2715" s="43">
        <v>11.82</v>
      </c>
      <c r="J2715" t="s" s="11">
        <v>13881</v>
      </c>
      <c r="K2715" t="s" s="11">
        <v>13882</v>
      </c>
      <c r="L2715" s="17">
        <f>HYPERLINK("http://www.opencollective.com", "www.opencollective.com")</f>
      </c>
      <c r="M2715" s="17">
        <f>HYPERLINK("https://my.pitchbook.com?c=135938-44", "View Company Online")</f>
      </c>
    </row>
    <row r="2716">
      <c r="A2716" t="s" s="10">
        <v>13884</v>
      </c>
      <c r="B2716" t="s" s="10">
        <v>13885</v>
      </c>
      <c r="C2716" t="s" s="10">
        <v>27</v>
      </c>
      <c r="D2716" t="s" s="10">
        <v>28</v>
      </c>
      <c r="E2716" t="s" s="10">
        <v>253</v>
      </c>
      <c r="F2716" s="27">
        <v>45904</v>
      </c>
      <c r="G2716" t="s" s="10">
        <v>48</v>
      </c>
      <c r="H2716" s="42">
        <v>1.6</v>
      </c>
      <c r="I2716" s="42">
        <v>11.82</v>
      </c>
      <c r="J2716" t="s" s="10">
        <v>13886</v>
      </c>
      <c r="K2716" t="s" s="10">
        <v>13887</v>
      </c>
      <c r="L2716" s="16">
        <f>HYPERLINK("http://www.payble.com.au", "www.payble.com.au")</f>
      </c>
      <c r="M2716" s="16">
        <f>HYPERLINK("https://my.pitchbook.com?c=464268-79", "View Company Online")</f>
      </c>
    </row>
    <row r="2717">
      <c r="A2717" t="s" s="11">
        <v>13889</v>
      </c>
      <c r="B2717" t="s" s="11">
        <v>13890</v>
      </c>
      <c r="C2717" t="s" s="11">
        <v>114</v>
      </c>
      <c r="D2717" t="s" s="11">
        <v>852</v>
      </c>
      <c r="E2717" t="s" s="11">
        <v>253</v>
      </c>
      <c r="F2717" s="28">
        <v>46133</v>
      </c>
      <c r="G2717" t="s" s="11">
        <v>146</v>
      </c>
      <c r="H2717" s="43">
        <v>8.02</v>
      </c>
      <c r="I2717" s="43">
        <v>11.78</v>
      </c>
      <c r="J2717" t="s" s="11">
        <v>13891</v>
      </c>
      <c r="K2717" t="s" s="11">
        <v>13892</v>
      </c>
      <c r="L2717" s="17">
        <f>HYPERLINK("http://www.firenzegroup.co.uk", "www.firenzegroup.co.uk")</f>
      </c>
      <c r="M2717" s="17">
        <f>HYPERLINK("https://my.pitchbook.com?c=591395-59", "View Company Online")</f>
      </c>
    </row>
    <row r="2718">
      <c r="A2718" t="s" s="10">
        <v>13894</v>
      </c>
      <c r="B2718" t="s" s="10">
        <v>13895</v>
      </c>
      <c r="C2718" t="s" s="10">
        <v>27</v>
      </c>
      <c r="D2718" t="s" s="10">
        <v>28</v>
      </c>
      <c r="E2718" t="s" s="10">
        <v>137</v>
      </c>
      <c r="F2718" t="s" s="27">
        <v>30</v>
      </c>
      <c r="G2718" t="s" s="10">
        <v>607</v>
      </c>
      <c r="H2718" t="s" s="42">
        <v>30</v>
      </c>
      <c r="I2718" s="42">
        <v>11.78</v>
      </c>
      <c r="J2718" t="s" s="10">
        <v>13896</v>
      </c>
      <c r="K2718" t="s" s="10">
        <v>13897</v>
      </c>
      <c r="L2718" s="16">
        <f>HYPERLINK("http://www.moneywalkie.com", "www.moneywalkie.com")</f>
      </c>
      <c r="M2718" s="16">
        <f>HYPERLINK("https://my.pitchbook.com?c=481456-54", "View Company Online")</f>
      </c>
    </row>
    <row r="2719">
      <c r="A2719" t="s" s="11">
        <v>13899</v>
      </c>
      <c r="B2719" t="s" s="11">
        <v>13900</v>
      </c>
      <c r="C2719" t="s" s="11">
        <v>114</v>
      </c>
      <c r="D2719" t="s" s="11">
        <v>136</v>
      </c>
      <c r="E2719" t="s" s="11">
        <v>2575</v>
      </c>
      <c r="F2719" s="28">
        <v>44740</v>
      </c>
      <c r="G2719" t="s" s="11">
        <v>40</v>
      </c>
      <c r="H2719" s="43">
        <v>31.77</v>
      </c>
      <c r="I2719" s="43">
        <v>11.77</v>
      </c>
      <c r="J2719" t="s" s="11">
        <v>13901</v>
      </c>
      <c r="K2719" t="s" s="11">
        <v>13902</v>
      </c>
      <c r="L2719" s="17">
        <f>HYPERLINK("http://www.finfrog.fr", "www.finfrog.fr")</f>
      </c>
      <c r="M2719" s="17">
        <f>HYPERLINK("https://my.pitchbook.com?c=436690-36", "View Company Online")</f>
      </c>
    </row>
    <row r="2720">
      <c r="A2720" t="s" s="10">
        <v>13904</v>
      </c>
      <c r="B2720" t="s" s="10">
        <v>13905</v>
      </c>
      <c r="C2720" t="s" s="10">
        <v>222</v>
      </c>
      <c r="D2720" t="s" s="10">
        <v>235</v>
      </c>
      <c r="E2720" t="s" s="10">
        <v>253</v>
      </c>
      <c r="F2720" t="s" s="27">
        <v>30</v>
      </c>
      <c r="G2720" t="s" s="10">
        <v>607</v>
      </c>
      <c r="H2720" t="s" s="42">
        <v>30</v>
      </c>
      <c r="I2720" s="42">
        <v>11.74</v>
      </c>
      <c r="J2720" t="s" s="10">
        <v>13906</v>
      </c>
      <c r="K2720" t="s" s="10">
        <v>13907</v>
      </c>
      <c r="L2720" s="16">
        <f>HYPERLINK("http://www.pitchin.my", "www.pitchin.my")</f>
      </c>
      <c r="M2720" s="16">
        <f>HYPERLINK("https://my.pitchbook.com?c=167697-37", "View Company Online")</f>
      </c>
    </row>
    <row r="2721">
      <c r="A2721" t="s" s="11">
        <v>13909</v>
      </c>
      <c r="B2721" t="s" s="11">
        <v>13910</v>
      </c>
      <c r="C2721" t="s" s="11">
        <v>27</v>
      </c>
      <c r="D2721" t="s" s="11">
        <v>70</v>
      </c>
      <c r="E2721" t="s" s="11">
        <v>1859</v>
      </c>
      <c r="F2721" s="28">
        <v>45300</v>
      </c>
      <c r="G2721" t="s" s="11">
        <v>4267</v>
      </c>
      <c r="H2721" t="s" s="43">
        <v>30</v>
      </c>
      <c r="I2721" s="43">
        <v>11.74</v>
      </c>
      <c r="J2721" t="s" s="11">
        <v>13911</v>
      </c>
      <c r="K2721" t="s" s="11">
        <v>13912</v>
      </c>
      <c r="L2721" s="17">
        <f>HYPERLINK("http://www.trice.co", "www.trice.co")</f>
      </c>
      <c r="M2721" s="17">
        <f>HYPERLINK("https://my.pitchbook.com?c=528626-08", "View Company Online")</f>
      </c>
    </row>
    <row r="2722">
      <c r="A2722" t="s" s="10">
        <v>13914</v>
      </c>
      <c r="B2722" t="s" s="10">
        <v>13915</v>
      </c>
      <c r="C2722" t="s" s="10">
        <v>172</v>
      </c>
      <c r="D2722" t="s" s="10">
        <v>338</v>
      </c>
      <c r="E2722" t="s" s="10">
        <v>1964</v>
      </c>
      <c r="F2722" s="27">
        <v>45351</v>
      </c>
      <c r="G2722" t="s" s="10">
        <v>607</v>
      </c>
      <c r="H2722" t="s" s="42">
        <v>30</v>
      </c>
      <c r="I2722" s="42">
        <v>11.73</v>
      </c>
      <c r="J2722" t="s" s="10">
        <v>13916</v>
      </c>
      <c r="K2722" t="s" s="10">
        <v>13917</v>
      </c>
      <c r="L2722" s="16">
        <f>HYPERLINK("http://www.aqmetrics.com", "www.aqmetrics.com")</f>
      </c>
      <c r="M2722" s="16">
        <f>HYPERLINK("https://my.pitchbook.com?c=83049-13", "View Company Online")</f>
      </c>
    </row>
    <row r="2723">
      <c r="A2723" t="s" s="11">
        <v>13919</v>
      </c>
      <c r="B2723" t="s" s="11">
        <v>13920</v>
      </c>
      <c r="C2723" t="s" s="11">
        <v>60</v>
      </c>
      <c r="D2723" t="s" s="11">
        <v>192</v>
      </c>
      <c r="E2723" t="s" s="11">
        <v>3320</v>
      </c>
      <c r="F2723" s="28">
        <v>44091</v>
      </c>
      <c r="G2723" t="s" s="11">
        <v>271</v>
      </c>
      <c r="H2723" s="43">
        <v>0.42</v>
      </c>
      <c r="I2723" s="43">
        <v>11.71</v>
      </c>
      <c r="J2723" t="s" s="11">
        <v>13921</v>
      </c>
      <c r="K2723" t="s" s="11">
        <v>30</v>
      </c>
      <c r="L2723" s="17">
        <f>HYPERLINK("http://www.echofin.com", "www.echofin.com")</f>
      </c>
      <c r="M2723" s="17">
        <f>HYPERLINK("https://my.pitchbook.com?c=290666-08", "View Company Online")</f>
      </c>
    </row>
    <row r="2724">
      <c r="A2724" t="s" s="10">
        <v>13923</v>
      </c>
      <c r="B2724" t="s" s="10">
        <v>13924</v>
      </c>
      <c r="C2724" t="s" s="10">
        <v>37</v>
      </c>
      <c r="D2724" t="s" s="10">
        <v>304</v>
      </c>
      <c r="E2724" t="s" s="10">
        <v>270</v>
      </c>
      <c r="F2724" s="27">
        <v>44806</v>
      </c>
      <c r="G2724" t="s" s="10">
        <v>146</v>
      </c>
      <c r="H2724" s="42">
        <v>2.98</v>
      </c>
      <c r="I2724" s="42">
        <v>11.69</v>
      </c>
      <c r="J2724" t="s" s="10">
        <v>13925</v>
      </c>
      <c r="K2724" t="s" s="10">
        <v>13926</v>
      </c>
      <c r="L2724" s="16">
        <f>HYPERLINK("http://www.letsaspire.in", "www.letsaspire.in")</f>
      </c>
      <c r="M2724" s="16">
        <f>HYPERLINK("https://my.pitchbook.com?c=509952-43", "View Company Online")</f>
      </c>
    </row>
    <row r="2725">
      <c r="A2725" t="s" s="11">
        <v>13928</v>
      </c>
      <c r="B2725" t="s" s="11">
        <v>13929</v>
      </c>
      <c r="C2725" t="s" s="11">
        <v>37</v>
      </c>
      <c r="D2725" t="s" s="11">
        <v>38</v>
      </c>
      <c r="E2725" t="s" s="11">
        <v>137</v>
      </c>
      <c r="F2725" s="28">
        <v>44561</v>
      </c>
      <c r="G2725" t="s" s="11">
        <v>40</v>
      </c>
      <c r="H2725" s="43">
        <v>0.94</v>
      </c>
      <c r="I2725" s="43">
        <v>11.67</v>
      </c>
      <c r="J2725" t="s" s="11">
        <v>13930</v>
      </c>
      <c r="K2725" t="s" s="11">
        <v>13931</v>
      </c>
      <c r="L2725" s="17">
        <f>HYPERLINK("http://www.flexfunding.com", "www.flexfunding.com")</f>
      </c>
      <c r="M2725" s="17">
        <f>HYPERLINK("https://my.pitchbook.com?c=113773-78", "View Company Online")</f>
      </c>
    </row>
    <row r="2726">
      <c r="A2726" t="s" s="10">
        <v>13933</v>
      </c>
      <c r="B2726" t="s" s="10">
        <v>13934</v>
      </c>
      <c r="C2726" t="s" s="10">
        <v>27</v>
      </c>
      <c r="D2726" t="s" s="10">
        <v>28</v>
      </c>
      <c r="E2726" t="s" s="10">
        <v>270</v>
      </c>
      <c r="F2726" s="27">
        <v>46138</v>
      </c>
      <c r="G2726" t="s" s="10">
        <v>2051</v>
      </c>
      <c r="H2726" t="s" s="42">
        <v>30</v>
      </c>
      <c r="I2726" s="42">
        <v>11.66</v>
      </c>
      <c r="J2726" t="s" s="10">
        <v>13935</v>
      </c>
      <c r="K2726" t="s" s="10">
        <v>30</v>
      </c>
      <c r="L2726" s="16">
        <f>HYPERLINK("http://www.getbamba.com", "www.getbamba.com")</f>
      </c>
      <c r="M2726" s="16">
        <f>HYPERLINK("https://my.pitchbook.com?c=496630-99", "View Company Online")</f>
      </c>
    </row>
    <row r="2727">
      <c r="A2727" t="s" s="11">
        <v>13937</v>
      </c>
      <c r="B2727" t="s" s="11">
        <v>13938</v>
      </c>
      <c r="C2727" t="s" s="11">
        <v>46</v>
      </c>
      <c r="D2727" t="s" s="11">
        <v>47</v>
      </c>
      <c r="E2727" t="s" s="11">
        <v>13939</v>
      </c>
      <c r="F2727" s="28">
        <v>45686</v>
      </c>
      <c r="G2727" t="s" s="11">
        <v>40</v>
      </c>
      <c r="H2727" s="43">
        <v>1.14</v>
      </c>
      <c r="I2727" s="43">
        <v>11.65</v>
      </c>
      <c r="J2727" t="s" s="11">
        <v>13940</v>
      </c>
      <c r="K2727" t="s" s="11">
        <v>13941</v>
      </c>
      <c r="L2727" s="17">
        <f>HYPERLINK("http://www.nupay.co.in", "www.nupay.co.in")</f>
      </c>
      <c r="M2727" s="17">
        <f>HYPERLINK("https://my.pitchbook.com?c=223605-64", "View Company Online")</f>
      </c>
    </row>
    <row r="2728">
      <c r="A2728" t="s" s="10">
        <v>13943</v>
      </c>
      <c r="B2728" t="s" s="10">
        <v>13944</v>
      </c>
      <c r="C2728" t="s" s="10">
        <v>37</v>
      </c>
      <c r="D2728" t="s" s="10">
        <v>38</v>
      </c>
      <c r="E2728" t="s" s="10">
        <v>253</v>
      </c>
      <c r="F2728" s="27">
        <v>44958</v>
      </c>
      <c r="G2728" t="s" s="10">
        <v>4267</v>
      </c>
      <c r="H2728" t="s" s="42">
        <v>30</v>
      </c>
      <c r="I2728" s="42">
        <v>11.65</v>
      </c>
      <c r="J2728" t="s" s="10">
        <v>13945</v>
      </c>
      <c r="K2728" t="s" s="10">
        <v>13946</v>
      </c>
      <c r="L2728" s="16">
        <f>HYPERLINK("http://www.myhubble.money", "www.myhubble.money")</f>
      </c>
      <c r="M2728" s="16">
        <f>HYPERLINK("https://my.pitchbook.com?c=495050-59", "View Company Online")</f>
      </c>
    </row>
    <row r="2729">
      <c r="A2729" t="s" s="11">
        <v>13948</v>
      </c>
      <c r="B2729" t="s" s="11">
        <v>13949</v>
      </c>
      <c r="C2729" t="s" s="11">
        <v>114</v>
      </c>
      <c r="D2729" t="s" s="11">
        <v>852</v>
      </c>
      <c r="E2729" t="s" s="11">
        <v>137</v>
      </c>
      <c r="F2729" t="s" s="28">
        <v>30</v>
      </c>
      <c r="G2729" t="s" s="11">
        <v>607</v>
      </c>
      <c r="H2729" t="s" s="43">
        <v>30</v>
      </c>
      <c r="I2729" s="43">
        <v>11.6</v>
      </c>
      <c r="J2729" t="s" s="11">
        <v>13950</v>
      </c>
      <c r="K2729" t="s" s="11">
        <v>13951</v>
      </c>
      <c r="L2729" s="17">
        <f>HYPERLINK("http://www.bankme.tech", "www.bankme.tech")</f>
      </c>
      <c r="M2729" s="17">
        <f>HYPERLINK("https://my.pitchbook.com?c=506748-70", "View Company Online")</f>
      </c>
    </row>
    <row r="2730">
      <c r="A2730" t="s" s="10">
        <v>13953</v>
      </c>
      <c r="B2730" t="s" s="10">
        <v>13954</v>
      </c>
      <c r="C2730" t="s" s="10">
        <v>222</v>
      </c>
      <c r="D2730" t="s" s="10">
        <v>223</v>
      </c>
      <c r="E2730" t="s" s="10">
        <v>367</v>
      </c>
      <c r="F2730" s="27">
        <v>45457</v>
      </c>
      <c r="G2730" t="s" s="10">
        <v>31</v>
      </c>
      <c r="H2730" t="s" s="42">
        <v>30</v>
      </c>
      <c r="I2730" s="42">
        <v>11.6</v>
      </c>
      <c r="J2730" t="s" s="10">
        <v>13955</v>
      </c>
      <c r="K2730" t="s" s="10">
        <v>13956</v>
      </c>
      <c r="L2730" s="16">
        <f>HYPERLINK("http://www.omegapoint.ai", "www.omegapoint.ai")</f>
      </c>
      <c r="M2730" s="16">
        <f>HYPERLINK("https://my.pitchbook.com?c=128319-58", "View Company Online")</f>
      </c>
    </row>
    <row r="2731">
      <c r="A2731" t="s" s="11">
        <v>13958</v>
      </c>
      <c r="B2731" t="s" s="11">
        <v>13959</v>
      </c>
      <c r="C2731" t="s" s="11">
        <v>114</v>
      </c>
      <c r="D2731" t="s" s="11">
        <v>1386</v>
      </c>
      <c r="E2731" t="s" s="11">
        <v>373</v>
      </c>
      <c r="F2731" t="s" s="28">
        <v>30</v>
      </c>
      <c r="G2731" t="s" s="11">
        <v>48</v>
      </c>
      <c r="H2731" t="s" s="43">
        <v>30</v>
      </c>
      <c r="I2731" s="43">
        <v>11.6</v>
      </c>
      <c r="J2731" t="s" s="11">
        <v>13960</v>
      </c>
      <c r="K2731" t="s" s="11">
        <v>13961</v>
      </c>
      <c r="L2731" s="17">
        <f>HYPERLINK("http://www.xenplatforms.com", "www.xenplatforms.com")</f>
      </c>
      <c r="M2731" s="17">
        <f>HYPERLINK("https://my.pitchbook.com?c=108813-79", "View Company Online")</f>
      </c>
    </row>
    <row r="2732">
      <c r="A2732" t="s" s="10">
        <v>13963</v>
      </c>
      <c r="B2732" t="s" s="10">
        <v>13964</v>
      </c>
      <c r="C2732" t="s" s="10">
        <v>60</v>
      </c>
      <c r="D2732" t="s" s="10">
        <v>192</v>
      </c>
      <c r="E2732" t="s" s="10">
        <v>253</v>
      </c>
      <c r="F2732" s="27">
        <v>44326</v>
      </c>
      <c r="G2732" t="s" s="10">
        <v>4267</v>
      </c>
      <c r="H2732" s="42">
        <v>2.51</v>
      </c>
      <c r="I2732" s="42">
        <v>11.58</v>
      </c>
      <c r="J2732" t="s" s="10">
        <v>13965</v>
      </c>
      <c r="K2732" t="s" s="10">
        <v>13966</v>
      </c>
      <c r="L2732" s="16">
        <f>HYPERLINK("http://www.hissa.com", "www.hissa.com")</f>
      </c>
      <c r="M2732" s="16">
        <f>HYPERLINK("https://my.pitchbook.com?c=465978-25", "View Company Online")</f>
      </c>
    </row>
    <row r="2733">
      <c r="A2733" t="s" s="11">
        <v>13968</v>
      </c>
      <c r="B2733" t="s" s="11">
        <v>13969</v>
      </c>
      <c r="C2733" t="s" s="11">
        <v>114</v>
      </c>
      <c r="D2733" t="s" s="11">
        <v>136</v>
      </c>
      <c r="E2733" t="s" s="11">
        <v>137</v>
      </c>
      <c r="F2733" s="28">
        <v>45194</v>
      </c>
      <c r="G2733" t="s" s="11">
        <v>40</v>
      </c>
      <c r="H2733" s="43">
        <v>2.44</v>
      </c>
      <c r="I2733" s="43">
        <v>11.57</v>
      </c>
      <c r="J2733" t="s" s="11">
        <v>13970</v>
      </c>
      <c r="K2733" t="s" s="11">
        <v>13971</v>
      </c>
      <c r="L2733" s="17">
        <f>HYPERLINK("http://www.finology-group.com", "www.finology-group.com")</f>
      </c>
      <c r="M2733" s="17">
        <f>HYPERLINK("https://my.pitchbook.com?c=226940-23", "View Company Online")</f>
      </c>
    </row>
    <row r="2734">
      <c r="A2734" t="s" s="10">
        <v>13973</v>
      </c>
      <c r="B2734" t="s" s="10">
        <v>13974</v>
      </c>
      <c r="C2734" t="s" s="10">
        <v>128</v>
      </c>
      <c r="D2734" t="s" s="10">
        <v>276</v>
      </c>
      <c r="E2734" t="s" s="10">
        <v>137</v>
      </c>
      <c r="F2734" s="27">
        <v>46023</v>
      </c>
      <c r="G2734" t="s" s="10">
        <v>146</v>
      </c>
      <c r="H2734" s="42">
        <v>0.23</v>
      </c>
      <c r="I2734" s="42">
        <v>11.56</v>
      </c>
      <c r="J2734" t="s" s="10">
        <v>13975</v>
      </c>
      <c r="K2734" t="s" s="10">
        <v>13976</v>
      </c>
      <c r="L2734" s="16">
        <f>HYPERLINK("http://stellapay.io", "stellapay.io")</f>
      </c>
      <c r="M2734" s="16">
        <f>HYPERLINK("https://my.pitchbook.com?c=719441-65", "View Company Online")</f>
      </c>
    </row>
    <row r="2735">
      <c r="A2735" t="s" s="11">
        <v>13978</v>
      </c>
      <c r="B2735" t="s" s="11">
        <v>13979</v>
      </c>
      <c r="C2735" t="s" s="11">
        <v>60</v>
      </c>
      <c r="D2735" t="s" s="11">
        <v>246</v>
      </c>
      <c r="E2735" t="s" s="11">
        <v>29</v>
      </c>
      <c r="F2735" s="28">
        <v>46050</v>
      </c>
      <c r="G2735" t="s" s="11">
        <v>146</v>
      </c>
      <c r="H2735" s="43">
        <v>0.75</v>
      </c>
      <c r="I2735" s="43">
        <v>11.54</v>
      </c>
      <c r="J2735" t="s" s="11">
        <v>13980</v>
      </c>
      <c r="K2735" t="s" s="11">
        <v>13981</v>
      </c>
      <c r="L2735" s="17">
        <f>HYPERLINK("http://www.plannerpal.co.uk", "www.plannerpal.co.uk")</f>
      </c>
      <c r="M2735" s="17">
        <f>HYPERLINK("https://my.pitchbook.com?c=588965-32", "View Company Online")</f>
      </c>
    </row>
    <row r="2736">
      <c r="A2736" t="s" s="10">
        <v>13983</v>
      </c>
      <c r="B2736" t="s" s="10">
        <v>13984</v>
      </c>
      <c r="C2736" t="s" s="10">
        <v>27</v>
      </c>
      <c r="D2736" t="s" s="10">
        <v>28</v>
      </c>
      <c r="E2736" t="s" s="10">
        <v>270</v>
      </c>
      <c r="F2736" s="27">
        <v>45967</v>
      </c>
      <c r="G2736" t="s" s="10">
        <v>607</v>
      </c>
      <c r="H2736" t="s" s="42">
        <v>30</v>
      </c>
      <c r="I2736" s="42">
        <v>11.53</v>
      </c>
      <c r="J2736" t="s" s="10">
        <v>13985</v>
      </c>
      <c r="K2736" t="s" s="10">
        <v>13986</v>
      </c>
      <c r="L2736" s="16">
        <f>HYPERLINK("http://ins.to", "ins.to")</f>
      </c>
      <c r="M2736" s="16">
        <f>HYPERLINK("https://my.pitchbook.com?c=119906-92", "View Company Online")</f>
      </c>
    </row>
    <row r="2737">
      <c r="A2737" t="s" s="11">
        <v>13988</v>
      </c>
      <c r="B2737" t="s" s="11">
        <v>13989</v>
      </c>
      <c r="C2737" t="s" s="11">
        <v>60</v>
      </c>
      <c r="D2737" t="s" s="11">
        <v>727</v>
      </c>
      <c r="E2737" t="s" s="11">
        <v>137</v>
      </c>
      <c r="F2737" s="28">
        <v>45231</v>
      </c>
      <c r="G2737" t="s" s="11">
        <v>146</v>
      </c>
      <c r="H2737" s="43">
        <v>2.67</v>
      </c>
      <c r="I2737" s="43">
        <v>11.53</v>
      </c>
      <c r="J2737" t="s" s="11">
        <v>13990</v>
      </c>
      <c r="K2737" t="s" s="11">
        <v>13991</v>
      </c>
      <c r="L2737" s="17">
        <f>HYPERLINK("http://www.luca.inc", "www.luca.inc")</f>
      </c>
      <c r="M2737" s="17">
        <f>HYPERLINK("https://my.pitchbook.com?c=470664-10", "View Company Online")</f>
      </c>
    </row>
    <row r="2738">
      <c r="A2738" t="s" s="10">
        <v>13993</v>
      </c>
      <c r="B2738" t="s" s="10">
        <v>13994</v>
      </c>
      <c r="C2738" t="s" s="10">
        <v>37</v>
      </c>
      <c r="D2738" t="s" s="10">
        <v>304</v>
      </c>
      <c r="E2738" t="s" s="10">
        <v>137</v>
      </c>
      <c r="F2738" s="27">
        <v>44147</v>
      </c>
      <c r="G2738" t="s" s="10">
        <v>607</v>
      </c>
      <c r="H2738" s="42">
        <v>0.27</v>
      </c>
      <c r="I2738" s="42">
        <v>11.52</v>
      </c>
      <c r="J2738" t="s" s="10">
        <v>13995</v>
      </c>
      <c r="K2738" t="s" s="10">
        <v>13996</v>
      </c>
      <c r="L2738" s="16">
        <f>HYPERLINK("http://www.figloans.com", "www.figloans.com")</f>
      </c>
      <c r="M2738" s="16">
        <f>HYPERLINK("https://my.pitchbook.com?c=154340-29", "View Company Online")</f>
      </c>
    </row>
    <row r="2739">
      <c r="A2739" t="s" s="11">
        <v>13998</v>
      </c>
      <c r="B2739" t="s" s="11">
        <v>13999</v>
      </c>
      <c r="C2739" t="s" s="11">
        <v>222</v>
      </c>
      <c r="D2739" t="s" s="11">
        <v>235</v>
      </c>
      <c r="E2739" t="s" s="11">
        <v>193</v>
      </c>
      <c r="F2739" s="28">
        <v>45292</v>
      </c>
      <c r="G2739" t="s" s="11">
        <v>40</v>
      </c>
      <c r="H2739" t="s" s="43">
        <v>30</v>
      </c>
      <c r="I2739" s="43">
        <v>11.51</v>
      </c>
      <c r="J2739" t="s" s="11">
        <v>14000</v>
      </c>
      <c r="K2739" t="s" s="11">
        <v>14001</v>
      </c>
      <c r="L2739" s="17">
        <f>HYPERLINK("http://www.roundupapp.com", "www.roundupapp.com")</f>
      </c>
      <c r="M2739" s="17">
        <f>HYPERLINK("https://my.pitchbook.com?c=228451-60", "View Company Online")</f>
      </c>
    </row>
    <row r="2740">
      <c r="A2740" t="s" s="10">
        <v>14003</v>
      </c>
      <c r="B2740" t="s" s="10">
        <v>14004</v>
      </c>
      <c r="C2740" t="s" s="10">
        <v>222</v>
      </c>
      <c r="D2740" t="s" s="10">
        <v>235</v>
      </c>
      <c r="E2740" t="s" s="10">
        <v>253</v>
      </c>
      <c r="F2740" s="27">
        <v>44476</v>
      </c>
      <c r="G2740" t="s" s="10">
        <v>4267</v>
      </c>
      <c r="H2740" s="42">
        <v>3.04</v>
      </c>
      <c r="I2740" s="42">
        <v>11.51</v>
      </c>
      <c r="J2740" t="s" s="10">
        <v>14005</v>
      </c>
      <c r="K2740" t="s" s="10">
        <v>14006</v>
      </c>
      <c r="L2740" s="16">
        <f>HYPERLINK("http://www.trica.co", "www.trica.co")</f>
      </c>
      <c r="M2740" s="16">
        <f>HYPERLINK("https://my.pitchbook.com?c=482203-18", "View Company Online")</f>
      </c>
    </row>
    <row r="2741">
      <c r="A2741" t="s" s="11">
        <v>14008</v>
      </c>
      <c r="B2741" t="s" s="11">
        <v>14009</v>
      </c>
      <c r="C2741" t="s" s="11">
        <v>144</v>
      </c>
      <c r="D2741" t="s" s="11">
        <v>297</v>
      </c>
      <c r="E2741" t="s" s="11">
        <v>1859</v>
      </c>
      <c r="F2741" s="28">
        <v>46023</v>
      </c>
      <c r="G2741" t="s" s="11">
        <v>607</v>
      </c>
      <c r="H2741" t="s" s="43">
        <v>30</v>
      </c>
      <c r="I2741" s="43">
        <v>11.5</v>
      </c>
      <c r="J2741" t="s" s="11">
        <v>14010</v>
      </c>
      <c r="K2741" t="s" s="11">
        <v>14011</v>
      </c>
      <c r="L2741" s="17">
        <f>HYPERLINK("http://www.276holdings.com", "www.276holdings.com")</f>
      </c>
      <c r="M2741" s="17">
        <f>HYPERLINK("https://my.pitchbook.com?c=497808-91", "View Company Online")</f>
      </c>
    </row>
    <row r="2742">
      <c r="A2742" t="s" s="10">
        <v>14013</v>
      </c>
      <c r="B2742" t="s" s="10">
        <v>14014</v>
      </c>
      <c r="C2742" t="s" s="10">
        <v>60</v>
      </c>
      <c r="D2742" t="s" s="10">
        <v>432</v>
      </c>
      <c r="E2742" t="s" s="10">
        <v>253</v>
      </c>
      <c r="F2742" s="27">
        <v>45719</v>
      </c>
      <c r="G2742" t="s" s="10">
        <v>271</v>
      </c>
      <c r="H2742" s="42">
        <v>0.61</v>
      </c>
      <c r="I2742" s="42">
        <v>11.5</v>
      </c>
      <c r="J2742" t="s" s="10">
        <v>14015</v>
      </c>
      <c r="K2742" t="s" s="10">
        <v>14016</v>
      </c>
      <c r="L2742" s="16">
        <f>HYPERLINK("http://www.be-long.co", "www.be-long.co")</f>
      </c>
      <c r="M2742" s="16">
        <f>HYPERLINK("https://my.pitchbook.com?c=482808-43", "View Company Online")</f>
      </c>
    </row>
    <row r="2743">
      <c r="A2743" t="s" s="11">
        <v>14018</v>
      </c>
      <c r="B2743" t="s" s="11">
        <v>14019</v>
      </c>
      <c r="C2743" t="s" s="11">
        <v>60</v>
      </c>
      <c r="D2743" t="s" s="11">
        <v>727</v>
      </c>
      <c r="E2743" t="s" s="11">
        <v>137</v>
      </c>
      <c r="F2743" s="28">
        <v>43726</v>
      </c>
      <c r="G2743" t="s" s="11">
        <v>40</v>
      </c>
      <c r="H2743" s="43">
        <v>0.5</v>
      </c>
      <c r="I2743" s="43">
        <v>11.5</v>
      </c>
      <c r="J2743" t="s" s="11">
        <v>14020</v>
      </c>
      <c r="K2743" t="s" s="11">
        <v>14021</v>
      </c>
      <c r="L2743" s="17">
        <f>HYPERLINK("http://www.playbusiness.mx", "www.playbusiness.mx")</f>
      </c>
      <c r="M2743" s="17">
        <f>HYPERLINK("https://my.pitchbook.com?c=117256-33", "View Company Online")</f>
      </c>
    </row>
    <row r="2744">
      <c r="A2744" t="s" s="10">
        <v>14023</v>
      </c>
      <c r="B2744" t="s" s="10">
        <v>14024</v>
      </c>
      <c r="C2744" t="s" s="10">
        <v>60</v>
      </c>
      <c r="D2744" t="s" s="10">
        <v>727</v>
      </c>
      <c r="E2744" t="s" s="10">
        <v>62</v>
      </c>
      <c r="F2744" s="27">
        <v>44547</v>
      </c>
      <c r="G2744" t="s" s="10">
        <v>4267</v>
      </c>
      <c r="H2744" s="42">
        <v>0.9</v>
      </c>
      <c r="I2744" s="42">
        <v>11.5</v>
      </c>
      <c r="J2744" t="s" s="10">
        <v>14025</v>
      </c>
      <c r="K2744" t="s" s="10">
        <v>14026</v>
      </c>
      <c r="L2744" s="16">
        <f>HYPERLINK("http://www.raison.app", "www.raison.app")</f>
      </c>
      <c r="M2744" s="16">
        <f>HYPERLINK("https://my.pitchbook.com?c=432451-36", "View Company Online")</f>
      </c>
    </row>
    <row r="2745">
      <c r="A2745" t="s" s="11">
        <v>14028</v>
      </c>
      <c r="B2745" t="s" s="11">
        <v>14029</v>
      </c>
      <c r="C2745" t="s" s="11">
        <v>114</v>
      </c>
      <c r="D2745" t="s" s="11">
        <v>136</v>
      </c>
      <c r="E2745" t="s" s="11">
        <v>14030</v>
      </c>
      <c r="F2745" s="28">
        <v>45107</v>
      </c>
      <c r="G2745" t="s" s="11">
        <v>146</v>
      </c>
      <c r="H2745" s="43">
        <v>3.4</v>
      </c>
      <c r="I2745" s="43">
        <v>11.5</v>
      </c>
      <c r="J2745" t="s" s="11">
        <v>14031</v>
      </c>
      <c r="K2745" t="s" s="11">
        <v>14032</v>
      </c>
      <c r="L2745" s="17">
        <f>HYPERLINK("http://www.sherlok.com.au", "www.sherlok.com.au")</f>
      </c>
      <c r="M2745" s="17">
        <f>HYPERLINK("https://my.pitchbook.com?c=484144-12", "View Company Online")</f>
      </c>
    </row>
    <row r="2746">
      <c r="A2746" t="s" s="10">
        <v>14034</v>
      </c>
      <c r="B2746" t="s" s="10">
        <v>14035</v>
      </c>
      <c r="C2746" t="s" s="10">
        <v>60</v>
      </c>
      <c r="D2746" t="s" s="10">
        <v>192</v>
      </c>
      <c r="E2746" t="s" s="10">
        <v>373</v>
      </c>
      <c r="F2746" s="27">
        <v>45888</v>
      </c>
      <c r="G2746" t="s" s="10">
        <v>40</v>
      </c>
      <c r="H2746" s="42">
        <v>0.08</v>
      </c>
      <c r="I2746" s="42">
        <v>11.5</v>
      </c>
      <c r="J2746" t="s" s="10">
        <v>14036</v>
      </c>
      <c r="K2746" t="s" s="10">
        <v>30</v>
      </c>
      <c r="L2746" s="16">
        <f>HYPERLINK("http://www.theqwikgroup.com", "www.theqwikgroup.com")</f>
      </c>
      <c r="M2746" s="16">
        <f>HYPERLINK("https://my.pitchbook.com?c=625916-44", "View Company Online")</f>
      </c>
    </row>
    <row r="2747">
      <c r="A2747" t="s" s="11">
        <v>14038</v>
      </c>
      <c r="B2747" t="s" s="11">
        <v>14039</v>
      </c>
      <c r="C2747" t="s" s="11">
        <v>60</v>
      </c>
      <c r="D2747" t="s" s="11">
        <v>246</v>
      </c>
      <c r="E2747" t="s" s="11">
        <v>5117</v>
      </c>
      <c r="F2747" t="s" s="28">
        <v>30</v>
      </c>
      <c r="G2747" t="s" s="11">
        <v>271</v>
      </c>
      <c r="H2747" t="s" s="43">
        <v>30</v>
      </c>
      <c r="I2747" s="43">
        <v>11.45</v>
      </c>
      <c r="J2747" t="s" s="11">
        <v>14040</v>
      </c>
      <c r="K2747" t="s" s="11">
        <v>14041</v>
      </c>
      <c r="L2747" s="17">
        <f>HYPERLINK("http://www.sprive.com", "www.sprive.com")</f>
      </c>
      <c r="M2747" s="17">
        <f>HYPERLINK("https://my.pitchbook.com?c=463013-47", "View Company Online")</f>
      </c>
    </row>
    <row r="2748">
      <c r="A2748" t="s" s="10">
        <v>14043</v>
      </c>
      <c r="B2748" t="s" s="10">
        <v>14044</v>
      </c>
      <c r="C2748" t="s" s="10">
        <v>46</v>
      </c>
      <c r="D2748" t="s" s="10">
        <v>47</v>
      </c>
      <c r="E2748" t="s" s="10">
        <v>4517</v>
      </c>
      <c r="F2748" s="27">
        <v>45446</v>
      </c>
      <c r="G2748" t="s" s="10">
        <v>607</v>
      </c>
      <c r="H2748" t="s" s="42">
        <v>30</v>
      </c>
      <c r="I2748" s="42">
        <v>11.43</v>
      </c>
      <c r="J2748" t="s" s="10">
        <v>14045</v>
      </c>
      <c r="K2748" t="s" s="10">
        <v>14046</v>
      </c>
      <c r="L2748" s="16">
        <f>HYPERLINK("http://www.getmymuse.com", "www.getmymuse.com")</f>
      </c>
      <c r="M2748" s="16">
        <f>HYPERLINK("https://my.pitchbook.com?c=265427-47", "View Company Online")</f>
      </c>
    </row>
    <row r="2749">
      <c r="A2749" t="s" s="11">
        <v>14048</v>
      </c>
      <c r="B2749" t="s" s="11">
        <v>14049</v>
      </c>
      <c r="C2749" t="s" s="11">
        <v>60</v>
      </c>
      <c r="D2749" t="s" s="11">
        <v>420</v>
      </c>
      <c r="E2749" t="s" s="11">
        <v>253</v>
      </c>
      <c r="F2749" s="28">
        <v>44986</v>
      </c>
      <c r="G2749" t="s" s="11">
        <v>146</v>
      </c>
      <c r="H2749" s="43">
        <v>5</v>
      </c>
      <c r="I2749" s="43">
        <v>11.4</v>
      </c>
      <c r="J2749" t="s" s="11">
        <v>14050</v>
      </c>
      <c r="K2749" t="s" s="11">
        <v>14051</v>
      </c>
      <c r="L2749" s="17">
        <f>HYPERLINK("http://www.asendium.com", "www.asendium.com")</f>
      </c>
      <c r="M2749" s="17">
        <f>HYPERLINK("https://my.pitchbook.com?c=483628-96", "View Company Online")</f>
      </c>
    </row>
    <row r="2750">
      <c r="A2750" t="s" s="10">
        <v>14053</v>
      </c>
      <c r="B2750" t="s" s="10">
        <v>14054</v>
      </c>
      <c r="C2750" t="s" s="10">
        <v>114</v>
      </c>
      <c r="D2750" t="s" s="10">
        <v>852</v>
      </c>
      <c r="E2750" t="s" s="10">
        <v>137</v>
      </c>
      <c r="F2750" s="27">
        <v>45961</v>
      </c>
      <c r="G2750" t="s" s="10">
        <v>146</v>
      </c>
      <c r="H2750" s="42">
        <v>65.23</v>
      </c>
      <c r="I2750" s="42">
        <v>11.39</v>
      </c>
      <c r="J2750" t="s" s="10">
        <v>14055</v>
      </c>
      <c r="K2750" t="s" s="10">
        <v>14056</v>
      </c>
      <c r="L2750" s="16">
        <f>HYPERLINK("http://www.faktus.eu", "www.faktus.eu")</f>
      </c>
      <c r="M2750" s="16">
        <f>HYPERLINK("https://my.pitchbook.com?c=537022-18", "View Company Online")</f>
      </c>
    </row>
    <row r="2751">
      <c r="A2751" t="s" s="11">
        <v>14058</v>
      </c>
      <c r="B2751" t="s" s="11">
        <v>14059</v>
      </c>
      <c r="C2751" t="s" s="11">
        <v>222</v>
      </c>
      <c r="D2751" t="s" s="11">
        <v>537</v>
      </c>
      <c r="E2751" t="s" s="11">
        <v>759</v>
      </c>
      <c r="F2751" s="28">
        <v>44405</v>
      </c>
      <c r="G2751" t="s" s="11">
        <v>40</v>
      </c>
      <c r="H2751" s="43">
        <v>3.55</v>
      </c>
      <c r="I2751" s="43">
        <v>11.38</v>
      </c>
      <c r="J2751" t="s" s="11">
        <v>14060</v>
      </c>
      <c r="K2751" t="s" s="11">
        <v>14061</v>
      </c>
      <c r="L2751" s="17">
        <f>HYPERLINK("http://www.darwinex.com", "www.darwinex.com")</f>
      </c>
      <c r="M2751" s="17">
        <f>HYPERLINK("https://my.pitchbook.com?c=85896-91", "View Company Online")</f>
      </c>
    </row>
    <row r="2752">
      <c r="A2752" t="s" s="10">
        <v>14063</v>
      </c>
      <c r="B2752" t="s" s="10">
        <v>14064</v>
      </c>
      <c r="C2752" t="s" s="10">
        <v>222</v>
      </c>
      <c r="D2752" t="s" s="10">
        <v>223</v>
      </c>
      <c r="E2752" t="s" s="10">
        <v>373</v>
      </c>
      <c r="F2752" t="s" s="27">
        <v>30</v>
      </c>
      <c r="G2752" t="s" s="10">
        <v>48</v>
      </c>
      <c r="H2752" t="s" s="42">
        <v>30</v>
      </c>
      <c r="I2752" s="42">
        <v>11.37</v>
      </c>
      <c r="J2752" t="s" s="10">
        <v>14065</v>
      </c>
      <c r="K2752" t="s" s="10">
        <v>30</v>
      </c>
      <c r="L2752" s="16">
        <f>HYPERLINK("http://www.heckyl.com", "www.heckyl.com")</f>
      </c>
      <c r="M2752" s="16">
        <f>HYPERLINK("https://my.pitchbook.com?c=60668-29", "View Company Online")</f>
      </c>
    </row>
    <row r="2753">
      <c r="A2753" t="s" s="11">
        <v>14067</v>
      </c>
      <c r="B2753" t="s" s="11">
        <v>14068</v>
      </c>
      <c r="C2753" t="s" s="11">
        <v>27</v>
      </c>
      <c r="D2753" t="s" s="11">
        <v>28</v>
      </c>
      <c r="E2753" t="s" s="11">
        <v>253</v>
      </c>
      <c r="F2753" s="28">
        <v>45809</v>
      </c>
      <c r="G2753" t="s" s="11">
        <v>40</v>
      </c>
      <c r="H2753" t="s" s="43">
        <v>30</v>
      </c>
      <c r="I2753" s="43">
        <v>11.33</v>
      </c>
      <c r="J2753" t="s" s="11">
        <v>14069</v>
      </c>
      <c r="K2753" t="s" s="11">
        <v>14070</v>
      </c>
      <c r="L2753" s="17">
        <f>HYPERLINK("http://www.acceleronbank.com", "www.acceleronbank.com")</f>
      </c>
      <c r="M2753" s="17">
        <f>HYPERLINK("https://my.pitchbook.com?c=104131-99", "View Company Online")</f>
      </c>
    </row>
    <row r="2754">
      <c r="A2754" t="s" s="10">
        <v>14072</v>
      </c>
      <c r="B2754" t="s" s="10">
        <v>14073</v>
      </c>
      <c r="C2754" t="s" s="10">
        <v>60</v>
      </c>
      <c r="D2754" t="s" s="10">
        <v>192</v>
      </c>
      <c r="E2754" t="s" s="10">
        <v>373</v>
      </c>
      <c r="F2754" s="27">
        <v>44927</v>
      </c>
      <c r="G2754" t="s" s="10">
        <v>40</v>
      </c>
      <c r="H2754" s="42">
        <v>2</v>
      </c>
      <c r="I2754" s="42">
        <v>11.33</v>
      </c>
      <c r="J2754" t="s" s="10">
        <v>14074</v>
      </c>
      <c r="K2754" t="s" s="10">
        <v>14075</v>
      </c>
      <c r="L2754" s="16">
        <f>HYPERLINK("http://www.koyfin.com", "www.koyfin.com")</f>
      </c>
      <c r="M2754" s="16">
        <f>HYPERLINK("https://my.pitchbook.com?c=163364-86", "View Company Online")</f>
      </c>
    </row>
    <row r="2755">
      <c r="A2755" t="s" s="11">
        <v>14077</v>
      </c>
      <c r="B2755" t="s" s="11">
        <v>14078</v>
      </c>
      <c r="C2755" t="s" s="11">
        <v>60</v>
      </c>
      <c r="D2755" t="s" s="11">
        <v>192</v>
      </c>
      <c r="E2755" t="s" s="11">
        <v>373</v>
      </c>
      <c r="F2755" s="28">
        <v>45776</v>
      </c>
      <c r="G2755" t="s" s="11">
        <v>271</v>
      </c>
      <c r="H2755" s="43">
        <v>0.59</v>
      </c>
      <c r="I2755" s="43">
        <v>11.33</v>
      </c>
      <c r="J2755" t="s" s="11">
        <v>14079</v>
      </c>
      <c r="K2755" t="s" s="11">
        <v>30</v>
      </c>
      <c r="L2755" s="17">
        <f>HYPERLINK("http://www.trustie.co.uk", "www.trustie.co.uk")</f>
      </c>
      <c r="M2755" s="17">
        <f>HYPERLINK("https://my.pitchbook.com?c=539285-50", "View Company Online")</f>
      </c>
    </row>
    <row r="2756">
      <c r="A2756" t="s" s="10">
        <v>14081</v>
      </c>
      <c r="B2756" t="s" s="10">
        <v>14082</v>
      </c>
      <c r="C2756" t="s" s="10">
        <v>60</v>
      </c>
      <c r="D2756" t="s" s="10">
        <v>192</v>
      </c>
      <c r="E2756" t="s" s="10">
        <v>634</v>
      </c>
      <c r="F2756" s="27">
        <v>45188</v>
      </c>
      <c r="G2756" t="s" s="10">
        <v>4267</v>
      </c>
      <c r="H2756" s="42">
        <v>2.74</v>
      </c>
      <c r="I2756" s="42">
        <v>11.31</v>
      </c>
      <c r="J2756" t="s" s="10">
        <v>14083</v>
      </c>
      <c r="K2756" t="s" s="10">
        <v>14084</v>
      </c>
      <c r="L2756" s="16">
        <f>HYPERLINK("http://www.swimbird.com", "www.swimbird.com")</f>
      </c>
      <c r="M2756" s="16">
        <f>HYPERLINK("https://my.pitchbook.com?c=496838-80", "View Company Online")</f>
      </c>
    </row>
    <row r="2757">
      <c r="A2757" t="s" s="11">
        <v>14086</v>
      </c>
      <c r="B2757" t="s" s="11">
        <v>14087</v>
      </c>
      <c r="C2757" t="s" s="11">
        <v>27</v>
      </c>
      <c r="D2757" t="s" s="11">
        <v>28</v>
      </c>
      <c r="E2757" t="s" s="11">
        <v>270</v>
      </c>
      <c r="F2757" s="28">
        <v>45944</v>
      </c>
      <c r="G2757" t="s" s="11">
        <v>4267</v>
      </c>
      <c r="H2757" s="43">
        <v>2.07</v>
      </c>
      <c r="I2757" s="43">
        <v>11.26</v>
      </c>
      <c r="J2757" t="s" s="11">
        <v>14088</v>
      </c>
      <c r="K2757" t="s" s="11">
        <v>14089</v>
      </c>
      <c r="L2757" s="17">
        <f>HYPERLINK("http://www.grateful.net", "www.grateful.net")</f>
      </c>
      <c r="M2757" s="17">
        <f>HYPERLINK("https://my.pitchbook.com?c=501897-79", "View Company Online")</f>
      </c>
    </row>
    <row r="2758">
      <c r="A2758" t="s" s="10">
        <v>14091</v>
      </c>
      <c r="B2758" t="s" s="10">
        <v>14092</v>
      </c>
      <c r="C2758" t="s" s="10">
        <v>46</v>
      </c>
      <c r="D2758" t="s" s="10">
        <v>397</v>
      </c>
      <c r="E2758" t="s" s="10">
        <v>759</v>
      </c>
      <c r="F2758" s="27">
        <v>44434</v>
      </c>
      <c r="G2758" t="s" s="10">
        <v>40</v>
      </c>
      <c r="H2758" t="s" s="42">
        <v>30</v>
      </c>
      <c r="I2758" s="42">
        <v>11.26</v>
      </c>
      <c r="J2758" t="s" s="10">
        <v>14093</v>
      </c>
      <c r="K2758" t="s" s="10">
        <v>14094</v>
      </c>
      <c r="L2758" s="16">
        <f>HYPERLINK("http://www.paat.com", "www.paat.com")</f>
      </c>
      <c r="M2758" s="16">
        <f>HYPERLINK("https://my.pitchbook.com?c=149864-95", "View Company Online")</f>
      </c>
    </row>
    <row r="2759">
      <c r="A2759" t="s" s="11">
        <v>14096</v>
      </c>
      <c r="B2759" t="s" s="11">
        <v>14097</v>
      </c>
      <c r="C2759" t="s" s="11">
        <v>60</v>
      </c>
      <c r="D2759" t="s" s="11">
        <v>192</v>
      </c>
      <c r="E2759" t="s" s="11">
        <v>7678</v>
      </c>
      <c r="F2759" s="28">
        <v>45611</v>
      </c>
      <c r="G2759" t="s" s="11">
        <v>146</v>
      </c>
      <c r="H2759" s="43">
        <v>1.37</v>
      </c>
      <c r="I2759" s="43">
        <v>11.22</v>
      </c>
      <c r="J2759" t="s" s="11">
        <v>14098</v>
      </c>
      <c r="K2759" t="s" s="11">
        <v>14099</v>
      </c>
      <c r="L2759" s="17">
        <f>HYPERLINK("http://www.dealsplus.io", "www.dealsplus.io")</f>
      </c>
      <c r="M2759" s="17">
        <f>HYPERLINK("https://my.pitchbook.com?c=493825-78", "View Company Online")</f>
      </c>
    </row>
    <row r="2760">
      <c r="A2760" t="s" s="10">
        <v>14101</v>
      </c>
      <c r="B2760" t="s" s="10">
        <v>14102</v>
      </c>
      <c r="C2760" t="s" s="10">
        <v>164</v>
      </c>
      <c r="D2760" t="s" s="10">
        <v>206</v>
      </c>
      <c r="E2760" t="s" s="10">
        <v>332</v>
      </c>
      <c r="F2760" s="27">
        <v>45914</v>
      </c>
      <c r="G2760" t="s" s="10">
        <v>146</v>
      </c>
      <c r="H2760" s="42">
        <v>0.68</v>
      </c>
      <c r="I2760" s="42">
        <v>11.22</v>
      </c>
      <c r="J2760" t="s" s="10">
        <v>14103</v>
      </c>
      <c r="K2760" t="s" s="10">
        <v>14104</v>
      </c>
      <c r="L2760" s="16">
        <f>HYPERLINK("http://www.myuome.com", "www.myuome.com")</f>
      </c>
      <c r="M2760" s="16">
        <f>HYPERLINK("https://my.pitchbook.com?c=560281-69", "View Company Online")</f>
      </c>
    </row>
    <row r="2761">
      <c r="A2761" t="s" s="11">
        <v>14106</v>
      </c>
      <c r="B2761" t="s" s="11">
        <v>14107</v>
      </c>
      <c r="C2761" t="s" s="11">
        <v>46</v>
      </c>
      <c r="D2761" t="s" s="11">
        <v>47</v>
      </c>
      <c r="E2761" t="s" s="11">
        <v>259</v>
      </c>
      <c r="F2761" s="28">
        <v>45845</v>
      </c>
      <c r="G2761" t="s" s="11">
        <v>40</v>
      </c>
      <c r="H2761" t="s" s="43">
        <v>30</v>
      </c>
      <c r="I2761" s="43">
        <v>11.2</v>
      </c>
      <c r="J2761" t="s" s="11">
        <v>14108</v>
      </c>
      <c r="K2761" t="s" s="11">
        <v>14109</v>
      </c>
      <c r="L2761" s="17">
        <f>HYPERLINK("http://monetize360.ai", "monetize360.ai")</f>
      </c>
      <c r="M2761" s="17">
        <f>HYPERLINK("https://my.pitchbook.com?c=469915-39", "View Company Online")</f>
      </c>
    </row>
    <row r="2762">
      <c r="A2762" t="s" s="10">
        <v>14111</v>
      </c>
      <c r="B2762" t="s" s="10">
        <v>14112</v>
      </c>
      <c r="C2762" t="s" s="10">
        <v>164</v>
      </c>
      <c r="D2762" t="s" s="10">
        <v>165</v>
      </c>
      <c r="E2762" t="s" s="10">
        <v>14113</v>
      </c>
      <c r="F2762" s="27">
        <v>45642</v>
      </c>
      <c r="G2762" t="s" s="10">
        <v>40</v>
      </c>
      <c r="H2762" s="42">
        <v>1.58</v>
      </c>
      <c r="I2762" s="42">
        <v>11.2</v>
      </c>
      <c r="J2762" t="s" s="10">
        <v>14114</v>
      </c>
      <c r="K2762" t="s" s="10">
        <v>14115</v>
      </c>
      <c r="L2762" s="16">
        <f>HYPERLINK("http://www.wealthhubsolutions.com", "www.wealthhubsolutions.com")</f>
      </c>
      <c r="M2762" s="16">
        <f>HYPERLINK("https://my.pitchbook.com?c=125767-72", "View Company Online")</f>
      </c>
    </row>
    <row r="2763">
      <c r="A2763" t="s" s="11">
        <v>14117</v>
      </c>
      <c r="B2763" t="s" s="11">
        <v>14118</v>
      </c>
      <c r="C2763" t="s" s="11">
        <v>60</v>
      </c>
      <c r="D2763" t="s" s="11">
        <v>727</v>
      </c>
      <c r="E2763" t="s" s="11">
        <v>14119</v>
      </c>
      <c r="F2763" s="28">
        <v>45383</v>
      </c>
      <c r="G2763" t="s" s="11">
        <v>271</v>
      </c>
      <c r="H2763" s="43">
        <v>0.13</v>
      </c>
      <c r="I2763" s="43">
        <v>11.18</v>
      </c>
      <c r="J2763" t="s" s="11">
        <v>14120</v>
      </c>
      <c r="K2763" t="s" s="11">
        <v>14121</v>
      </c>
      <c r="L2763" s="17">
        <f>HYPERLINK("http://www.zeehaus.com", "www.zeehaus.com")</f>
      </c>
      <c r="M2763" s="17">
        <f>HYPERLINK("https://my.pitchbook.com?c=316917-73", "View Company Online")</f>
      </c>
    </row>
    <row r="2764">
      <c r="A2764" t="s" s="10">
        <v>14123</v>
      </c>
      <c r="B2764" t="s" s="10">
        <v>14124</v>
      </c>
      <c r="C2764" t="s" s="10">
        <v>46</v>
      </c>
      <c r="D2764" t="s" s="10">
        <v>47</v>
      </c>
      <c r="E2764" t="s" s="10">
        <v>414</v>
      </c>
      <c r="F2764" s="27">
        <v>46034</v>
      </c>
      <c r="G2764" t="s" s="10">
        <v>146</v>
      </c>
      <c r="H2764" s="42">
        <v>3.36</v>
      </c>
      <c r="I2764" s="42">
        <v>11.15</v>
      </c>
      <c r="J2764" t="s" s="10">
        <v>14125</v>
      </c>
      <c r="K2764" t="s" s="10">
        <v>14126</v>
      </c>
      <c r="L2764" s="16">
        <f>HYPERLINK("http://www.jenesys.co", "www.jenesys.co")</f>
      </c>
      <c r="M2764" s="16">
        <f>HYPERLINK("https://my.pitchbook.com?c=523427-95", "View Company Online")</f>
      </c>
    </row>
    <row r="2765">
      <c r="A2765" t="s" s="11">
        <v>14128</v>
      </c>
      <c r="B2765" t="s" s="11">
        <v>14129</v>
      </c>
      <c r="C2765" t="s" s="11">
        <v>128</v>
      </c>
      <c r="D2765" t="s" s="11">
        <v>276</v>
      </c>
      <c r="E2765" t="s" s="11">
        <v>1054</v>
      </c>
      <c r="F2765" s="28">
        <v>45992</v>
      </c>
      <c r="G2765" t="s" s="11">
        <v>48</v>
      </c>
      <c r="H2765" t="s" s="43">
        <v>30</v>
      </c>
      <c r="I2765" s="43">
        <v>11.14</v>
      </c>
      <c r="J2765" t="s" s="11">
        <v>14130</v>
      </c>
      <c r="K2765" t="s" s="11">
        <v>14131</v>
      </c>
      <c r="L2765" s="17">
        <f>HYPERLINK("http://www.fonmoney.com", "www.fonmoney.com")</f>
      </c>
      <c r="M2765" s="17">
        <f>HYPERLINK("https://my.pitchbook.com?c=176602-33", "View Company Online")</f>
      </c>
    </row>
    <row r="2766">
      <c r="A2766" t="s" s="10">
        <v>14133</v>
      </c>
      <c r="B2766" t="s" s="10">
        <v>14134</v>
      </c>
      <c r="C2766" t="s" s="10">
        <v>60</v>
      </c>
      <c r="D2766" t="s" s="10">
        <v>246</v>
      </c>
      <c r="E2766" t="s" s="10">
        <v>373</v>
      </c>
      <c r="F2766" s="27">
        <v>45836</v>
      </c>
      <c r="G2766" t="s" s="10">
        <v>146</v>
      </c>
      <c r="H2766" s="42">
        <v>1.62</v>
      </c>
      <c r="I2766" s="42">
        <v>11.08</v>
      </c>
      <c r="J2766" t="s" s="10">
        <v>14135</v>
      </c>
      <c r="K2766" t="s" s="10">
        <v>14136</v>
      </c>
      <c r="L2766" s="16">
        <f>HYPERLINK("http://www.octanom.com", "www.octanom.com")</f>
      </c>
      <c r="M2766" s="16">
        <f>HYPERLINK("https://my.pitchbook.com?c=517085-65", "View Company Online")</f>
      </c>
    </row>
    <row r="2767">
      <c r="A2767" t="s" s="11">
        <v>14138</v>
      </c>
      <c r="B2767" t="s" s="11">
        <v>14139</v>
      </c>
      <c r="C2767" t="s" s="11">
        <v>60</v>
      </c>
      <c r="D2767" t="s" s="11">
        <v>246</v>
      </c>
      <c r="E2767" t="s" s="11">
        <v>193</v>
      </c>
      <c r="F2767" s="28">
        <v>46088</v>
      </c>
      <c r="G2767" t="s" s="11">
        <v>607</v>
      </c>
      <c r="H2767" t="s" s="43">
        <v>30</v>
      </c>
      <c r="I2767" s="43">
        <v>11.03</v>
      </c>
      <c r="J2767" t="s" s="11">
        <v>14140</v>
      </c>
      <c r="K2767" t="s" s="11">
        <v>14141</v>
      </c>
      <c r="L2767" s="17">
        <f>HYPERLINK("http://www.lumio-app.com", "www.lumio-app.com")</f>
      </c>
      <c r="M2767" s="17">
        <f>HYPERLINK("https://my.pitchbook.com?c=233326-81", "View Company Online")</f>
      </c>
    </row>
    <row r="2768">
      <c r="A2768" t="s" s="10">
        <v>14143</v>
      </c>
      <c r="B2768" t="s" s="10">
        <v>14144</v>
      </c>
      <c r="C2768" t="s" s="10">
        <v>60</v>
      </c>
      <c r="D2768" t="s" s="10">
        <v>246</v>
      </c>
      <c r="E2768" t="s" s="10">
        <v>1266</v>
      </c>
      <c r="F2768" s="27">
        <v>45300</v>
      </c>
      <c r="G2768" t="s" s="10">
        <v>607</v>
      </c>
      <c r="H2768" t="s" s="42">
        <v>30</v>
      </c>
      <c r="I2768" s="42">
        <v>11.02</v>
      </c>
      <c r="J2768" t="s" s="10">
        <v>14145</v>
      </c>
      <c r="K2768" t="s" s="10">
        <v>14146</v>
      </c>
      <c r="L2768" s="16">
        <f>HYPERLINK("http://www.blackbullion.com", "www.blackbullion.com")</f>
      </c>
      <c r="M2768" s="16">
        <f>HYPERLINK("https://my.pitchbook.com?c=155400-94", "View Company Online")</f>
      </c>
    </row>
    <row r="2769">
      <c r="A2769" t="s" s="11">
        <v>14148</v>
      </c>
      <c r="B2769" t="s" s="11">
        <v>14149</v>
      </c>
      <c r="C2769" t="s" s="11">
        <v>60</v>
      </c>
      <c r="D2769" t="s" s="11">
        <v>192</v>
      </c>
      <c r="E2769" t="s" s="11">
        <v>193</v>
      </c>
      <c r="F2769" s="28">
        <v>45799</v>
      </c>
      <c r="G2769" t="s" s="11">
        <v>271</v>
      </c>
      <c r="H2769" t="s" s="43">
        <v>30</v>
      </c>
      <c r="I2769" s="43">
        <v>11.02</v>
      </c>
      <c r="J2769" t="s" s="11">
        <v>14150</v>
      </c>
      <c r="K2769" t="s" s="11">
        <v>14151</v>
      </c>
      <c r="L2769" s="17">
        <f>HYPERLINK("http://www.getincome.com", "www.getincome.com")</f>
      </c>
      <c r="M2769" s="17">
        <f>HYPERLINK("https://my.pitchbook.com?c=443280-07", "View Company Online")</f>
      </c>
    </row>
    <row r="2770">
      <c r="A2770" t="s" s="10">
        <v>14153</v>
      </c>
      <c r="B2770" t="s" s="10">
        <v>14154</v>
      </c>
      <c r="C2770" t="s" s="10">
        <v>60</v>
      </c>
      <c r="D2770" t="s" s="10">
        <v>727</v>
      </c>
      <c r="E2770" t="s" s="10">
        <v>1032</v>
      </c>
      <c r="F2770" s="27">
        <v>44508</v>
      </c>
      <c r="G2770" t="s" s="10">
        <v>4267</v>
      </c>
      <c r="H2770" s="42">
        <v>3.14</v>
      </c>
      <c r="I2770" s="42">
        <v>11.01</v>
      </c>
      <c r="J2770" t="s" s="10">
        <v>14155</v>
      </c>
      <c r="K2770" t="s" s="10">
        <v>14156</v>
      </c>
      <c r="L2770" s="16">
        <f>HYPERLINK("http://www.louveinvest.com", "www.louveinvest.com")</f>
      </c>
      <c r="M2770" s="16">
        <f>HYPERLINK("https://my.pitchbook.com?c=484632-55", "View Company Online")</f>
      </c>
    </row>
    <row r="2771">
      <c r="A2771" t="s" s="11">
        <v>14158</v>
      </c>
      <c r="B2771" t="s" s="11">
        <v>14159</v>
      </c>
      <c r="C2771" t="s" s="11">
        <v>128</v>
      </c>
      <c r="D2771" t="s" s="11">
        <v>129</v>
      </c>
      <c r="E2771" t="s" s="11">
        <v>193</v>
      </c>
      <c r="F2771" s="28">
        <v>45170</v>
      </c>
      <c r="G2771" t="s" s="11">
        <v>5274</v>
      </c>
      <c r="H2771" s="43">
        <v>0.5</v>
      </c>
      <c r="I2771" s="43">
        <v>11</v>
      </c>
      <c r="J2771" t="s" s="11">
        <v>14160</v>
      </c>
      <c r="K2771" t="s" s="11">
        <v>14161</v>
      </c>
      <c r="L2771" s="17">
        <f>HYPERLINK("http://www.acqyrexchange.com", "www.acqyrexchange.com")</f>
      </c>
      <c r="M2771" s="17">
        <f>HYPERLINK("https://my.pitchbook.com?c=222196-33", "View Company Online")</f>
      </c>
    </row>
    <row r="2772">
      <c r="A2772" t="s" s="10">
        <v>14163</v>
      </c>
      <c r="B2772" t="s" s="10">
        <v>14164</v>
      </c>
      <c r="C2772" t="s" s="10">
        <v>60</v>
      </c>
      <c r="D2772" t="s" s="10">
        <v>192</v>
      </c>
      <c r="E2772" t="s" s="10">
        <v>137</v>
      </c>
      <c r="F2772" s="27">
        <v>45679</v>
      </c>
      <c r="G2772" t="s" s="10">
        <v>146</v>
      </c>
      <c r="H2772" s="42">
        <v>10</v>
      </c>
      <c r="I2772" s="42">
        <v>11</v>
      </c>
      <c r="J2772" t="s" s="10">
        <v>14165</v>
      </c>
      <c r="K2772" t="s" s="10">
        <v>14166</v>
      </c>
      <c r="L2772" s="16">
        <f>HYPERLINK("http://www.baton.com", "www.baton.com")</f>
      </c>
      <c r="M2772" s="16">
        <f>HYPERLINK("https://my.pitchbook.com?c=489349-18", "View Company Online")</f>
      </c>
    </row>
    <row r="2773">
      <c r="A2773" t="s" s="11">
        <v>14168</v>
      </c>
      <c r="B2773" t="s" s="11">
        <v>14169</v>
      </c>
      <c r="C2773" t="s" s="11">
        <v>222</v>
      </c>
      <c r="D2773" t="s" s="11">
        <v>252</v>
      </c>
      <c r="E2773" t="s" s="11">
        <v>2927</v>
      </c>
      <c r="F2773" s="28">
        <v>45839</v>
      </c>
      <c r="G2773" t="s" s="11">
        <v>4267</v>
      </c>
      <c r="H2773" s="43">
        <v>6</v>
      </c>
      <c r="I2773" s="43">
        <v>11</v>
      </c>
      <c r="J2773" t="s" s="11">
        <v>14170</v>
      </c>
      <c r="K2773" t="s" s="11">
        <v>14171</v>
      </c>
      <c r="L2773" s="17">
        <f>HYPERLINK("http://www.cerescoin.io", "www.cerescoin.io")</f>
      </c>
      <c r="M2773" s="17">
        <f>HYPERLINK("https://my.pitchbook.com?c=112725-55", "View Company Online")</f>
      </c>
    </row>
    <row r="2774">
      <c r="A2774" t="s" s="10">
        <v>14173</v>
      </c>
      <c r="B2774" t="s" s="10">
        <v>14174</v>
      </c>
      <c r="C2774" t="s" s="10">
        <v>60</v>
      </c>
      <c r="D2774" t="s" s="10">
        <v>246</v>
      </c>
      <c r="E2774" t="s" s="10">
        <v>916</v>
      </c>
      <c r="F2774" s="27">
        <v>46168</v>
      </c>
      <c r="G2774" t="s" s="10">
        <v>2051</v>
      </c>
      <c r="H2774" t="s" s="42">
        <v>30</v>
      </c>
      <c r="I2774" s="42">
        <v>11</v>
      </c>
      <c r="J2774" t="s" s="10">
        <v>14175</v>
      </c>
      <c r="K2774" t="s" s="10">
        <v>30</v>
      </c>
      <c r="L2774" s="16">
        <f>HYPERLINK("http://www.getfivvy.com", "www.getfivvy.com")</f>
      </c>
      <c r="M2774" s="16">
        <f>HYPERLINK("https://my.pitchbook.com?c=519459-76", "View Company Online")</f>
      </c>
    </row>
    <row r="2775">
      <c r="A2775" t="s" s="11">
        <v>14177</v>
      </c>
      <c r="B2775" t="s" s="11">
        <v>14178</v>
      </c>
      <c r="C2775" t="s" s="11">
        <v>60</v>
      </c>
      <c r="D2775" t="s" s="11">
        <v>246</v>
      </c>
      <c r="E2775" t="s" s="11">
        <v>270</v>
      </c>
      <c r="F2775" s="28">
        <v>45076</v>
      </c>
      <c r="G2775" t="s" s="11">
        <v>4267</v>
      </c>
      <c r="H2775" s="43">
        <v>2.8</v>
      </c>
      <c r="I2775" s="43">
        <v>11</v>
      </c>
      <c r="J2775" t="s" s="11">
        <v>14179</v>
      </c>
      <c r="K2775" t="s" s="11">
        <v>14180</v>
      </c>
      <c r="L2775" s="17">
        <f>HYPERLINK("http://www.getfrich.com", "www.getfrich.com")</f>
      </c>
      <c r="M2775" s="17">
        <f>HYPERLINK("https://my.pitchbook.com?c=470897-65", "View Company Online")</f>
      </c>
    </row>
    <row r="2776">
      <c r="A2776" t="s" s="10">
        <v>14182</v>
      </c>
      <c r="B2776" t="s" s="10">
        <v>14183</v>
      </c>
      <c r="C2776" t="s" s="10">
        <v>144</v>
      </c>
      <c r="D2776" t="s" s="10">
        <v>297</v>
      </c>
      <c r="E2776" t="s" s="10">
        <v>137</v>
      </c>
      <c r="F2776" s="27">
        <v>46125</v>
      </c>
      <c r="G2776" t="s" s="10">
        <v>146</v>
      </c>
      <c r="H2776" t="s" s="42">
        <v>30</v>
      </c>
      <c r="I2776" s="42">
        <v>11</v>
      </c>
      <c r="J2776" t="s" s="10">
        <v>14184</v>
      </c>
      <c r="K2776" t="s" s="10">
        <v>14185</v>
      </c>
      <c r="L2776" s="16">
        <f>HYPERLINK("http://www.joinhomegrown.com", "www.joinhomegrown.com")</f>
      </c>
      <c r="M2776" s="16">
        <f>HYPERLINK("https://my.pitchbook.com?c=538088-77", "View Company Online")</f>
      </c>
    </row>
    <row r="2777">
      <c r="A2777" t="s" s="11">
        <v>14187</v>
      </c>
      <c r="B2777" t="s" s="11">
        <v>14188</v>
      </c>
      <c r="C2777" t="s" s="11">
        <v>172</v>
      </c>
      <c r="D2777" t="s" s="11">
        <v>1454</v>
      </c>
      <c r="E2777" t="s" s="11">
        <v>137</v>
      </c>
      <c r="F2777" s="28">
        <v>45680</v>
      </c>
      <c r="G2777" t="s" s="11">
        <v>4267</v>
      </c>
      <c r="H2777" s="43">
        <v>4.05</v>
      </c>
      <c r="I2777" s="43">
        <v>11</v>
      </c>
      <c r="J2777" t="s" s="11">
        <v>14189</v>
      </c>
      <c r="K2777" t="s" s="11">
        <v>14190</v>
      </c>
      <c r="L2777" s="17">
        <f>HYPERLINK("http://www.konfyd.com", "www.konfyd.com")</f>
      </c>
      <c r="M2777" s="17">
        <f>HYPERLINK("https://my.pitchbook.com?c=1084488-40", "View Company Online")</f>
      </c>
    </row>
    <row r="2778">
      <c r="A2778" t="s" s="10">
        <v>14192</v>
      </c>
      <c r="B2778" t="s" s="10">
        <v>14193</v>
      </c>
      <c r="C2778" t="s" s="10">
        <v>60</v>
      </c>
      <c r="D2778" t="s" s="10">
        <v>246</v>
      </c>
      <c r="E2778" t="s" s="10">
        <v>137</v>
      </c>
      <c r="F2778" s="27">
        <v>45266</v>
      </c>
      <c r="G2778" t="s" s="10">
        <v>4267</v>
      </c>
      <c r="H2778" s="42">
        <v>2.82</v>
      </c>
      <c r="I2778" s="42">
        <v>11</v>
      </c>
      <c r="J2778" t="s" s="10">
        <v>14194</v>
      </c>
      <c r="K2778" t="s" s="10">
        <v>14195</v>
      </c>
      <c r="L2778" s="16">
        <f>HYPERLINK("http://www.kredit.fyi", "www.kredit.fyi")</f>
      </c>
      <c r="M2778" s="16">
        <f>HYPERLINK("https://my.pitchbook.com?c=462296-98", "View Company Online")</f>
      </c>
    </row>
    <row r="2779">
      <c r="A2779" t="s" s="11">
        <v>14197</v>
      </c>
      <c r="B2779" t="s" s="11">
        <v>14198</v>
      </c>
      <c r="C2779" t="s" s="11">
        <v>114</v>
      </c>
      <c r="D2779" t="s" s="11">
        <v>136</v>
      </c>
      <c r="E2779" t="s" s="11">
        <v>253</v>
      </c>
      <c r="F2779" s="28">
        <v>45622</v>
      </c>
      <c r="G2779" t="s" s="11">
        <v>146</v>
      </c>
      <c r="H2779" s="43">
        <v>2</v>
      </c>
      <c r="I2779" s="43">
        <v>11</v>
      </c>
      <c r="J2779" t="s" s="11">
        <v>14199</v>
      </c>
      <c r="K2779" t="s" s="11">
        <v>14200</v>
      </c>
      <c r="L2779" s="17">
        <f>HYPERLINK("http://www.meetpaidly.com", "www.meetpaidly.com")</f>
      </c>
      <c r="M2779" s="17">
        <f>HYPERLINK("https://my.pitchbook.com?c=550525-60", "View Company Online")</f>
      </c>
    </row>
    <row r="2780">
      <c r="A2780" t="s" s="10">
        <v>14202</v>
      </c>
      <c r="B2780" t="s" s="10">
        <v>14203</v>
      </c>
      <c r="C2780" t="s" s="10">
        <v>60</v>
      </c>
      <c r="D2780" t="s" s="10">
        <v>246</v>
      </c>
      <c r="E2780" t="s" s="10">
        <v>200</v>
      </c>
      <c r="F2780" s="27">
        <v>46112</v>
      </c>
      <c r="G2780" t="s" s="10">
        <v>40</v>
      </c>
      <c r="H2780" s="42">
        <v>1.62</v>
      </c>
      <c r="I2780" s="42">
        <v>11</v>
      </c>
      <c r="J2780" t="s" s="10">
        <v>14204</v>
      </c>
      <c r="K2780" t="s" s="10">
        <v>14205</v>
      </c>
      <c r="L2780" s="16">
        <f>HYPERLINK("http://www.patrongo.com", "www.patrongo.com")</f>
      </c>
      <c r="M2780" s="16">
        <f>HYPERLINK("https://my.pitchbook.com?c=470619-01", "View Company Online")</f>
      </c>
    </row>
    <row r="2781">
      <c r="A2781" t="s" s="11">
        <v>14207</v>
      </c>
      <c r="B2781" t="s" s="11">
        <v>14208</v>
      </c>
      <c r="C2781" t="s" s="11">
        <v>60</v>
      </c>
      <c r="D2781" t="s" s="11">
        <v>727</v>
      </c>
      <c r="E2781" t="s" s="11">
        <v>253</v>
      </c>
      <c r="F2781" t="s" s="28">
        <v>30</v>
      </c>
      <c r="G2781" t="s" s="11">
        <v>40</v>
      </c>
      <c r="H2781" s="43">
        <v>8</v>
      </c>
      <c r="I2781" s="43">
        <v>10.97</v>
      </c>
      <c r="J2781" t="s" s="11">
        <v>14209</v>
      </c>
      <c r="K2781" t="s" s="11">
        <v>14210</v>
      </c>
      <c r="L2781" s="17">
        <f>HYPERLINK("http://www.gripinvest.in", "www.gripinvest.in")</f>
      </c>
      <c r="M2781" s="17">
        <f>HYPERLINK("https://my.pitchbook.com?c=454351-33", "View Company Online")</f>
      </c>
    </row>
    <row r="2782">
      <c r="A2782" t="s" s="10">
        <v>14212</v>
      </c>
      <c r="B2782" t="s" s="10">
        <v>14213</v>
      </c>
      <c r="C2782" t="s" s="10">
        <v>60</v>
      </c>
      <c r="D2782" t="s" s="10">
        <v>246</v>
      </c>
      <c r="E2782" t="s" s="10">
        <v>137</v>
      </c>
      <c r="F2782" s="27">
        <v>46243</v>
      </c>
      <c r="G2782" t="s" s="10">
        <v>2051</v>
      </c>
      <c r="H2782" t="s" s="42">
        <v>30</v>
      </c>
      <c r="I2782" s="42">
        <v>10.97</v>
      </c>
      <c r="J2782" t="s" s="10">
        <v>14214</v>
      </c>
      <c r="K2782" t="s" s="10">
        <v>30</v>
      </c>
      <c r="L2782" s="16">
        <f>HYPERLINK("http://www.nickels.us", "www.nickels.us")</f>
      </c>
      <c r="M2782" s="16">
        <f>HYPERLINK("https://my.pitchbook.com?c=266190-67", "View Company Online")</f>
      </c>
    </row>
    <row r="2783">
      <c r="A2783" t="s" s="11">
        <v>14216</v>
      </c>
      <c r="B2783" t="s" s="11">
        <v>14217</v>
      </c>
      <c r="C2783" t="s" s="11">
        <v>144</v>
      </c>
      <c r="D2783" t="s" s="11">
        <v>38</v>
      </c>
      <c r="E2783" t="s" s="11">
        <v>137</v>
      </c>
      <c r="F2783" s="28">
        <v>46009</v>
      </c>
      <c r="G2783" t="s" s="11">
        <v>40</v>
      </c>
      <c r="H2783" s="43">
        <v>0.6</v>
      </c>
      <c r="I2783" s="43">
        <v>10.91</v>
      </c>
      <c r="J2783" t="s" s="11">
        <v>14218</v>
      </c>
      <c r="K2783" t="s" s="11">
        <v>14219</v>
      </c>
      <c r="L2783" s="17">
        <f>HYPERLINK("http://www.albacoltd.co.uk", "www.albacoltd.co.uk")</f>
      </c>
      <c r="M2783" s="17">
        <f>HYPERLINK("https://my.pitchbook.com?c=435505-42", "View Company Online")</f>
      </c>
    </row>
    <row r="2784">
      <c r="A2784" t="s" s="10">
        <v>14221</v>
      </c>
      <c r="B2784" t="s" s="10">
        <v>14222</v>
      </c>
      <c r="C2784" t="s" s="10">
        <v>27</v>
      </c>
      <c r="D2784" t="s" s="10">
        <v>28</v>
      </c>
      <c r="E2784" t="s" s="10">
        <v>200</v>
      </c>
      <c r="F2784" s="27">
        <v>45490</v>
      </c>
      <c r="G2784" t="s" s="10">
        <v>40</v>
      </c>
      <c r="H2784" t="s" s="42">
        <v>30</v>
      </c>
      <c r="I2784" s="42">
        <v>10.89</v>
      </c>
      <c r="J2784" t="s" s="10">
        <v>14223</v>
      </c>
      <c r="K2784" t="s" s="10">
        <v>14224</v>
      </c>
      <c r="L2784" s="16">
        <f>HYPERLINK("http://www.getreceipthero.com", "www.getreceipthero.com")</f>
      </c>
      <c r="M2784" s="16">
        <f>HYPERLINK("https://my.pitchbook.com?c=234937-09", "View Company Online")</f>
      </c>
    </row>
    <row r="2785">
      <c r="A2785" t="s" s="11">
        <v>14226</v>
      </c>
      <c r="B2785" t="s" s="11">
        <v>14227</v>
      </c>
      <c r="C2785" t="s" s="11">
        <v>60</v>
      </c>
      <c r="D2785" t="s" s="11">
        <v>727</v>
      </c>
      <c r="E2785" t="s" s="11">
        <v>1032</v>
      </c>
      <c r="F2785" s="28">
        <v>44245</v>
      </c>
      <c r="G2785" t="s" s="11">
        <v>4267</v>
      </c>
      <c r="H2785" s="43">
        <v>3.57</v>
      </c>
      <c r="I2785" s="43">
        <v>10.88</v>
      </c>
      <c r="J2785" t="s" s="11">
        <v>14228</v>
      </c>
      <c r="K2785" t="s" s="11">
        <v>14229</v>
      </c>
      <c r="L2785" s="17">
        <f>HYPERLINK("http://www.iroko.eu", "www.iroko.eu")</f>
      </c>
      <c r="M2785" s="17">
        <f>HYPERLINK("https://my.pitchbook.com?c=460266-85", "View Company Online")</f>
      </c>
    </row>
    <row r="2786">
      <c r="A2786" t="s" s="10">
        <v>14231</v>
      </c>
      <c r="B2786" t="s" s="10">
        <v>14232</v>
      </c>
      <c r="C2786" t="s" s="10">
        <v>60</v>
      </c>
      <c r="D2786" t="s" s="10">
        <v>246</v>
      </c>
      <c r="E2786" t="s" s="10">
        <v>298</v>
      </c>
      <c r="F2786" s="27">
        <v>45246</v>
      </c>
      <c r="G2786" t="s" s="10">
        <v>5274</v>
      </c>
      <c r="H2786" s="42">
        <v>3</v>
      </c>
      <c r="I2786" s="42">
        <v>10.88</v>
      </c>
      <c r="J2786" t="s" s="10">
        <v>14233</v>
      </c>
      <c r="K2786" t="s" s="10">
        <v>14234</v>
      </c>
      <c r="L2786" s="16">
        <f>HYPERLINK("http://www.salt.one", "www.salt.one")</f>
      </c>
      <c r="M2786" s="16">
        <f>HYPERLINK("https://my.pitchbook.com?c=503811-64", "View Company Online")</f>
      </c>
    </row>
    <row r="2787">
      <c r="A2787" t="s" s="11">
        <v>14236</v>
      </c>
      <c r="B2787" t="s" s="11">
        <v>14237</v>
      </c>
      <c r="C2787" t="s" s="11">
        <v>114</v>
      </c>
      <c r="D2787" t="s" s="11">
        <v>115</v>
      </c>
      <c r="E2787" t="s" s="11">
        <v>1625</v>
      </c>
      <c r="F2787" t="s" s="28">
        <v>30</v>
      </c>
      <c r="G2787" t="s" s="11">
        <v>48</v>
      </c>
      <c r="H2787" t="s" s="43">
        <v>30</v>
      </c>
      <c r="I2787" s="43">
        <v>10.86</v>
      </c>
      <c r="J2787" t="s" s="11">
        <v>14238</v>
      </c>
      <c r="K2787" t="s" s="11">
        <v>14239</v>
      </c>
      <c r="L2787" s="17">
        <f>HYPERLINK("http://www.homevillegroup.com", "www.homevillegroup.com")</f>
      </c>
      <c r="M2787" s="17">
        <f>HYPERLINK("https://my.pitchbook.com?c=187505-92", "View Company Online")</f>
      </c>
    </row>
    <row r="2788">
      <c r="A2788" t="s" s="10">
        <v>14241</v>
      </c>
      <c r="B2788" t="s" s="10">
        <v>14242</v>
      </c>
      <c r="C2788" t="s" s="10">
        <v>164</v>
      </c>
      <c r="D2788" t="s" s="10">
        <v>206</v>
      </c>
      <c r="E2788" t="s" s="10">
        <v>253</v>
      </c>
      <c r="F2788" s="27">
        <v>45071</v>
      </c>
      <c r="G2788" t="s" s="10">
        <v>4267</v>
      </c>
      <c r="H2788" s="42">
        <v>1.67</v>
      </c>
      <c r="I2788" s="42">
        <v>10.81</v>
      </c>
      <c r="J2788" t="s" s="10">
        <v>14243</v>
      </c>
      <c r="K2788" t="s" s="10">
        <v>30</v>
      </c>
      <c r="L2788" s="16">
        <f>HYPERLINK("http://www.qghl.co.uk", "www.qghl.co.uk")</f>
      </c>
      <c r="M2788" s="16">
        <f>HYPERLINK("https://my.pitchbook.com?c=517846-33", "View Company Online")</f>
      </c>
    </row>
    <row r="2789">
      <c r="A2789" t="s" s="11">
        <v>14245</v>
      </c>
      <c r="B2789" t="s" s="11">
        <v>14246</v>
      </c>
      <c r="C2789" t="s" s="11">
        <v>164</v>
      </c>
      <c r="D2789" t="s" s="11">
        <v>165</v>
      </c>
      <c r="E2789" t="s" s="11">
        <v>116</v>
      </c>
      <c r="F2789" s="28">
        <v>44577</v>
      </c>
      <c r="G2789" t="s" s="11">
        <v>4267</v>
      </c>
      <c r="H2789" s="43">
        <v>0.8</v>
      </c>
      <c r="I2789" s="43">
        <v>10.8</v>
      </c>
      <c r="J2789" t="s" s="11">
        <v>14247</v>
      </c>
      <c r="K2789" t="s" s="11">
        <v>14248</v>
      </c>
      <c r="L2789" s="17">
        <f>HYPERLINK("http://otomo.ai", "otomo.ai")</f>
      </c>
      <c r="M2789" s="17">
        <f>HYPERLINK("https://my.pitchbook.com?c=114849-37", "View Company Online")</f>
      </c>
    </row>
    <row r="2790">
      <c r="A2790" t="s" s="10">
        <v>14250</v>
      </c>
      <c r="B2790" t="s" s="10">
        <v>14251</v>
      </c>
      <c r="C2790" t="s" s="10">
        <v>222</v>
      </c>
      <c r="D2790" t="s" s="10">
        <v>252</v>
      </c>
      <c r="E2790" t="s" s="10">
        <v>253</v>
      </c>
      <c r="F2790" s="27">
        <v>45964</v>
      </c>
      <c r="G2790" t="s" s="10">
        <v>4267</v>
      </c>
      <c r="H2790" s="42">
        <v>1.46</v>
      </c>
      <c r="I2790" s="42">
        <v>10.8</v>
      </c>
      <c r="J2790" t="s" s="10">
        <v>14252</v>
      </c>
      <c r="K2790" t="s" s="10">
        <v>14253</v>
      </c>
      <c r="L2790" s="16">
        <f>HYPERLINK("http://www.ssimple.io", "www.ssimple.io")</f>
      </c>
      <c r="M2790" s="16">
        <f>HYPERLINK("https://my.pitchbook.com?c=534779-20", "View Company Online")</f>
      </c>
    </row>
    <row r="2791">
      <c r="A2791" t="s" s="11">
        <v>14255</v>
      </c>
      <c r="B2791" t="s" s="11">
        <v>14256</v>
      </c>
      <c r="C2791" t="s" s="11">
        <v>46</v>
      </c>
      <c r="D2791" t="s" s="11">
        <v>397</v>
      </c>
      <c r="E2791" t="s" s="11">
        <v>373</v>
      </c>
      <c r="F2791" s="28">
        <v>45359</v>
      </c>
      <c r="G2791" t="s" s="11">
        <v>4267</v>
      </c>
      <c r="H2791" s="43">
        <v>3.45</v>
      </c>
      <c r="I2791" s="43">
        <v>10.8</v>
      </c>
      <c r="J2791" t="s" s="11">
        <v>14257</v>
      </c>
      <c r="K2791" t="s" s="11">
        <v>14258</v>
      </c>
      <c r="L2791" s="17">
        <f>HYPERLINK("http://www.sumday.io", "www.sumday.io")</f>
      </c>
      <c r="M2791" s="17">
        <f>HYPERLINK("https://my.pitchbook.com?c=521153-20", "View Company Online")</f>
      </c>
    </row>
    <row r="2792">
      <c r="A2792" t="s" s="10">
        <v>14260</v>
      </c>
      <c r="B2792" t="s" s="10">
        <v>14261</v>
      </c>
      <c r="C2792" t="s" s="10">
        <v>60</v>
      </c>
      <c r="D2792" t="s" s="10">
        <v>246</v>
      </c>
      <c r="E2792" t="s" s="10">
        <v>414</v>
      </c>
      <c r="F2792" s="27">
        <v>44320</v>
      </c>
      <c r="G2792" t="s" s="10">
        <v>271</v>
      </c>
      <c r="H2792" s="42">
        <v>1.77</v>
      </c>
      <c r="I2792" s="42">
        <v>10.79</v>
      </c>
      <c r="J2792" t="s" s="10">
        <v>14262</v>
      </c>
      <c r="K2792" t="s" s="10">
        <v>14263</v>
      </c>
      <c r="L2792" s="16">
        <f>HYPERLINK("http://www.norquant.no", "www.norquant.no")</f>
      </c>
      <c r="M2792" s="16">
        <f>HYPERLINK("https://my.pitchbook.com?c=233993-53", "View Company Online")</f>
      </c>
    </row>
    <row r="2793">
      <c r="A2793" t="s" s="11">
        <v>14265</v>
      </c>
      <c r="B2793" t="s" s="11">
        <v>14266</v>
      </c>
      <c r="C2793" t="s" s="11">
        <v>222</v>
      </c>
      <c r="D2793" t="s" s="11">
        <v>223</v>
      </c>
      <c r="E2793" t="s" s="11">
        <v>14267</v>
      </c>
      <c r="F2793" s="28">
        <v>46234</v>
      </c>
      <c r="G2793" t="s" s="11">
        <v>4267</v>
      </c>
      <c r="H2793" s="43">
        <v>0.67</v>
      </c>
      <c r="I2793" s="43">
        <v>10.78</v>
      </c>
      <c r="J2793" t="s" s="11">
        <v>14268</v>
      </c>
      <c r="K2793" t="s" s="11">
        <v>14269</v>
      </c>
      <c r="L2793" s="17">
        <f>HYPERLINK("http://www.climatealigned.co", "www.climatealigned.co")</f>
      </c>
      <c r="M2793" s="17">
        <f>HYPERLINK("https://my.pitchbook.com?c=535199-14", "View Company Online")</f>
      </c>
    </row>
    <row r="2794">
      <c r="A2794" t="s" s="10">
        <v>14271</v>
      </c>
      <c r="B2794" t="s" s="10">
        <v>14272</v>
      </c>
      <c r="C2794" t="s" s="10">
        <v>60</v>
      </c>
      <c r="D2794" t="s" s="10">
        <v>727</v>
      </c>
      <c r="E2794" t="s" s="10">
        <v>193</v>
      </c>
      <c r="F2794" s="27">
        <v>44455</v>
      </c>
      <c r="G2794" t="s" s="10">
        <v>40</v>
      </c>
      <c r="H2794" s="42">
        <v>2.19</v>
      </c>
      <c r="I2794" s="42">
        <v>10.78</v>
      </c>
      <c r="J2794" t="s" s="10">
        <v>14273</v>
      </c>
      <c r="K2794" t="s" s="10">
        <v>14274</v>
      </c>
      <c r="L2794" s="16">
        <f>HYPERLINK("http://www.rush.gold", "www.rush.gold")</f>
      </c>
      <c r="M2794" s="16">
        <f>HYPERLINK("https://my.pitchbook.com?c=232204-78", "View Company Online")</f>
      </c>
    </row>
    <row r="2795">
      <c r="A2795" t="s" s="11">
        <v>14276</v>
      </c>
      <c r="B2795" t="s" s="11">
        <v>14277</v>
      </c>
      <c r="C2795" t="s" s="11">
        <v>46</v>
      </c>
      <c r="D2795" t="s" s="11">
        <v>78</v>
      </c>
      <c r="E2795" t="s" s="11">
        <v>193</v>
      </c>
      <c r="F2795" s="28">
        <v>45810</v>
      </c>
      <c r="G2795" t="s" s="11">
        <v>40</v>
      </c>
      <c r="H2795" s="43">
        <v>28.63</v>
      </c>
      <c r="I2795" s="43">
        <v>10.76</v>
      </c>
      <c r="J2795" t="s" s="11">
        <v>14278</v>
      </c>
      <c r="K2795" t="s" s="11">
        <v>14279</v>
      </c>
      <c r="L2795" s="17">
        <f>HYPERLINK("http://www.payflow.es", "www.payflow.es")</f>
      </c>
      <c r="M2795" s="17">
        <f>HYPERLINK("https://my.pitchbook.com?c=437098-06", "View Company Online")</f>
      </c>
    </row>
    <row r="2796">
      <c r="A2796" t="s" s="10">
        <v>14281</v>
      </c>
      <c r="B2796" t="s" s="10">
        <v>14282</v>
      </c>
      <c r="C2796" t="s" s="10">
        <v>37</v>
      </c>
      <c r="D2796" t="s" s="10">
        <v>38</v>
      </c>
      <c r="E2796" t="s" s="10">
        <v>373</v>
      </c>
      <c r="F2796" s="27">
        <v>44888</v>
      </c>
      <c r="G2796" t="s" s="10">
        <v>4267</v>
      </c>
      <c r="H2796" s="42">
        <v>1.45</v>
      </c>
      <c r="I2796" s="42">
        <v>10.7</v>
      </c>
      <c r="J2796" t="s" s="10">
        <v>14283</v>
      </c>
      <c r="K2796" t="s" s="10">
        <v>30</v>
      </c>
      <c r="L2796" s="16">
        <f>HYPERLINK("http://www.galgal.money", "www.galgal.money")</f>
      </c>
      <c r="M2796" s="16">
        <f>HYPERLINK("https://my.pitchbook.com?c=515123-20", "View Company Online")</f>
      </c>
    </row>
    <row r="2797">
      <c r="A2797" t="s" s="11">
        <v>14285</v>
      </c>
      <c r="B2797" t="s" s="11">
        <v>14286</v>
      </c>
      <c r="C2797" t="s" s="11">
        <v>46</v>
      </c>
      <c r="D2797" t="s" s="11">
        <v>47</v>
      </c>
      <c r="E2797" t="s" s="11">
        <v>414</v>
      </c>
      <c r="F2797" s="28">
        <v>46118</v>
      </c>
      <c r="G2797" t="s" s="11">
        <v>40</v>
      </c>
      <c r="H2797" s="43">
        <v>10</v>
      </c>
      <c r="I2797" s="43">
        <v>10.6</v>
      </c>
      <c r="J2797" t="s" s="11">
        <v>14287</v>
      </c>
      <c r="K2797" t="s" s="11">
        <v>14288</v>
      </c>
      <c r="L2797" s="17">
        <f>HYPERLINK("http://www.cylerity.com", "www.cylerity.com")</f>
      </c>
      <c r="M2797" s="17">
        <f>HYPERLINK("https://my.pitchbook.com?c=278530-21", "View Company Online")</f>
      </c>
    </row>
    <row r="2798">
      <c r="A2798" t="s" s="10">
        <v>14290</v>
      </c>
      <c r="B2798" t="s" s="10">
        <v>14291</v>
      </c>
      <c r="C2798" t="s" s="10">
        <v>60</v>
      </c>
      <c r="D2798" t="s" s="10">
        <v>420</v>
      </c>
      <c r="E2798" t="s" s="10">
        <v>85</v>
      </c>
      <c r="F2798" s="27">
        <v>46023</v>
      </c>
      <c r="G2798" t="s" s="10">
        <v>391</v>
      </c>
      <c r="H2798" t="s" s="42">
        <v>30</v>
      </c>
      <c r="I2798" s="42">
        <v>10.6</v>
      </c>
      <c r="J2798" t="s" s="10">
        <v>14292</v>
      </c>
      <c r="K2798" t="s" s="10">
        <v>30</v>
      </c>
      <c r="L2798" s="16">
        <f>HYPERLINK("http://www.sugarwork.com", "www.sugarwork.com")</f>
      </c>
      <c r="M2798" s="16">
        <f>HYPERLINK("https://my.pitchbook.com?c=503061-49", "View Company Online")</f>
      </c>
    </row>
    <row r="2799">
      <c r="A2799" t="s" s="11">
        <v>14294</v>
      </c>
      <c r="B2799" t="s" s="11">
        <v>14295</v>
      </c>
      <c r="C2799" t="s" s="11">
        <v>114</v>
      </c>
      <c r="D2799" t="s" s="11">
        <v>136</v>
      </c>
      <c r="E2799" t="s" s="11">
        <v>14296</v>
      </c>
      <c r="F2799" s="28">
        <v>45672</v>
      </c>
      <c r="G2799" t="s" s="11">
        <v>31</v>
      </c>
      <c r="H2799" t="s" s="43">
        <v>30</v>
      </c>
      <c r="I2799" s="43">
        <v>10.58</v>
      </c>
      <c r="J2799" t="s" s="11">
        <v>14297</v>
      </c>
      <c r="K2799" t="s" s="11">
        <v>14298</v>
      </c>
      <c r="L2799" s="17">
        <f>HYPERLINK("http://croptell.com", "croptell.com")</f>
      </c>
      <c r="M2799" s="17">
        <f>HYPERLINK("https://my.pitchbook.com?c=539873-38", "View Company Online")</f>
      </c>
    </row>
    <row r="2800">
      <c r="A2800" t="s" s="10">
        <v>14300</v>
      </c>
      <c r="B2800" t="s" s="10">
        <v>14301</v>
      </c>
      <c r="C2800" t="s" s="10">
        <v>60</v>
      </c>
      <c r="D2800" t="s" s="10">
        <v>246</v>
      </c>
      <c r="E2800" t="s" s="10">
        <v>1853</v>
      </c>
      <c r="F2800" s="27">
        <v>45047</v>
      </c>
      <c r="G2800" t="s" s="10">
        <v>607</v>
      </c>
      <c r="H2800" t="s" s="42">
        <v>30</v>
      </c>
      <c r="I2800" s="42">
        <v>10.57</v>
      </c>
      <c r="J2800" t="s" s="10">
        <v>14302</v>
      </c>
      <c r="K2800" t="s" s="10">
        <v>14303</v>
      </c>
      <c r="L2800" s="16">
        <f>HYPERLINK("http://www.joinstepladder.com", "www.joinstepladder.com")</f>
      </c>
      <c r="M2800" s="16">
        <f>HYPERLINK("https://my.pitchbook.com?c=226794-79", "View Company Online")</f>
      </c>
    </row>
    <row r="2801">
      <c r="A2801" t="s" s="11">
        <v>14305</v>
      </c>
      <c r="B2801" t="s" s="11">
        <v>14306</v>
      </c>
      <c r="C2801" t="s" s="11">
        <v>128</v>
      </c>
      <c r="D2801" t="s" s="11">
        <v>276</v>
      </c>
      <c r="E2801" t="s" s="11">
        <v>14307</v>
      </c>
      <c r="F2801" t="s" s="28">
        <v>30</v>
      </c>
      <c r="G2801" t="s" s="11">
        <v>48</v>
      </c>
      <c r="H2801" t="s" s="43">
        <v>30</v>
      </c>
      <c r="I2801" s="43">
        <v>10.57</v>
      </c>
      <c r="J2801" t="s" s="11">
        <v>14308</v>
      </c>
      <c r="K2801" t="s" s="11">
        <v>14309</v>
      </c>
      <c r="L2801" s="17">
        <f>HYPERLINK("http://www.treecard.org", "www.treecard.org")</f>
      </c>
      <c r="M2801" s="17">
        <f>HYPERLINK("https://my.pitchbook.com?c=442609-66", "View Company Online")</f>
      </c>
    </row>
    <row r="2802">
      <c r="A2802" t="s" s="10">
        <v>14311</v>
      </c>
      <c r="B2802" t="s" s="10">
        <v>14312</v>
      </c>
      <c r="C2802" t="s" s="10">
        <v>144</v>
      </c>
      <c r="D2802" t="s" s="10">
        <v>38</v>
      </c>
      <c r="E2802" t="s" s="10">
        <v>14313</v>
      </c>
      <c r="F2802" s="27">
        <v>45522</v>
      </c>
      <c r="G2802" t="s" s="10">
        <v>4267</v>
      </c>
      <c r="H2802" s="42">
        <v>0.64</v>
      </c>
      <c r="I2802" s="42">
        <v>10.54</v>
      </c>
      <c r="J2802" t="s" s="10">
        <v>14314</v>
      </c>
      <c r="K2802" t="s" s="10">
        <v>30</v>
      </c>
      <c r="L2802" s="16">
        <f>HYPERLINK("http://www.getbueno.com", "www.getbueno.com")</f>
      </c>
      <c r="M2802" s="16">
        <f>HYPERLINK("https://my.pitchbook.com?c=462669-58", "View Company Online")</f>
      </c>
    </row>
    <row r="2803">
      <c r="A2803" t="s" s="11">
        <v>14316</v>
      </c>
      <c r="B2803" t="s" s="11">
        <v>14317</v>
      </c>
      <c r="C2803" t="s" s="11">
        <v>172</v>
      </c>
      <c r="D2803" t="s" s="11">
        <v>173</v>
      </c>
      <c r="E2803" t="s" s="11">
        <v>7068</v>
      </c>
      <c r="F2803" s="28">
        <v>45723</v>
      </c>
      <c r="G2803" t="s" s="11">
        <v>4267</v>
      </c>
      <c r="H2803" s="43">
        <v>1.5</v>
      </c>
      <c r="I2803" s="43">
        <v>10.5</v>
      </c>
      <c r="J2803" t="s" s="11">
        <v>14318</v>
      </c>
      <c r="K2803" t="s" s="11">
        <v>30</v>
      </c>
      <c r="L2803" s="17">
        <f>HYPERLINK("http://www.cypherface.com", "www.cypherface.com")</f>
      </c>
      <c r="M2803" s="17">
        <f>HYPERLINK("https://my.pitchbook.com?c=638374-33", "View Company Online")</f>
      </c>
    </row>
    <row r="2804">
      <c r="A2804" t="s" s="10">
        <v>14320</v>
      </c>
      <c r="B2804" t="s" s="10">
        <v>14321</v>
      </c>
      <c r="C2804" t="s" s="10">
        <v>164</v>
      </c>
      <c r="D2804" t="s" s="10">
        <v>206</v>
      </c>
      <c r="E2804" t="s" s="10">
        <v>14322</v>
      </c>
      <c r="F2804" s="27">
        <v>46023</v>
      </c>
      <c r="G2804" t="s" s="10">
        <v>48</v>
      </c>
      <c r="H2804" t="s" s="42">
        <v>30</v>
      </c>
      <c r="I2804" s="42">
        <v>10.5</v>
      </c>
      <c r="J2804" t="s" s="10">
        <v>14323</v>
      </c>
      <c r="K2804" t="s" s="10">
        <v>14324</v>
      </c>
      <c r="L2804" s="16">
        <f>HYPERLINK("http://www.finlocker.com", "www.finlocker.com")</f>
      </c>
      <c r="M2804" s="16">
        <f>HYPERLINK("https://my.pitchbook.com?c=119940-31", "View Company Online")</f>
      </c>
    </row>
    <row r="2805">
      <c r="A2805" t="s" s="11">
        <v>14326</v>
      </c>
      <c r="B2805" t="s" s="11">
        <v>14327</v>
      </c>
      <c r="C2805" t="s" s="11">
        <v>222</v>
      </c>
      <c r="D2805" t="s" s="11">
        <v>252</v>
      </c>
      <c r="E2805" t="s" s="11">
        <v>137</v>
      </c>
      <c r="F2805" s="28">
        <v>45149</v>
      </c>
      <c r="G2805" t="s" s="11">
        <v>146</v>
      </c>
      <c r="H2805" t="s" s="43">
        <v>30</v>
      </c>
      <c r="I2805" s="43">
        <v>10.5</v>
      </c>
      <c r="J2805" t="s" s="11">
        <v>14328</v>
      </c>
      <c r="K2805" t="s" s="11">
        <v>30</v>
      </c>
      <c r="L2805" s="17">
        <f>HYPERLINK("http://gilgalgeneral.com", "gilgalgeneral.com")</f>
      </c>
      <c r="M2805" s="17">
        <f>HYPERLINK("https://my.pitchbook.com?c=458073-91", "View Company Online")</f>
      </c>
    </row>
    <row r="2806">
      <c r="A2806" t="s" s="10">
        <v>14330</v>
      </c>
      <c r="B2806" t="s" s="10">
        <v>14331</v>
      </c>
      <c r="C2806" t="s" s="10">
        <v>60</v>
      </c>
      <c r="D2806" t="s" s="10">
        <v>246</v>
      </c>
      <c r="E2806" t="s" s="10">
        <v>116</v>
      </c>
      <c r="F2806" s="27">
        <v>45088</v>
      </c>
      <c r="G2806" t="s" s="10">
        <v>4267</v>
      </c>
      <c r="H2806" s="42">
        <v>1</v>
      </c>
      <c r="I2806" s="42">
        <v>10.5</v>
      </c>
      <c r="J2806" t="s" s="10">
        <v>14332</v>
      </c>
      <c r="K2806" t="s" s="10">
        <v>14333</v>
      </c>
      <c r="L2806" s="16">
        <f>HYPERLINK("http://www.maxrewards.com", "www.maxrewards.com")</f>
      </c>
      <c r="M2806" s="16">
        <f>HYPERLINK("https://my.pitchbook.com?c=398902-69", "View Company Online")</f>
      </c>
    </row>
    <row r="2807">
      <c r="A2807" t="s" s="11">
        <v>14335</v>
      </c>
      <c r="B2807" t="s" s="11">
        <v>14336</v>
      </c>
      <c r="C2807" t="s" s="11">
        <v>60</v>
      </c>
      <c r="D2807" t="s" s="11">
        <v>246</v>
      </c>
      <c r="E2807" t="s" s="11">
        <v>253</v>
      </c>
      <c r="F2807" s="28">
        <v>44617</v>
      </c>
      <c r="G2807" t="s" s="11">
        <v>4267</v>
      </c>
      <c r="H2807" s="43">
        <v>2.5</v>
      </c>
      <c r="I2807" s="43">
        <v>10.5</v>
      </c>
      <c r="J2807" t="s" s="11">
        <v>14337</v>
      </c>
      <c r="K2807" t="s" s="11">
        <v>14338</v>
      </c>
      <c r="L2807" s="17">
        <f>HYPERLINK("http://www.ovationventures.com", "www.ovationventures.com")</f>
      </c>
      <c r="M2807" s="17">
        <f>HYPERLINK("https://my.pitchbook.com?c=463981-78", "View Company Online")</f>
      </c>
    </row>
    <row r="2808">
      <c r="A2808" t="s" s="10">
        <v>14340</v>
      </c>
      <c r="B2808" t="s" s="10">
        <v>14341</v>
      </c>
      <c r="C2808" t="s" s="10">
        <v>60</v>
      </c>
      <c r="D2808" t="s" s="10">
        <v>246</v>
      </c>
      <c r="E2808" t="s" s="10">
        <v>253</v>
      </c>
      <c r="F2808" s="27">
        <v>44285</v>
      </c>
      <c r="G2808" t="s" s="10">
        <v>146</v>
      </c>
      <c r="H2808" s="42">
        <v>0.38</v>
      </c>
      <c r="I2808" s="42">
        <v>10.5</v>
      </c>
      <c r="J2808" t="s" s="10">
        <v>14342</v>
      </c>
      <c r="K2808" t="s" s="10">
        <v>14343</v>
      </c>
      <c r="L2808" s="16">
        <f>HYPERLINK("http://www.reflectvalues.com", "www.reflectvalues.com")</f>
      </c>
      <c r="M2808" s="16">
        <f>HYPERLINK("https://my.pitchbook.com?c=467253-64", "View Company Online")</f>
      </c>
    </row>
    <row r="2809">
      <c r="A2809" t="s" s="11">
        <v>14345</v>
      </c>
      <c r="B2809" t="s" s="11">
        <v>14346</v>
      </c>
      <c r="C2809" t="s" s="11">
        <v>27</v>
      </c>
      <c r="D2809" t="s" s="11">
        <v>28</v>
      </c>
      <c r="E2809" t="s" s="11">
        <v>253</v>
      </c>
      <c r="F2809" s="28">
        <v>45814</v>
      </c>
      <c r="G2809" t="s" s="11">
        <v>40</v>
      </c>
      <c r="H2809" s="43">
        <v>5.08</v>
      </c>
      <c r="I2809" s="43">
        <v>10.5</v>
      </c>
      <c r="J2809" t="s" s="11">
        <v>14347</v>
      </c>
      <c r="K2809" t="s" s="11">
        <v>14348</v>
      </c>
      <c r="L2809" s="17">
        <f>HYPERLINK("http://www.rockpapercoin.com", "www.rockpapercoin.com")</f>
      </c>
      <c r="M2809" s="17">
        <f>HYPERLINK("https://my.pitchbook.com?c=343516-06", "View Company Online")</f>
      </c>
    </row>
    <row r="2810">
      <c r="A2810" t="s" s="10">
        <v>14350</v>
      </c>
      <c r="B2810" t="s" s="10">
        <v>14351</v>
      </c>
      <c r="C2810" t="s" s="10">
        <v>46</v>
      </c>
      <c r="D2810" t="s" s="10">
        <v>397</v>
      </c>
      <c r="E2810" t="s" s="10">
        <v>881</v>
      </c>
      <c r="F2810" s="27">
        <v>45554</v>
      </c>
      <c r="G2810" t="s" s="10">
        <v>4267</v>
      </c>
      <c r="H2810" s="42">
        <v>2.8</v>
      </c>
      <c r="I2810" s="42">
        <v>10.5</v>
      </c>
      <c r="J2810" t="s" s="10">
        <v>14352</v>
      </c>
      <c r="K2810" t="s" s="10">
        <v>14353</v>
      </c>
      <c r="L2810" s="16">
        <f>HYPERLINK("http://www.statt.com", "www.statt.com")</f>
      </c>
      <c r="M2810" s="16">
        <f>HYPERLINK("https://my.pitchbook.com?c=481311-10", "View Company Online")</f>
      </c>
    </row>
    <row r="2811">
      <c r="A2811" t="s" s="11">
        <v>14355</v>
      </c>
      <c r="B2811" t="s" s="11">
        <v>14356</v>
      </c>
      <c r="C2811" t="s" s="11">
        <v>60</v>
      </c>
      <c r="D2811" t="s" s="11">
        <v>246</v>
      </c>
      <c r="E2811" t="s" s="11">
        <v>373</v>
      </c>
      <c r="F2811" s="28">
        <v>45512</v>
      </c>
      <c r="G2811" t="s" s="11">
        <v>40</v>
      </c>
      <c r="H2811" s="43">
        <v>0.98</v>
      </c>
      <c r="I2811" s="43">
        <v>10.4</v>
      </c>
      <c r="J2811" t="s" s="11">
        <v>14357</v>
      </c>
      <c r="K2811" t="s" s="11">
        <v>14358</v>
      </c>
      <c r="L2811" s="17">
        <f>HYPERLINK("http://openmoney.jp", "openmoney.jp")</f>
      </c>
      <c r="M2811" s="17">
        <f>HYPERLINK("https://my.pitchbook.com?c=491432-95", "View Company Online")</f>
      </c>
    </row>
    <row r="2812">
      <c r="A2812" t="s" s="10">
        <v>14360</v>
      </c>
      <c r="B2812" t="s" s="10">
        <v>14361</v>
      </c>
      <c r="C2812" t="s" s="10">
        <v>222</v>
      </c>
      <c r="D2812" t="s" s="10">
        <v>223</v>
      </c>
      <c r="E2812" t="s" s="10">
        <v>373</v>
      </c>
      <c r="F2812" s="27">
        <v>44853</v>
      </c>
      <c r="G2812" t="s" s="10">
        <v>40</v>
      </c>
      <c r="H2812" s="42">
        <v>3.85</v>
      </c>
      <c r="I2812" s="42">
        <v>10.39</v>
      </c>
      <c r="J2812" t="s" s="10">
        <v>14362</v>
      </c>
      <c r="K2812" t="s" s="10">
        <v>30</v>
      </c>
      <c r="L2812" s="16">
        <f>HYPERLINK("http://www.i2group.ch", "www.i2group.ch")</f>
      </c>
      <c r="M2812" s="16">
        <f>HYPERLINK("https://my.pitchbook.com?c=438521-32", "View Company Online")</f>
      </c>
    </row>
    <row r="2813">
      <c r="A2813" t="s" s="11">
        <v>14364</v>
      </c>
      <c r="B2813" t="s" s="11">
        <v>14365</v>
      </c>
      <c r="C2813" t="s" s="11">
        <v>172</v>
      </c>
      <c r="D2813" t="s" s="11">
        <v>338</v>
      </c>
      <c r="E2813" t="s" s="11">
        <v>185</v>
      </c>
      <c r="F2813" s="28">
        <v>44490</v>
      </c>
      <c r="G2813" t="s" s="11">
        <v>4267</v>
      </c>
      <c r="H2813" t="s" s="43">
        <v>30</v>
      </c>
      <c r="I2813" s="43">
        <v>10.36</v>
      </c>
      <c r="J2813" t="s" s="11">
        <v>14366</v>
      </c>
      <c r="K2813" t="s" s="11">
        <v>14367</v>
      </c>
      <c r="L2813" s="17">
        <f>HYPERLINK("http://www.ascentbusiness.com", "www.ascentbusiness.com")</f>
      </c>
      <c r="M2813" s="17">
        <f>HYPERLINK("https://my.pitchbook.com?c=231260-59", "View Company Online")</f>
      </c>
    </row>
    <row r="2814">
      <c r="A2814" t="s" s="10">
        <v>14369</v>
      </c>
      <c r="B2814" t="s" s="10">
        <v>14370</v>
      </c>
      <c r="C2814" t="s" s="10">
        <v>60</v>
      </c>
      <c r="D2814" t="s" s="10">
        <v>192</v>
      </c>
      <c r="E2814" t="s" s="10">
        <v>253</v>
      </c>
      <c r="F2814" s="27">
        <v>46164</v>
      </c>
      <c r="G2814" t="s" s="10">
        <v>2051</v>
      </c>
      <c r="H2814" t="s" s="42">
        <v>30</v>
      </c>
      <c r="I2814" s="42">
        <v>10.34</v>
      </c>
      <c r="J2814" t="s" s="10">
        <v>14371</v>
      </c>
      <c r="K2814" t="s" s="10">
        <v>30</v>
      </c>
      <c r="L2814" s="16">
        <f>HYPERLINK("http://www.mybasis.io", "www.mybasis.io")</f>
      </c>
      <c r="M2814" s="16">
        <f>HYPERLINK("https://my.pitchbook.com?c=225749-89", "View Company Online")</f>
      </c>
    </row>
    <row r="2815">
      <c r="A2815" t="s" s="11">
        <v>14373</v>
      </c>
      <c r="B2815" t="s" s="11">
        <v>14374</v>
      </c>
      <c r="C2815" t="s" s="11">
        <v>222</v>
      </c>
      <c r="D2815" t="s" s="11">
        <v>235</v>
      </c>
      <c r="E2815" t="s" s="11">
        <v>1207</v>
      </c>
      <c r="F2815" s="28">
        <v>45001</v>
      </c>
      <c r="G2815" t="s" s="11">
        <v>607</v>
      </c>
      <c r="H2815" t="s" s="43">
        <v>30</v>
      </c>
      <c r="I2815" s="43">
        <v>10.33</v>
      </c>
      <c r="J2815" t="s" s="11">
        <v>14375</v>
      </c>
      <c r="K2815" t="s" s="11">
        <v>14376</v>
      </c>
      <c r="L2815" s="17">
        <f>HYPERLINK("http://www.zapflow.com", "www.zapflow.com")</f>
      </c>
      <c r="M2815" s="17">
        <f>HYPERLINK("https://my.pitchbook.com?c=173074-51", "View Company Online")</f>
      </c>
    </row>
    <row r="2816">
      <c r="A2816" t="s" s="10">
        <v>14378</v>
      </c>
      <c r="B2816" t="s" s="10">
        <v>14379</v>
      </c>
      <c r="C2816" t="s" s="10">
        <v>164</v>
      </c>
      <c r="D2816" t="s" s="10">
        <v>165</v>
      </c>
      <c r="E2816" t="s" s="10">
        <v>634</v>
      </c>
      <c r="F2816" s="27">
        <v>44084</v>
      </c>
      <c r="G2816" t="s" s="10">
        <v>48</v>
      </c>
      <c r="H2816" t="s" s="42">
        <v>30</v>
      </c>
      <c r="I2816" s="42">
        <v>10.31</v>
      </c>
      <c r="J2816" t="s" s="10">
        <v>14380</v>
      </c>
      <c r="K2816" t="s" s="10">
        <v>14381</v>
      </c>
      <c r="L2816" s="16">
        <f>HYPERLINK("http://www.fermatinternational.com", "www.fermatinternational.com")</f>
      </c>
      <c r="M2816" s="16">
        <f>HYPERLINK("https://my.pitchbook.com?c=229532-86", "View Company Online")</f>
      </c>
    </row>
    <row r="2817">
      <c r="A2817" t="s" s="11">
        <v>14383</v>
      </c>
      <c r="B2817" t="s" s="11">
        <v>14384</v>
      </c>
      <c r="C2817" t="s" s="11">
        <v>46</v>
      </c>
      <c r="D2817" t="s" s="11">
        <v>47</v>
      </c>
      <c r="E2817" t="s" s="11">
        <v>270</v>
      </c>
      <c r="F2817" s="28">
        <v>46232</v>
      </c>
      <c r="G2817" t="s" s="11">
        <v>40</v>
      </c>
      <c r="H2817" s="43">
        <v>169.69</v>
      </c>
      <c r="I2817" s="43">
        <v>10.31</v>
      </c>
      <c r="J2817" t="s" s="11">
        <v>14385</v>
      </c>
      <c r="K2817" t="s" s="11">
        <v>14386</v>
      </c>
      <c r="L2817" s="17">
        <f>HYPERLINK("http://www.pexcard.com", "www.pexcard.com")</f>
      </c>
      <c r="M2817" s="17">
        <f>HYPERLINK("https://my.pitchbook.com?c=53653-33", "View Company Online")</f>
      </c>
    </row>
    <row r="2818">
      <c r="A2818" t="s" s="10">
        <v>14388</v>
      </c>
      <c r="B2818" t="s" s="10">
        <v>14389</v>
      </c>
      <c r="C2818" t="s" s="10">
        <v>128</v>
      </c>
      <c r="D2818" t="s" s="10">
        <v>199</v>
      </c>
      <c r="E2818" t="s" s="10">
        <v>270</v>
      </c>
      <c r="F2818" s="27">
        <v>46006</v>
      </c>
      <c r="G2818" t="s" s="10">
        <v>40</v>
      </c>
      <c r="H2818" s="42">
        <v>2.42</v>
      </c>
      <c r="I2818" s="42">
        <v>10.29</v>
      </c>
      <c r="J2818" t="s" s="10">
        <v>14390</v>
      </c>
      <c r="K2818" t="s" s="10">
        <v>14391</v>
      </c>
      <c r="L2818" s="16">
        <f>HYPERLINK("http://familytech.co.jp", "familytech.co.jp")</f>
      </c>
      <c r="M2818" s="16">
        <f>HYPERLINK("https://my.pitchbook.com?c=522837-55", "View Company Online")</f>
      </c>
    </row>
    <row r="2819">
      <c r="A2819" t="s" s="11">
        <v>14393</v>
      </c>
      <c r="B2819" t="s" s="11">
        <v>14394</v>
      </c>
      <c r="C2819" t="s" s="11">
        <v>114</v>
      </c>
      <c r="D2819" t="s" s="11">
        <v>136</v>
      </c>
      <c r="E2819" t="s" s="11">
        <v>373</v>
      </c>
      <c r="F2819" s="28">
        <v>45860</v>
      </c>
      <c r="G2819" t="s" s="11">
        <v>40</v>
      </c>
      <c r="H2819" s="43">
        <v>5.2</v>
      </c>
      <c r="I2819" s="43">
        <v>10.28</v>
      </c>
      <c r="J2819" t="s" s="11">
        <v>14395</v>
      </c>
      <c r="K2819" t="s" s="11">
        <v>14396</v>
      </c>
      <c r="L2819" s="17">
        <f>HYPERLINK("http://corporate.alumnote.jp", "corporate.alumnote.jp")</f>
      </c>
      <c r="M2819" s="17">
        <f>HYPERLINK("https://my.pitchbook.com?c=493193-35", "View Company Online")</f>
      </c>
    </row>
    <row r="2820">
      <c r="A2820" t="s" s="10">
        <v>14398</v>
      </c>
      <c r="B2820" t="s" s="10">
        <v>14399</v>
      </c>
      <c r="C2820" t="s" s="10">
        <v>46</v>
      </c>
      <c r="D2820" t="s" s="10">
        <v>47</v>
      </c>
      <c r="E2820" t="s" s="10">
        <v>1859</v>
      </c>
      <c r="F2820" s="27">
        <v>44936</v>
      </c>
      <c r="G2820" t="s" s="10">
        <v>40</v>
      </c>
      <c r="H2820" s="42">
        <v>2.5</v>
      </c>
      <c r="I2820" s="42">
        <v>10.25</v>
      </c>
      <c r="J2820" t="s" s="10">
        <v>14400</v>
      </c>
      <c r="K2820" t="s" s="10">
        <v>14401</v>
      </c>
      <c r="L2820" s="16">
        <f>HYPERLINK("http://www.myalii.cloud", "www.myalii.cloud")</f>
      </c>
      <c r="M2820" s="16">
        <f>HYPERLINK("https://my.pitchbook.com?c=518131-99", "View Company Online")</f>
      </c>
    </row>
    <row r="2821">
      <c r="A2821" t="s" s="11">
        <v>14403</v>
      </c>
      <c r="B2821" t="s" s="11">
        <v>14404</v>
      </c>
      <c r="C2821" t="s" s="11">
        <v>46</v>
      </c>
      <c r="D2821" t="s" s="11">
        <v>78</v>
      </c>
      <c r="E2821" t="s" s="11">
        <v>193</v>
      </c>
      <c r="F2821" s="28">
        <v>46160</v>
      </c>
      <c r="G2821" t="s" s="11">
        <v>2051</v>
      </c>
      <c r="H2821" t="s" s="43">
        <v>30</v>
      </c>
      <c r="I2821" s="43">
        <v>10.25</v>
      </c>
      <c r="J2821" t="s" s="11">
        <v>14405</v>
      </c>
      <c r="K2821" t="s" s="11">
        <v>30</v>
      </c>
      <c r="L2821" s="17">
        <f>HYPERLINK("http://www.prosperos.ai", "www.prosperos.ai")</f>
      </c>
      <c r="M2821" s="17">
        <f>HYPERLINK("https://my.pitchbook.com?c=600710-95", "View Company Online")</f>
      </c>
    </row>
    <row r="2822">
      <c r="A2822" t="s" s="10">
        <v>14407</v>
      </c>
      <c r="B2822" t="s" s="10">
        <v>14408</v>
      </c>
      <c r="C2822" t="s" s="10">
        <v>222</v>
      </c>
      <c r="D2822" t="s" s="10">
        <v>235</v>
      </c>
      <c r="E2822" t="s" s="10">
        <v>14409</v>
      </c>
      <c r="F2822" s="27">
        <v>45460</v>
      </c>
      <c r="G2822" t="s" s="10">
        <v>40</v>
      </c>
      <c r="H2822" s="42">
        <v>9</v>
      </c>
      <c r="I2822" s="42">
        <v>10.21</v>
      </c>
      <c r="J2822" t="s" s="10">
        <v>14410</v>
      </c>
      <c r="K2822" t="s" s="10">
        <v>14411</v>
      </c>
      <c r="L2822" s="16">
        <f>HYPERLINK("http://www.investorhub.com", "www.investorhub.com")</f>
      </c>
      <c r="M2822" s="16">
        <f>HYPERLINK("https://my.pitchbook.com?c=438602-14", "View Company Online")</f>
      </c>
    </row>
    <row r="2823">
      <c r="A2823" t="s" s="11">
        <v>14413</v>
      </c>
      <c r="B2823" t="s" s="11">
        <v>14414</v>
      </c>
      <c r="C2823" t="s" s="11">
        <v>172</v>
      </c>
      <c r="D2823" t="s" s="11">
        <v>338</v>
      </c>
      <c r="E2823" t="s" s="11">
        <v>634</v>
      </c>
      <c r="F2823" s="28">
        <v>45747</v>
      </c>
      <c r="G2823" t="s" s="11">
        <v>146</v>
      </c>
      <c r="H2823" s="43">
        <v>0.58</v>
      </c>
      <c r="I2823" s="43">
        <v>10.21</v>
      </c>
      <c r="J2823" t="s" s="11">
        <v>14415</v>
      </c>
      <c r="K2823" t="s" s="11">
        <v>14416</v>
      </c>
      <c r="L2823" s="17">
        <f>HYPERLINK("http://www.kyp.io", "www.kyp.io")</f>
      </c>
      <c r="M2823" s="17">
        <f>HYPERLINK("https://my.pitchbook.com?c=510107-32", "View Company Online")</f>
      </c>
    </row>
    <row r="2824">
      <c r="A2824" t="s" s="10">
        <v>14418</v>
      </c>
      <c r="B2824" t="s" s="10">
        <v>14419</v>
      </c>
      <c r="C2824" t="s" s="10">
        <v>164</v>
      </c>
      <c r="D2824" t="s" s="10">
        <v>165</v>
      </c>
      <c r="E2824" t="s" s="10">
        <v>137</v>
      </c>
      <c r="F2824" s="27">
        <v>44682</v>
      </c>
      <c r="G2824" t="s" s="10">
        <v>146</v>
      </c>
      <c r="H2824" t="s" s="42">
        <v>30</v>
      </c>
      <c r="I2824" s="42">
        <v>10.2</v>
      </c>
      <c r="J2824" t="s" s="10">
        <v>14420</v>
      </c>
      <c r="K2824" t="s" s="10">
        <v>14421</v>
      </c>
      <c r="L2824" s="16">
        <f>HYPERLINK("http://www.indicina.co", "www.indicina.co")</f>
      </c>
      <c r="M2824" s="16">
        <f>HYPERLINK("https://my.pitchbook.com?c=437648-41", "View Company Online")</f>
      </c>
    </row>
    <row r="2825">
      <c r="A2825" t="s" s="11">
        <v>14423</v>
      </c>
      <c r="B2825" t="s" s="11">
        <v>14424</v>
      </c>
      <c r="C2825" t="s" s="11">
        <v>46</v>
      </c>
      <c r="D2825" t="s" s="11">
        <v>47</v>
      </c>
      <c r="E2825" t="s" s="11">
        <v>634</v>
      </c>
      <c r="F2825" s="28">
        <v>46083</v>
      </c>
      <c r="G2825" t="s" s="11">
        <v>146</v>
      </c>
      <c r="H2825" s="43">
        <v>1.6</v>
      </c>
      <c r="I2825" s="43">
        <v>10.2</v>
      </c>
      <c r="J2825" t="s" s="11">
        <v>14425</v>
      </c>
      <c r="K2825" t="s" s="11">
        <v>14426</v>
      </c>
      <c r="L2825" s="17">
        <f>HYPERLINK("http://www.moonflow.ai", "www.moonflow.ai")</f>
      </c>
      <c r="M2825" s="17">
        <f>HYPERLINK("https://my.pitchbook.com?c=519784-66", "View Company Online")</f>
      </c>
    </row>
    <row r="2826">
      <c r="A2826" t="s" s="10">
        <v>14428</v>
      </c>
      <c r="B2826" t="s" s="10">
        <v>14429</v>
      </c>
      <c r="C2826" t="s" s="10">
        <v>164</v>
      </c>
      <c r="D2826" t="s" s="10">
        <v>165</v>
      </c>
      <c r="E2826" t="s" s="10">
        <v>29</v>
      </c>
      <c r="F2826" s="27">
        <v>45512</v>
      </c>
      <c r="G2826" t="s" s="10">
        <v>40</v>
      </c>
      <c r="H2826" s="42">
        <v>2</v>
      </c>
      <c r="I2826" s="42">
        <v>10.16</v>
      </c>
      <c r="J2826" t="s" s="10">
        <v>14430</v>
      </c>
      <c r="K2826" t="s" s="10">
        <v>14431</v>
      </c>
      <c r="L2826" s="16">
        <f>HYPERLINK("http://www.finqy.ai", "www.finqy.ai")</f>
      </c>
      <c r="M2826" s="16">
        <f>HYPERLINK("https://my.pitchbook.com?c=494521-21", "View Company Online")</f>
      </c>
    </row>
    <row r="2827">
      <c r="A2827" t="s" s="11">
        <v>14433</v>
      </c>
      <c r="B2827" t="s" s="11">
        <v>14434</v>
      </c>
      <c r="C2827" t="s" s="11">
        <v>172</v>
      </c>
      <c r="D2827" t="s" s="11">
        <v>1454</v>
      </c>
      <c r="E2827" t="s" s="11">
        <v>2695</v>
      </c>
      <c r="F2827" s="28">
        <v>46000</v>
      </c>
      <c r="G2827" t="s" s="11">
        <v>40</v>
      </c>
      <c r="H2827" t="s" s="43">
        <v>30</v>
      </c>
      <c r="I2827" s="43">
        <v>10.16</v>
      </c>
      <c r="J2827" t="s" s="11">
        <v>14435</v>
      </c>
      <c r="K2827" t="s" s="11">
        <v>14436</v>
      </c>
      <c r="L2827" s="17">
        <f>HYPERLINK("http://www.intelligentai.co.uk", "www.intelligentai.co.uk")</f>
      </c>
      <c r="M2827" s="17">
        <f>HYPERLINK("https://my.pitchbook.com?c=464011-48", "View Company Online")</f>
      </c>
    </row>
    <row r="2828">
      <c r="A2828" t="s" s="10">
        <v>14438</v>
      </c>
      <c r="B2828" t="s" s="10">
        <v>14439</v>
      </c>
      <c r="C2828" t="s" s="10">
        <v>222</v>
      </c>
      <c r="D2828" t="s" s="10">
        <v>223</v>
      </c>
      <c r="E2828" t="s" s="10">
        <v>1964</v>
      </c>
      <c r="F2828" s="27">
        <v>44559</v>
      </c>
      <c r="G2828" t="s" s="10">
        <v>40</v>
      </c>
      <c r="H2828" s="42">
        <v>2.33</v>
      </c>
      <c r="I2828" s="42">
        <v>10.13</v>
      </c>
      <c r="J2828" t="s" s="10">
        <v>14440</v>
      </c>
      <c r="K2828" t="s" s="10">
        <v>14441</v>
      </c>
      <c r="L2828" s="16">
        <f>HYPERLINK("http://www.marktomarket.io", "www.marktomarket.io")</f>
      </c>
      <c r="M2828" s="16">
        <f>HYPERLINK("https://my.pitchbook.com?c=233811-64", "View Company Online")</f>
      </c>
    </row>
    <row r="2829">
      <c r="A2829" t="s" s="11">
        <v>14443</v>
      </c>
      <c r="B2829" t="s" s="11">
        <v>14444</v>
      </c>
      <c r="C2829" t="s" s="11">
        <v>37</v>
      </c>
      <c r="D2829" t="s" s="11">
        <v>304</v>
      </c>
      <c r="E2829" t="s" s="11">
        <v>137</v>
      </c>
      <c r="F2829" s="28">
        <v>45839</v>
      </c>
      <c r="G2829" t="s" s="11">
        <v>146</v>
      </c>
      <c r="H2829" t="s" s="43">
        <v>30</v>
      </c>
      <c r="I2829" s="43">
        <v>10.11</v>
      </c>
      <c r="J2829" t="s" s="11">
        <v>14445</v>
      </c>
      <c r="K2829" t="s" s="11">
        <v>14446</v>
      </c>
      <c r="L2829" s="17">
        <f>HYPERLINK("http://www.smartpay.co", "www.smartpay.co")</f>
      </c>
      <c r="M2829" s="17">
        <f>HYPERLINK("https://my.pitchbook.com?c=489354-67", "View Company Online")</f>
      </c>
    </row>
    <row r="2830">
      <c r="A2830" t="s" s="10">
        <v>14448</v>
      </c>
      <c r="B2830" t="s" s="10">
        <v>14449</v>
      </c>
      <c r="C2830" t="s" s="10">
        <v>144</v>
      </c>
      <c r="D2830" t="s" s="10">
        <v>38</v>
      </c>
      <c r="E2830" t="s" s="10">
        <v>270</v>
      </c>
      <c r="F2830" s="27">
        <v>44721</v>
      </c>
      <c r="G2830" t="s" s="10">
        <v>146</v>
      </c>
      <c r="H2830" s="42">
        <v>22</v>
      </c>
      <c r="I2830" s="42">
        <v>10.07</v>
      </c>
      <c r="J2830" t="s" s="10">
        <v>14450</v>
      </c>
      <c r="K2830" t="s" s="10">
        <v>14451</v>
      </c>
      <c r="L2830" s="16">
        <f>HYPERLINK("http://www.tuningbill.com", "www.tuningbill.com")</f>
      </c>
      <c r="M2830" s="16">
        <f>HYPERLINK("https://my.pitchbook.com?c=436433-41", "View Company Online")</f>
      </c>
    </row>
    <row r="2831">
      <c r="A2831" t="s" s="11">
        <v>14453</v>
      </c>
      <c r="B2831" t="s" s="11">
        <v>14454</v>
      </c>
      <c r="C2831" t="s" s="11">
        <v>164</v>
      </c>
      <c r="D2831" t="s" s="11">
        <v>206</v>
      </c>
      <c r="E2831" t="s" s="11">
        <v>193</v>
      </c>
      <c r="F2831" t="s" s="28">
        <v>30</v>
      </c>
      <c r="G2831" t="s" s="11">
        <v>48</v>
      </c>
      <c r="H2831" t="s" s="43">
        <v>30</v>
      </c>
      <c r="I2831" s="43">
        <v>10.05</v>
      </c>
      <c r="J2831" t="s" s="11">
        <v>14455</v>
      </c>
      <c r="K2831" t="s" s="11">
        <v>14456</v>
      </c>
      <c r="L2831" s="17">
        <f>HYPERLINK("http://www.dimply.ai", "www.dimply.ai")</f>
      </c>
      <c r="M2831" s="17">
        <f>HYPERLINK("https://my.pitchbook.com?c=455244-76", "View Company Online")</f>
      </c>
    </row>
    <row r="2832">
      <c r="A2832" t="s" s="10">
        <v>14458</v>
      </c>
      <c r="B2832" t="s" s="10">
        <v>14459</v>
      </c>
      <c r="C2832" t="s" s="10">
        <v>27</v>
      </c>
      <c r="D2832" t="s" s="10">
        <v>28</v>
      </c>
      <c r="E2832" t="s" s="10">
        <v>193</v>
      </c>
      <c r="F2832" t="s" s="27">
        <v>30</v>
      </c>
      <c r="G2832" t="s" s="10">
        <v>40</v>
      </c>
      <c r="H2832" s="42">
        <v>1.89</v>
      </c>
      <c r="I2832" s="42">
        <v>10.04</v>
      </c>
      <c r="J2832" t="s" s="10">
        <v>14460</v>
      </c>
      <c r="K2832" t="s" s="10">
        <v>14461</v>
      </c>
      <c r="L2832" s="16">
        <f>HYPERLINK("http://www.paytia.com", "www.paytia.com")</f>
      </c>
      <c r="M2832" s="16">
        <f>HYPERLINK("https://my.pitchbook.com?c=443013-40", "View Company Online")</f>
      </c>
    </row>
    <row r="2833">
      <c r="A2833" t="s" s="11">
        <v>14463</v>
      </c>
      <c r="B2833" t="s" s="11">
        <v>14464</v>
      </c>
      <c r="C2833" t="s" s="11">
        <v>222</v>
      </c>
      <c r="D2833" t="s" s="11">
        <v>235</v>
      </c>
      <c r="E2833" t="s" s="11">
        <v>414</v>
      </c>
      <c r="F2833" s="28">
        <v>45112</v>
      </c>
      <c r="G2833" t="s" s="11">
        <v>4267</v>
      </c>
      <c r="H2833" s="43">
        <v>0.8</v>
      </c>
      <c r="I2833" s="43">
        <v>10.02</v>
      </c>
      <c r="J2833" t="s" s="11">
        <v>14465</v>
      </c>
      <c r="K2833" t="s" s="11">
        <v>14466</v>
      </c>
      <c r="L2833" s="17">
        <f>HYPERLINK("http://www.qardus.com", "www.qardus.com")</f>
      </c>
      <c r="M2833" s="17">
        <f>HYPERLINK("https://my.pitchbook.com?c=338560-30", "View Company Online")</f>
      </c>
    </row>
    <row r="2834">
      <c r="A2834" t="s" s="10">
        <v>14468</v>
      </c>
      <c r="B2834" t="s" s="10">
        <v>14469</v>
      </c>
      <c r="C2834" t="s" s="10">
        <v>27</v>
      </c>
      <c r="D2834" t="s" s="10">
        <v>28</v>
      </c>
      <c r="E2834" t="s" s="10">
        <v>253</v>
      </c>
      <c r="F2834" s="27">
        <v>43937</v>
      </c>
      <c r="G2834" t="s" s="10">
        <v>146</v>
      </c>
      <c r="H2834" s="42">
        <v>3.17</v>
      </c>
      <c r="I2834" s="42">
        <v>10.01</v>
      </c>
      <c r="J2834" t="s" s="10">
        <v>14470</v>
      </c>
      <c r="K2834" t="s" s="10">
        <v>14471</v>
      </c>
      <c r="L2834" s="16">
        <f>HYPERLINK("http://www.own.solutions", "www.own.solutions")</f>
      </c>
      <c r="M2834" s="16">
        <f>HYPERLINK("https://my.pitchbook.com?c=266277-79", "View Company Online")</f>
      </c>
    </row>
    <row r="2835">
      <c r="A2835" t="s" s="11">
        <v>14473</v>
      </c>
      <c r="B2835" t="s" s="11">
        <v>14474</v>
      </c>
      <c r="C2835" t="s" s="11">
        <v>222</v>
      </c>
      <c r="D2835" t="s" s="11">
        <v>252</v>
      </c>
      <c r="E2835" t="s" s="11">
        <v>2927</v>
      </c>
      <c r="F2835" s="28">
        <v>45555</v>
      </c>
      <c r="G2835" t="s" s="11">
        <v>271</v>
      </c>
      <c r="H2835" s="43">
        <v>0.22</v>
      </c>
      <c r="I2835" s="43">
        <v>10.01</v>
      </c>
      <c r="J2835" t="s" s="11">
        <v>14475</v>
      </c>
      <c r="K2835" t="s" s="11">
        <v>14476</v>
      </c>
      <c r="L2835" s="17">
        <f>HYPERLINK("http://www.utocat.com", "www.utocat.com")</f>
      </c>
      <c r="M2835" s="17">
        <f>HYPERLINK("https://my.pitchbook.com?c=166767-49", "View Company Online")</f>
      </c>
    </row>
    <row r="2836">
      <c r="A2836" t="s" s="10">
        <v>14478</v>
      </c>
      <c r="B2836" t="s" s="10">
        <v>14479</v>
      </c>
      <c r="C2836" t="s" s="10">
        <v>60</v>
      </c>
      <c r="D2836" t="s" s="10">
        <v>727</v>
      </c>
      <c r="E2836" t="s" s="10">
        <v>137</v>
      </c>
      <c r="F2836" s="27">
        <v>43521</v>
      </c>
      <c r="G2836" t="s" s="10">
        <v>40</v>
      </c>
      <c r="H2836" s="42">
        <v>2</v>
      </c>
      <c r="I2836" s="42">
        <v>10</v>
      </c>
      <c r="J2836" t="s" s="10">
        <v>14480</v>
      </c>
      <c r="K2836" t="s" s="10">
        <v>14481</v>
      </c>
      <c r="L2836" s="16">
        <f>HYPERLINK("http://www.alphai.com", "www.alphai.com")</f>
      </c>
      <c r="M2836" s="16">
        <f>HYPERLINK("https://my.pitchbook.com?c=184333-87", "View Company Online")</f>
      </c>
    </row>
    <row r="2837">
      <c r="A2837" t="s" s="11">
        <v>14483</v>
      </c>
      <c r="B2837" t="s" s="11">
        <v>14484</v>
      </c>
      <c r="C2837" t="s" s="11">
        <v>164</v>
      </c>
      <c r="D2837" t="s" s="11">
        <v>165</v>
      </c>
      <c r="E2837" t="s" s="11">
        <v>9284</v>
      </c>
      <c r="F2837" s="28">
        <v>43879</v>
      </c>
      <c r="G2837" t="s" s="11">
        <v>40</v>
      </c>
      <c r="H2837" s="43">
        <v>0.05</v>
      </c>
      <c r="I2837" s="43">
        <v>10</v>
      </c>
      <c r="J2837" t="s" s="11">
        <v>14485</v>
      </c>
      <c r="K2837" t="s" s="11">
        <v>14486</v>
      </c>
      <c r="L2837" s="17">
        <f>HYPERLINK("http://www.alpharank.ai", "www.alpharank.ai")</f>
      </c>
      <c r="M2837" s="17">
        <f>HYPERLINK("https://my.pitchbook.com?c=149113-81", "View Company Online")</f>
      </c>
    </row>
    <row r="2838">
      <c r="A2838" t="s" s="10">
        <v>14488</v>
      </c>
      <c r="B2838" t="s" s="10">
        <v>14489</v>
      </c>
      <c r="C2838" t="s" s="10">
        <v>164</v>
      </c>
      <c r="D2838" t="s" s="10">
        <v>206</v>
      </c>
      <c r="E2838" t="s" s="10">
        <v>373</v>
      </c>
      <c r="F2838" s="27">
        <v>45238</v>
      </c>
      <c r="G2838" t="s" s="10">
        <v>4267</v>
      </c>
      <c r="H2838" s="42">
        <v>3.77</v>
      </c>
      <c r="I2838" s="42">
        <v>10</v>
      </c>
      <c r="J2838" t="s" s="10">
        <v>14490</v>
      </c>
      <c r="K2838" t="s" s="10">
        <v>14491</v>
      </c>
      <c r="L2838" s="16">
        <f>HYPERLINK("http://www.getattune.com", "www.getattune.com")</f>
      </c>
      <c r="M2838" s="16">
        <f>HYPERLINK("https://my.pitchbook.com?c=399216-43", "View Company Online")</f>
      </c>
    </row>
    <row r="2839">
      <c r="A2839" t="s" s="11">
        <v>14493</v>
      </c>
      <c r="B2839" t="s" s="11">
        <v>14494</v>
      </c>
      <c r="C2839" t="s" s="11">
        <v>164</v>
      </c>
      <c r="D2839" t="s" s="11">
        <v>206</v>
      </c>
      <c r="E2839" t="s" s="11">
        <v>634</v>
      </c>
      <c r="F2839" s="28">
        <v>44580</v>
      </c>
      <c r="G2839" t="s" s="11">
        <v>4267</v>
      </c>
      <c r="H2839" s="43">
        <v>2</v>
      </c>
      <c r="I2839" s="43">
        <v>10</v>
      </c>
      <c r="J2839" t="s" s="11">
        <v>14495</v>
      </c>
      <c r="K2839" t="s" s="11">
        <v>14496</v>
      </c>
      <c r="L2839" s="17">
        <f>HYPERLINK("http://www.b54.co", "www.b54.co")</f>
      </c>
      <c r="M2839" s="17">
        <f>HYPERLINK("https://my.pitchbook.com?c=494369-11", "View Company Online")</f>
      </c>
    </row>
    <row r="2840">
      <c r="A2840" t="s" s="10">
        <v>14498</v>
      </c>
      <c r="B2840" t="s" s="10">
        <v>14499</v>
      </c>
      <c r="C2840" t="s" s="10">
        <v>164</v>
      </c>
      <c r="D2840" t="s" s="10">
        <v>165</v>
      </c>
      <c r="E2840" t="s" s="10">
        <v>14500</v>
      </c>
      <c r="F2840" s="27">
        <v>46237</v>
      </c>
      <c r="G2840" t="s" s="10">
        <v>2051</v>
      </c>
      <c r="H2840" t="s" s="42">
        <v>30</v>
      </c>
      <c r="I2840" s="42">
        <v>10</v>
      </c>
      <c r="J2840" t="s" s="10">
        <v>14501</v>
      </c>
      <c r="K2840" t="s" s="10">
        <v>30</v>
      </c>
      <c r="L2840" s="16">
        <f>HYPERLINK("http://www.connectifi.co", "www.connectifi.co")</f>
      </c>
      <c r="M2840" s="16">
        <f>HYPERLINK("https://my.pitchbook.com?c=522119-62", "View Company Online")</f>
      </c>
    </row>
    <row r="2841">
      <c r="A2841" t="s" s="11">
        <v>14503</v>
      </c>
      <c r="B2841" t="s" s="11">
        <v>14504</v>
      </c>
      <c r="C2841" t="s" s="11">
        <v>172</v>
      </c>
      <c r="D2841" t="s" s="11">
        <v>338</v>
      </c>
      <c r="E2841" t="s" s="11">
        <v>373</v>
      </c>
      <c r="F2841" s="28">
        <v>45560</v>
      </c>
      <c r="G2841" t="s" s="11">
        <v>146</v>
      </c>
      <c r="H2841" s="43">
        <v>6.66</v>
      </c>
      <c r="I2841" s="43">
        <v>10</v>
      </c>
      <c r="J2841" t="s" s="11">
        <v>14505</v>
      </c>
      <c r="K2841" t="s" s="11">
        <v>14506</v>
      </c>
      <c r="L2841" s="17">
        <f>HYPERLINK("http://www.dotfile.com", "www.dotfile.com")</f>
      </c>
      <c r="M2841" s="17">
        <f>HYPERLINK("https://my.pitchbook.com?c=502687-09", "View Company Online")</f>
      </c>
    </row>
    <row r="2842">
      <c r="A2842" t="s" s="10">
        <v>14508</v>
      </c>
      <c r="B2842" t="s" s="10">
        <v>14509</v>
      </c>
      <c r="C2842" t="s" s="10">
        <v>60</v>
      </c>
      <c r="D2842" t="s" s="10">
        <v>432</v>
      </c>
      <c r="E2842" t="s" s="10">
        <v>14510</v>
      </c>
      <c r="F2842" s="27">
        <v>44186</v>
      </c>
      <c r="G2842" t="s" s="10">
        <v>40</v>
      </c>
      <c r="H2842" s="42">
        <v>1</v>
      </c>
      <c r="I2842" s="42">
        <v>10</v>
      </c>
      <c r="J2842" t="s" s="10">
        <v>14511</v>
      </c>
      <c r="K2842" t="s" s="10">
        <v>14512</v>
      </c>
      <c r="L2842" s="16">
        <f>HYPERLINK("http://www.finalytix.com", "www.finalytix.com")</f>
      </c>
      <c r="M2842" s="16">
        <f>HYPERLINK("https://my.pitchbook.com?c=234742-24", "View Company Online")</f>
      </c>
    </row>
    <row r="2843">
      <c r="A2843" t="s" s="11">
        <v>14514</v>
      </c>
      <c r="B2843" t="s" s="11">
        <v>14515</v>
      </c>
      <c r="C2843" t="s" s="11">
        <v>37</v>
      </c>
      <c r="D2843" t="s" s="11">
        <v>38</v>
      </c>
      <c r="E2843" t="s" s="11">
        <v>414</v>
      </c>
      <c r="F2843" s="28">
        <v>46055</v>
      </c>
      <c r="G2843" t="s" s="11">
        <v>2051</v>
      </c>
      <c r="H2843" t="s" s="43">
        <v>30</v>
      </c>
      <c r="I2843" s="43">
        <v>10</v>
      </c>
      <c r="J2843" t="s" s="11">
        <v>14516</v>
      </c>
      <c r="K2843" t="s" s="11">
        <v>30</v>
      </c>
      <c r="L2843" s="17">
        <f>HYPERLINK("http://www.gabriel.money", "www.gabriel.money")</f>
      </c>
      <c r="M2843" s="17">
        <f>HYPERLINK("https://my.pitchbook.com?c=561987-73", "View Company Online")</f>
      </c>
    </row>
    <row r="2844">
      <c r="A2844" t="s" s="10">
        <v>14518</v>
      </c>
      <c r="B2844" t="s" s="10">
        <v>14519</v>
      </c>
      <c r="C2844" t="s" s="10">
        <v>144</v>
      </c>
      <c r="D2844" t="s" s="10">
        <v>38</v>
      </c>
      <c r="E2844" t="s" s="10">
        <v>270</v>
      </c>
      <c r="F2844" s="27">
        <v>44978</v>
      </c>
      <c r="G2844" t="s" s="10">
        <v>146</v>
      </c>
      <c r="H2844" s="42">
        <v>0.65</v>
      </c>
      <c r="I2844" s="42">
        <v>10</v>
      </c>
      <c r="J2844" t="s" s="10">
        <v>14520</v>
      </c>
      <c r="K2844" t="s" s="10">
        <v>14521</v>
      </c>
      <c r="L2844" s="16">
        <f>HYPERLINK("http://www.joinguava.com", "www.joinguava.com")</f>
      </c>
      <c r="M2844" s="16">
        <f>HYPERLINK("https://my.pitchbook.com?c=467901-46", "View Company Online")</f>
      </c>
    </row>
    <row r="2845">
      <c r="A2845" t="s" s="11">
        <v>14523</v>
      </c>
      <c r="B2845" t="s" s="11">
        <v>14524</v>
      </c>
      <c r="C2845" t="s" s="11">
        <v>60</v>
      </c>
      <c r="D2845" t="s" s="11">
        <v>727</v>
      </c>
      <c r="E2845" t="s" s="11">
        <v>2835</v>
      </c>
      <c r="F2845" s="28">
        <v>45320</v>
      </c>
      <c r="G2845" t="s" s="11">
        <v>271</v>
      </c>
      <c r="H2845" s="43">
        <v>0.25</v>
      </c>
      <c r="I2845" s="43">
        <v>10</v>
      </c>
      <c r="J2845" t="s" s="11">
        <v>14525</v>
      </c>
      <c r="K2845" t="s" s="11">
        <v>30</v>
      </c>
      <c r="L2845" s="17">
        <f>HYPERLINK("http://www.myhappynest.com", "www.myhappynest.com")</f>
      </c>
      <c r="M2845" s="17">
        <f>HYPERLINK("https://my.pitchbook.com?c=462664-00", "View Company Online")</f>
      </c>
    </row>
    <row r="2846">
      <c r="A2846" t="s" s="10">
        <v>14527</v>
      </c>
      <c r="B2846" t="s" s="10">
        <v>14528</v>
      </c>
      <c r="C2846" t="s" s="10">
        <v>60</v>
      </c>
      <c r="D2846" t="s" s="10">
        <v>727</v>
      </c>
      <c r="E2846" t="s" s="10">
        <v>1349</v>
      </c>
      <c r="F2846" t="s" s="27">
        <v>30</v>
      </c>
      <c r="G2846" t="s" s="10">
        <v>391</v>
      </c>
      <c r="H2846" s="42">
        <v>10</v>
      </c>
      <c r="I2846" s="42">
        <v>10</v>
      </c>
      <c r="J2846" t="s" s="10">
        <v>14529</v>
      </c>
      <c r="K2846" t="s" s="10">
        <v>14530</v>
      </c>
      <c r="L2846" s="16">
        <f>HYPERLINK("http://www.infinyte.club", "www.infinyte.club")</f>
      </c>
      <c r="M2846" s="16">
        <f>HYPERLINK("https://my.pitchbook.com?c=533381-41", "View Company Online")</f>
      </c>
    </row>
    <row r="2847">
      <c r="A2847" t="s" s="11">
        <v>14532</v>
      </c>
      <c r="B2847" t="s" s="11">
        <v>14533</v>
      </c>
      <c r="C2847" t="s" s="11">
        <v>114</v>
      </c>
      <c r="D2847" t="s" s="11">
        <v>136</v>
      </c>
      <c r="E2847" t="s" s="11">
        <v>137</v>
      </c>
      <c r="F2847" s="28">
        <v>44501</v>
      </c>
      <c r="G2847" t="s" s="11">
        <v>607</v>
      </c>
      <c r="H2847" t="s" s="43">
        <v>30</v>
      </c>
      <c r="I2847" s="43">
        <v>10</v>
      </c>
      <c r="J2847" t="s" s="11">
        <v>14534</v>
      </c>
      <c r="K2847" t="s" s="11">
        <v>14535</v>
      </c>
      <c r="L2847" s="17">
        <f>HYPERLINK("http://www.ivylender.com", "www.ivylender.com")</f>
      </c>
      <c r="M2847" s="17">
        <f>HYPERLINK("https://my.pitchbook.com?c=233014-24", "View Company Online")</f>
      </c>
    </row>
    <row r="2848">
      <c r="A2848" t="s" s="10">
        <v>14537</v>
      </c>
      <c r="B2848" t="s" s="10">
        <v>14538</v>
      </c>
      <c r="C2848" t="s" s="10">
        <v>60</v>
      </c>
      <c r="D2848" t="s" s="10">
        <v>727</v>
      </c>
      <c r="E2848" t="s" s="10">
        <v>270</v>
      </c>
      <c r="F2848" s="27">
        <v>45675</v>
      </c>
      <c r="G2848" t="s" s="10">
        <v>4267</v>
      </c>
      <c r="H2848" s="42">
        <v>1</v>
      </c>
      <c r="I2848" s="42">
        <v>10</v>
      </c>
      <c r="J2848" t="s" s="10">
        <v>14539</v>
      </c>
      <c r="K2848" t="s" s="10">
        <v>14540</v>
      </c>
      <c r="L2848" s="16">
        <f>HYPERLINK("http://www.theminted.com", "www.theminted.com")</f>
      </c>
      <c r="M2848" s="16">
        <f>HYPERLINK("https://my.pitchbook.com?c=435859-21", "View Company Online")</f>
      </c>
    </row>
    <row r="2849">
      <c r="A2849" t="s" s="11">
        <v>14542</v>
      </c>
      <c r="B2849" t="s" s="11">
        <v>14543</v>
      </c>
      <c r="C2849" t="s" s="11">
        <v>114</v>
      </c>
      <c r="D2849" t="s" s="11">
        <v>136</v>
      </c>
      <c r="E2849" t="s" s="11">
        <v>193</v>
      </c>
      <c r="F2849" s="28">
        <v>46002</v>
      </c>
      <c r="G2849" t="s" s="11">
        <v>146</v>
      </c>
      <c r="H2849" s="43">
        <v>2</v>
      </c>
      <c r="I2849" s="43">
        <v>10</v>
      </c>
      <c r="J2849" t="s" s="11">
        <v>14544</v>
      </c>
      <c r="K2849" t="s" s="11">
        <v>14545</v>
      </c>
      <c r="L2849" s="17">
        <f>HYPERLINK("http://www.onest.do", "www.onest.do")</f>
      </c>
      <c r="M2849" s="17">
        <f>HYPERLINK("https://my.pitchbook.com?c=633170-08", "View Company Online")</f>
      </c>
    </row>
    <row r="2850">
      <c r="A2850" t="s" s="10">
        <v>14547</v>
      </c>
      <c r="B2850" t="s" s="10">
        <v>14548</v>
      </c>
      <c r="C2850" t="s" s="10">
        <v>46</v>
      </c>
      <c r="D2850" t="s" s="10">
        <v>397</v>
      </c>
      <c r="E2850" t="s" s="10">
        <v>137</v>
      </c>
      <c r="F2850" s="27">
        <v>44895</v>
      </c>
      <c r="G2850" t="s" s="10">
        <v>146</v>
      </c>
      <c r="H2850" s="42">
        <v>2</v>
      </c>
      <c r="I2850" s="42">
        <v>10</v>
      </c>
      <c r="J2850" t="s" s="10">
        <v>14549</v>
      </c>
      <c r="K2850" t="s" s="10">
        <v>14550</v>
      </c>
      <c r="L2850" s="16">
        <f>HYPERLINK("http://www.opstart.co", "www.opstart.co")</f>
      </c>
      <c r="M2850" s="16">
        <f>HYPERLINK("https://my.pitchbook.com?c=454820-86", "View Company Online")</f>
      </c>
    </row>
    <row r="2851">
      <c r="A2851" t="s" s="11">
        <v>14552</v>
      </c>
      <c r="B2851" t="s" s="11">
        <v>14553</v>
      </c>
      <c r="C2851" t="s" s="11">
        <v>114</v>
      </c>
      <c r="D2851" t="s" s="11">
        <v>136</v>
      </c>
      <c r="E2851" t="s" s="11">
        <v>130</v>
      </c>
      <c r="F2851" s="28">
        <v>44778</v>
      </c>
      <c r="G2851" t="s" s="11">
        <v>271</v>
      </c>
      <c r="H2851" s="43">
        <v>0.2</v>
      </c>
      <c r="I2851" s="43">
        <v>10</v>
      </c>
      <c r="J2851" t="s" s="11">
        <v>14554</v>
      </c>
      <c r="K2851" t="s" s="11">
        <v>14555</v>
      </c>
      <c r="L2851" s="17">
        <f>HYPERLINK("http://www.optiolend.com", "www.optiolend.com")</f>
      </c>
      <c r="M2851" s="17">
        <f>HYPERLINK("https://my.pitchbook.com?c=459935-65", "View Company Online")</f>
      </c>
    </row>
    <row r="2852">
      <c r="A2852" t="s" s="10">
        <v>14557</v>
      </c>
      <c r="B2852" t="s" s="10">
        <v>14558</v>
      </c>
      <c r="C2852" t="s" s="10">
        <v>27</v>
      </c>
      <c r="D2852" t="s" s="10">
        <v>28</v>
      </c>
      <c r="E2852" t="s" s="10">
        <v>253</v>
      </c>
      <c r="F2852" s="27">
        <v>45017</v>
      </c>
      <c r="G2852" t="s" s="10">
        <v>40</v>
      </c>
      <c r="H2852" s="42">
        <v>1</v>
      </c>
      <c r="I2852" s="42">
        <v>10</v>
      </c>
      <c r="J2852" t="s" s="10">
        <v>14559</v>
      </c>
      <c r="K2852" t="s" s="10">
        <v>14560</v>
      </c>
      <c r="L2852" s="16">
        <f>HYPERLINK("http://www.paytheory.com", "www.paytheory.com")</f>
      </c>
      <c r="M2852" s="16">
        <f>HYPERLINK("https://my.pitchbook.com?c=433307-98", "View Company Online")</f>
      </c>
    </row>
    <row r="2853">
      <c r="A2853" t="s" s="11">
        <v>14562</v>
      </c>
      <c r="B2853" t="s" s="11">
        <v>14563</v>
      </c>
      <c r="C2853" t="s" s="11">
        <v>164</v>
      </c>
      <c r="D2853" t="s" s="11">
        <v>206</v>
      </c>
      <c r="E2853" t="s" s="11">
        <v>253</v>
      </c>
      <c r="F2853" s="28">
        <v>44995</v>
      </c>
      <c r="G2853" t="s" s="11">
        <v>4267</v>
      </c>
      <c r="H2853" s="43">
        <v>9.97</v>
      </c>
      <c r="I2853" s="43">
        <v>10</v>
      </c>
      <c r="J2853" t="s" s="11">
        <v>14564</v>
      </c>
      <c r="K2853" t="s" s="11">
        <v>14565</v>
      </c>
      <c r="L2853" s="17">
        <f>HYPERLINK("http://www.paybook.com", "www.paybook.com")</f>
      </c>
      <c r="M2853" s="17">
        <f>HYPERLINK("https://my.pitchbook.com?c=90828-46", "View Company Online")</f>
      </c>
    </row>
    <row r="2854">
      <c r="A2854" t="s" s="10">
        <v>14567</v>
      </c>
      <c r="B2854" t="s" s="10">
        <v>14568</v>
      </c>
      <c r="C2854" t="s" s="10">
        <v>46</v>
      </c>
      <c r="D2854" t="s" s="10">
        <v>915</v>
      </c>
      <c r="E2854" t="s" s="10">
        <v>1964</v>
      </c>
      <c r="F2854" s="27">
        <v>45701</v>
      </c>
      <c r="G2854" t="s" s="10">
        <v>4267</v>
      </c>
      <c r="H2854" s="42">
        <v>0.4</v>
      </c>
      <c r="I2854" s="42">
        <v>10</v>
      </c>
      <c r="J2854" t="s" s="10">
        <v>14569</v>
      </c>
      <c r="K2854" t="s" s="10">
        <v>14570</v>
      </c>
      <c r="L2854" s="16">
        <f>HYPERLINK("http://www.pentane.com", "www.pentane.com")</f>
      </c>
      <c r="M2854" s="16">
        <f>HYPERLINK("https://my.pitchbook.com?c=552375-55", "View Company Online")</f>
      </c>
    </row>
    <row r="2855">
      <c r="A2855" t="s" s="11">
        <v>14572</v>
      </c>
      <c r="B2855" t="s" s="11">
        <v>14573</v>
      </c>
      <c r="C2855" t="s" s="11">
        <v>27</v>
      </c>
      <c r="D2855" t="s" s="11">
        <v>28</v>
      </c>
      <c r="E2855" t="s" s="11">
        <v>259</v>
      </c>
      <c r="F2855" t="s" s="28">
        <v>30</v>
      </c>
      <c r="G2855" t="s" s="11">
        <v>48</v>
      </c>
      <c r="H2855" t="s" s="43">
        <v>30</v>
      </c>
      <c r="I2855" s="43">
        <v>10</v>
      </c>
      <c r="J2855" t="s" s="11">
        <v>14574</v>
      </c>
      <c r="K2855" t="s" s="11">
        <v>14575</v>
      </c>
      <c r="L2855" s="17">
        <f>HYPERLINK("http://www.pockyt.io", "www.pockyt.io")</f>
      </c>
      <c r="M2855" s="17">
        <f>HYPERLINK("https://my.pitchbook.com?c=435137-86", "View Company Online")</f>
      </c>
    </row>
    <row r="2856">
      <c r="A2856" t="s" s="10">
        <v>14577</v>
      </c>
      <c r="B2856" t="s" s="10">
        <v>14578</v>
      </c>
      <c r="C2856" t="s" s="10">
        <v>164</v>
      </c>
      <c r="D2856" t="s" s="10">
        <v>165</v>
      </c>
      <c r="E2856" t="s" s="10">
        <v>414</v>
      </c>
      <c r="F2856" s="27">
        <v>45413</v>
      </c>
      <c r="G2856" t="s" s="10">
        <v>607</v>
      </c>
      <c r="H2856" t="s" s="42">
        <v>30</v>
      </c>
      <c r="I2856" s="42">
        <v>10</v>
      </c>
      <c r="J2856" t="s" s="10">
        <v>14579</v>
      </c>
      <c r="K2856" t="s" s="10">
        <v>14580</v>
      </c>
      <c r="L2856" s="16">
        <f>HYPERLINK("http://www.prometheusai.co", "www.prometheusai.co")</f>
      </c>
      <c r="M2856" s="16">
        <f>HYPERLINK("https://my.pitchbook.com?c=495572-23", "View Company Online")</f>
      </c>
    </row>
    <row r="2857">
      <c r="A2857" t="s" s="11">
        <v>14582</v>
      </c>
      <c r="B2857" t="s" s="11">
        <v>14583</v>
      </c>
      <c r="C2857" t="s" s="11">
        <v>114</v>
      </c>
      <c r="D2857" t="s" s="11">
        <v>115</v>
      </c>
      <c r="E2857" t="s" s="11">
        <v>2782</v>
      </c>
      <c r="F2857" s="28">
        <v>45469</v>
      </c>
      <c r="G2857" t="s" s="11">
        <v>40</v>
      </c>
      <c r="H2857" s="43">
        <v>0.02</v>
      </c>
      <c r="I2857" s="43">
        <v>10</v>
      </c>
      <c r="J2857" t="s" s="11">
        <v>14584</v>
      </c>
      <c r="K2857" t="s" s="11">
        <v>14585</v>
      </c>
      <c r="L2857" s="17">
        <f>HYPERLINK("http://www.quantmre.com", "www.quantmre.com")</f>
      </c>
      <c r="M2857" s="17">
        <f>HYPERLINK("https://my.pitchbook.com?c=322535-44", "View Company Online")</f>
      </c>
    </row>
    <row r="2858">
      <c r="A2858" t="s" s="10">
        <v>14587</v>
      </c>
      <c r="B2858" t="s" s="10">
        <v>14588</v>
      </c>
      <c r="C2858" t="s" s="10">
        <v>60</v>
      </c>
      <c r="D2858" t="s" s="10">
        <v>727</v>
      </c>
      <c r="E2858" t="s" s="10">
        <v>6595</v>
      </c>
      <c r="F2858" s="27">
        <v>45566</v>
      </c>
      <c r="G2858" t="s" s="10">
        <v>607</v>
      </c>
      <c r="H2858" t="s" s="42">
        <v>30</v>
      </c>
      <c r="I2858" s="42">
        <v>10</v>
      </c>
      <c r="J2858" t="s" s="10">
        <v>14589</v>
      </c>
      <c r="K2858" t="s" s="10">
        <v>14590</v>
      </c>
      <c r="L2858" s="16">
        <f>HYPERLINK("http://www.reitium.com", "www.reitium.com")</f>
      </c>
      <c r="M2858" s="16">
        <f>HYPERLINK("https://my.pitchbook.com?c=399044-98", "View Company Online")</f>
      </c>
    </row>
    <row r="2859">
      <c r="A2859" t="s" s="11">
        <v>14592</v>
      </c>
      <c r="B2859" t="s" s="11">
        <v>14593</v>
      </c>
      <c r="C2859" t="s" s="11">
        <v>128</v>
      </c>
      <c r="D2859" t="s" s="11">
        <v>276</v>
      </c>
      <c r="E2859" t="s" s="11">
        <v>116</v>
      </c>
      <c r="F2859" t="s" s="28">
        <v>30</v>
      </c>
      <c r="G2859" t="s" s="11">
        <v>4267</v>
      </c>
      <c r="H2859" s="43">
        <v>1.2</v>
      </c>
      <c r="I2859" s="43">
        <v>10</v>
      </c>
      <c r="J2859" t="s" s="11">
        <v>14594</v>
      </c>
      <c r="K2859" t="s" s="11">
        <v>14595</v>
      </c>
      <c r="L2859" s="17">
        <f>HYPERLINK("http://www.settleking.com", "www.settleking.com")</f>
      </c>
      <c r="M2859" s="17">
        <f>HYPERLINK("https://my.pitchbook.com?c=484244-65", "View Company Online")</f>
      </c>
    </row>
    <row r="2860">
      <c r="A2860" t="s" s="10">
        <v>14597</v>
      </c>
      <c r="B2860" t="s" s="10">
        <v>14598</v>
      </c>
      <c r="C2860" t="s" s="10">
        <v>164</v>
      </c>
      <c r="D2860" t="s" s="10">
        <v>206</v>
      </c>
      <c r="E2860" t="s" s="10">
        <v>367</v>
      </c>
      <c r="F2860" s="27">
        <v>45645</v>
      </c>
      <c r="G2860" t="s" s="10">
        <v>4267</v>
      </c>
      <c r="H2860" s="42">
        <v>1.35</v>
      </c>
      <c r="I2860" s="42">
        <v>10</v>
      </c>
      <c r="J2860" t="s" s="10">
        <v>14599</v>
      </c>
      <c r="K2860" t="s" s="10">
        <v>30</v>
      </c>
      <c r="L2860" s="16">
        <f>HYPERLINK("http://www.shifthq.ai", "www.shifthq.ai")</f>
      </c>
      <c r="M2860" s="16">
        <f>HYPERLINK("https://my.pitchbook.com?c=590487-76", "View Company Online")</f>
      </c>
    </row>
    <row r="2861">
      <c r="A2861" t="s" s="11">
        <v>14601</v>
      </c>
      <c r="B2861" t="s" s="11">
        <v>14602</v>
      </c>
      <c r="C2861" t="s" s="11">
        <v>222</v>
      </c>
      <c r="D2861" t="s" s="11">
        <v>223</v>
      </c>
      <c r="E2861" t="s" s="11">
        <v>414</v>
      </c>
      <c r="F2861" s="28">
        <v>45261</v>
      </c>
      <c r="G2861" t="s" s="11">
        <v>4267</v>
      </c>
      <c r="H2861" s="43">
        <v>0.6</v>
      </c>
      <c r="I2861" s="43">
        <v>10</v>
      </c>
      <c r="J2861" t="s" s="11">
        <v>14603</v>
      </c>
      <c r="K2861" t="s" s="11">
        <v>30</v>
      </c>
      <c r="L2861" s="17">
        <f>HYPERLINK("http://www.skylarkai.com", "www.skylarkai.com")</f>
      </c>
      <c r="M2861" s="17">
        <f>HYPERLINK("https://my.pitchbook.com?c=571622-59", "View Company Online")</f>
      </c>
    </row>
    <row r="2862">
      <c r="A2862" t="s" s="10">
        <v>14605</v>
      </c>
      <c r="B2862" t="s" s="10">
        <v>14606</v>
      </c>
      <c r="C2862" t="s" s="10">
        <v>27</v>
      </c>
      <c r="D2862" t="s" s="10">
        <v>70</v>
      </c>
      <c r="E2862" t="s" s="10">
        <v>259</v>
      </c>
      <c r="F2862" s="27">
        <v>44711</v>
      </c>
      <c r="G2862" t="s" s="10">
        <v>4267</v>
      </c>
      <c r="H2862" s="42">
        <v>2</v>
      </c>
      <c r="I2862" s="42">
        <v>10</v>
      </c>
      <c r="J2862" t="s" s="10">
        <v>14607</v>
      </c>
      <c r="K2862" t="s" s="10">
        <v>14608</v>
      </c>
      <c r="L2862" s="16">
        <f>HYPERLINK("http://www.streamft.com", "www.streamft.com")</f>
      </c>
      <c r="M2862" s="16">
        <f>HYPERLINK("https://my.pitchbook.com?c=510234-13", "View Company Online")</f>
      </c>
    </row>
    <row r="2863">
      <c r="A2863" t="s" s="11">
        <v>14610</v>
      </c>
      <c r="B2863" t="s" s="11">
        <v>14611</v>
      </c>
      <c r="C2863" t="s" s="11">
        <v>46</v>
      </c>
      <c r="D2863" t="s" s="11">
        <v>397</v>
      </c>
      <c r="E2863" t="s" s="11">
        <v>373</v>
      </c>
      <c r="F2863" t="s" s="28">
        <v>30</v>
      </c>
      <c r="G2863" t="s" s="11">
        <v>4267</v>
      </c>
      <c r="H2863" t="s" s="43">
        <v>30</v>
      </c>
      <c r="I2863" s="43">
        <v>10</v>
      </c>
      <c r="J2863" t="s" s="11">
        <v>14612</v>
      </c>
      <c r="K2863" t="s" s="11">
        <v>14613</v>
      </c>
      <c r="L2863" s="17">
        <f>HYPERLINK("http://www.taxstar.app", "www.taxstar.app")</f>
      </c>
      <c r="M2863" s="17">
        <f>HYPERLINK("https://my.pitchbook.com?c=738363-88", "View Company Online")</f>
      </c>
    </row>
    <row r="2864">
      <c r="A2864" t="s" s="10">
        <v>14615</v>
      </c>
      <c r="B2864" t="s" s="10">
        <v>14616</v>
      </c>
      <c r="C2864" t="s" s="10">
        <v>37</v>
      </c>
      <c r="D2864" t="s" s="10">
        <v>38</v>
      </c>
      <c r="E2864" t="s" s="10">
        <v>137</v>
      </c>
      <c r="F2864" s="27">
        <v>45427</v>
      </c>
      <c r="G2864" t="s" s="10">
        <v>40</v>
      </c>
      <c r="H2864" s="42">
        <v>2.5</v>
      </c>
      <c r="I2864" s="42">
        <v>10</v>
      </c>
      <c r="J2864" t="s" s="10">
        <v>14617</v>
      </c>
      <c r="K2864" t="s" s="10">
        <v>14618</v>
      </c>
      <c r="L2864" s="16">
        <f>HYPERLINK("http://www.unest.co", "www.unest.co")</f>
      </c>
      <c r="M2864" s="16">
        <f>HYPERLINK("https://my.pitchbook.com?c=264021-04", "View Company Online")</f>
      </c>
    </row>
    <row r="2865">
      <c r="A2865" t="s" s="11">
        <v>14620</v>
      </c>
      <c r="B2865" t="s" s="11">
        <v>14621</v>
      </c>
      <c r="C2865" t="s" s="11">
        <v>60</v>
      </c>
      <c r="D2865" t="s" s="11">
        <v>192</v>
      </c>
      <c r="E2865" t="s" s="11">
        <v>270</v>
      </c>
      <c r="F2865" s="28">
        <v>45017</v>
      </c>
      <c r="G2865" t="s" s="11">
        <v>40</v>
      </c>
      <c r="H2865" t="s" s="43">
        <v>30</v>
      </c>
      <c r="I2865" s="43">
        <v>10</v>
      </c>
      <c r="J2865" t="s" s="11">
        <v>14622</v>
      </c>
      <c r="K2865" t="s" s="11">
        <v>14623</v>
      </c>
      <c r="L2865" s="17">
        <f>HYPERLINK("http://www.upstock.io", "www.upstock.io")</f>
      </c>
      <c r="M2865" s="17">
        <f>HYPERLINK("https://my.pitchbook.com?c=277445-53", "View Company Online")</f>
      </c>
    </row>
    <row r="2866">
      <c r="A2866" t="s" s="10">
        <v>14625</v>
      </c>
      <c r="B2866" t="s" s="10">
        <v>14626</v>
      </c>
      <c r="C2866" t="s" s="10">
        <v>37</v>
      </c>
      <c r="D2866" t="s" s="10">
        <v>304</v>
      </c>
      <c r="E2866" t="s" s="10">
        <v>137</v>
      </c>
      <c r="F2866" s="27">
        <v>46221</v>
      </c>
      <c r="G2866" t="s" s="10">
        <v>2051</v>
      </c>
      <c r="H2866" t="s" s="42">
        <v>30</v>
      </c>
      <c r="I2866" s="42">
        <v>10</v>
      </c>
      <c r="J2866" t="s" s="10">
        <v>14627</v>
      </c>
      <c r="K2866" t="s" s="10">
        <v>30</v>
      </c>
      <c r="L2866" s="16">
        <f>HYPERLINK("http://www.usezilla.com", "www.usezilla.com")</f>
      </c>
      <c r="M2866" s="16">
        <f>HYPERLINK("https://my.pitchbook.com?c=494884-27", "View Company Online")</f>
      </c>
    </row>
    <row r="2867">
      <c r="A2867" t="s" s="11">
        <v>14629</v>
      </c>
      <c r="B2867" t="s" s="11">
        <v>14630</v>
      </c>
      <c r="C2867" t="s" s="11">
        <v>27</v>
      </c>
      <c r="D2867" t="s" s="11">
        <v>70</v>
      </c>
      <c r="E2867" t="s" s="11">
        <v>102</v>
      </c>
      <c r="F2867" t="s" s="28">
        <v>30</v>
      </c>
      <c r="G2867" t="s" s="11">
        <v>48</v>
      </c>
      <c r="H2867" t="s" s="43">
        <v>30</v>
      </c>
      <c r="I2867" s="43">
        <v>9.99</v>
      </c>
      <c r="J2867" t="s" s="11">
        <v>14631</v>
      </c>
      <c r="K2867" t="s" s="11">
        <v>14632</v>
      </c>
      <c r="L2867" s="17">
        <f>HYPERLINK("http://www.dicopay.com", "www.dicopay.com")</f>
      </c>
      <c r="M2867" s="17">
        <f>HYPERLINK("https://my.pitchbook.com?c=266476-96", "View Company Online")</f>
      </c>
    </row>
    <row r="2868">
      <c r="A2868" t="s" s="10">
        <v>14634</v>
      </c>
      <c r="B2868" t="s" s="10">
        <v>14635</v>
      </c>
      <c r="C2868" t="s" s="10">
        <v>46</v>
      </c>
      <c r="D2868" t="s" s="10">
        <v>915</v>
      </c>
      <c r="E2868" t="s" s="10">
        <v>8206</v>
      </c>
      <c r="F2868" t="s" s="27">
        <v>30</v>
      </c>
      <c r="G2868" t="s" s="10">
        <v>48</v>
      </c>
      <c r="H2868" t="s" s="42">
        <v>30</v>
      </c>
      <c r="I2868" s="42">
        <v>9.96</v>
      </c>
      <c r="J2868" t="s" s="10">
        <v>14636</v>
      </c>
      <c r="K2868" t="s" s="10">
        <v>14637</v>
      </c>
      <c r="L2868" s="16">
        <f>HYPERLINK("http://www.floatapp.com", "www.floatapp.com")</f>
      </c>
      <c r="M2868" s="16">
        <f>HYPERLINK("https://my.pitchbook.com?c=58990-51", "View Company Online")</f>
      </c>
    </row>
    <row r="2869">
      <c r="A2869" t="s" s="11">
        <v>14639</v>
      </c>
      <c r="B2869" t="s" s="11">
        <v>14640</v>
      </c>
      <c r="C2869" t="s" s="11">
        <v>27</v>
      </c>
      <c r="D2869" t="s" s="11">
        <v>28</v>
      </c>
      <c r="E2869" t="s" s="11">
        <v>259</v>
      </c>
      <c r="F2869" t="s" s="28">
        <v>30</v>
      </c>
      <c r="G2869" t="s" s="11">
        <v>48</v>
      </c>
      <c r="H2869" t="s" s="43">
        <v>30</v>
      </c>
      <c r="I2869" s="43">
        <v>9.95</v>
      </c>
      <c r="J2869" t="s" s="11">
        <v>14641</v>
      </c>
      <c r="K2869" t="s" s="11">
        <v>14642</v>
      </c>
      <c r="L2869" s="17">
        <f>HYPERLINK("http://www.digitzs.com", "www.digitzs.com")</f>
      </c>
      <c r="M2869" s="17">
        <f>HYPERLINK("https://my.pitchbook.com?c=113368-60", "View Company Online")</f>
      </c>
    </row>
    <row r="2870">
      <c r="A2870" t="s" s="10">
        <v>14644</v>
      </c>
      <c r="B2870" t="s" s="10">
        <v>14645</v>
      </c>
      <c r="C2870" t="s" s="10">
        <v>60</v>
      </c>
      <c r="D2870" t="s" s="10">
        <v>246</v>
      </c>
      <c r="E2870" t="s" s="10">
        <v>414</v>
      </c>
      <c r="F2870" s="27">
        <v>45526</v>
      </c>
      <c r="G2870" t="s" s="10">
        <v>391</v>
      </c>
      <c r="H2870" t="s" s="42">
        <v>30</v>
      </c>
      <c r="I2870" s="42">
        <v>9.94</v>
      </c>
      <c r="J2870" t="s" s="10">
        <v>14646</v>
      </c>
      <c r="K2870" t="s" s="10">
        <v>14647</v>
      </c>
      <c r="L2870" s="16">
        <f>HYPERLINK("http://www.jarvisinvest.com", "www.jarvisinvest.com")</f>
      </c>
      <c r="M2870" s="16">
        <f>HYPERLINK("https://my.pitchbook.com?c=301038-85", "View Company Online")</f>
      </c>
    </row>
    <row r="2871">
      <c r="A2871" t="s" s="11">
        <v>14649</v>
      </c>
      <c r="B2871" t="s" s="11">
        <v>14650</v>
      </c>
      <c r="C2871" t="s" s="11">
        <v>222</v>
      </c>
      <c r="D2871" t="s" s="11">
        <v>223</v>
      </c>
      <c r="E2871" t="s" s="11">
        <v>373</v>
      </c>
      <c r="F2871" s="28">
        <v>45699</v>
      </c>
      <c r="G2871" t="s" s="11">
        <v>40</v>
      </c>
      <c r="H2871" t="s" s="43">
        <v>30</v>
      </c>
      <c r="I2871" s="43">
        <v>9.93</v>
      </c>
      <c r="J2871" t="s" s="11">
        <v>14651</v>
      </c>
      <c r="K2871" t="s" s="11">
        <v>14652</v>
      </c>
      <c r="L2871" s="17">
        <f>HYPERLINK("http://www.phlo.io", "www.phlo.io")</f>
      </c>
      <c r="M2871" s="17">
        <f>HYPERLINK("https://my.pitchbook.com?c=438147-64", "View Company Online")</f>
      </c>
    </row>
    <row r="2872">
      <c r="A2872" t="s" s="10">
        <v>14654</v>
      </c>
      <c r="B2872" t="s" s="10">
        <v>14655</v>
      </c>
      <c r="C2872" t="s" s="10">
        <v>60</v>
      </c>
      <c r="D2872" t="s" s="10">
        <v>420</v>
      </c>
      <c r="E2872" t="s" s="10">
        <v>253</v>
      </c>
      <c r="F2872" s="27">
        <v>45973</v>
      </c>
      <c r="G2872" t="s" s="10">
        <v>40</v>
      </c>
      <c r="H2872" s="42">
        <v>33</v>
      </c>
      <c r="I2872" s="42">
        <v>9.91</v>
      </c>
      <c r="J2872" t="s" s="10">
        <v>14656</v>
      </c>
      <c r="K2872" t="s" s="10">
        <v>14657</v>
      </c>
      <c r="L2872" s="16">
        <f>HYPERLINK("http://www.401go.com", "www.401go.com")</f>
      </c>
      <c r="M2872" s="16">
        <f>HYPERLINK("https://my.pitchbook.com?c=303048-64", "View Company Online")</f>
      </c>
    </row>
    <row r="2873">
      <c r="A2873" t="s" s="11">
        <v>14659</v>
      </c>
      <c r="B2873" t="s" s="11">
        <v>14660</v>
      </c>
      <c r="C2873" t="s" s="11">
        <v>60</v>
      </c>
      <c r="D2873" t="s" s="11">
        <v>192</v>
      </c>
      <c r="E2873" t="s" s="11">
        <v>4075</v>
      </c>
      <c r="F2873" s="28">
        <v>46218</v>
      </c>
      <c r="G2873" t="s" s="11">
        <v>271</v>
      </c>
      <c r="H2873" s="43">
        <v>1.79</v>
      </c>
      <c r="I2873" s="43">
        <v>9.91</v>
      </c>
      <c r="J2873" t="s" s="11">
        <v>14661</v>
      </c>
      <c r="K2873" t="s" s="11">
        <v>14662</v>
      </c>
      <c r="L2873" s="17">
        <f>HYPERLINK("http://www.sunshine-and-kittens.com", "www.sunshine-and-kittens.com")</f>
      </c>
      <c r="M2873" s="17">
        <f>HYPERLINK("https://my.pitchbook.com?c=623518-12", "View Company Online")</f>
      </c>
    </row>
    <row r="2874">
      <c r="A2874" t="s" s="10">
        <v>14664</v>
      </c>
      <c r="B2874" t="s" s="10">
        <v>14665</v>
      </c>
      <c r="C2874" t="s" s="10">
        <v>60</v>
      </c>
      <c r="D2874" t="s" s="10">
        <v>61</v>
      </c>
      <c r="E2874" t="s" s="10">
        <v>253</v>
      </c>
      <c r="F2874" s="27">
        <v>43377</v>
      </c>
      <c r="G2874" t="s" s="10">
        <v>271</v>
      </c>
      <c r="H2874" s="42">
        <v>0.44</v>
      </c>
      <c r="I2874" s="42">
        <v>9.9</v>
      </c>
      <c r="J2874" t="s" s="10">
        <v>14666</v>
      </c>
      <c r="K2874" t="s" s="10">
        <v>14667</v>
      </c>
      <c r="L2874" s="16">
        <f>HYPERLINK("http://pelicantrading.io", "pelicantrading.io")</f>
      </c>
      <c r="M2874" s="16">
        <f>HYPERLINK("https://my.pitchbook.com?c=172926-19", "View Company Online")</f>
      </c>
    </row>
    <row r="2875">
      <c r="A2875" t="s" s="11">
        <v>14669</v>
      </c>
      <c r="B2875" t="s" s="11">
        <v>14670</v>
      </c>
      <c r="C2875" t="s" s="11">
        <v>60</v>
      </c>
      <c r="D2875" t="s" s="11">
        <v>432</v>
      </c>
      <c r="E2875" t="s" s="11">
        <v>14671</v>
      </c>
      <c r="F2875" s="28">
        <v>45187</v>
      </c>
      <c r="G2875" t="s" s="11">
        <v>40</v>
      </c>
      <c r="H2875" s="43">
        <v>0.6</v>
      </c>
      <c r="I2875" s="43">
        <v>9.9</v>
      </c>
      <c r="J2875" t="s" s="11">
        <v>14672</v>
      </c>
      <c r="K2875" t="s" s="11">
        <v>30</v>
      </c>
      <c r="L2875" s="17">
        <f>HYPERLINK("http://www.plutometry.com", "www.plutometry.com")</f>
      </c>
      <c r="M2875" s="17">
        <f>HYPERLINK("https://my.pitchbook.com?c=168117-49", "View Company Online")</f>
      </c>
    </row>
    <row r="2876">
      <c r="A2876" t="s" s="10">
        <v>14674</v>
      </c>
      <c r="B2876" t="s" s="10">
        <v>14675</v>
      </c>
      <c r="C2876" t="s" s="10">
        <v>144</v>
      </c>
      <c r="D2876" t="s" s="10">
        <v>38</v>
      </c>
      <c r="E2876" t="s" s="10">
        <v>253</v>
      </c>
      <c r="F2876" s="27">
        <v>46126</v>
      </c>
      <c r="G2876" t="s" s="10">
        <v>40</v>
      </c>
      <c r="H2876" s="42">
        <v>11.58</v>
      </c>
      <c r="I2876" s="42">
        <v>9.84</v>
      </c>
      <c r="J2876" t="s" s="10">
        <v>14676</v>
      </c>
      <c r="K2876" t="s" s="10">
        <v>14677</v>
      </c>
      <c r="L2876" s="16">
        <f>HYPERLINK("http://www.wamo.io", "www.wamo.io")</f>
      </c>
      <c r="M2876" s="16">
        <f>HYPERLINK("https://my.pitchbook.com?c=436395-16", "View Company Online")</f>
      </c>
    </row>
    <row r="2877">
      <c r="A2877" t="s" s="11">
        <v>14679</v>
      </c>
      <c r="B2877" t="s" s="11">
        <v>14680</v>
      </c>
      <c r="C2877" t="s" s="11">
        <v>46</v>
      </c>
      <c r="D2877" t="s" s="11">
        <v>397</v>
      </c>
      <c r="E2877" t="s" s="11">
        <v>253</v>
      </c>
      <c r="F2877" s="28">
        <v>45132</v>
      </c>
      <c r="G2877" t="s" s="11">
        <v>40</v>
      </c>
      <c r="H2877" s="43">
        <v>0.1</v>
      </c>
      <c r="I2877" s="43">
        <v>9.82</v>
      </c>
      <c r="J2877" t="s" s="11">
        <v>14681</v>
      </c>
      <c r="K2877" t="s" s="11">
        <v>30</v>
      </c>
      <c r="L2877" s="17">
        <f>HYPERLINK("http://www.hiasoftware.com", "www.hiasoftware.com")</f>
      </c>
      <c r="M2877" s="17">
        <f>HYPERLINK("https://my.pitchbook.com?c=482604-31", "View Company Online")</f>
      </c>
    </row>
    <row r="2878">
      <c r="A2878" t="s" s="10">
        <v>14683</v>
      </c>
      <c r="B2878" t="s" s="10">
        <v>14684</v>
      </c>
      <c r="C2878" t="s" s="10">
        <v>60</v>
      </c>
      <c r="D2878" t="s" s="10">
        <v>192</v>
      </c>
      <c r="E2878" t="s" s="10">
        <v>270</v>
      </c>
      <c r="F2878" s="27">
        <v>45121</v>
      </c>
      <c r="G2878" t="s" s="10">
        <v>40</v>
      </c>
      <c r="H2878" t="s" s="42">
        <v>30</v>
      </c>
      <c r="I2878" s="42">
        <v>9.74</v>
      </c>
      <c r="J2878" t="s" s="10">
        <v>14685</v>
      </c>
      <c r="K2878" t="s" s="10">
        <v>14686</v>
      </c>
      <c r="L2878" s="16">
        <f>HYPERLINK("http://www.iehub.co.uk", "www.iehub.co.uk")</f>
      </c>
      <c r="M2878" s="16">
        <f>HYPERLINK("https://my.pitchbook.com?c=530557-57", "View Company Online")</f>
      </c>
    </row>
    <row r="2879">
      <c r="A2879" t="s" s="11">
        <v>14688</v>
      </c>
      <c r="B2879" t="s" s="11">
        <v>14689</v>
      </c>
      <c r="C2879" t="s" s="11">
        <v>164</v>
      </c>
      <c r="D2879" t="s" s="11">
        <v>206</v>
      </c>
      <c r="E2879" t="s" s="11">
        <v>270</v>
      </c>
      <c r="F2879" s="28">
        <v>45966</v>
      </c>
      <c r="G2879" t="s" s="11">
        <v>40</v>
      </c>
      <c r="H2879" s="43">
        <v>2.32</v>
      </c>
      <c r="I2879" s="43">
        <v>9.73</v>
      </c>
      <c r="J2879" t="s" s="11">
        <v>14690</v>
      </c>
      <c r="K2879" t="s" s="11">
        <v>14691</v>
      </c>
      <c r="L2879" s="17">
        <f>HYPERLINK("http://www.devengo.com", "www.devengo.com")</f>
      </c>
      <c r="M2879" s="17">
        <f>HYPERLINK("https://my.pitchbook.com?c=439786-36", "View Company Online")</f>
      </c>
    </row>
    <row r="2880">
      <c r="A2880" t="s" s="10">
        <v>14693</v>
      </c>
      <c r="B2880" t="s" s="10">
        <v>14694</v>
      </c>
      <c r="C2880" t="s" s="10">
        <v>164</v>
      </c>
      <c r="D2880" t="s" s="10">
        <v>165</v>
      </c>
      <c r="E2880" t="s" s="10">
        <v>2158</v>
      </c>
      <c r="F2880" s="27">
        <v>45751</v>
      </c>
      <c r="G2880" t="s" s="10">
        <v>40</v>
      </c>
      <c r="H2880" s="42">
        <v>0.16</v>
      </c>
      <c r="I2880" s="42">
        <v>9.72</v>
      </c>
      <c r="J2880" t="s" s="10">
        <v>14695</v>
      </c>
      <c r="K2880" t="s" s="10">
        <v>14696</v>
      </c>
      <c r="L2880" s="16">
        <f>HYPERLINK("http://www.fcb.ai", "www.fcb.ai")</f>
      </c>
      <c r="M2880" s="16">
        <f>HYPERLINK("https://my.pitchbook.com?c=178465-60", "View Company Online")</f>
      </c>
    </row>
    <row r="2881">
      <c r="A2881" t="s" s="11">
        <v>14698</v>
      </c>
      <c r="B2881" t="s" s="11">
        <v>14699</v>
      </c>
      <c r="C2881" t="s" s="11">
        <v>222</v>
      </c>
      <c r="D2881" t="s" s="11">
        <v>252</v>
      </c>
      <c r="E2881" t="s" s="11">
        <v>373</v>
      </c>
      <c r="F2881" s="28">
        <v>44999</v>
      </c>
      <c r="G2881" t="s" s="11">
        <v>146</v>
      </c>
      <c r="H2881" s="43">
        <v>5.55</v>
      </c>
      <c r="I2881" s="43">
        <v>9.71</v>
      </c>
      <c r="J2881" t="s" s="11">
        <v>14700</v>
      </c>
      <c r="K2881" t="s" s="11">
        <v>14701</v>
      </c>
      <c r="L2881" s="17">
        <f>HYPERLINK("http://www.vermiculus.se", "www.vermiculus.se")</f>
      </c>
      <c r="M2881" s="17">
        <f>HYPERLINK("https://my.pitchbook.com?c=470709-73", "View Company Online")</f>
      </c>
    </row>
    <row r="2882">
      <c r="A2882" t="s" s="10">
        <v>14703</v>
      </c>
      <c r="B2882" t="s" s="10">
        <v>14704</v>
      </c>
      <c r="C2882" t="s" s="10">
        <v>222</v>
      </c>
      <c r="D2882" t="s" s="10">
        <v>223</v>
      </c>
      <c r="E2882" t="s" s="10">
        <v>253</v>
      </c>
      <c r="F2882" s="27">
        <v>43948</v>
      </c>
      <c r="G2882" t="s" s="10">
        <v>5311</v>
      </c>
      <c r="H2882" t="s" s="42">
        <v>30</v>
      </c>
      <c r="I2882" s="42">
        <v>9.7</v>
      </c>
      <c r="J2882" t="s" s="10">
        <v>14705</v>
      </c>
      <c r="K2882" t="s" s="10">
        <v>14706</v>
      </c>
      <c r="L2882" s="16">
        <f>HYPERLINK("http://crowdbureau.com", "crowdbureau.com")</f>
      </c>
      <c r="M2882" s="16">
        <f>HYPERLINK("https://my.pitchbook.com?c=279945-19", "View Company Online")</f>
      </c>
    </row>
    <row r="2883">
      <c r="A2883" t="s" s="11">
        <v>14708</v>
      </c>
      <c r="B2883" t="s" s="11">
        <v>14709</v>
      </c>
      <c r="C2883" t="s" s="11">
        <v>164</v>
      </c>
      <c r="D2883" t="s" s="11">
        <v>206</v>
      </c>
      <c r="E2883" t="s" s="11">
        <v>1964</v>
      </c>
      <c r="F2883" s="28">
        <v>46049</v>
      </c>
      <c r="G2883" t="s" s="11">
        <v>146</v>
      </c>
      <c r="H2883" s="43">
        <v>2.2</v>
      </c>
      <c r="I2883" s="43">
        <v>9.7</v>
      </c>
      <c r="J2883" t="s" s="11">
        <v>14710</v>
      </c>
      <c r="K2883" t="s" s="11">
        <v>14711</v>
      </c>
      <c r="L2883" s="17">
        <f>HYPERLINK("http://www.getcyder.com", "www.getcyder.com")</f>
      </c>
      <c r="M2883" s="17">
        <f>HYPERLINK("https://my.pitchbook.com?c=501479-02", "View Company Online")</f>
      </c>
    </row>
    <row r="2884">
      <c r="A2884" t="s" s="10">
        <v>14713</v>
      </c>
      <c r="B2884" t="s" s="10">
        <v>14714</v>
      </c>
      <c r="C2884" t="s" s="10">
        <v>172</v>
      </c>
      <c r="D2884" t="s" s="10">
        <v>338</v>
      </c>
      <c r="E2884" t="s" s="10">
        <v>634</v>
      </c>
      <c r="F2884" t="s" s="27">
        <v>30</v>
      </c>
      <c r="G2884" t="s" s="10">
        <v>48</v>
      </c>
      <c r="H2884" t="s" s="42">
        <v>30</v>
      </c>
      <c r="I2884" s="42">
        <v>9.69</v>
      </c>
      <c r="J2884" t="s" s="10">
        <v>14715</v>
      </c>
      <c r="K2884" t="s" s="10">
        <v>14716</v>
      </c>
      <c r="L2884" s="16">
        <f>HYPERLINK("http://www.fincom.co", "www.fincom.co")</f>
      </c>
      <c r="M2884" s="16">
        <f>HYPERLINK("https://my.pitchbook.com?c=226732-51", "View Company Online")</f>
      </c>
    </row>
    <row r="2885">
      <c r="A2885" t="s" s="11">
        <v>14718</v>
      </c>
      <c r="B2885" t="s" s="11">
        <v>14719</v>
      </c>
      <c r="C2885" t="s" s="11">
        <v>60</v>
      </c>
      <c r="D2885" t="s" s="11">
        <v>246</v>
      </c>
      <c r="E2885" t="s" s="11">
        <v>270</v>
      </c>
      <c r="F2885" s="28">
        <v>46053</v>
      </c>
      <c r="G2885" t="s" s="11">
        <v>4267</v>
      </c>
      <c r="H2885" t="s" s="43">
        <v>30</v>
      </c>
      <c r="I2885" s="43">
        <v>9.66</v>
      </c>
      <c r="J2885" t="s" s="11">
        <v>14720</v>
      </c>
      <c r="K2885" t="s" s="11">
        <v>14721</v>
      </c>
      <c r="L2885" s="17">
        <f>HYPERLINK("http://liquide.life", "liquide.life")</f>
      </c>
      <c r="M2885" s="17">
        <f>HYPERLINK("https://my.pitchbook.com?c=495828-01", "View Company Online")</f>
      </c>
    </row>
    <row r="2886">
      <c r="A2886" t="s" s="10">
        <v>14723</v>
      </c>
      <c r="B2886" t="s" s="10">
        <v>14724</v>
      </c>
      <c r="C2886" t="s" s="10">
        <v>164</v>
      </c>
      <c r="D2886" t="s" s="10">
        <v>206</v>
      </c>
      <c r="E2886" t="s" s="10">
        <v>253</v>
      </c>
      <c r="F2886" t="s" s="27">
        <v>30</v>
      </c>
      <c r="G2886" t="s" s="10">
        <v>607</v>
      </c>
      <c r="H2886" t="s" s="42">
        <v>30</v>
      </c>
      <c r="I2886" s="42">
        <v>9.66</v>
      </c>
      <c r="J2886" t="s" s="10">
        <v>14725</v>
      </c>
      <c r="K2886" t="s" s="10">
        <v>14726</v>
      </c>
      <c r="L2886" s="16">
        <f>HYPERLINK("http://www.streeva.com", "www.streeva.com")</f>
      </c>
      <c r="M2886" s="16">
        <f>HYPERLINK("https://my.pitchbook.com?c=436220-56", "View Company Online")</f>
      </c>
    </row>
    <row r="2887">
      <c r="A2887" t="s" s="11">
        <v>14728</v>
      </c>
      <c r="B2887" t="s" s="11">
        <v>14729</v>
      </c>
      <c r="C2887" t="s" s="11">
        <v>114</v>
      </c>
      <c r="D2887" t="s" s="11">
        <v>1386</v>
      </c>
      <c r="E2887" t="s" s="11">
        <v>253</v>
      </c>
      <c r="F2887" s="28">
        <v>45686</v>
      </c>
      <c r="G2887" t="s" s="11">
        <v>40</v>
      </c>
      <c r="H2887" s="43">
        <v>0.67</v>
      </c>
      <c r="I2887" s="43">
        <v>9.65</v>
      </c>
      <c r="J2887" t="s" s="11">
        <v>14730</v>
      </c>
      <c r="K2887" t="s" s="11">
        <v>14731</v>
      </c>
      <c r="L2887" s="17">
        <f>HYPERLINK("http://www.wonderlendhubs.com", "www.wonderlendhubs.com")</f>
      </c>
      <c r="M2887" s="17">
        <f>HYPERLINK("https://my.pitchbook.com?c=471393-46", "View Company Online")</f>
      </c>
    </row>
    <row r="2888">
      <c r="A2888" t="s" s="10">
        <v>14733</v>
      </c>
      <c r="B2888" t="s" s="10">
        <v>14734</v>
      </c>
      <c r="C2888" t="s" s="10">
        <v>222</v>
      </c>
      <c r="D2888" t="s" s="10">
        <v>235</v>
      </c>
      <c r="E2888" t="s" s="10">
        <v>4013</v>
      </c>
      <c r="F2888" s="27">
        <v>45603</v>
      </c>
      <c r="G2888" t="s" s="10">
        <v>146</v>
      </c>
      <c r="H2888" s="42">
        <v>2.22</v>
      </c>
      <c r="I2888" s="42">
        <v>9.63</v>
      </c>
      <c r="J2888" t="s" s="10">
        <v>14735</v>
      </c>
      <c r="K2888" t="s" s="10">
        <v>14736</v>
      </c>
      <c r="L2888" s="16">
        <f>HYPERLINK("http://www.impact-circle.co.jp", "www.impact-circle.co.jp")</f>
      </c>
      <c r="M2888" s="16">
        <f>HYPERLINK("https://my.pitchbook.com?c=493845-13", "View Company Online")</f>
      </c>
    </row>
    <row r="2889">
      <c r="A2889" t="s" s="11">
        <v>14738</v>
      </c>
      <c r="B2889" t="s" s="11">
        <v>14739</v>
      </c>
      <c r="C2889" t="s" s="11">
        <v>164</v>
      </c>
      <c r="D2889" t="s" s="11">
        <v>206</v>
      </c>
      <c r="E2889" t="s" s="11">
        <v>137</v>
      </c>
      <c r="F2889" s="28">
        <v>45315</v>
      </c>
      <c r="G2889" t="s" s="11">
        <v>4267</v>
      </c>
      <c r="H2889" s="43">
        <v>1.65</v>
      </c>
      <c r="I2889" s="43">
        <v>9.62</v>
      </c>
      <c r="J2889" t="s" s="11">
        <v>14740</v>
      </c>
      <c r="K2889" t="s" s="11">
        <v>14741</v>
      </c>
      <c r="L2889" s="17">
        <f>HYPERLINK("http://www.fixerra.in", "www.fixerra.in")</f>
      </c>
      <c r="M2889" s="17">
        <f>HYPERLINK("https://my.pitchbook.com?c=556999-03", "View Company Online")</f>
      </c>
    </row>
    <row r="2890">
      <c r="A2890" t="s" s="10">
        <v>14743</v>
      </c>
      <c r="B2890" t="s" s="10">
        <v>14744</v>
      </c>
      <c r="C2890" t="s" s="10">
        <v>172</v>
      </c>
      <c r="D2890" t="s" s="10">
        <v>338</v>
      </c>
      <c r="E2890" t="s" s="10">
        <v>859</v>
      </c>
      <c r="F2890" s="27">
        <v>45213</v>
      </c>
      <c r="G2890" t="s" s="10">
        <v>40</v>
      </c>
      <c r="H2890" s="42">
        <v>1.17</v>
      </c>
      <c r="I2890" s="42">
        <v>9.62</v>
      </c>
      <c r="J2890" t="s" s="10">
        <v>14745</v>
      </c>
      <c r="K2890" t="s" s="10">
        <v>14746</v>
      </c>
      <c r="L2890" s="16">
        <f>HYPERLINK("http://www.iconicchain.com", "www.iconicchain.com")</f>
      </c>
      <c r="M2890" s="16">
        <f>HYPERLINK("https://my.pitchbook.com?c=483993-37", "View Company Online")</f>
      </c>
    </row>
    <row r="2891">
      <c r="A2891" t="s" s="11">
        <v>14748</v>
      </c>
      <c r="B2891" t="s" s="11">
        <v>14749</v>
      </c>
      <c r="C2891" t="s" s="11">
        <v>46</v>
      </c>
      <c r="D2891" t="s" s="11">
        <v>47</v>
      </c>
      <c r="E2891" t="s" s="11">
        <v>2146</v>
      </c>
      <c r="F2891" t="s" s="28">
        <v>30</v>
      </c>
      <c r="G2891" t="s" s="11">
        <v>31</v>
      </c>
      <c r="H2891" s="43">
        <v>103.53</v>
      </c>
      <c r="I2891" s="43">
        <v>9.6</v>
      </c>
      <c r="J2891" t="s" s="11">
        <v>14750</v>
      </c>
      <c r="K2891" t="s" s="11">
        <v>14751</v>
      </c>
      <c r="L2891" s="17">
        <f>HYPERLINK("http://www.getnelly.de", "www.getnelly.de")</f>
      </c>
      <c r="M2891" s="17">
        <f>HYPERLINK("https://my.pitchbook.com?c=494322-22", "View Company Online")</f>
      </c>
    </row>
    <row r="2892">
      <c r="A2892" t="s" s="10">
        <v>14753</v>
      </c>
      <c r="B2892" t="s" s="10">
        <v>14754</v>
      </c>
      <c r="C2892" t="s" s="10">
        <v>222</v>
      </c>
      <c r="D2892" t="s" s="10">
        <v>223</v>
      </c>
      <c r="E2892" t="s" s="10">
        <v>367</v>
      </c>
      <c r="F2892" s="27">
        <v>44710</v>
      </c>
      <c r="G2892" t="s" s="10">
        <v>40</v>
      </c>
      <c r="H2892" s="42">
        <v>20</v>
      </c>
      <c r="I2892" s="42">
        <v>9.59</v>
      </c>
      <c r="J2892" t="s" s="10">
        <v>14755</v>
      </c>
      <c r="K2892" t="s" s="10">
        <v>14756</v>
      </c>
      <c r="L2892" s="16">
        <f>HYPERLINK("http://www.synaptic.com", "www.synaptic.com")</f>
      </c>
      <c r="M2892" s="16">
        <f>HYPERLINK("https://my.pitchbook.com?c=431697-43", "View Company Online")</f>
      </c>
    </row>
    <row r="2893">
      <c r="A2893" t="s" s="11">
        <v>14758</v>
      </c>
      <c r="B2893" t="s" s="11">
        <v>14759</v>
      </c>
      <c r="C2893" t="s" s="11">
        <v>114</v>
      </c>
      <c r="D2893" t="s" s="11">
        <v>852</v>
      </c>
      <c r="E2893" t="s" s="11">
        <v>6058</v>
      </c>
      <c r="F2893" s="28">
        <v>45737</v>
      </c>
      <c r="G2893" t="s" s="11">
        <v>146</v>
      </c>
      <c r="H2893" s="43">
        <v>1.25</v>
      </c>
      <c r="I2893" s="43">
        <v>9.58</v>
      </c>
      <c r="J2893" t="s" s="11">
        <v>14760</v>
      </c>
      <c r="K2893" t="s" s="11">
        <v>14761</v>
      </c>
      <c r="L2893" s="17">
        <f>HYPERLINK("http://www.agrosperity.com", "www.agrosperity.com")</f>
      </c>
      <c r="M2893" s="17">
        <f>HYPERLINK("https://my.pitchbook.com?c=510318-10", "View Company Online")</f>
      </c>
    </row>
    <row r="2894">
      <c r="A2894" t="s" s="10">
        <v>14763</v>
      </c>
      <c r="B2894" t="s" s="10">
        <v>14764</v>
      </c>
      <c r="C2894" t="s" s="10">
        <v>46</v>
      </c>
      <c r="D2894" t="s" s="10">
        <v>397</v>
      </c>
      <c r="E2894" t="s" s="10">
        <v>3661</v>
      </c>
      <c r="F2894" s="27">
        <v>45838</v>
      </c>
      <c r="G2894" t="s" s="10">
        <v>40</v>
      </c>
      <c r="H2894" s="42">
        <v>7</v>
      </c>
      <c r="I2894" s="42">
        <v>9.56</v>
      </c>
      <c r="J2894" t="s" s="10">
        <v>14765</v>
      </c>
      <c r="K2894" t="s" s="10">
        <v>14766</v>
      </c>
      <c r="L2894" s="16">
        <f>HYPERLINK("http://www.pibit.ai", "www.pibit.ai")</f>
      </c>
      <c r="M2894" s="16">
        <f>HYPERLINK("https://my.pitchbook.com?c=459356-59", "View Company Online")</f>
      </c>
    </row>
    <row r="2895">
      <c r="A2895" t="s" s="11">
        <v>14768</v>
      </c>
      <c r="B2895" t="s" s="11">
        <v>14769</v>
      </c>
      <c r="C2895" t="s" s="11">
        <v>27</v>
      </c>
      <c r="D2895" t="s" s="11">
        <v>28</v>
      </c>
      <c r="E2895" t="s" s="11">
        <v>137</v>
      </c>
      <c r="F2895" s="28">
        <v>44676</v>
      </c>
      <c r="G2895" t="s" s="11">
        <v>40</v>
      </c>
      <c r="H2895" s="43">
        <v>2.12</v>
      </c>
      <c r="I2895" s="43">
        <v>9.51</v>
      </c>
      <c r="J2895" t="s" s="11">
        <v>14770</v>
      </c>
      <c r="K2895" t="s" s="11">
        <v>14771</v>
      </c>
      <c r="L2895" s="17">
        <f>HYPERLINK("http://citycash.in", "citycash.in")</f>
      </c>
      <c r="M2895" s="17">
        <f>HYPERLINK("https://my.pitchbook.com?c=244128-52", "View Company Online")</f>
      </c>
    </row>
    <row r="2896">
      <c r="A2896" t="s" s="10">
        <v>14773</v>
      </c>
      <c r="B2896" t="s" s="10">
        <v>14774</v>
      </c>
      <c r="C2896" t="s" s="10">
        <v>60</v>
      </c>
      <c r="D2896" t="s" s="10">
        <v>192</v>
      </c>
      <c r="E2896" t="s" s="10">
        <v>270</v>
      </c>
      <c r="F2896" t="s" s="27">
        <v>30</v>
      </c>
      <c r="G2896" t="s" s="10">
        <v>48</v>
      </c>
      <c r="H2896" t="s" s="42">
        <v>30</v>
      </c>
      <c r="I2896" s="42">
        <v>9.5</v>
      </c>
      <c r="J2896" t="s" s="10">
        <v>14775</v>
      </c>
      <c r="K2896" t="s" s="10">
        <v>30</v>
      </c>
      <c r="L2896" s="16">
        <f>HYPERLINK("http://www.finect.com", "www.finect.com")</f>
      </c>
      <c r="M2896" s="16">
        <f>HYPERLINK("https://my.pitchbook.com?c=93241-09", "View Company Online")</f>
      </c>
    </row>
    <row r="2897">
      <c r="A2897" t="s" s="11">
        <v>14777</v>
      </c>
      <c r="B2897" t="s" s="11">
        <v>14778</v>
      </c>
      <c r="C2897" t="s" s="11">
        <v>222</v>
      </c>
      <c r="D2897" t="s" s="11">
        <v>252</v>
      </c>
      <c r="E2897" t="s" s="11">
        <v>137</v>
      </c>
      <c r="F2897" s="28">
        <v>46113</v>
      </c>
      <c r="G2897" t="s" s="11">
        <v>138</v>
      </c>
      <c r="H2897" t="s" s="43">
        <v>30</v>
      </c>
      <c r="I2897" s="43">
        <v>9.5</v>
      </c>
      <c r="J2897" t="s" s="11">
        <v>14779</v>
      </c>
      <c r="K2897" t="s" s="11">
        <v>14780</v>
      </c>
      <c r="L2897" s="17">
        <f>HYPERLINK("http://www.quantex.com.ar", "www.quantex.com.ar")</f>
      </c>
      <c r="M2897" s="17">
        <f>HYPERLINK("https://my.pitchbook.com?c=496674-73", "View Company Online")</f>
      </c>
    </row>
    <row r="2898">
      <c r="A2898" t="s" s="10">
        <v>14782</v>
      </c>
      <c r="B2898" t="s" s="10">
        <v>14783</v>
      </c>
      <c r="C2898" t="s" s="10">
        <v>114</v>
      </c>
      <c r="D2898" t="s" s="10">
        <v>1386</v>
      </c>
      <c r="E2898" t="s" s="10">
        <v>29</v>
      </c>
      <c r="F2898" s="27">
        <v>45993</v>
      </c>
      <c r="G2898" t="s" s="10">
        <v>146</v>
      </c>
      <c r="H2898" t="s" s="42">
        <v>30</v>
      </c>
      <c r="I2898" s="42">
        <v>9.5</v>
      </c>
      <c r="J2898" t="s" s="10">
        <v>14784</v>
      </c>
      <c r="K2898" t="s" s="10">
        <v>14785</v>
      </c>
      <c r="L2898" s="16">
        <f>HYPERLINK("http://www.selectfi.com", "www.selectfi.com")</f>
      </c>
      <c r="M2898" s="16">
        <f>HYPERLINK("https://my.pitchbook.com?c=537329-35", "View Company Online")</f>
      </c>
    </row>
    <row r="2899">
      <c r="A2899" t="s" s="11">
        <v>14787</v>
      </c>
      <c r="B2899" t="s" s="11">
        <v>14788</v>
      </c>
      <c r="C2899" t="s" s="11">
        <v>27</v>
      </c>
      <c r="D2899" t="s" s="11">
        <v>28</v>
      </c>
      <c r="E2899" t="s" s="11">
        <v>12814</v>
      </c>
      <c r="F2899" s="28">
        <v>44308</v>
      </c>
      <c r="G2899" t="s" s="11">
        <v>40</v>
      </c>
      <c r="H2899" s="43">
        <v>1.78</v>
      </c>
      <c r="I2899" s="43">
        <v>9.5</v>
      </c>
      <c r="J2899" t="s" s="11">
        <v>14789</v>
      </c>
      <c r="K2899" t="s" s="11">
        <v>14790</v>
      </c>
      <c r="L2899" s="17">
        <f>HYPERLINK("http://www.tixi.bg", "www.tixi.bg")</f>
      </c>
      <c r="M2899" s="17">
        <f>HYPERLINK("https://my.pitchbook.com?c=181728-10", "View Company Online")</f>
      </c>
    </row>
    <row r="2900">
      <c r="A2900" t="s" s="10">
        <v>14792</v>
      </c>
      <c r="B2900" t="s" s="10">
        <v>14793</v>
      </c>
      <c r="C2900" t="s" s="10">
        <v>46</v>
      </c>
      <c r="D2900" t="s" s="10">
        <v>47</v>
      </c>
      <c r="E2900" t="s" s="10">
        <v>253</v>
      </c>
      <c r="F2900" t="s" s="27">
        <v>30</v>
      </c>
      <c r="G2900" t="s" s="10">
        <v>48</v>
      </c>
      <c r="H2900" t="s" s="42">
        <v>30</v>
      </c>
      <c r="I2900" s="42">
        <v>9.45</v>
      </c>
      <c r="J2900" t="s" s="10">
        <v>14794</v>
      </c>
      <c r="K2900" t="s" s="10">
        <v>14795</v>
      </c>
      <c r="L2900" s="16">
        <f>HYPERLINK("http://www.inbanx.com", "www.inbanx.com")</f>
      </c>
      <c r="M2900" s="16">
        <f>HYPERLINK("https://my.pitchbook.com?c=466735-69", "View Company Online")</f>
      </c>
    </row>
    <row r="2901">
      <c r="A2901" t="s" s="11">
        <v>14797</v>
      </c>
      <c r="B2901" t="s" s="11">
        <v>14798</v>
      </c>
      <c r="C2901" t="s" s="11">
        <v>46</v>
      </c>
      <c r="D2901" t="s" s="11">
        <v>397</v>
      </c>
      <c r="E2901" t="s" s="11">
        <v>373</v>
      </c>
      <c r="F2901" s="28">
        <v>46114</v>
      </c>
      <c r="G2901" t="s" s="11">
        <v>5274</v>
      </c>
      <c r="H2901" t="s" s="43">
        <v>30</v>
      </c>
      <c r="I2901" s="43">
        <v>9.43</v>
      </c>
      <c r="J2901" t="s" s="11">
        <v>14799</v>
      </c>
      <c r="K2901" t="s" s="11">
        <v>14800</v>
      </c>
      <c r="L2901" s="17">
        <f>HYPERLINK("http://www.kontolink.com", "www.kontolink.com")</f>
      </c>
      <c r="M2901" s="17">
        <f>HYPERLINK("https://my.pitchbook.com?c=431649-46", "View Company Online")</f>
      </c>
    </row>
    <row r="2902">
      <c r="A2902" t="s" s="10">
        <v>14802</v>
      </c>
      <c r="B2902" t="s" s="10">
        <v>14803</v>
      </c>
      <c r="C2902" t="s" s="10">
        <v>164</v>
      </c>
      <c r="D2902" t="s" s="10">
        <v>206</v>
      </c>
      <c r="E2902" t="s" s="10">
        <v>2695</v>
      </c>
      <c r="F2902" s="27">
        <v>46054</v>
      </c>
      <c r="G2902" t="s" s="10">
        <v>48</v>
      </c>
      <c r="H2902" t="s" s="42">
        <v>30</v>
      </c>
      <c r="I2902" s="42">
        <v>9.42</v>
      </c>
      <c r="J2902" t="s" s="10">
        <v>14804</v>
      </c>
      <c r="K2902" t="s" s="10">
        <v>14805</v>
      </c>
      <c r="L2902" s="16">
        <f>HYPERLINK("http://www.coinscrapfinance.com", "www.coinscrapfinance.com")</f>
      </c>
      <c r="M2902" s="16">
        <f>HYPERLINK("https://my.pitchbook.com?c=266043-70", "View Company Online")</f>
      </c>
    </row>
    <row r="2903">
      <c r="A2903" t="s" s="11">
        <v>14807</v>
      </c>
      <c r="B2903" t="s" s="11">
        <v>14808</v>
      </c>
      <c r="C2903" t="s" s="11">
        <v>27</v>
      </c>
      <c r="D2903" t="s" s="11">
        <v>28</v>
      </c>
      <c r="E2903" t="s" s="11">
        <v>1652</v>
      </c>
      <c r="F2903" s="28">
        <v>45687</v>
      </c>
      <c r="G2903" t="s" s="11">
        <v>40</v>
      </c>
      <c r="H2903" s="43">
        <v>0.51</v>
      </c>
      <c r="I2903" s="43">
        <v>9.42</v>
      </c>
      <c r="J2903" t="s" s="11">
        <v>14809</v>
      </c>
      <c r="K2903" t="s" s="11">
        <v>14810</v>
      </c>
      <c r="L2903" s="17">
        <f>HYPERLINK("http://www.fena.co", "www.fena.co")</f>
      </c>
      <c r="M2903" s="17">
        <f>HYPERLINK("https://my.pitchbook.com?c=489140-11", "View Company Online")</f>
      </c>
    </row>
    <row r="2904">
      <c r="A2904" t="s" s="10">
        <v>14812</v>
      </c>
      <c r="B2904" t="s" s="10">
        <v>14813</v>
      </c>
      <c r="C2904" t="s" s="10">
        <v>60</v>
      </c>
      <c r="D2904" t="s" s="10">
        <v>246</v>
      </c>
      <c r="E2904" t="s" s="10">
        <v>10114</v>
      </c>
      <c r="F2904" s="27">
        <v>44678</v>
      </c>
      <c r="G2904" t="s" s="10">
        <v>146</v>
      </c>
      <c r="H2904" s="42">
        <v>4.41</v>
      </c>
      <c r="I2904" s="42">
        <v>9.41</v>
      </c>
      <c r="J2904" t="s" s="10">
        <v>14814</v>
      </c>
      <c r="K2904" t="s" s="10">
        <v>14815</v>
      </c>
      <c r="L2904" s="16">
        <f>HYPERLINK("http://www.carclarity.com.au", "www.carclarity.com.au")</f>
      </c>
      <c r="M2904" s="16">
        <f>HYPERLINK("https://my.pitchbook.com?c=462340-72", "View Company Online")</f>
      </c>
    </row>
    <row r="2905">
      <c r="A2905" t="s" s="11">
        <v>14817</v>
      </c>
      <c r="B2905" t="s" s="11">
        <v>14818</v>
      </c>
      <c r="C2905" t="s" s="11">
        <v>60</v>
      </c>
      <c r="D2905" t="s" s="11">
        <v>246</v>
      </c>
      <c r="E2905" t="s" s="11">
        <v>3831</v>
      </c>
      <c r="F2905" s="28">
        <v>45120</v>
      </c>
      <c r="G2905" t="s" s="11">
        <v>4267</v>
      </c>
      <c r="H2905" s="43">
        <v>1.14</v>
      </c>
      <c r="I2905" s="43">
        <v>9.39</v>
      </c>
      <c r="J2905" t="s" s="11">
        <v>14819</v>
      </c>
      <c r="K2905" t="s" s="11">
        <v>14820</v>
      </c>
      <c r="L2905" s="17">
        <f>HYPERLINK("http://www.thinkhomewise.com", "www.thinkhomewise.com")</f>
      </c>
      <c r="M2905" s="17">
        <f>HYPERLINK("https://my.pitchbook.com?c=433384-03", "View Company Online")</f>
      </c>
    </row>
    <row r="2906">
      <c r="A2906" t="s" s="10">
        <v>14822</v>
      </c>
      <c r="B2906" t="s" s="10">
        <v>14823</v>
      </c>
      <c r="C2906" t="s" s="10">
        <v>128</v>
      </c>
      <c r="D2906" t="s" s="10">
        <v>199</v>
      </c>
      <c r="E2906" t="s" s="10">
        <v>193</v>
      </c>
      <c r="F2906" s="27">
        <v>45634</v>
      </c>
      <c r="G2906" t="s" s="10">
        <v>146</v>
      </c>
      <c r="H2906" s="42">
        <v>2.49</v>
      </c>
      <c r="I2906" s="42">
        <v>9.39</v>
      </c>
      <c r="J2906" t="s" s="10">
        <v>14824</v>
      </c>
      <c r="K2906" t="s" s="10">
        <v>14825</v>
      </c>
      <c r="L2906" s="16">
        <f>HYPERLINK("http://www.tiun.io", "www.tiun.io")</f>
      </c>
      <c r="M2906" s="16">
        <f>HYPERLINK("https://my.pitchbook.com?c=517213-45", "View Company Online")</f>
      </c>
    </row>
    <row r="2907">
      <c r="A2907" t="s" s="11">
        <v>14827</v>
      </c>
      <c r="B2907" t="s" s="11">
        <v>14828</v>
      </c>
      <c r="C2907" t="s" s="11">
        <v>164</v>
      </c>
      <c r="D2907" t="s" s="11">
        <v>165</v>
      </c>
      <c r="E2907" t="s" s="11">
        <v>373</v>
      </c>
      <c r="F2907" s="28">
        <v>44553</v>
      </c>
      <c r="G2907" t="s" s="11">
        <v>146</v>
      </c>
      <c r="H2907" s="43">
        <v>0.46</v>
      </c>
      <c r="I2907" s="43">
        <v>9.35</v>
      </c>
      <c r="J2907" t="s" s="11">
        <v>14829</v>
      </c>
      <c r="K2907" t="s" s="11">
        <v>14830</v>
      </c>
      <c r="L2907" s="17">
        <f>HYPERLINK("http://www.wealthblock.ai", "www.wealthblock.ai")</f>
      </c>
      <c r="M2907" s="17">
        <f>HYPERLINK("https://my.pitchbook.com?c=407243-26", "View Company Online")</f>
      </c>
    </row>
    <row r="2908">
      <c r="A2908" t="s" s="10">
        <v>14832</v>
      </c>
      <c r="B2908" t="s" s="10">
        <v>14833</v>
      </c>
      <c r="C2908" t="s" s="10">
        <v>164</v>
      </c>
      <c r="D2908" t="s" s="10">
        <v>206</v>
      </c>
      <c r="E2908" t="s" s="10">
        <v>2575</v>
      </c>
      <c r="F2908" s="27">
        <v>44710</v>
      </c>
      <c r="G2908" t="s" s="10">
        <v>40</v>
      </c>
      <c r="H2908" t="s" s="42">
        <v>30</v>
      </c>
      <c r="I2908" s="42">
        <v>9.34</v>
      </c>
      <c r="J2908" t="s" s="10">
        <v>14834</v>
      </c>
      <c r="K2908" t="s" s="10">
        <v>14835</v>
      </c>
      <c r="L2908" s="16">
        <f>HYPERLINK("http://www.multiply.ai", "www.multiply.ai")</f>
      </c>
      <c r="M2908" s="16">
        <f>HYPERLINK("https://my.pitchbook.com?c=174759-22", "View Company Online")</f>
      </c>
    </row>
    <row r="2909">
      <c r="A2909" t="s" s="11">
        <v>14837</v>
      </c>
      <c r="B2909" t="s" s="11">
        <v>14838</v>
      </c>
      <c r="C2909" t="s" s="11">
        <v>60</v>
      </c>
      <c r="D2909" t="s" s="11">
        <v>246</v>
      </c>
      <c r="E2909" t="s" s="11">
        <v>137</v>
      </c>
      <c r="F2909" s="28">
        <v>45971</v>
      </c>
      <c r="G2909" t="s" s="11">
        <v>146</v>
      </c>
      <c r="H2909" s="43">
        <v>0.89</v>
      </c>
      <c r="I2909" s="43">
        <v>9.32</v>
      </c>
      <c r="J2909" t="s" s="11">
        <v>14839</v>
      </c>
      <c r="K2909" t="s" s="11">
        <v>14840</v>
      </c>
      <c r="L2909" s="17">
        <f>HYPERLINK("http://www.betbudget.app", "www.betbudget.app")</f>
      </c>
      <c r="M2909" s="17">
        <f>HYPERLINK("https://my.pitchbook.com?c=509183-38", "View Company Online")</f>
      </c>
    </row>
    <row r="2910">
      <c r="A2910" t="s" s="10">
        <v>14842</v>
      </c>
      <c r="B2910" t="s" s="10">
        <v>14843</v>
      </c>
      <c r="C2910" t="s" s="10">
        <v>60</v>
      </c>
      <c r="D2910" t="s" s="10">
        <v>246</v>
      </c>
      <c r="E2910" t="s" s="10">
        <v>193</v>
      </c>
      <c r="F2910" s="27">
        <v>45489</v>
      </c>
      <c r="G2910" t="s" s="10">
        <v>40</v>
      </c>
      <c r="H2910" s="42">
        <v>4.5</v>
      </c>
      <c r="I2910" s="42">
        <v>9.31</v>
      </c>
      <c r="J2910" t="s" s="10">
        <v>14844</v>
      </c>
      <c r="K2910" t="s" s="10">
        <v>14845</v>
      </c>
      <c r="L2910" s="16">
        <f>HYPERLINK("http://www.multipl.in", "www.multipl.in")</f>
      </c>
      <c r="M2910" s="16">
        <f>HYPERLINK("https://my.pitchbook.com?c=496304-92", "View Company Online")</f>
      </c>
    </row>
    <row r="2911">
      <c r="A2911" t="s" s="11">
        <v>14847</v>
      </c>
      <c r="B2911" t="s" s="11">
        <v>14848</v>
      </c>
      <c r="C2911" t="s" s="11">
        <v>222</v>
      </c>
      <c r="D2911" t="s" s="11">
        <v>223</v>
      </c>
      <c r="E2911" t="s" s="11">
        <v>646</v>
      </c>
      <c r="F2911" s="28">
        <v>46042</v>
      </c>
      <c r="G2911" t="s" s="11">
        <v>4267</v>
      </c>
      <c r="H2911" s="43">
        <v>2.11</v>
      </c>
      <c r="I2911" s="43">
        <v>9.29</v>
      </c>
      <c r="J2911" t="s" s="11">
        <v>14849</v>
      </c>
      <c r="K2911" t="s" s="11">
        <v>12113</v>
      </c>
      <c r="L2911" s="17">
        <f>HYPERLINK("http://www.allocation-strategy.com", "www.allocation-strategy.com")</f>
      </c>
      <c r="M2911" s="17">
        <f>HYPERLINK("https://my.pitchbook.com?c=1153678-51", "View Company Online")</f>
      </c>
    </row>
    <row r="2912">
      <c r="A2912" t="s" s="10">
        <v>14851</v>
      </c>
      <c r="B2912" t="s" s="10">
        <v>14852</v>
      </c>
      <c r="C2912" t="s" s="10">
        <v>114</v>
      </c>
      <c r="D2912" t="s" s="10">
        <v>1386</v>
      </c>
      <c r="E2912" t="s" s="10">
        <v>634</v>
      </c>
      <c r="F2912" s="27">
        <v>44874</v>
      </c>
      <c r="G2912" t="s" s="10">
        <v>40</v>
      </c>
      <c r="H2912" s="42">
        <v>1.11</v>
      </c>
      <c r="I2912" s="42">
        <v>9.28</v>
      </c>
      <c r="J2912" t="s" s="10">
        <v>14853</v>
      </c>
      <c r="K2912" t="s" s="10">
        <v>14854</v>
      </c>
      <c r="L2912" s="16">
        <f>HYPERLINK("http://www.monsoonfintech.com", "www.monsoonfintech.com")</f>
      </c>
      <c r="M2912" s="16">
        <f>HYPERLINK("https://my.pitchbook.com?c=183755-53", "View Company Online")</f>
      </c>
    </row>
    <row r="2913">
      <c r="A2913" t="s" s="11">
        <v>14856</v>
      </c>
      <c r="B2913" t="s" s="11">
        <v>14857</v>
      </c>
      <c r="C2913" t="s" s="11">
        <v>222</v>
      </c>
      <c r="D2913" t="s" s="11">
        <v>235</v>
      </c>
      <c r="E2913" t="s" s="11">
        <v>253</v>
      </c>
      <c r="F2913" s="28">
        <v>45573</v>
      </c>
      <c r="G2913" t="s" s="11">
        <v>146</v>
      </c>
      <c r="H2913" s="43">
        <v>1.09</v>
      </c>
      <c r="I2913" s="43">
        <v>9.27</v>
      </c>
      <c r="J2913" t="s" s="11">
        <v>14858</v>
      </c>
      <c r="K2913" t="s" s="11">
        <v>14859</v>
      </c>
      <c r="L2913" s="17">
        <f>HYPERLINK("http://www.gocenti.com", "www.gocenti.com")</f>
      </c>
      <c r="M2913" s="17">
        <f>HYPERLINK("https://my.pitchbook.com?c=608059-27", "View Company Online")</f>
      </c>
    </row>
    <row r="2914">
      <c r="A2914" t="s" s="10">
        <v>14861</v>
      </c>
      <c r="B2914" t="s" s="10">
        <v>14862</v>
      </c>
      <c r="C2914" t="s" s="10">
        <v>46</v>
      </c>
      <c r="D2914" t="s" s="10">
        <v>397</v>
      </c>
      <c r="E2914" t="s" s="10">
        <v>373</v>
      </c>
      <c r="F2914" s="27">
        <v>46153</v>
      </c>
      <c r="G2914" t="s" s="10">
        <v>4267</v>
      </c>
      <c r="H2914" s="42">
        <v>4.06</v>
      </c>
      <c r="I2914" s="42">
        <v>9.26</v>
      </c>
      <c r="J2914" t="s" s="10">
        <v>14863</v>
      </c>
      <c r="K2914" t="s" s="10">
        <v>14864</v>
      </c>
      <c r="L2914" s="16">
        <f>HYPERLINK("http://www.getmayday.com", "www.getmayday.com")</f>
      </c>
      <c r="M2914" s="16">
        <f>HYPERLINK("https://my.pitchbook.com?c=539477-11", "View Company Online")</f>
      </c>
    </row>
    <row r="2915">
      <c r="A2915" t="s" s="11">
        <v>14866</v>
      </c>
      <c r="B2915" t="s" s="11">
        <v>14867</v>
      </c>
      <c r="C2915" t="s" s="11">
        <v>60</v>
      </c>
      <c r="D2915" t="s" s="11">
        <v>420</v>
      </c>
      <c r="E2915" t="s" s="11">
        <v>270</v>
      </c>
      <c r="F2915" s="28">
        <v>45337</v>
      </c>
      <c r="G2915" t="s" s="11">
        <v>40</v>
      </c>
      <c r="H2915" s="43">
        <v>0.04</v>
      </c>
      <c r="I2915" s="43">
        <v>9.25</v>
      </c>
      <c r="J2915" t="s" s="11">
        <v>14868</v>
      </c>
      <c r="K2915" t="s" s="11">
        <v>14869</v>
      </c>
      <c r="L2915" s="17">
        <f>HYPERLINK("http://www.savvyfi.co", "www.savvyfi.co")</f>
      </c>
      <c r="M2915" s="17">
        <f>HYPERLINK("https://my.pitchbook.com?c=438586-93", "View Company Online")</f>
      </c>
    </row>
    <row r="2916">
      <c r="A2916" t="s" s="10">
        <v>14871</v>
      </c>
      <c r="B2916" t="s" s="10">
        <v>14872</v>
      </c>
      <c r="C2916" t="s" s="10">
        <v>60</v>
      </c>
      <c r="D2916" t="s" s="10">
        <v>192</v>
      </c>
      <c r="E2916" t="s" s="10">
        <v>270</v>
      </c>
      <c r="F2916" s="27">
        <v>45419</v>
      </c>
      <c r="G2916" t="s" s="10">
        <v>607</v>
      </c>
      <c r="H2916" t="s" s="42">
        <v>30</v>
      </c>
      <c r="I2916" s="42">
        <v>9.24</v>
      </c>
      <c r="J2916" t="s" s="10">
        <v>14873</v>
      </c>
      <c r="K2916" t="s" s="10">
        <v>14874</v>
      </c>
      <c r="L2916" s="16">
        <f>HYPERLINK("http://www.profit.com", "www.profit.com")</f>
      </c>
      <c r="M2916" s="16">
        <f>HYPERLINK("https://my.pitchbook.com?c=434970-37", "View Company Online")</f>
      </c>
    </row>
    <row r="2917">
      <c r="A2917" t="s" s="11">
        <v>14876</v>
      </c>
      <c r="B2917" t="s" s="11">
        <v>14877</v>
      </c>
      <c r="C2917" t="s" s="11">
        <v>114</v>
      </c>
      <c r="D2917" t="s" s="11">
        <v>136</v>
      </c>
      <c r="E2917" t="s" s="11">
        <v>137</v>
      </c>
      <c r="F2917" s="28">
        <v>45859</v>
      </c>
      <c r="G2917" t="s" s="11">
        <v>2446</v>
      </c>
      <c r="H2917" t="s" s="43">
        <v>30</v>
      </c>
      <c r="I2917" s="43">
        <v>9.13</v>
      </c>
      <c r="J2917" t="s" s="11">
        <v>14878</v>
      </c>
      <c r="K2917" t="s" s="11">
        <v>30</v>
      </c>
      <c r="L2917" s="17">
        <f>HYPERLINK("http://www.fundourselves.com", "www.fundourselves.com")</f>
      </c>
      <c r="M2917" s="17">
        <f>HYPERLINK("https://my.pitchbook.com?c=338547-70", "View Company Online")</f>
      </c>
    </row>
    <row r="2918">
      <c r="A2918" t="s" s="10">
        <v>14880</v>
      </c>
      <c r="B2918" t="s" s="10">
        <v>14881</v>
      </c>
      <c r="C2918" t="s" s="10">
        <v>27</v>
      </c>
      <c r="D2918" t="s" s="10">
        <v>122</v>
      </c>
      <c r="E2918" t="s" s="10">
        <v>253</v>
      </c>
      <c r="F2918" s="27">
        <v>44004</v>
      </c>
      <c r="G2918" t="s" s="10">
        <v>146</v>
      </c>
      <c r="H2918" s="42">
        <v>1.19</v>
      </c>
      <c r="I2918" s="42">
        <v>9.1</v>
      </c>
      <c r="J2918" t="s" s="10">
        <v>14882</v>
      </c>
      <c r="K2918" t="s" s="10">
        <v>14883</v>
      </c>
      <c r="L2918" s="16">
        <f>HYPERLINK("http://www.cambrist.com", "www.cambrist.com")</f>
      </c>
      <c r="M2918" s="16">
        <f>HYPERLINK("https://my.pitchbook.com?c=185256-64", "View Company Online")</f>
      </c>
    </row>
    <row r="2919">
      <c r="A2919" t="s" s="11">
        <v>14885</v>
      </c>
      <c r="B2919" t="s" s="11">
        <v>14886</v>
      </c>
      <c r="C2919" t="s" s="11">
        <v>60</v>
      </c>
      <c r="D2919" t="s" s="11">
        <v>727</v>
      </c>
      <c r="E2919" t="s" s="11">
        <v>1207</v>
      </c>
      <c r="F2919" s="28">
        <v>45828</v>
      </c>
      <c r="G2919" t="s" s="11">
        <v>40</v>
      </c>
      <c r="H2919" s="43">
        <v>0.75</v>
      </c>
      <c r="I2919" s="43">
        <v>9.1</v>
      </c>
      <c r="J2919" t="s" s="11">
        <v>14887</v>
      </c>
      <c r="K2919" t="s" s="11">
        <v>11666</v>
      </c>
      <c r="L2919" s="17">
        <f>HYPERLINK("http://www.growthcapitalventures.co.uk", "www.growthcapitalventures.co.uk")</f>
      </c>
      <c r="M2919" s="17">
        <f>HYPERLINK("https://my.pitchbook.com?c=101623-51", "View Company Online")</f>
      </c>
    </row>
    <row r="2920">
      <c r="A2920" t="s" s="10">
        <v>14889</v>
      </c>
      <c r="B2920" t="s" s="10">
        <v>14890</v>
      </c>
      <c r="C2920" t="s" s="10">
        <v>164</v>
      </c>
      <c r="D2920" t="s" s="10">
        <v>206</v>
      </c>
      <c r="E2920" t="s" s="10">
        <v>6894</v>
      </c>
      <c r="F2920" s="27">
        <v>44609</v>
      </c>
      <c r="G2920" t="s" s="10">
        <v>146</v>
      </c>
      <c r="H2920" s="42">
        <v>1.7</v>
      </c>
      <c r="I2920" s="42">
        <v>9.07</v>
      </c>
      <c r="J2920" t="s" s="10">
        <v>14891</v>
      </c>
      <c r="K2920" t="s" s="10">
        <v>14892</v>
      </c>
      <c r="L2920" s="16">
        <f>HYPERLINK("http://www.heyai.pro", "www.heyai.pro")</f>
      </c>
      <c r="M2920" s="16">
        <f>HYPERLINK("https://my.pitchbook.com?c=234618-04", "View Company Online")</f>
      </c>
    </row>
    <row r="2921">
      <c r="A2921" t="s" s="11">
        <v>14894</v>
      </c>
      <c r="B2921" t="s" s="11">
        <v>14895</v>
      </c>
      <c r="C2921" t="s" s="11">
        <v>128</v>
      </c>
      <c r="D2921" t="s" s="11">
        <v>276</v>
      </c>
      <c r="E2921" t="s" s="11">
        <v>14896</v>
      </c>
      <c r="F2921" s="28">
        <v>46098</v>
      </c>
      <c r="G2921" t="s" s="11">
        <v>2051</v>
      </c>
      <c r="H2921" t="s" s="43">
        <v>30</v>
      </c>
      <c r="I2921" s="43">
        <v>9.03</v>
      </c>
      <c r="J2921" t="s" s="11">
        <v>14897</v>
      </c>
      <c r="K2921" t="s" s="11">
        <v>30</v>
      </c>
      <c r="L2921" s="17">
        <f>HYPERLINK("http://eco2wallet.com", "eco2wallet.com")</f>
      </c>
      <c r="M2921" s="17">
        <f>HYPERLINK("https://my.pitchbook.com?c=506993-95", "View Company Online")</f>
      </c>
    </row>
    <row r="2922">
      <c r="A2922" t="s" s="10">
        <v>14899</v>
      </c>
      <c r="B2922" t="s" s="10">
        <v>14900</v>
      </c>
      <c r="C2922" t="s" s="10">
        <v>37</v>
      </c>
      <c r="D2922" t="s" s="10">
        <v>38</v>
      </c>
      <c r="E2922" t="s" s="10">
        <v>193</v>
      </c>
      <c r="F2922" s="27">
        <v>45383</v>
      </c>
      <c r="G2922" t="s" s="10">
        <v>271</v>
      </c>
      <c r="H2922" s="42">
        <v>0.14</v>
      </c>
      <c r="I2922" s="42">
        <v>9</v>
      </c>
      <c r="J2922" t="s" s="10">
        <v>14901</v>
      </c>
      <c r="K2922" t="s" s="10">
        <v>14902</v>
      </c>
      <c r="L2922" s="16">
        <f>HYPERLINK("http://www.aladdin.ng", "www.aladdin.ng")</f>
      </c>
      <c r="M2922" s="16">
        <f>HYPERLINK("https://my.pitchbook.com?c=490715-47", "View Company Online")</f>
      </c>
    </row>
    <row r="2923">
      <c r="A2923" t="s" s="11">
        <v>14904</v>
      </c>
      <c r="B2923" t="s" s="11">
        <v>14905</v>
      </c>
      <c r="C2923" t="s" s="11">
        <v>27</v>
      </c>
      <c r="D2923" t="s" s="11">
        <v>28</v>
      </c>
      <c r="E2923" t="s" s="11">
        <v>3081</v>
      </c>
      <c r="F2923" s="28">
        <v>44139</v>
      </c>
      <c r="G2923" t="s" s="11">
        <v>4267</v>
      </c>
      <c r="H2923" s="43">
        <v>1.1</v>
      </c>
      <c r="I2923" s="43">
        <v>9</v>
      </c>
      <c r="J2923" t="s" s="11">
        <v>14906</v>
      </c>
      <c r="K2923" t="s" s="11">
        <v>14907</v>
      </c>
      <c r="L2923" s="17">
        <f>HYPERLINK("http://www.bookipi.com", "www.bookipi.com")</f>
      </c>
      <c r="M2923" s="17">
        <f>HYPERLINK("https://my.pitchbook.com?c=435557-35", "View Company Online")</f>
      </c>
    </row>
    <row r="2924">
      <c r="A2924" t="s" s="10">
        <v>14909</v>
      </c>
      <c r="B2924" t="s" s="10">
        <v>14910</v>
      </c>
      <c r="C2924" t="s" s="10">
        <v>46</v>
      </c>
      <c r="D2924" t="s" s="10">
        <v>397</v>
      </c>
      <c r="E2924" t="s" s="10">
        <v>253</v>
      </c>
      <c r="F2924" s="27">
        <v>44470</v>
      </c>
      <c r="G2924" t="s" s="10">
        <v>4267</v>
      </c>
      <c r="H2924" s="42">
        <v>2</v>
      </c>
      <c r="I2924" s="42">
        <v>9</v>
      </c>
      <c r="J2924" t="s" s="10">
        <v>14911</v>
      </c>
      <c r="K2924" t="s" s="10">
        <v>14912</v>
      </c>
      <c r="L2924" s="16">
        <f>HYPERLINK("http://www.finoptimal.com", "www.finoptimal.com")</f>
      </c>
      <c r="M2924" s="16">
        <f>HYPERLINK("https://my.pitchbook.com?c=494326-54", "View Company Online")</f>
      </c>
    </row>
    <row r="2925">
      <c r="A2925" t="s" s="11">
        <v>14914</v>
      </c>
      <c r="B2925" t="s" s="11">
        <v>14915</v>
      </c>
      <c r="C2925" t="s" s="11">
        <v>60</v>
      </c>
      <c r="D2925" t="s" s="11">
        <v>246</v>
      </c>
      <c r="E2925" t="s" s="11">
        <v>1054</v>
      </c>
      <c r="F2925" t="s" s="28">
        <v>30</v>
      </c>
      <c r="G2925" t="s" s="11">
        <v>40</v>
      </c>
      <c r="H2925" t="s" s="43">
        <v>30</v>
      </c>
      <c r="I2925" s="43">
        <v>9</v>
      </c>
      <c r="J2925" t="s" s="11">
        <v>14916</v>
      </c>
      <c r="K2925" t="s" s="11">
        <v>14917</v>
      </c>
      <c r="L2925" s="17">
        <f>HYPERLINK("http://www.hiatusapp.com", "www.hiatusapp.com")</f>
      </c>
      <c r="M2925" s="17">
        <f>HYPERLINK("https://my.pitchbook.com?c=170766-46", "View Company Online")</f>
      </c>
    </row>
    <row r="2926">
      <c r="A2926" t="s" s="10">
        <v>14919</v>
      </c>
      <c r="B2926" t="s" s="10">
        <v>14920</v>
      </c>
      <c r="C2926" t="s" s="10">
        <v>46</v>
      </c>
      <c r="D2926" t="s" s="10">
        <v>397</v>
      </c>
      <c r="E2926" t="s" s="10">
        <v>373</v>
      </c>
      <c r="F2926" s="27">
        <v>46121</v>
      </c>
      <c r="G2926" t="s" s="10">
        <v>4267</v>
      </c>
      <c r="H2926" s="42">
        <v>12</v>
      </c>
      <c r="I2926" s="42">
        <v>9</v>
      </c>
      <c r="J2926" t="s" s="10">
        <v>14921</v>
      </c>
      <c r="K2926" t="s" s="10">
        <v>14922</v>
      </c>
      <c r="L2926" s="16">
        <f>HYPERLINK("http://www.juno.tax", "www.juno.tax")</f>
      </c>
      <c r="M2926" s="16">
        <f>HYPERLINK("https://my.pitchbook.com?c=600695-74", "View Company Online")</f>
      </c>
    </row>
    <row r="2927">
      <c r="A2927" t="s" s="11">
        <v>14924</v>
      </c>
      <c r="B2927" t="s" s="11">
        <v>14925</v>
      </c>
      <c r="C2927" t="s" s="11">
        <v>144</v>
      </c>
      <c r="D2927" t="s" s="11">
        <v>297</v>
      </c>
      <c r="E2927" t="s" s="11">
        <v>108</v>
      </c>
      <c r="F2927" s="28">
        <v>45778</v>
      </c>
      <c r="G2927" t="s" s="11">
        <v>146</v>
      </c>
      <c r="H2927" t="s" s="43">
        <v>30</v>
      </c>
      <c r="I2927" s="43">
        <v>9</v>
      </c>
      <c r="J2927" t="s" s="11">
        <v>14926</v>
      </c>
      <c r="K2927" t="s" s="11">
        <v>14927</v>
      </c>
      <c r="L2927" s="17">
        <f>HYPERLINK("http://www.kontempo.io", "www.kontempo.io")</f>
      </c>
      <c r="M2927" s="17">
        <f>HYPERLINK("https://my.pitchbook.com?c=490886-65", "View Company Online")</f>
      </c>
    </row>
    <row r="2928">
      <c r="A2928" t="s" s="10">
        <v>14929</v>
      </c>
      <c r="B2928" t="s" s="10">
        <v>14930</v>
      </c>
      <c r="C2928" t="s" s="10">
        <v>27</v>
      </c>
      <c r="D2928" t="s" s="10">
        <v>28</v>
      </c>
      <c r="E2928" t="s" s="10">
        <v>14931</v>
      </c>
      <c r="F2928" s="27">
        <v>44568</v>
      </c>
      <c r="G2928" t="s" s="10">
        <v>4267</v>
      </c>
      <c r="H2928" s="42">
        <v>2.5</v>
      </c>
      <c r="I2928" s="42">
        <v>9</v>
      </c>
      <c r="J2928" t="s" s="10">
        <v>14932</v>
      </c>
      <c r="K2928" t="s" s="10">
        <v>14933</v>
      </c>
      <c r="L2928" s="16">
        <f>HYPERLINK("http://www.olsera.com", "www.olsera.com")</f>
      </c>
      <c r="M2928" s="16">
        <f>HYPERLINK("https://my.pitchbook.com?c=118237-60", "View Company Online")</f>
      </c>
    </row>
    <row r="2929">
      <c r="A2929" t="s" s="11">
        <v>14935</v>
      </c>
      <c r="B2929" t="s" s="11">
        <v>14936</v>
      </c>
      <c r="C2929" t="s" s="11">
        <v>164</v>
      </c>
      <c r="D2929" t="s" s="11">
        <v>165</v>
      </c>
      <c r="E2929" t="s" s="11">
        <v>373</v>
      </c>
      <c r="F2929" s="28">
        <v>45323</v>
      </c>
      <c r="G2929" t="s" s="11">
        <v>40</v>
      </c>
      <c r="H2929" t="s" s="43">
        <v>30</v>
      </c>
      <c r="I2929" s="43">
        <v>9</v>
      </c>
      <c r="J2929" t="s" s="11">
        <v>14937</v>
      </c>
      <c r="K2929" t="s" s="11">
        <v>14938</v>
      </c>
      <c r="L2929" s="17">
        <f>HYPERLINK("http://www.onpepper.com", "www.onpepper.com")</f>
      </c>
      <c r="M2929" s="17">
        <f>HYPERLINK("https://my.pitchbook.com?c=55078-21", "View Company Online")</f>
      </c>
    </row>
    <row r="2930">
      <c r="A2930" t="s" s="10">
        <v>14940</v>
      </c>
      <c r="B2930" t="s" s="10">
        <v>14941</v>
      </c>
      <c r="C2930" t="s" s="10">
        <v>114</v>
      </c>
      <c r="D2930" t="s" s="10">
        <v>136</v>
      </c>
      <c r="E2930" t="s" s="10">
        <v>629</v>
      </c>
      <c r="F2930" s="27">
        <v>45170</v>
      </c>
      <c r="G2930" t="s" s="10">
        <v>40</v>
      </c>
      <c r="H2930" s="42">
        <v>2</v>
      </c>
      <c r="I2930" s="42">
        <v>9</v>
      </c>
      <c r="J2930" t="s" s="10">
        <v>14942</v>
      </c>
      <c r="K2930" t="s" s="10">
        <v>14943</v>
      </c>
      <c r="L2930" s="16">
        <f>HYPERLINK("http://www.saferate.com", "www.saferate.com")</f>
      </c>
      <c r="M2930" s="16">
        <f>HYPERLINK("https://my.pitchbook.com?c=498175-84", "View Company Online")</f>
      </c>
    </row>
    <row r="2931">
      <c r="A2931" t="s" s="11">
        <v>14945</v>
      </c>
      <c r="B2931" t="s" s="11">
        <v>14946</v>
      </c>
      <c r="C2931" t="s" s="11">
        <v>164</v>
      </c>
      <c r="D2931" t="s" s="11">
        <v>206</v>
      </c>
      <c r="E2931" t="s" s="11">
        <v>2056</v>
      </c>
      <c r="F2931" s="28">
        <v>46080</v>
      </c>
      <c r="G2931" t="s" s="11">
        <v>146</v>
      </c>
      <c r="H2931" s="43">
        <v>2</v>
      </c>
      <c r="I2931" s="43">
        <v>9</v>
      </c>
      <c r="J2931" t="s" s="11">
        <v>14947</v>
      </c>
      <c r="K2931" t="s" s="11">
        <v>14948</v>
      </c>
      <c r="L2931" s="17">
        <f>HYPERLINK("http://www.vaayushop.com", "www.vaayushop.com")</f>
      </c>
      <c r="M2931" s="17">
        <f>HYPERLINK("https://my.pitchbook.com?c=497222-38", "View Company Online")</f>
      </c>
    </row>
    <row r="2932">
      <c r="A2932" t="s" s="10">
        <v>14950</v>
      </c>
      <c r="B2932" t="s" s="10">
        <v>14951</v>
      </c>
      <c r="C2932" t="s" s="10">
        <v>164</v>
      </c>
      <c r="D2932" t="s" s="10">
        <v>206</v>
      </c>
      <c r="E2932" t="s" s="10">
        <v>759</v>
      </c>
      <c r="F2932" s="27">
        <v>44621</v>
      </c>
      <c r="G2932" t="s" s="10">
        <v>40</v>
      </c>
      <c r="H2932" t="s" s="42">
        <v>30</v>
      </c>
      <c r="I2932" s="42">
        <v>9</v>
      </c>
      <c r="J2932" t="s" s="10">
        <v>14952</v>
      </c>
      <c r="K2932" t="s" s="10">
        <v>14953</v>
      </c>
      <c r="L2932" s="16">
        <f>HYPERLINK("http://www.tabapay.com", "www.tabapay.com")</f>
      </c>
      <c r="M2932" s="16">
        <f>HYPERLINK("https://my.pitchbook.com?c=182119-24", "View Company Online")</f>
      </c>
    </row>
    <row r="2933">
      <c r="A2933" t="s" s="11">
        <v>14955</v>
      </c>
      <c r="B2933" t="s" s="11">
        <v>14956</v>
      </c>
      <c r="C2933" t="s" s="11">
        <v>60</v>
      </c>
      <c r="D2933" t="s" s="11">
        <v>61</v>
      </c>
      <c r="E2933" t="s" s="11">
        <v>253</v>
      </c>
      <c r="F2933" s="28">
        <v>45621</v>
      </c>
      <c r="G2933" t="s" s="11">
        <v>146</v>
      </c>
      <c r="H2933" s="43">
        <v>6.71</v>
      </c>
      <c r="I2933" s="43">
        <v>9</v>
      </c>
      <c r="J2933" t="s" s="11">
        <v>14957</v>
      </c>
      <c r="K2933" t="s" s="11">
        <v>14958</v>
      </c>
      <c r="L2933" s="17">
        <f>HYPERLINK("http://www.takeprofit.com", "www.takeprofit.com")</f>
      </c>
      <c r="M2933" s="17">
        <f>HYPERLINK("https://my.pitchbook.com?c=493132-06", "View Company Online")</f>
      </c>
    </row>
    <row r="2934">
      <c r="A2934" t="s" s="10">
        <v>14960</v>
      </c>
      <c r="B2934" t="s" s="10">
        <v>14961</v>
      </c>
      <c r="C2934" t="s" s="10">
        <v>27</v>
      </c>
      <c r="D2934" t="s" s="10">
        <v>28</v>
      </c>
      <c r="E2934" t="s" s="10">
        <v>253</v>
      </c>
      <c r="F2934" t="s" s="27">
        <v>30</v>
      </c>
      <c r="G2934" t="s" s="10">
        <v>607</v>
      </c>
      <c r="H2934" t="s" s="42">
        <v>30</v>
      </c>
      <c r="I2934" s="42">
        <v>9</v>
      </c>
      <c r="J2934" t="s" s="10">
        <v>14962</v>
      </c>
      <c r="K2934" t="s" s="10">
        <v>30</v>
      </c>
      <c r="L2934" s="16">
        <f>HYPERLINK("http://www.uptip.co", "www.uptip.co")</f>
      </c>
      <c r="M2934" s="16">
        <f>HYPERLINK("https://my.pitchbook.com?c=493273-09", "View Company Online")</f>
      </c>
    </row>
    <row r="2935">
      <c r="A2935" t="s" s="11">
        <v>14964</v>
      </c>
      <c r="B2935" t="s" s="11">
        <v>14965</v>
      </c>
      <c r="C2935" t="s" s="11">
        <v>27</v>
      </c>
      <c r="D2935" t="s" s="11">
        <v>28</v>
      </c>
      <c r="E2935" t="s" s="11">
        <v>270</v>
      </c>
      <c r="F2935" s="28">
        <v>45722</v>
      </c>
      <c r="G2935" t="s" s="11">
        <v>40</v>
      </c>
      <c r="H2935" s="43">
        <v>3.15</v>
      </c>
      <c r="I2935" s="43">
        <v>8.98</v>
      </c>
      <c r="J2935" t="s" s="11">
        <v>14966</v>
      </c>
      <c r="K2935" t="s" s="11">
        <v>14461</v>
      </c>
      <c r="L2935" s="17">
        <f>HYPERLINK("http://www.yordex.com", "www.yordex.com")</f>
      </c>
      <c r="M2935" s="17">
        <f>HYPERLINK("https://my.pitchbook.com?c=268617-25", "View Company Online")</f>
      </c>
    </row>
    <row r="2936">
      <c r="A2936" t="s" s="10">
        <v>14968</v>
      </c>
      <c r="B2936" t="s" s="10">
        <v>14969</v>
      </c>
      <c r="C2936" t="s" s="10">
        <v>164</v>
      </c>
      <c r="D2936" t="s" s="10">
        <v>206</v>
      </c>
      <c r="E2936" t="s" s="10">
        <v>1652</v>
      </c>
      <c r="F2936" s="27">
        <v>46090</v>
      </c>
      <c r="G2936" t="s" s="10">
        <v>4267</v>
      </c>
      <c r="H2936" s="42">
        <v>1.8</v>
      </c>
      <c r="I2936" s="42">
        <v>8.95</v>
      </c>
      <c r="J2936" t="s" s="10">
        <v>14970</v>
      </c>
      <c r="K2936" t="s" s="10">
        <v>14971</v>
      </c>
      <c r="L2936" s="16">
        <f>HYPERLINK("http://www.onteric.com", "www.onteric.com")</f>
      </c>
      <c r="M2936" s="16">
        <f>HYPERLINK("https://my.pitchbook.com?c=552754-99", "View Company Online")</f>
      </c>
    </row>
    <row r="2937">
      <c r="A2937" t="s" s="11">
        <v>14973</v>
      </c>
      <c r="B2937" t="s" s="11">
        <v>14974</v>
      </c>
      <c r="C2937" t="s" s="11">
        <v>27</v>
      </c>
      <c r="D2937" t="s" s="11">
        <v>28</v>
      </c>
      <c r="E2937" t="s" s="11">
        <v>253</v>
      </c>
      <c r="F2937" s="28">
        <v>45402</v>
      </c>
      <c r="G2937" t="s" s="11">
        <v>40</v>
      </c>
      <c r="H2937" t="s" s="43">
        <v>30</v>
      </c>
      <c r="I2937" s="43">
        <v>8.94</v>
      </c>
      <c r="J2937" t="s" s="11">
        <v>14975</v>
      </c>
      <c r="K2937" t="s" s="11">
        <v>14976</v>
      </c>
      <c r="L2937" s="17">
        <f>HYPERLINK("http://www.paytrim.com", "www.paytrim.com")</f>
      </c>
      <c r="M2937" s="17">
        <f>HYPERLINK("https://my.pitchbook.com?c=289956-34", "View Company Online")</f>
      </c>
    </row>
    <row r="2938">
      <c r="A2938" t="s" s="10">
        <v>14978</v>
      </c>
      <c r="B2938" t="s" s="10">
        <v>14979</v>
      </c>
      <c r="C2938" t="s" s="10">
        <v>60</v>
      </c>
      <c r="D2938" t="s" s="10">
        <v>246</v>
      </c>
      <c r="E2938" t="s" s="10">
        <v>137</v>
      </c>
      <c r="F2938" t="s" s="27">
        <v>30</v>
      </c>
      <c r="G2938" t="s" s="10">
        <v>4267</v>
      </c>
      <c r="H2938" s="42">
        <v>0.1</v>
      </c>
      <c r="I2938" s="42">
        <v>8.9</v>
      </c>
      <c r="J2938" t="s" s="10">
        <v>14980</v>
      </c>
      <c r="K2938" t="s" s="10">
        <v>14981</v>
      </c>
      <c r="L2938" s="16">
        <f>HYPERLINK("http://www.getshur.com", "www.getshur.com")</f>
      </c>
      <c r="M2938" s="16">
        <f>HYPERLINK("https://my.pitchbook.com?c=465583-87", "View Company Online")</f>
      </c>
    </row>
    <row r="2939">
      <c r="A2939" t="s" s="11">
        <v>14983</v>
      </c>
      <c r="B2939" t="s" s="11">
        <v>14984</v>
      </c>
      <c r="C2939" t="s" s="11">
        <v>60</v>
      </c>
      <c r="D2939" t="s" s="11">
        <v>727</v>
      </c>
      <c r="E2939" t="s" s="11">
        <v>253</v>
      </c>
      <c r="F2939" s="28">
        <v>45566</v>
      </c>
      <c r="G2939" t="s" s="11">
        <v>146</v>
      </c>
      <c r="H2939" t="s" s="43">
        <v>30</v>
      </c>
      <c r="I2939" s="43">
        <v>8.88</v>
      </c>
      <c r="J2939" t="s" s="11">
        <v>14985</v>
      </c>
      <c r="K2939" t="s" s="11">
        <v>14986</v>
      </c>
      <c r="L2939" s="17">
        <f>HYPERLINK("http://www.roundtable.eu", "www.roundtable.eu")</f>
      </c>
      <c r="M2939" s="17">
        <f>HYPERLINK("https://my.pitchbook.com?c=503768-53", "View Company Online")</f>
      </c>
    </row>
    <row r="2940">
      <c r="A2940" t="s" s="10">
        <v>14988</v>
      </c>
      <c r="B2940" t="s" s="10">
        <v>14989</v>
      </c>
      <c r="C2940" t="s" s="10">
        <v>46</v>
      </c>
      <c r="D2940" t="s" s="10">
        <v>47</v>
      </c>
      <c r="E2940" t="s" s="10">
        <v>414</v>
      </c>
      <c r="F2940" s="27">
        <v>46084</v>
      </c>
      <c r="G2940" t="s" s="10">
        <v>146</v>
      </c>
      <c r="H2940" s="42">
        <v>2.46</v>
      </c>
      <c r="I2940" s="42">
        <v>8.86</v>
      </c>
      <c r="J2940" t="s" s="10">
        <v>14990</v>
      </c>
      <c r="K2940" t="s" s="10">
        <v>14991</v>
      </c>
      <c r="L2940" s="16">
        <f>HYPERLINK("http://www.apylon.co", "www.apylon.co")</f>
      </c>
      <c r="M2940" s="16">
        <f>HYPERLINK("https://my.pitchbook.com?c=820116-01", "View Company Online")</f>
      </c>
    </row>
    <row r="2941">
      <c r="A2941" t="s" s="11">
        <v>14993</v>
      </c>
      <c r="B2941" t="s" s="11">
        <v>14994</v>
      </c>
      <c r="C2941" t="s" s="11">
        <v>27</v>
      </c>
      <c r="D2941" t="s" s="11">
        <v>28</v>
      </c>
      <c r="E2941" t="s" s="11">
        <v>253</v>
      </c>
      <c r="F2941" s="28">
        <v>46054</v>
      </c>
      <c r="G2941" t="s" s="11">
        <v>40</v>
      </c>
      <c r="H2941" t="s" s="43">
        <v>30</v>
      </c>
      <c r="I2941" s="43">
        <v>8.8</v>
      </c>
      <c r="J2941" t="s" s="11">
        <v>14995</v>
      </c>
      <c r="K2941" t="s" s="11">
        <v>14996</v>
      </c>
      <c r="L2941" s="17">
        <f>HYPERLINK("http://www.handsin.com", "www.handsin.com")</f>
      </c>
      <c r="M2941" s="17">
        <f>HYPERLINK("https://my.pitchbook.com?c=491521-60", "View Company Online")</f>
      </c>
    </row>
    <row r="2942">
      <c r="A2942" t="s" s="10">
        <v>14998</v>
      </c>
      <c r="B2942" t="s" s="10">
        <v>14999</v>
      </c>
      <c r="C2942" t="s" s="10">
        <v>114</v>
      </c>
      <c r="D2942" t="s" s="10">
        <v>136</v>
      </c>
      <c r="E2942" t="s" s="10">
        <v>137</v>
      </c>
      <c r="F2942" s="27">
        <v>44330</v>
      </c>
      <c r="G2942" t="s" s="10">
        <v>4267</v>
      </c>
      <c r="H2942" s="42">
        <v>1.53</v>
      </c>
      <c r="I2942" s="42">
        <v>8.77</v>
      </c>
      <c r="J2942" t="s" s="10">
        <v>15000</v>
      </c>
      <c r="K2942" t="s" s="10">
        <v>15001</v>
      </c>
      <c r="L2942" s="16">
        <f>HYPERLINK("http://www.stepex.co", "www.stepex.co")</f>
      </c>
      <c r="M2942" s="16">
        <f>HYPERLINK("https://my.pitchbook.com?c=469505-62", "View Company Online")</f>
      </c>
    </row>
    <row r="2943">
      <c r="A2943" t="s" s="11">
        <v>15003</v>
      </c>
      <c r="B2943" t="s" s="11">
        <v>15004</v>
      </c>
      <c r="C2943" t="s" s="11">
        <v>60</v>
      </c>
      <c r="D2943" t="s" s="11">
        <v>727</v>
      </c>
      <c r="E2943" t="s" s="11">
        <v>137</v>
      </c>
      <c r="F2943" s="28">
        <v>45217</v>
      </c>
      <c r="G2943" t="s" s="11">
        <v>4267</v>
      </c>
      <c r="H2943" s="43">
        <v>2</v>
      </c>
      <c r="I2943" s="43">
        <v>8.77</v>
      </c>
      <c r="J2943" t="s" s="11">
        <v>15005</v>
      </c>
      <c r="K2943" t="s" s="11">
        <v>15006</v>
      </c>
      <c r="L2943" s="17">
        <f>HYPERLINK("http://www.getultra.club", "www.getultra.club")</f>
      </c>
      <c r="M2943" s="17">
        <f>HYPERLINK("https://my.pitchbook.com?c=492951-07", "View Company Online")</f>
      </c>
    </row>
    <row r="2944">
      <c r="A2944" t="s" s="10">
        <v>15008</v>
      </c>
      <c r="B2944" t="s" s="10">
        <v>15009</v>
      </c>
      <c r="C2944" t="s" s="10">
        <v>60</v>
      </c>
      <c r="D2944" t="s" s="10">
        <v>246</v>
      </c>
      <c r="E2944" t="s" s="10">
        <v>373</v>
      </c>
      <c r="F2944" s="27">
        <v>45824</v>
      </c>
      <c r="G2944" t="s" s="10">
        <v>40</v>
      </c>
      <c r="H2944" s="42">
        <v>2</v>
      </c>
      <c r="I2944" s="42">
        <v>8.72</v>
      </c>
      <c r="J2944" t="s" s="10">
        <v>15010</v>
      </c>
      <c r="K2944" t="s" s="10">
        <v>15011</v>
      </c>
      <c r="L2944" s="16">
        <f>HYPERLINK("http://www.algopear.com", "www.algopear.com")</f>
      </c>
      <c r="M2944" s="16">
        <f>HYPERLINK("https://my.pitchbook.com?c=458021-80", "View Company Online")</f>
      </c>
    </row>
    <row r="2945">
      <c r="A2945" t="s" s="11">
        <v>15013</v>
      </c>
      <c r="B2945" t="s" s="11">
        <v>15014</v>
      </c>
      <c r="C2945" t="s" s="11">
        <v>46</v>
      </c>
      <c r="D2945" t="s" s="11">
        <v>397</v>
      </c>
      <c r="E2945" t="s" s="11">
        <v>373</v>
      </c>
      <c r="F2945" s="28">
        <v>45658</v>
      </c>
      <c r="G2945" t="s" s="11">
        <v>4267</v>
      </c>
      <c r="H2945" s="43">
        <v>0.97</v>
      </c>
      <c r="I2945" s="43">
        <v>8.72</v>
      </c>
      <c r="J2945" t="s" s="11">
        <v>15015</v>
      </c>
      <c r="K2945" t="s" s="11">
        <v>15016</v>
      </c>
      <c r="L2945" s="17">
        <f>HYPERLINK("http://www.taxd.co.uk", "www.taxd.co.uk")</f>
      </c>
      <c r="M2945" s="17">
        <f>HYPERLINK("https://my.pitchbook.com?c=496112-23", "View Company Online")</f>
      </c>
    </row>
    <row r="2946">
      <c r="A2946" t="s" s="10">
        <v>15018</v>
      </c>
      <c r="B2946" t="s" s="10">
        <v>15019</v>
      </c>
      <c r="C2946" t="s" s="10">
        <v>144</v>
      </c>
      <c r="D2946" t="s" s="10">
        <v>297</v>
      </c>
      <c r="E2946" t="s" s="10">
        <v>759</v>
      </c>
      <c r="F2946" s="27">
        <v>45261</v>
      </c>
      <c r="G2946" t="s" s="10">
        <v>48</v>
      </c>
      <c r="H2946" t="s" s="42">
        <v>30</v>
      </c>
      <c r="I2946" s="42">
        <v>8.71</v>
      </c>
      <c r="J2946" t="s" s="10">
        <v>15020</v>
      </c>
      <c r="K2946" t="s" s="10">
        <v>15021</v>
      </c>
      <c r="L2946" s="16">
        <f>HYPERLINK("http://www.out.fund", "www.out.fund")</f>
      </c>
      <c r="M2946" s="16">
        <f>HYPERLINK("https://my.pitchbook.com?c=232285-96", "View Company Online")</f>
      </c>
    </row>
    <row r="2947">
      <c r="A2947" t="s" s="11">
        <v>15023</v>
      </c>
      <c r="B2947" t="s" s="11">
        <v>15024</v>
      </c>
      <c r="C2947" t="s" s="11">
        <v>164</v>
      </c>
      <c r="D2947" t="s" s="11">
        <v>206</v>
      </c>
      <c r="E2947" t="s" s="11">
        <v>193</v>
      </c>
      <c r="F2947" s="28">
        <v>43296</v>
      </c>
      <c r="G2947" t="s" s="11">
        <v>40</v>
      </c>
      <c r="H2947" t="s" s="43">
        <v>30</v>
      </c>
      <c r="I2947" s="43">
        <v>8.69</v>
      </c>
      <c r="J2947" t="s" s="11">
        <v>15025</v>
      </c>
      <c r="K2947" t="s" s="11">
        <v>15026</v>
      </c>
      <c r="L2947" s="17">
        <f>HYPERLINK("http://www.bluesource.at", "www.bluesource.at")</f>
      </c>
      <c r="M2947" s="17">
        <f>HYPERLINK("https://my.pitchbook.com?c=87832-63", "View Company Online")</f>
      </c>
    </row>
    <row r="2948">
      <c r="A2948" t="s" s="10">
        <v>15028</v>
      </c>
      <c r="B2948" t="s" s="10">
        <v>15029</v>
      </c>
      <c r="C2948" t="s" s="10">
        <v>46</v>
      </c>
      <c r="D2948" t="s" s="10">
        <v>397</v>
      </c>
      <c r="E2948" t="s" s="10">
        <v>414</v>
      </c>
      <c r="F2948" s="27">
        <v>46182</v>
      </c>
      <c r="G2948" t="s" s="10">
        <v>146</v>
      </c>
      <c r="H2948" s="42">
        <v>18</v>
      </c>
      <c r="I2948" s="42">
        <v>8.68</v>
      </c>
      <c r="J2948" t="s" s="10">
        <v>15030</v>
      </c>
      <c r="K2948" t="s" s="10">
        <v>15031</v>
      </c>
      <c r="L2948" s="16">
        <f>HYPERLINK("http://www.capsa.ai", "www.capsa.ai")</f>
      </c>
      <c r="M2948" s="16">
        <f>HYPERLINK("https://my.pitchbook.com?c=553190-05", "View Company Online")</f>
      </c>
    </row>
    <row r="2949">
      <c r="A2949" t="s" s="11">
        <v>15033</v>
      </c>
      <c r="B2949" t="s" s="11">
        <v>15034</v>
      </c>
      <c r="C2949" t="s" s="11">
        <v>46</v>
      </c>
      <c r="D2949" t="s" s="11">
        <v>397</v>
      </c>
      <c r="E2949" t="s" s="11">
        <v>414</v>
      </c>
      <c r="F2949" s="28">
        <v>45026</v>
      </c>
      <c r="G2949" t="s" s="11">
        <v>4267</v>
      </c>
      <c r="H2949" s="43">
        <v>1.66</v>
      </c>
      <c r="I2949" s="43">
        <v>8.66</v>
      </c>
      <c r="J2949" t="s" s="11">
        <v>15035</v>
      </c>
      <c r="K2949" t="s" s="11">
        <v>15036</v>
      </c>
      <c r="L2949" s="17">
        <f>HYPERLINK("http://www.getcone.io", "www.getcone.io")</f>
      </c>
      <c r="M2949" s="17">
        <f>HYPERLINK("https://my.pitchbook.com?c=501251-32", "View Company Online")</f>
      </c>
    </row>
    <row r="2950">
      <c r="A2950" t="s" s="10">
        <v>15038</v>
      </c>
      <c r="B2950" t="s" s="10">
        <v>15039</v>
      </c>
      <c r="C2950" t="s" s="10">
        <v>222</v>
      </c>
      <c r="D2950" t="s" s="10">
        <v>252</v>
      </c>
      <c r="E2950" t="s" s="10">
        <v>373</v>
      </c>
      <c r="F2950" s="27">
        <v>46176</v>
      </c>
      <c r="G2950" t="s" s="10">
        <v>4267</v>
      </c>
      <c r="H2950" s="42">
        <v>4.67</v>
      </c>
      <c r="I2950" s="42">
        <v>8.65</v>
      </c>
      <c r="J2950" t="s" s="10">
        <v>15040</v>
      </c>
      <c r="K2950" t="s" s="10">
        <v>15041</v>
      </c>
      <c r="L2950" s="16">
        <f>HYPERLINK("http://www.quantumsignals.ai", "www.quantumsignals.ai")</f>
      </c>
      <c r="M2950" s="16">
        <f>HYPERLINK("https://my.pitchbook.com?c=740150-56", "View Company Online")</f>
      </c>
    </row>
    <row r="2951">
      <c r="A2951" t="s" s="11">
        <v>15043</v>
      </c>
      <c r="B2951" t="s" s="11">
        <v>15044</v>
      </c>
      <c r="C2951" t="s" s="11">
        <v>164</v>
      </c>
      <c r="D2951" t="s" s="11">
        <v>165</v>
      </c>
      <c r="E2951" t="s" s="11">
        <v>367</v>
      </c>
      <c r="F2951" t="s" s="28">
        <v>30</v>
      </c>
      <c r="G2951" t="s" s="11">
        <v>40</v>
      </c>
      <c r="H2951" t="s" s="43">
        <v>30</v>
      </c>
      <c r="I2951" s="43">
        <v>8.63</v>
      </c>
      <c r="J2951" t="s" s="11">
        <v>15045</v>
      </c>
      <c r="K2951" t="s" s="11">
        <v>15046</v>
      </c>
      <c r="L2951" s="17">
        <f>HYPERLINK("http://www.beeeye.com", "www.beeeye.com")</f>
      </c>
      <c r="M2951" s="17">
        <f>HYPERLINK("https://my.pitchbook.com?c=223552-90", "View Company Online")</f>
      </c>
    </row>
    <row r="2952">
      <c r="A2952" t="s" s="10">
        <v>15048</v>
      </c>
      <c r="B2952" t="s" s="10">
        <v>15049</v>
      </c>
      <c r="C2952" t="s" s="10">
        <v>114</v>
      </c>
      <c r="D2952" t="s" s="10">
        <v>136</v>
      </c>
      <c r="E2952" t="s" s="10">
        <v>15050</v>
      </c>
      <c r="F2952" s="27">
        <v>45525</v>
      </c>
      <c r="G2952" t="s" s="10">
        <v>607</v>
      </c>
      <c r="H2952" t="s" s="42">
        <v>30</v>
      </c>
      <c r="I2952" s="42">
        <v>8.63</v>
      </c>
      <c r="J2952" t="s" s="10">
        <v>30</v>
      </c>
      <c r="K2952" t="s" s="10">
        <v>15051</v>
      </c>
      <c r="L2952" s="16">
        <f>HYPERLINK("http://www.hivenetwork.online", "www.hivenetwork.online")</f>
      </c>
      <c r="M2952" s="16">
        <f>HYPERLINK("https://my.pitchbook.com?c=264576-70", "View Company Online")</f>
      </c>
    </row>
    <row r="2953">
      <c r="A2953" t="s" s="11">
        <v>15053</v>
      </c>
      <c r="B2953" t="s" s="11">
        <v>15054</v>
      </c>
      <c r="C2953" t="s" s="11">
        <v>46</v>
      </c>
      <c r="D2953" t="s" s="11">
        <v>78</v>
      </c>
      <c r="E2953" t="s" s="11">
        <v>1207</v>
      </c>
      <c r="F2953" s="28">
        <v>45174</v>
      </c>
      <c r="G2953" t="s" s="11">
        <v>40</v>
      </c>
      <c r="H2953" s="43">
        <v>2.75</v>
      </c>
      <c r="I2953" s="43">
        <v>8.62</v>
      </c>
      <c r="J2953" t="s" s="11">
        <v>15055</v>
      </c>
      <c r="K2953" t="s" s="11">
        <v>15056</v>
      </c>
      <c r="L2953" s="17">
        <f>HYPERLINK("http://payme.tokyo", "payme.tokyo")</f>
      </c>
      <c r="M2953" s="17">
        <f>HYPERLINK("https://my.pitchbook.com?c=228336-76", "View Company Online")</f>
      </c>
    </row>
    <row r="2954">
      <c r="A2954" t="s" s="10">
        <v>15058</v>
      </c>
      <c r="B2954" t="s" s="10">
        <v>15059</v>
      </c>
      <c r="C2954" t="s" s="10">
        <v>114</v>
      </c>
      <c r="D2954" t="s" s="10">
        <v>1386</v>
      </c>
      <c r="E2954" t="s" s="10">
        <v>116</v>
      </c>
      <c r="F2954" t="s" s="27">
        <v>30</v>
      </c>
      <c r="G2954" t="s" s="10">
        <v>607</v>
      </c>
      <c r="H2954" t="s" s="42">
        <v>30</v>
      </c>
      <c r="I2954" s="42">
        <v>8.6</v>
      </c>
      <c r="J2954" t="s" s="10">
        <v>15060</v>
      </c>
      <c r="K2954" t="s" s="10">
        <v>15061</v>
      </c>
      <c r="L2954" s="16">
        <f>HYPERLINK("http://www.dovly.com", "www.dovly.com")</f>
      </c>
      <c r="M2954" s="16">
        <f>HYPERLINK("https://my.pitchbook.com?c=328187-89", "View Company Online")</f>
      </c>
    </row>
    <row r="2955">
      <c r="A2955" t="s" s="11">
        <v>15063</v>
      </c>
      <c r="B2955" t="s" s="11">
        <v>15064</v>
      </c>
      <c r="C2955" t="s" s="11">
        <v>172</v>
      </c>
      <c r="D2955" t="s" s="11">
        <v>173</v>
      </c>
      <c r="E2955" t="s" s="11">
        <v>253</v>
      </c>
      <c r="F2955" s="28">
        <v>45785</v>
      </c>
      <c r="G2955" t="s" s="11">
        <v>40</v>
      </c>
      <c r="H2955" t="s" s="43">
        <v>30</v>
      </c>
      <c r="I2955" s="43">
        <v>8.59</v>
      </c>
      <c r="J2955" t="s" s="11">
        <v>15065</v>
      </c>
      <c r="K2955" t="s" s="11">
        <v>30</v>
      </c>
      <c r="L2955" s="17">
        <f>HYPERLINK("http://www.paays.com", "www.paays.com")</f>
      </c>
      <c r="M2955" s="17">
        <f>HYPERLINK("https://my.pitchbook.com?c=434263-60", "View Company Online")</f>
      </c>
    </row>
    <row r="2956">
      <c r="A2956" t="s" s="10">
        <v>15067</v>
      </c>
      <c r="B2956" t="s" s="10">
        <v>15068</v>
      </c>
      <c r="C2956" t="s" s="10">
        <v>27</v>
      </c>
      <c r="D2956" t="s" s="10">
        <v>70</v>
      </c>
      <c r="E2956" t="s" s="10">
        <v>259</v>
      </c>
      <c r="F2956" s="27">
        <v>45565</v>
      </c>
      <c r="G2956" t="s" s="10">
        <v>146</v>
      </c>
      <c r="H2956" s="42">
        <v>6.13</v>
      </c>
      <c r="I2956" s="42">
        <v>8.58</v>
      </c>
      <c r="J2956" t="s" s="10">
        <v>15069</v>
      </c>
      <c r="K2956" t="s" s="10">
        <v>15070</v>
      </c>
      <c r="L2956" s="16">
        <f>HYPERLINK("http://piceapp.com", "piceapp.com")</f>
      </c>
      <c r="M2956" s="16">
        <f>HYPERLINK("https://my.pitchbook.com?c=512368-21", "View Company Online")</f>
      </c>
    </row>
    <row r="2957">
      <c r="A2957" t="s" s="11">
        <v>15072</v>
      </c>
      <c r="B2957" t="s" s="11">
        <v>15073</v>
      </c>
      <c r="C2957" t="s" s="11">
        <v>164</v>
      </c>
      <c r="D2957" t="s" s="11">
        <v>165</v>
      </c>
      <c r="E2957" t="s" s="11">
        <v>137</v>
      </c>
      <c r="F2957" s="28">
        <v>44964</v>
      </c>
      <c r="G2957" t="s" s="11">
        <v>607</v>
      </c>
      <c r="H2957" t="s" s="43">
        <v>30</v>
      </c>
      <c r="I2957" s="43">
        <v>8.57</v>
      </c>
      <c r="J2957" t="s" s="11">
        <v>15074</v>
      </c>
      <c r="K2957" t="s" s="11">
        <v>15075</v>
      </c>
      <c r="L2957" s="17">
        <f>HYPERLINK("http://www.42cards.com", "www.42cards.com")</f>
      </c>
      <c r="M2957" s="17">
        <f>HYPERLINK("https://my.pitchbook.com?c=491570-02", "View Company Online")</f>
      </c>
    </row>
    <row r="2958">
      <c r="A2958" t="s" s="10">
        <v>15077</v>
      </c>
      <c r="B2958" t="s" s="10">
        <v>15078</v>
      </c>
      <c r="C2958" t="s" s="10">
        <v>114</v>
      </c>
      <c r="D2958" t="s" s="10">
        <v>1386</v>
      </c>
      <c r="E2958" t="s" s="10">
        <v>373</v>
      </c>
      <c r="F2958" t="s" s="27">
        <v>30</v>
      </c>
      <c r="G2958" t="s" s="10">
        <v>146</v>
      </c>
      <c r="H2958" t="s" s="42">
        <v>30</v>
      </c>
      <c r="I2958" s="42">
        <v>8.56</v>
      </c>
      <c r="J2958" t="s" s="10">
        <v>15079</v>
      </c>
      <c r="K2958" t="s" s="10">
        <v>15080</v>
      </c>
      <c r="L2958" s="16">
        <f>HYPERLINK("http://www.parlay.finance", "www.parlay.finance")</f>
      </c>
      <c r="M2958" s="16">
        <f>HYPERLINK("https://my.pitchbook.com?c=534780-91", "View Company Online")</f>
      </c>
    </row>
    <row r="2959">
      <c r="A2959" t="s" s="11">
        <v>15082</v>
      </c>
      <c r="B2959" t="s" s="11">
        <v>15083</v>
      </c>
      <c r="C2959" t="s" s="11">
        <v>172</v>
      </c>
      <c r="D2959" t="s" s="11">
        <v>1454</v>
      </c>
      <c r="E2959" t="s" s="11">
        <v>137</v>
      </c>
      <c r="F2959" s="28">
        <v>43770</v>
      </c>
      <c r="G2959" t="s" s="11">
        <v>146</v>
      </c>
      <c r="H2959" s="43">
        <v>5</v>
      </c>
      <c r="I2959" s="43">
        <v>8.55</v>
      </c>
      <c r="J2959" t="s" s="11">
        <v>15084</v>
      </c>
      <c r="K2959" t="s" s="11">
        <v>15085</v>
      </c>
      <c r="L2959" s="17">
        <f>HYPERLINK("http://www.9thgear.com", "www.9thgear.com")</f>
      </c>
      <c r="M2959" s="17">
        <f>HYPERLINK("https://my.pitchbook.com?c=264570-22", "View Company Online")</f>
      </c>
    </row>
    <row r="2960">
      <c r="A2960" t="s" s="10">
        <v>15087</v>
      </c>
      <c r="B2960" t="s" s="10">
        <v>15088</v>
      </c>
      <c r="C2960" t="s" s="10">
        <v>164</v>
      </c>
      <c r="D2960" t="s" s="10">
        <v>206</v>
      </c>
      <c r="E2960" t="s" s="10">
        <v>54</v>
      </c>
      <c r="F2960" s="27">
        <v>46056</v>
      </c>
      <c r="G2960" t="s" s="10">
        <v>40</v>
      </c>
      <c r="H2960" t="s" s="42">
        <v>30</v>
      </c>
      <c r="I2960" s="42">
        <v>8.55</v>
      </c>
      <c r="J2960" t="s" s="10">
        <v>15089</v>
      </c>
      <c r="K2960" t="s" s="10">
        <v>15090</v>
      </c>
      <c r="L2960" s="16">
        <f>HYPERLINK("http://www.onestack.in", "www.onestack.in")</f>
      </c>
      <c r="M2960" s="16">
        <f>HYPERLINK("https://my.pitchbook.com?c=492677-74", "View Company Online")</f>
      </c>
    </row>
    <row r="2961">
      <c r="A2961" t="s" s="11">
        <v>15092</v>
      </c>
      <c r="B2961" t="s" s="11">
        <v>15093</v>
      </c>
      <c r="C2961" t="s" s="11">
        <v>60</v>
      </c>
      <c r="D2961" t="s" s="11">
        <v>432</v>
      </c>
      <c r="E2961" t="s" s="11">
        <v>6240</v>
      </c>
      <c r="F2961" s="28">
        <v>44834</v>
      </c>
      <c r="G2961" t="s" s="11">
        <v>40</v>
      </c>
      <c r="H2961" s="43">
        <v>4.46</v>
      </c>
      <c r="I2961" s="43">
        <v>8.54</v>
      </c>
      <c r="J2961" t="s" s="11">
        <v>15094</v>
      </c>
      <c r="K2961" t="s" s="11">
        <v>30</v>
      </c>
      <c r="L2961" s="17">
        <f>HYPERLINK("http://www.impakanalytics.com", "www.impakanalytics.com")</f>
      </c>
      <c r="M2961" s="17">
        <f>HYPERLINK("https://my.pitchbook.com?c=233331-85", "View Company Online")</f>
      </c>
    </row>
    <row r="2962">
      <c r="A2962" t="s" s="10">
        <v>15096</v>
      </c>
      <c r="B2962" t="s" s="10">
        <v>15097</v>
      </c>
      <c r="C2962" t="s" s="10">
        <v>27</v>
      </c>
      <c r="D2962" t="s" s="10">
        <v>28</v>
      </c>
      <c r="E2962" t="s" s="10">
        <v>414</v>
      </c>
      <c r="F2962" s="27">
        <v>45159</v>
      </c>
      <c r="G2962" t="s" s="10">
        <v>4267</v>
      </c>
      <c r="H2962" s="42">
        <v>3.04</v>
      </c>
      <c r="I2962" s="42">
        <v>8.51</v>
      </c>
      <c r="J2962" t="s" s="10">
        <v>15098</v>
      </c>
      <c r="K2962" t="s" s="10">
        <v>15099</v>
      </c>
      <c r="L2962" s="16">
        <f>HYPERLINK("http://www.paythings.com", "www.paythings.com")</f>
      </c>
      <c r="M2962" s="16">
        <f>HYPERLINK("https://my.pitchbook.com?c=534418-30", "View Company Online")</f>
      </c>
    </row>
    <row r="2963">
      <c r="A2963" t="s" s="11">
        <v>15101</v>
      </c>
      <c r="B2963" t="s" s="11">
        <v>15102</v>
      </c>
      <c r="C2963" t="s" s="11">
        <v>46</v>
      </c>
      <c r="D2963" t="s" s="11">
        <v>915</v>
      </c>
      <c r="E2963" t="s" s="11">
        <v>1652</v>
      </c>
      <c r="F2963" t="s" s="28">
        <v>30</v>
      </c>
      <c r="G2963" t="s" s="11">
        <v>607</v>
      </c>
      <c r="H2963" t="s" s="43">
        <v>30</v>
      </c>
      <c r="I2963" s="43">
        <v>8.5</v>
      </c>
      <c r="J2963" t="s" s="11">
        <v>15103</v>
      </c>
      <c r="K2963" t="s" s="11">
        <v>15104</v>
      </c>
      <c r="L2963" s="17">
        <f>HYPERLINK("http://www.aiontech.com.mx", "www.aiontech.com.mx")</f>
      </c>
      <c r="M2963" s="17">
        <f>HYPERLINK("https://my.pitchbook.com?c=442720-63", "View Company Online")</f>
      </c>
    </row>
    <row r="2964">
      <c r="A2964" t="s" s="10">
        <v>15106</v>
      </c>
      <c r="B2964" t="s" s="10">
        <v>15107</v>
      </c>
      <c r="C2964" t="s" s="10">
        <v>60</v>
      </c>
      <c r="D2964" t="s" s="10">
        <v>432</v>
      </c>
      <c r="E2964" t="s" s="10">
        <v>5790</v>
      </c>
      <c r="F2964" t="s" s="27">
        <v>30</v>
      </c>
      <c r="G2964" t="s" s="10">
        <v>40</v>
      </c>
      <c r="H2964" s="42">
        <v>0.5</v>
      </c>
      <c r="I2964" s="42">
        <v>8.5</v>
      </c>
      <c r="J2964" t="s" s="10">
        <v>15108</v>
      </c>
      <c r="K2964" t="s" s="10">
        <v>15109</v>
      </c>
      <c r="L2964" s="16">
        <f>HYPERLINK("http://www.finliti.com", "www.finliti.com")</f>
      </c>
      <c r="M2964" s="16">
        <f>HYPERLINK("https://my.pitchbook.com?c=469069-12", "View Company Online")</f>
      </c>
    </row>
    <row r="2965">
      <c r="A2965" t="s" s="11">
        <v>15111</v>
      </c>
      <c r="B2965" t="s" s="11">
        <v>15112</v>
      </c>
      <c r="C2965" t="s" s="11">
        <v>46</v>
      </c>
      <c r="D2965" t="s" s="11">
        <v>47</v>
      </c>
      <c r="E2965" t="s" s="11">
        <v>373</v>
      </c>
      <c r="F2965" s="28">
        <v>46059</v>
      </c>
      <c r="G2965" t="s" s="11">
        <v>40</v>
      </c>
      <c r="H2965" s="43">
        <v>1.25</v>
      </c>
      <c r="I2965" s="43">
        <v>8.5</v>
      </c>
      <c r="J2965" t="s" s="11">
        <v>15113</v>
      </c>
      <c r="K2965" t="s" s="11">
        <v>15114</v>
      </c>
      <c r="L2965" s="17">
        <f>HYPERLINK("http://www.transcendap.com", "www.transcendap.com")</f>
      </c>
      <c r="M2965" s="17">
        <f>HYPERLINK("https://my.pitchbook.com?c=644262-76", "View Company Online")</f>
      </c>
    </row>
    <row r="2966">
      <c r="A2966" t="s" s="10">
        <v>15116</v>
      </c>
      <c r="B2966" t="s" s="10">
        <v>15117</v>
      </c>
      <c r="C2966" t="s" s="10">
        <v>27</v>
      </c>
      <c r="D2966" t="s" s="10">
        <v>28</v>
      </c>
      <c r="E2966" t="s" s="10">
        <v>137</v>
      </c>
      <c r="F2966" t="s" s="27">
        <v>30</v>
      </c>
      <c r="G2966" t="s" s="10">
        <v>40</v>
      </c>
      <c r="H2966" s="42">
        <v>30</v>
      </c>
      <c r="I2966" s="42">
        <v>8.5</v>
      </c>
      <c r="J2966" t="s" s="10">
        <v>15118</v>
      </c>
      <c r="K2966" t="s" s="10">
        <v>30</v>
      </c>
      <c r="L2966" s="16">
        <f>HYPERLINK("http://www.vyzyo.com", "www.vyzyo.com")</f>
      </c>
      <c r="M2966" s="16">
        <f>HYPERLINK("https://my.pitchbook.com?c=510006-97", "View Company Online")</f>
      </c>
    </row>
    <row r="2967">
      <c r="A2967" t="s" s="11">
        <v>15120</v>
      </c>
      <c r="B2967" t="s" s="11">
        <v>15121</v>
      </c>
      <c r="C2967" t="s" s="11">
        <v>60</v>
      </c>
      <c r="D2967" t="s" s="11">
        <v>432</v>
      </c>
      <c r="E2967" t="s" s="11">
        <v>253</v>
      </c>
      <c r="F2967" s="28">
        <v>43934</v>
      </c>
      <c r="G2967" t="s" s="11">
        <v>5311</v>
      </c>
      <c r="H2967" s="43">
        <v>0.23</v>
      </c>
      <c r="I2967" s="43">
        <v>8.5</v>
      </c>
      <c r="J2967" t="s" s="11">
        <v>15122</v>
      </c>
      <c r="K2967" t="s" s="11">
        <v>15123</v>
      </c>
      <c r="L2967" s="17">
        <f>HYPERLINK("http://www.wealthaccess.com", "www.wealthaccess.com")</f>
      </c>
      <c r="M2967" s="17">
        <f>HYPERLINK("https://my.pitchbook.com?c=61454-26", "View Company Online")</f>
      </c>
    </row>
    <row r="2968">
      <c r="A2968" t="s" s="10">
        <v>15125</v>
      </c>
      <c r="B2968" t="s" s="10">
        <v>15126</v>
      </c>
      <c r="C2968" t="s" s="10">
        <v>60</v>
      </c>
      <c r="D2968" t="s" s="10">
        <v>61</v>
      </c>
      <c r="E2968" t="s" s="10">
        <v>253</v>
      </c>
      <c r="F2968" s="27">
        <v>45225</v>
      </c>
      <c r="G2968" t="s" s="10">
        <v>607</v>
      </c>
      <c r="H2968" s="42">
        <v>0.68</v>
      </c>
      <c r="I2968" s="42">
        <v>8.44</v>
      </c>
      <c r="J2968" t="s" s="10">
        <v>15127</v>
      </c>
      <c r="K2968" t="s" s="10">
        <v>15128</v>
      </c>
      <c r="L2968" s="16">
        <f>HYPERLINK("http://www.ruut.mx", "www.ruut.mx")</f>
      </c>
      <c r="M2968" s="16">
        <f>HYPERLINK("https://my.pitchbook.com?c=504197-47", "View Company Online")</f>
      </c>
    </row>
    <row r="2969">
      <c r="A2969" t="s" s="11">
        <v>15130</v>
      </c>
      <c r="B2969" t="s" s="11">
        <v>15131</v>
      </c>
      <c r="C2969" t="s" s="11">
        <v>46</v>
      </c>
      <c r="D2969" t="s" s="11">
        <v>47</v>
      </c>
      <c r="E2969" t="s" s="11">
        <v>373</v>
      </c>
      <c r="F2969" s="28">
        <v>46069</v>
      </c>
      <c r="G2969" t="s" s="11">
        <v>146</v>
      </c>
      <c r="H2969" s="43">
        <v>1.58</v>
      </c>
      <c r="I2969" s="43">
        <v>8.41</v>
      </c>
      <c r="J2969" t="s" s="11">
        <v>15132</v>
      </c>
      <c r="K2969" t="s" s="11">
        <v>15133</v>
      </c>
      <c r="L2969" s="17">
        <f>HYPERLINK("http://www.payn.io", "www.payn.io")</f>
      </c>
      <c r="M2969" s="17">
        <f>HYPERLINK("https://my.pitchbook.com?c=510112-00", "View Company Online")</f>
      </c>
    </row>
    <row r="2970">
      <c r="A2970" t="s" s="10">
        <v>15135</v>
      </c>
      <c r="B2970" t="s" s="10">
        <v>15136</v>
      </c>
      <c r="C2970" t="s" s="10">
        <v>114</v>
      </c>
      <c r="D2970" t="s" s="10">
        <v>136</v>
      </c>
      <c r="E2970" t="s" s="10">
        <v>137</v>
      </c>
      <c r="F2970" s="27">
        <v>46160</v>
      </c>
      <c r="G2970" t="s" s="10">
        <v>2051</v>
      </c>
      <c r="H2970" t="s" s="42">
        <v>30</v>
      </c>
      <c r="I2970" s="42">
        <v>8.4</v>
      </c>
      <c r="J2970" t="s" s="10">
        <v>15137</v>
      </c>
      <c r="K2970" t="s" s="10">
        <v>30</v>
      </c>
      <c r="L2970" s="16">
        <f>HYPERLINK("http://www.eqlfinance.com", "www.eqlfinance.com")</f>
      </c>
      <c r="M2970" s="16">
        <f>HYPERLINK("https://my.pitchbook.com?c=484532-47", "View Company Online")</f>
      </c>
    </row>
    <row r="2971">
      <c r="A2971" t="s" s="11">
        <v>15139</v>
      </c>
      <c r="B2971" t="s" s="11">
        <v>15140</v>
      </c>
      <c r="C2971" t="s" s="11">
        <v>128</v>
      </c>
      <c r="D2971" t="s" s="11">
        <v>129</v>
      </c>
      <c r="E2971" t="s" s="11">
        <v>193</v>
      </c>
      <c r="F2971" s="28">
        <v>45929</v>
      </c>
      <c r="G2971" t="s" s="11">
        <v>146</v>
      </c>
      <c r="H2971" s="43">
        <v>2.11</v>
      </c>
      <c r="I2971" s="43">
        <v>8.4</v>
      </c>
      <c r="J2971" t="s" s="11">
        <v>15141</v>
      </c>
      <c r="K2971" t="s" s="11">
        <v>15142</v>
      </c>
      <c r="L2971" s="17">
        <f>HYPERLINK("http://www.payr.com", "www.payr.com")</f>
      </c>
      <c r="M2971" s="17">
        <f>HYPERLINK("https://my.pitchbook.com?c=1153526-14", "View Company Online")</f>
      </c>
    </row>
    <row r="2972">
      <c r="A2972" t="s" s="10">
        <v>15144</v>
      </c>
      <c r="B2972" t="s" s="10">
        <v>15145</v>
      </c>
      <c r="C2972" t="s" s="10">
        <v>27</v>
      </c>
      <c r="D2972" t="s" s="10">
        <v>70</v>
      </c>
      <c r="E2972" t="s" s="10">
        <v>5479</v>
      </c>
      <c r="F2972" s="27">
        <v>46126</v>
      </c>
      <c r="G2972" t="s" s="10">
        <v>4267</v>
      </c>
      <c r="H2972" s="42">
        <v>2.66</v>
      </c>
      <c r="I2972" s="42">
        <v>8.4</v>
      </c>
      <c r="J2972" t="s" s="10">
        <v>15146</v>
      </c>
      <c r="K2972" t="s" s="10">
        <v>15147</v>
      </c>
      <c r="L2972" s="16">
        <f>HYPERLINK("http://www.ralio.co", "www.ralio.co")</f>
      </c>
      <c r="M2972" s="16">
        <f>HYPERLINK("https://my.pitchbook.com?c=902410-30", "View Company Online")</f>
      </c>
    </row>
    <row r="2973">
      <c r="A2973" t="s" s="11">
        <v>15149</v>
      </c>
      <c r="B2973" t="s" s="11">
        <v>15150</v>
      </c>
      <c r="C2973" t="s" s="11">
        <v>128</v>
      </c>
      <c r="D2973" t="s" s="11">
        <v>199</v>
      </c>
      <c r="E2973" t="s" s="11">
        <v>15151</v>
      </c>
      <c r="F2973" t="s" s="28">
        <v>30</v>
      </c>
      <c r="G2973" t="s" s="11">
        <v>607</v>
      </c>
      <c r="H2973" t="s" s="43">
        <v>30</v>
      </c>
      <c r="I2973" s="43">
        <v>8.39</v>
      </c>
      <c r="J2973" t="s" s="11">
        <v>15152</v>
      </c>
      <c r="K2973" t="s" s="11">
        <v>15153</v>
      </c>
      <c r="L2973" s="17">
        <f>HYPERLINK("http://www.wollette.com", "www.wollette.com")</f>
      </c>
      <c r="M2973" s="17">
        <f>HYPERLINK("https://my.pitchbook.com?c=550956-43", "View Company Online")</f>
      </c>
    </row>
    <row r="2974">
      <c r="A2974" t="s" s="10">
        <v>15155</v>
      </c>
      <c r="B2974" t="s" s="10">
        <v>15156</v>
      </c>
      <c r="C2974" t="s" s="10">
        <v>114</v>
      </c>
      <c r="D2974" t="s" s="10">
        <v>870</v>
      </c>
      <c r="E2974" t="s" s="10">
        <v>137</v>
      </c>
      <c r="F2974" s="27">
        <v>45962</v>
      </c>
      <c r="G2974" t="s" s="10">
        <v>48</v>
      </c>
      <c r="H2974" t="s" s="42">
        <v>30</v>
      </c>
      <c r="I2974" s="42">
        <v>8.38</v>
      </c>
      <c r="J2974" t="s" s="10">
        <v>15157</v>
      </c>
      <c r="K2974" t="s" s="10">
        <v>15158</v>
      </c>
      <c r="L2974" s="16">
        <f>HYPERLINK("http://www.abhiloans.com", "www.abhiloans.com")</f>
      </c>
      <c r="M2974" s="16">
        <f>HYPERLINK("https://my.pitchbook.com?c=172314-64", "View Company Online")</f>
      </c>
    </row>
    <row r="2975">
      <c r="A2975" t="s" s="11">
        <v>15160</v>
      </c>
      <c r="B2975" t="s" s="11">
        <v>15161</v>
      </c>
      <c r="C2975" t="s" s="11">
        <v>222</v>
      </c>
      <c r="D2975" t="s" s="11">
        <v>223</v>
      </c>
      <c r="E2975" t="s" s="11">
        <v>137</v>
      </c>
      <c r="F2975" s="28">
        <v>43945</v>
      </c>
      <c r="G2975" t="s" s="11">
        <v>40</v>
      </c>
      <c r="H2975" s="43">
        <v>0.56</v>
      </c>
      <c r="I2975" s="43">
        <v>8.37</v>
      </c>
      <c r="J2975" t="s" s="11">
        <v>15162</v>
      </c>
      <c r="K2975" t="s" s="11">
        <v>15163</v>
      </c>
      <c r="L2975" s="17">
        <f>HYPERLINK("http://www.puregroup.io", "www.puregroup.io")</f>
      </c>
      <c r="M2975" s="17">
        <f>HYPERLINK("https://my.pitchbook.com?c=481505-68", "View Company Online")</f>
      </c>
    </row>
    <row r="2976">
      <c r="A2976" t="s" s="10">
        <v>15165</v>
      </c>
      <c r="B2976" t="s" s="10">
        <v>15166</v>
      </c>
      <c r="C2976" t="s" s="10">
        <v>37</v>
      </c>
      <c r="D2976" t="s" s="10">
        <v>304</v>
      </c>
      <c r="E2976" t="s" s="10">
        <v>116</v>
      </c>
      <c r="F2976" s="27">
        <v>45966</v>
      </c>
      <c r="G2976" t="s" s="10">
        <v>4267</v>
      </c>
      <c r="H2976" s="42">
        <v>1</v>
      </c>
      <c r="I2976" s="42">
        <v>8.37</v>
      </c>
      <c r="J2976" t="s" s="10">
        <v>15167</v>
      </c>
      <c r="K2976" t="s" s="10">
        <v>15168</v>
      </c>
      <c r="L2976" s="16">
        <f>HYPERLINK("http://www.stairwage.com", "www.stairwage.com")</f>
      </c>
      <c r="M2976" s="16">
        <f>HYPERLINK("https://my.pitchbook.com?c=434619-82", "View Company Online")</f>
      </c>
    </row>
    <row r="2977">
      <c r="A2977" t="s" s="11">
        <v>15170</v>
      </c>
      <c r="B2977" t="s" s="11">
        <v>15171</v>
      </c>
      <c r="C2977" t="s" s="11">
        <v>27</v>
      </c>
      <c r="D2977" t="s" s="11">
        <v>28</v>
      </c>
      <c r="E2977" t="s" s="11">
        <v>859</v>
      </c>
      <c r="F2977" s="28">
        <v>45440</v>
      </c>
      <c r="G2977" t="s" s="11">
        <v>146</v>
      </c>
      <c r="H2977" s="43">
        <v>1.14</v>
      </c>
      <c r="I2977" s="43">
        <v>8.36</v>
      </c>
      <c r="J2977" t="s" s="11">
        <v>15172</v>
      </c>
      <c r="K2977" t="s" s="11">
        <v>15173</v>
      </c>
      <c r="L2977" s="17">
        <f>HYPERLINK("http://www.complypay.com", "www.complypay.com")</f>
      </c>
      <c r="M2977" s="17">
        <f>HYPERLINK("https://my.pitchbook.com?c=509664-07", "View Company Online")</f>
      </c>
    </row>
    <row r="2978">
      <c r="A2978" t="s" s="10">
        <v>15175</v>
      </c>
      <c r="B2978" t="s" s="10">
        <v>15176</v>
      </c>
      <c r="C2978" t="s" s="10">
        <v>60</v>
      </c>
      <c r="D2978" t="s" s="10">
        <v>727</v>
      </c>
      <c r="E2978" t="s" s="10">
        <v>2695</v>
      </c>
      <c r="F2978" s="27">
        <v>45987</v>
      </c>
      <c r="G2978" t="s" s="10">
        <v>40</v>
      </c>
      <c r="H2978" s="42">
        <v>0.08</v>
      </c>
      <c r="I2978" s="42">
        <v>8.35</v>
      </c>
      <c r="J2978" t="s" s="10">
        <v>15177</v>
      </c>
      <c r="K2978" t="s" s="10">
        <v>15178</v>
      </c>
      <c r="L2978" s="16">
        <f>HYPERLINK("http://www.overstoneart.com", "www.overstoneart.com")</f>
      </c>
      <c r="M2978" s="16">
        <f>HYPERLINK("https://my.pitchbook.com?c=663688-99", "View Company Online")</f>
      </c>
    </row>
    <row r="2979">
      <c r="A2979" t="s" s="11">
        <v>15180</v>
      </c>
      <c r="B2979" t="s" s="11">
        <v>15181</v>
      </c>
      <c r="C2979" t="s" s="11">
        <v>60</v>
      </c>
      <c r="D2979" t="s" s="11">
        <v>61</v>
      </c>
      <c r="E2979" t="s" s="11">
        <v>15182</v>
      </c>
      <c r="F2979" s="28">
        <v>46223</v>
      </c>
      <c r="G2979" t="s" s="11">
        <v>40</v>
      </c>
      <c r="H2979" s="43">
        <v>2.74</v>
      </c>
      <c r="I2979" s="43">
        <v>8.34</v>
      </c>
      <c r="J2979" t="s" s="11">
        <v>15183</v>
      </c>
      <c r="K2979" t="s" s="11">
        <v>15184</v>
      </c>
      <c r="L2979" s="17">
        <f>HYPERLINK("http://www.investre.eu", "www.investre.eu")</f>
      </c>
      <c r="M2979" s="17">
        <f>HYPERLINK("https://my.pitchbook.com?c=501392-53", "View Company Online")</f>
      </c>
    </row>
    <row r="2980">
      <c r="A2980" t="s" s="10">
        <v>15186</v>
      </c>
      <c r="B2980" t="s" s="10">
        <v>15187</v>
      </c>
      <c r="C2980" t="s" s="10">
        <v>222</v>
      </c>
      <c r="D2980" t="s" s="10">
        <v>537</v>
      </c>
      <c r="E2980" t="s" s="10">
        <v>270</v>
      </c>
      <c r="F2980" s="27">
        <v>43980</v>
      </c>
      <c r="G2980" t="s" s="10">
        <v>146</v>
      </c>
      <c r="H2980" t="s" s="42">
        <v>30</v>
      </c>
      <c r="I2980" s="42">
        <v>8.33</v>
      </c>
      <c r="J2980" t="s" s="10">
        <v>15188</v>
      </c>
      <c r="K2980" t="s" s="10">
        <v>15189</v>
      </c>
      <c r="L2980" s="16">
        <f>HYPERLINK("http://www.debex.ru", "www.debex.ru")</f>
      </c>
      <c r="M2980" s="16">
        <f>HYPERLINK("https://my.pitchbook.com?c=342025-12", "View Company Online")</f>
      </c>
    </row>
    <row r="2981">
      <c r="A2981" t="s" s="11">
        <v>15191</v>
      </c>
      <c r="B2981" t="s" s="11">
        <v>15192</v>
      </c>
      <c r="C2981" t="s" s="11">
        <v>128</v>
      </c>
      <c r="D2981" t="s" s="11">
        <v>129</v>
      </c>
      <c r="E2981" t="s" s="11">
        <v>14409</v>
      </c>
      <c r="F2981" s="28">
        <v>45504</v>
      </c>
      <c r="G2981" t="s" s="11">
        <v>4267</v>
      </c>
      <c r="H2981" s="43">
        <v>0.25</v>
      </c>
      <c r="I2981" s="43">
        <v>8.33</v>
      </c>
      <c r="J2981" t="s" s="11">
        <v>15193</v>
      </c>
      <c r="K2981" t="s" s="11">
        <v>15194</v>
      </c>
      <c r="L2981" s="17">
        <f>HYPERLINK("http://www.getwyld.in", "www.getwyld.in")</f>
      </c>
      <c r="M2981" s="17">
        <f>HYPERLINK("https://my.pitchbook.com?c=492813-64", "View Company Online")</f>
      </c>
    </row>
    <row r="2982">
      <c r="A2982" t="s" s="10">
        <v>15196</v>
      </c>
      <c r="B2982" t="s" s="10">
        <v>15197</v>
      </c>
      <c r="C2982" t="s" s="10">
        <v>114</v>
      </c>
      <c r="D2982" t="s" s="10">
        <v>136</v>
      </c>
      <c r="E2982" t="s" s="10">
        <v>253</v>
      </c>
      <c r="F2982" s="27">
        <v>43168</v>
      </c>
      <c r="G2982" t="s" s="10">
        <v>271</v>
      </c>
      <c r="H2982" s="42">
        <v>0.88</v>
      </c>
      <c r="I2982" s="42">
        <v>8.28</v>
      </c>
      <c r="J2982" t="s" s="10">
        <v>15198</v>
      </c>
      <c r="K2982" t="s" s="10">
        <v>15199</v>
      </c>
      <c r="L2982" s="16">
        <f>HYPERLINK("http://www.investly.co", "www.investly.co")</f>
      </c>
      <c r="M2982" s="16">
        <f>HYPERLINK("https://my.pitchbook.com?c=88717-51", "View Company Online")</f>
      </c>
    </row>
    <row r="2983">
      <c r="A2983" t="s" s="11">
        <v>15201</v>
      </c>
      <c r="B2983" t="s" s="11">
        <v>15202</v>
      </c>
      <c r="C2983" t="s" s="11">
        <v>164</v>
      </c>
      <c r="D2983" t="s" s="11">
        <v>165</v>
      </c>
      <c r="E2983" t="s" s="11">
        <v>629</v>
      </c>
      <c r="F2983" s="28">
        <v>45910</v>
      </c>
      <c r="G2983" t="s" s="11">
        <v>607</v>
      </c>
      <c r="H2983" t="s" s="43">
        <v>30</v>
      </c>
      <c r="I2983" s="43">
        <v>8.26</v>
      </c>
      <c r="J2983" t="s" s="11">
        <v>15203</v>
      </c>
      <c r="K2983" t="s" s="11">
        <v>15204</v>
      </c>
      <c r="L2983" s="17">
        <f>HYPERLINK("http://depa.finance", "depa.finance")</f>
      </c>
      <c r="M2983" s="17">
        <f>HYPERLINK("https://my.pitchbook.com?c=510895-18", "View Company Online")</f>
      </c>
    </row>
    <row r="2984">
      <c r="A2984" t="s" s="10">
        <v>15206</v>
      </c>
      <c r="B2984" t="s" s="10">
        <v>15207</v>
      </c>
      <c r="C2984" t="s" s="10">
        <v>164</v>
      </c>
      <c r="D2984" t="s" s="10">
        <v>206</v>
      </c>
      <c r="E2984" t="s" s="10">
        <v>7575</v>
      </c>
      <c r="F2984" s="27">
        <v>46027</v>
      </c>
      <c r="G2984" t="s" s="10">
        <v>40</v>
      </c>
      <c r="H2984" s="42">
        <v>0.65</v>
      </c>
      <c r="I2984" s="42">
        <v>8.25</v>
      </c>
      <c r="J2984" t="s" s="10">
        <v>15208</v>
      </c>
      <c r="K2984" t="s" s="10">
        <v>15209</v>
      </c>
      <c r="L2984" s="16">
        <f>HYPERLINK("http://www.agrithmics.lk", "www.agrithmics.lk")</f>
      </c>
      <c r="M2984" s="16">
        <f>HYPERLINK("https://my.pitchbook.com?c=491247-19", "View Company Online")</f>
      </c>
    </row>
    <row r="2985">
      <c r="A2985" t="s" s="11">
        <v>15211</v>
      </c>
      <c r="B2985" t="s" s="11">
        <v>15212</v>
      </c>
      <c r="C2985" t="s" s="11">
        <v>60</v>
      </c>
      <c r="D2985" t="s" s="11">
        <v>246</v>
      </c>
      <c r="E2985" t="s" s="11">
        <v>137</v>
      </c>
      <c r="F2985" s="28">
        <v>45743</v>
      </c>
      <c r="G2985" t="s" s="11">
        <v>40</v>
      </c>
      <c r="H2985" s="43">
        <v>0.78</v>
      </c>
      <c r="I2985" s="43">
        <v>8.24</v>
      </c>
      <c r="J2985" t="s" s="11">
        <v>15213</v>
      </c>
      <c r="K2985" t="s" s="11">
        <v>15214</v>
      </c>
      <c r="L2985" s="17">
        <f>HYPERLINK("http://www.finanzero.com.br", "www.finanzero.com.br")</f>
      </c>
      <c r="M2985" s="17">
        <f>HYPERLINK("https://my.pitchbook.com?c=156044-35", "View Company Online")</f>
      </c>
    </row>
    <row r="2986">
      <c r="A2986" t="s" s="10">
        <v>15216</v>
      </c>
      <c r="B2986" t="s" s="10">
        <v>15217</v>
      </c>
      <c r="C2986" t="s" s="10">
        <v>37</v>
      </c>
      <c r="D2986" t="s" s="10">
        <v>304</v>
      </c>
      <c r="E2986" t="s" s="10">
        <v>116</v>
      </c>
      <c r="F2986" t="s" s="27">
        <v>30</v>
      </c>
      <c r="G2986" t="s" s="10">
        <v>48</v>
      </c>
      <c r="H2986" t="s" s="42">
        <v>30</v>
      </c>
      <c r="I2986" s="42">
        <v>8.21</v>
      </c>
      <c r="J2986" t="s" s="10">
        <v>15218</v>
      </c>
      <c r="K2986" t="s" s="10">
        <v>15219</v>
      </c>
      <c r="L2986" s="16">
        <f>HYPERLINK("http://www.plentina.com", "www.plentina.com")</f>
      </c>
      <c r="M2986" s="16">
        <f>HYPERLINK("https://my.pitchbook.com?c=431710-93", "View Company Online")</f>
      </c>
    </row>
    <row r="2987">
      <c r="A2987" t="s" s="11">
        <v>15221</v>
      </c>
      <c r="B2987" t="s" s="11">
        <v>15222</v>
      </c>
      <c r="C2987" t="s" s="11">
        <v>37</v>
      </c>
      <c r="D2987" t="s" s="11">
        <v>38</v>
      </c>
      <c r="E2987" t="s" s="11">
        <v>137</v>
      </c>
      <c r="F2987" s="28">
        <v>45715</v>
      </c>
      <c r="G2987" t="s" s="11">
        <v>146</v>
      </c>
      <c r="H2987" s="43">
        <v>2.25</v>
      </c>
      <c r="I2987" s="43">
        <v>8.2</v>
      </c>
      <c r="J2987" t="s" s="11">
        <v>15223</v>
      </c>
      <c r="K2987" t="s" s="11">
        <v>15224</v>
      </c>
      <c r="L2987" s="17">
        <f>HYPERLINK("http://www.lorien.finance", "www.lorien.finance")</f>
      </c>
      <c r="M2987" s="17">
        <f>HYPERLINK("https://my.pitchbook.com?c=518955-94", "View Company Online")</f>
      </c>
    </row>
    <row r="2988">
      <c r="A2988" t="s" s="10">
        <v>15226</v>
      </c>
      <c r="B2988" t="s" s="10">
        <v>15227</v>
      </c>
      <c r="C2988" t="s" s="10">
        <v>60</v>
      </c>
      <c r="D2988" t="s" s="10">
        <v>192</v>
      </c>
      <c r="E2988" t="s" s="10">
        <v>137</v>
      </c>
      <c r="F2988" s="27">
        <v>45691</v>
      </c>
      <c r="G2988" t="s" s="10">
        <v>4267</v>
      </c>
      <c r="H2988" s="42">
        <v>3.2</v>
      </c>
      <c r="I2988" s="42">
        <v>8.2</v>
      </c>
      <c r="J2988" t="s" s="10">
        <v>15228</v>
      </c>
      <c r="K2988" t="s" s="10">
        <v>15229</v>
      </c>
      <c r="L2988" s="16">
        <f>HYPERLINK("http://www.questis.co", "www.questis.co")</f>
      </c>
      <c r="M2988" s="16">
        <f>HYPERLINK("https://my.pitchbook.com?c=752803-12", "View Company Online")</f>
      </c>
    </row>
    <row r="2989">
      <c r="A2989" t="s" s="11">
        <v>15231</v>
      </c>
      <c r="B2989" t="s" s="11">
        <v>15232</v>
      </c>
      <c r="C2989" t="s" s="11">
        <v>164</v>
      </c>
      <c r="D2989" t="s" s="11">
        <v>165</v>
      </c>
      <c r="E2989" t="s" s="11">
        <v>137</v>
      </c>
      <c r="F2989" s="28">
        <v>45658</v>
      </c>
      <c r="G2989" t="s" s="11">
        <v>607</v>
      </c>
      <c r="H2989" t="s" s="43">
        <v>30</v>
      </c>
      <c r="I2989" s="43">
        <v>8.16</v>
      </c>
      <c r="J2989" t="s" s="11">
        <v>15233</v>
      </c>
      <c r="K2989" t="s" s="11">
        <v>15234</v>
      </c>
      <c r="L2989" s="17">
        <f>HYPERLINK("http://www.irisbgsf.com", "www.irisbgsf.com")</f>
      </c>
      <c r="M2989" s="17">
        <f>HYPERLINK("https://my.pitchbook.com?c=494820-55", "View Company Online")</f>
      </c>
    </row>
    <row r="2990">
      <c r="A2990" t="s" s="10">
        <v>15236</v>
      </c>
      <c r="B2990" t="s" s="10">
        <v>15237</v>
      </c>
      <c r="C2990" t="s" s="10">
        <v>222</v>
      </c>
      <c r="D2990" t="s" s="10">
        <v>235</v>
      </c>
      <c r="E2990" t="s" s="10">
        <v>137</v>
      </c>
      <c r="F2990" s="27">
        <v>45217</v>
      </c>
      <c r="G2990" t="s" s="10">
        <v>138</v>
      </c>
      <c r="H2990" t="s" s="42">
        <v>30</v>
      </c>
      <c r="I2990" s="42">
        <v>8.16</v>
      </c>
      <c r="J2990" t="s" s="10">
        <v>15238</v>
      </c>
      <c r="K2990" t="s" s="10">
        <v>30</v>
      </c>
      <c r="L2990" s="16">
        <f>HYPERLINK("http://www.sowefund.com", "www.sowefund.com")</f>
      </c>
      <c r="M2990" s="16">
        <f>HYPERLINK("https://my.pitchbook.com?c=169487-02", "View Company Online")</f>
      </c>
    </row>
    <row r="2991">
      <c r="A2991" t="s" s="11">
        <v>15240</v>
      </c>
      <c r="B2991" t="s" s="11">
        <v>15241</v>
      </c>
      <c r="C2991" t="s" s="11">
        <v>114</v>
      </c>
      <c r="D2991" t="s" s="11">
        <v>852</v>
      </c>
      <c r="E2991" t="s" s="11">
        <v>4013</v>
      </c>
      <c r="F2991" s="28">
        <v>45750</v>
      </c>
      <c r="G2991" t="s" s="11">
        <v>40</v>
      </c>
      <c r="H2991" t="s" s="43">
        <v>30</v>
      </c>
      <c r="I2991" s="43">
        <v>8.15</v>
      </c>
      <c r="J2991" t="s" s="11">
        <v>15242</v>
      </c>
      <c r="K2991" t="s" s="11">
        <v>15243</v>
      </c>
      <c r="L2991" s="17">
        <f>HYPERLINK("http://www.janakalyan.net", "www.janakalyan.net")</f>
      </c>
      <c r="M2991" s="17">
        <f>HYPERLINK("https://my.pitchbook.com?c=343484-74", "View Company Online")</f>
      </c>
    </row>
    <row r="2992">
      <c r="A2992" t="s" s="10">
        <v>15245</v>
      </c>
      <c r="B2992" t="s" s="10">
        <v>15246</v>
      </c>
      <c r="C2992" t="s" s="10">
        <v>144</v>
      </c>
      <c r="D2992" t="s" s="10">
        <v>297</v>
      </c>
      <c r="E2992" t="s" s="10">
        <v>193</v>
      </c>
      <c r="F2992" t="s" s="27">
        <v>30</v>
      </c>
      <c r="G2992" t="s" s="10">
        <v>48</v>
      </c>
      <c r="H2992" t="s" s="42">
        <v>30</v>
      </c>
      <c r="I2992" s="42">
        <v>8.15</v>
      </c>
      <c r="J2992" t="s" s="10">
        <v>15247</v>
      </c>
      <c r="K2992" t="s" s="10">
        <v>15248</v>
      </c>
      <c r="L2992" s="16">
        <f>HYPERLINK("http://www.karmalife.ai", "www.karmalife.ai")</f>
      </c>
      <c r="M2992" s="16">
        <f>HYPERLINK("https://my.pitchbook.com?c=463099-51", "View Company Online")</f>
      </c>
    </row>
    <row r="2993">
      <c r="A2993" t="s" s="11">
        <v>15250</v>
      </c>
      <c r="B2993" t="s" s="11">
        <v>15251</v>
      </c>
      <c r="C2993" t="s" s="11">
        <v>60</v>
      </c>
      <c r="D2993" t="s" s="11">
        <v>246</v>
      </c>
      <c r="E2993" t="s" s="11">
        <v>193</v>
      </c>
      <c r="F2993" s="28">
        <v>45292</v>
      </c>
      <c r="G2993" t="s" s="11">
        <v>607</v>
      </c>
      <c r="H2993" t="s" s="43">
        <v>30</v>
      </c>
      <c r="I2993" s="43">
        <v>8.14</v>
      </c>
      <c r="J2993" t="s" s="11">
        <v>15252</v>
      </c>
      <c r="K2993" t="s" s="11">
        <v>15253</v>
      </c>
      <c r="L2993" s="17">
        <f>HYPERLINK("http://www.aptap.co.uk", "www.aptap.co.uk")</f>
      </c>
      <c r="M2993" s="17">
        <f>HYPERLINK("https://my.pitchbook.com?c=435765-61", "View Company Online")</f>
      </c>
    </row>
    <row r="2994">
      <c r="A2994" t="s" s="10">
        <v>15255</v>
      </c>
      <c r="B2994" t="s" s="10">
        <v>15256</v>
      </c>
      <c r="C2994" t="s" s="10">
        <v>114</v>
      </c>
      <c r="D2994" t="s" s="10">
        <v>136</v>
      </c>
      <c r="E2994" t="s" s="10">
        <v>270</v>
      </c>
      <c r="F2994" s="27">
        <v>44953</v>
      </c>
      <c r="G2994" t="s" s="10">
        <v>607</v>
      </c>
      <c r="H2994" t="s" s="42">
        <v>30</v>
      </c>
      <c r="I2994" s="42">
        <v>8.12</v>
      </c>
      <c r="J2994" t="s" s="10">
        <v>15257</v>
      </c>
      <c r="K2994" t="s" s="10">
        <v>15258</v>
      </c>
      <c r="L2994" s="16">
        <f>HYPERLINK("http://corp.crowdloan.jp", "corp.crowdloan.jp")</f>
      </c>
      <c r="M2994" s="16">
        <f>HYPERLINK("https://my.pitchbook.com?c=433605-07", "View Company Online")</f>
      </c>
    </row>
    <row r="2995">
      <c r="A2995" t="s" s="11">
        <v>15260</v>
      </c>
      <c r="B2995" t="s" s="11">
        <v>15261</v>
      </c>
      <c r="C2995" t="s" s="11">
        <v>164</v>
      </c>
      <c r="D2995" t="s" s="11">
        <v>165</v>
      </c>
      <c r="E2995" t="s" s="11">
        <v>253</v>
      </c>
      <c r="F2995" s="28">
        <v>45769</v>
      </c>
      <c r="G2995" t="s" s="11">
        <v>40</v>
      </c>
      <c r="H2995" s="43">
        <v>2.23</v>
      </c>
      <c r="I2995" s="43">
        <v>8.11</v>
      </c>
      <c r="J2995" t="s" s="11">
        <v>15262</v>
      </c>
      <c r="K2995" t="s" s="11">
        <v>15263</v>
      </c>
      <c r="L2995" s="17">
        <f>HYPERLINK("http://www.incuto.com", "www.incuto.com")</f>
      </c>
      <c r="M2995" s="17">
        <f>HYPERLINK("https://my.pitchbook.com?c=227396-62", "View Company Online")</f>
      </c>
    </row>
    <row r="2996">
      <c r="A2996" t="s" s="10">
        <v>15265</v>
      </c>
      <c r="B2996" t="s" s="10">
        <v>15266</v>
      </c>
      <c r="C2996" t="s" s="10">
        <v>114</v>
      </c>
      <c r="D2996" t="s" s="10">
        <v>136</v>
      </c>
      <c r="E2996" t="s" s="10">
        <v>193</v>
      </c>
      <c r="F2996" s="27">
        <v>44875</v>
      </c>
      <c r="G2996" t="s" s="10">
        <v>4267</v>
      </c>
      <c r="H2996" s="42">
        <v>1.61</v>
      </c>
      <c r="I2996" s="42">
        <v>8.1</v>
      </c>
      <c r="J2996" t="s" s="10">
        <v>15267</v>
      </c>
      <c r="K2996" t="s" s="10">
        <v>15268</v>
      </c>
      <c r="L2996" s="16">
        <f>HYPERLINK("http://www.boldfinance.in", "www.boldfinance.in")</f>
      </c>
      <c r="M2996" s="16">
        <f>HYPERLINK("https://my.pitchbook.com?c=494311-42", "View Company Online")</f>
      </c>
    </row>
    <row r="2997">
      <c r="A2997" t="s" s="11">
        <v>15270</v>
      </c>
      <c r="B2997" t="s" s="11">
        <v>15271</v>
      </c>
      <c r="C2997" t="s" s="11">
        <v>60</v>
      </c>
      <c r="D2997" t="s" s="11">
        <v>192</v>
      </c>
      <c r="E2997" t="s" s="11">
        <v>253</v>
      </c>
      <c r="F2997" t="s" s="28">
        <v>30</v>
      </c>
      <c r="G2997" t="s" s="11">
        <v>48</v>
      </c>
      <c r="H2997" t="s" s="43">
        <v>30</v>
      </c>
      <c r="I2997" s="43">
        <v>8.1</v>
      </c>
      <c r="J2997" t="s" s="11">
        <v>15272</v>
      </c>
      <c r="K2997" t="s" s="11">
        <v>15273</v>
      </c>
      <c r="L2997" s="17">
        <f>HYPERLINK("http://www.itribe.in", "www.itribe.in")</f>
      </c>
      <c r="M2997" s="17">
        <f>HYPERLINK("https://my.pitchbook.com?c=494920-09", "View Company Online")</f>
      </c>
    </row>
    <row r="2998">
      <c r="A2998" t="s" s="10">
        <v>15275</v>
      </c>
      <c r="B2998" t="s" s="10">
        <v>15276</v>
      </c>
      <c r="C2998" t="s" s="10">
        <v>172</v>
      </c>
      <c r="D2998" t="s" s="10">
        <v>338</v>
      </c>
      <c r="E2998" t="s" s="10">
        <v>15277</v>
      </c>
      <c r="F2998" t="s" s="27">
        <v>30</v>
      </c>
      <c r="G2998" t="s" s="10">
        <v>146</v>
      </c>
      <c r="H2998" s="42">
        <v>1.5</v>
      </c>
      <c r="I2998" s="42">
        <v>8.1</v>
      </c>
      <c r="J2998" t="s" s="10">
        <v>15278</v>
      </c>
      <c r="K2998" t="s" s="10">
        <v>15279</v>
      </c>
      <c r="L2998" s="16">
        <f>HYPERLINK("http://www.regcheq.com", "www.regcheq.com")</f>
      </c>
      <c r="M2998" s="16">
        <f>HYPERLINK("https://my.pitchbook.com?c=493404-58", "View Company Online")</f>
      </c>
    </row>
    <row r="2999">
      <c r="A2999" t="s" s="11">
        <v>15281</v>
      </c>
      <c r="B2999" t="s" s="11">
        <v>15282</v>
      </c>
      <c r="C2999" t="s" s="11">
        <v>60</v>
      </c>
      <c r="D2999" t="s" s="11">
        <v>727</v>
      </c>
      <c r="E2999" t="s" s="11">
        <v>130</v>
      </c>
      <c r="F2999" s="28">
        <v>45754</v>
      </c>
      <c r="G2999" t="s" s="11">
        <v>271</v>
      </c>
      <c r="H2999" s="43">
        <v>0.97</v>
      </c>
      <c r="I2999" s="43">
        <v>8.09</v>
      </c>
      <c r="J2999" t="s" s="11">
        <v>15283</v>
      </c>
      <c r="K2999" t="s" s="11">
        <v>30</v>
      </c>
      <c r="L2999" s="17">
        <f>HYPERLINK("http://www.housemartin.co", "www.housemartin.co")</f>
      </c>
      <c r="M2999" s="17">
        <f>HYPERLINK("https://my.pitchbook.com?c=277199-02", "View Company Online")</f>
      </c>
    </row>
    <row r="3000">
      <c r="A3000" t="s" s="10">
        <v>15285</v>
      </c>
      <c r="B3000" t="s" s="10">
        <v>15286</v>
      </c>
      <c r="C3000" t="s" s="10">
        <v>114</v>
      </c>
      <c r="D3000" t="s" s="10">
        <v>852</v>
      </c>
      <c r="E3000" t="s" s="10">
        <v>414</v>
      </c>
      <c r="F3000" s="27">
        <v>45943</v>
      </c>
      <c r="G3000" t="s" s="10">
        <v>4267</v>
      </c>
      <c r="H3000" s="42">
        <v>1.48</v>
      </c>
      <c r="I3000" s="42">
        <v>8.08</v>
      </c>
      <c r="J3000" t="s" s="10">
        <v>15287</v>
      </c>
      <c r="K3000" t="s" s="10">
        <v>15288</v>
      </c>
      <c r="L3000" s="16">
        <f>HYPERLINK("http://www.saba.ai", "www.saba.ai")</f>
      </c>
      <c r="M3000" s="16">
        <f>HYPERLINK("https://my.pitchbook.com?c=593687-17", "View Company Online")</f>
      </c>
    </row>
    <row r="3001">
      <c r="A3001" t="s" s="11">
        <v>15290</v>
      </c>
      <c r="B3001" t="s" s="11">
        <v>15291</v>
      </c>
      <c r="C3001" t="s" s="11">
        <v>60</v>
      </c>
      <c r="D3001" t="s" s="11">
        <v>192</v>
      </c>
      <c r="E3001" t="s" s="11">
        <v>137</v>
      </c>
      <c r="F3001" s="28">
        <v>44852</v>
      </c>
      <c r="G3001" t="s" s="11">
        <v>40</v>
      </c>
      <c r="H3001" s="43">
        <v>1.16</v>
      </c>
      <c r="I3001" s="43">
        <v>8.07</v>
      </c>
      <c r="J3001" t="s" s="11">
        <v>15292</v>
      </c>
      <c r="K3001" t="s" s="11">
        <v>15293</v>
      </c>
      <c r="L3001" s="17">
        <f>HYPERLINK("http://efit.co.jp", "efit.co.jp")</f>
      </c>
      <c r="M3001" s="17">
        <f>HYPERLINK("https://my.pitchbook.com?c=459590-59", "View Company Online")</f>
      </c>
    </row>
    <row r="3002">
      <c r="A3002" t="s" s="10">
        <v>15295</v>
      </c>
      <c r="B3002" t="s" s="10">
        <v>15296</v>
      </c>
      <c r="C3002" t="s" s="10">
        <v>222</v>
      </c>
      <c r="D3002" t="s" s="10">
        <v>235</v>
      </c>
      <c r="E3002" t="s" s="10">
        <v>367</v>
      </c>
      <c r="F3002" s="27">
        <v>45532</v>
      </c>
      <c r="G3002" t="s" s="10">
        <v>4267</v>
      </c>
      <c r="H3002" s="42">
        <v>0.65</v>
      </c>
      <c r="I3002" s="42">
        <v>8.07</v>
      </c>
      <c r="J3002" t="s" s="10">
        <v>15297</v>
      </c>
      <c r="K3002" t="s" s="10">
        <v>15298</v>
      </c>
      <c r="L3002" s="16">
        <f>HYPERLINK("http://www.greenarccapital.com", "www.greenarccapital.com")</f>
      </c>
      <c r="M3002" s="16">
        <f>HYPERLINK("https://my.pitchbook.com?c=465663-16", "View Company Online")</f>
      </c>
    </row>
    <row r="3003">
      <c r="A3003" t="s" s="11">
        <v>15300</v>
      </c>
      <c r="B3003" t="s" s="11">
        <v>15301</v>
      </c>
      <c r="C3003" t="s" s="11">
        <v>27</v>
      </c>
      <c r="D3003" t="s" s="11">
        <v>28</v>
      </c>
      <c r="E3003" t="s" s="11">
        <v>15302</v>
      </c>
      <c r="F3003" s="28">
        <v>44174</v>
      </c>
      <c r="G3003" t="s" s="11">
        <v>146</v>
      </c>
      <c r="H3003" s="43">
        <v>2.85</v>
      </c>
      <c r="I3003" s="43">
        <v>8.07</v>
      </c>
      <c r="J3003" t="s" s="11">
        <v>15303</v>
      </c>
      <c r="K3003" t="s" s="11">
        <v>15304</v>
      </c>
      <c r="L3003" s="17">
        <f>HYPERLINK("http://www.moolahgo.com", "www.moolahgo.com")</f>
      </c>
      <c r="M3003" s="17">
        <f>HYPERLINK("https://my.pitchbook.com?c=343463-86", "View Company Online")</f>
      </c>
    </row>
    <row r="3004">
      <c r="A3004" t="s" s="10">
        <v>15306</v>
      </c>
      <c r="B3004" t="s" s="10">
        <v>15307</v>
      </c>
      <c r="C3004" t="s" s="10">
        <v>46</v>
      </c>
      <c r="D3004" t="s" s="10">
        <v>397</v>
      </c>
      <c r="E3004" t="s" s="10">
        <v>1652</v>
      </c>
      <c r="F3004" s="27">
        <v>45461</v>
      </c>
      <c r="G3004" t="s" s="10">
        <v>40</v>
      </c>
      <c r="H3004" t="s" s="42">
        <v>30</v>
      </c>
      <c r="I3004" s="42">
        <v>8.06</v>
      </c>
      <c r="J3004" t="s" s="10">
        <v>15308</v>
      </c>
      <c r="K3004" t="s" s="10">
        <v>15309</v>
      </c>
      <c r="L3004" s="16">
        <f>HYPERLINK("http://www.taxgenie.in", "www.taxgenie.in")</f>
      </c>
      <c r="M3004" s="16">
        <f>HYPERLINK("https://my.pitchbook.com?c=184799-80", "View Company Online")</f>
      </c>
    </row>
    <row r="3005">
      <c r="A3005" t="s" s="11">
        <v>15311</v>
      </c>
      <c r="B3005" t="s" s="11">
        <v>15312</v>
      </c>
      <c r="C3005" t="s" s="11">
        <v>60</v>
      </c>
      <c r="D3005" t="s" s="11">
        <v>192</v>
      </c>
      <c r="E3005" t="s" s="11">
        <v>137</v>
      </c>
      <c r="F3005" s="28">
        <v>44515</v>
      </c>
      <c r="G3005" t="s" s="11">
        <v>4267</v>
      </c>
      <c r="H3005" s="43">
        <v>3.05</v>
      </c>
      <c r="I3005" s="43">
        <v>8.05</v>
      </c>
      <c r="J3005" t="s" s="11">
        <v>15313</v>
      </c>
      <c r="K3005" t="s" s="11">
        <v>15314</v>
      </c>
      <c r="L3005" s="17">
        <f>HYPERLINK("http://www.3imembers.com", "www.3imembers.com")</f>
      </c>
      <c r="M3005" s="17">
        <f>HYPERLINK("https://my.pitchbook.com?c=484193-80", "View Company Online")</f>
      </c>
    </row>
    <row r="3006">
      <c r="A3006" t="s" s="10">
        <v>15316</v>
      </c>
      <c r="B3006" t="s" s="10">
        <v>15317</v>
      </c>
      <c r="C3006" t="s" s="10">
        <v>60</v>
      </c>
      <c r="D3006" t="s" s="10">
        <v>420</v>
      </c>
      <c r="E3006" t="s" s="10">
        <v>137</v>
      </c>
      <c r="F3006" t="s" s="27">
        <v>15318</v>
      </c>
      <c r="G3006" t="s" s="10">
        <v>4267</v>
      </c>
      <c r="H3006" s="42">
        <v>1.34</v>
      </c>
      <c r="I3006" s="42">
        <v>8.05</v>
      </c>
      <c r="J3006" t="s" s="10">
        <v>15319</v>
      </c>
      <c r="K3006" t="s" s="10">
        <v>15320</v>
      </c>
      <c r="L3006" s="16">
        <f>HYPERLINK("http://adeuslife.com", "adeuslife.com")</f>
      </c>
      <c r="M3006" s="16">
        <f>HYPERLINK("https://my.pitchbook.com?c=599892-22", "View Company Online")</f>
      </c>
    </row>
    <row r="3007">
      <c r="A3007" t="s" s="11">
        <v>15322</v>
      </c>
      <c r="B3007" t="s" s="11">
        <v>15323</v>
      </c>
      <c r="C3007" t="s" s="11">
        <v>114</v>
      </c>
      <c r="D3007" t="s" s="11">
        <v>136</v>
      </c>
      <c r="E3007" t="s" s="11">
        <v>1207</v>
      </c>
      <c r="F3007" s="28">
        <v>44818</v>
      </c>
      <c r="G3007" t="s" s="11">
        <v>40</v>
      </c>
      <c r="H3007" s="43">
        <v>0.93</v>
      </c>
      <c r="I3007" s="43">
        <v>8.01</v>
      </c>
      <c r="J3007" t="s" s="11">
        <v>15324</v>
      </c>
      <c r="K3007" t="s" s="11">
        <v>30</v>
      </c>
      <c r="L3007" s="17">
        <f>HYPERLINK("http://www.finzy.com", "www.finzy.com")</f>
      </c>
      <c r="M3007" s="17">
        <f>HYPERLINK("https://my.pitchbook.com?c=227340-19", "View Company Online")</f>
      </c>
    </row>
    <row r="3008">
      <c r="A3008" t="s" s="10">
        <v>15326</v>
      </c>
      <c r="B3008" t="s" s="10">
        <v>15327</v>
      </c>
      <c r="C3008" t="s" s="10">
        <v>60</v>
      </c>
      <c r="D3008" t="s" s="10">
        <v>246</v>
      </c>
      <c r="E3008" t="s" s="10">
        <v>367</v>
      </c>
      <c r="F3008" s="27">
        <v>45138</v>
      </c>
      <c r="G3008" t="s" s="10">
        <v>146</v>
      </c>
      <c r="H3008" s="42">
        <v>2.95</v>
      </c>
      <c r="I3008" s="42">
        <v>8.01</v>
      </c>
      <c r="J3008" t="s" s="10">
        <v>15328</v>
      </c>
      <c r="K3008" t="s" s="10">
        <v>15329</v>
      </c>
      <c r="L3008" s="16">
        <f>HYPERLINK("http://www.pivotfintech.com", "www.pivotfintech.com")</f>
      </c>
      <c r="M3008" s="16">
        <f>HYPERLINK("https://my.pitchbook.com?c=234055-54", "View Company Online")</f>
      </c>
    </row>
    <row r="3009">
      <c r="A3009" t="s" s="11">
        <v>15331</v>
      </c>
      <c r="B3009" t="s" s="11">
        <v>15332</v>
      </c>
      <c r="C3009" t="s" s="11">
        <v>60</v>
      </c>
      <c r="D3009" t="s" s="11">
        <v>192</v>
      </c>
      <c r="E3009" t="s" s="11">
        <v>137</v>
      </c>
      <c r="F3009" s="28">
        <v>45441</v>
      </c>
      <c r="G3009" t="s" s="11">
        <v>4267</v>
      </c>
      <c r="H3009" s="43">
        <v>2</v>
      </c>
      <c r="I3009" s="43">
        <v>8</v>
      </c>
      <c r="J3009" t="s" s="11">
        <v>15333</v>
      </c>
      <c r="K3009" t="s" s="11">
        <v>15334</v>
      </c>
      <c r="L3009" s="17">
        <f>HYPERLINK("http://www.11th.com", "www.11th.com")</f>
      </c>
      <c r="M3009" s="17">
        <f>HYPERLINK("https://my.pitchbook.com?c=525670-93", "View Company Online")</f>
      </c>
    </row>
    <row r="3010">
      <c r="A3010" t="s" s="10">
        <v>15336</v>
      </c>
      <c r="B3010" t="s" s="10">
        <v>15337</v>
      </c>
      <c r="C3010" t="s" s="10">
        <v>172</v>
      </c>
      <c r="D3010" t="s" s="10">
        <v>1454</v>
      </c>
      <c r="E3010" t="s" s="10">
        <v>137</v>
      </c>
      <c r="F3010" s="27">
        <v>44167</v>
      </c>
      <c r="G3010" t="s" s="10">
        <v>146</v>
      </c>
      <c r="H3010" s="42">
        <v>2</v>
      </c>
      <c r="I3010" s="42">
        <v>8</v>
      </c>
      <c r="J3010" t="s" s="10">
        <v>15338</v>
      </c>
      <c r="K3010" t="s" s="10">
        <v>30</v>
      </c>
      <c r="L3010" s="16">
        <f>HYPERLINK("http://www.asymmetric.intention.ly", "www.asymmetric.intention.ly")</f>
      </c>
      <c r="M3010" s="16">
        <f>HYPERLINK("https://my.pitchbook.com?c=443329-66", "View Company Online")</f>
      </c>
    </row>
    <row r="3011">
      <c r="A3011" t="s" s="11">
        <v>15340</v>
      </c>
      <c r="B3011" t="s" s="11">
        <v>15341</v>
      </c>
      <c r="C3011" t="s" s="11">
        <v>144</v>
      </c>
      <c r="D3011" t="s" s="11">
        <v>38</v>
      </c>
      <c r="E3011" t="s" s="11">
        <v>193</v>
      </c>
      <c r="F3011" s="28">
        <v>44760</v>
      </c>
      <c r="G3011" t="s" s="11">
        <v>48</v>
      </c>
      <c r="H3011" t="s" s="43">
        <v>30</v>
      </c>
      <c r="I3011" s="43">
        <v>8</v>
      </c>
      <c r="J3011" t="s" s="11">
        <v>15342</v>
      </c>
      <c r="K3011" t="s" s="11">
        <v>15343</v>
      </c>
      <c r="L3011" s="17">
        <f>HYPERLINK("http://www.bank-genie.com", "www.bank-genie.com")</f>
      </c>
      <c r="M3011" s="17">
        <f>HYPERLINK("https://my.pitchbook.com?c=181555-57", "View Company Online")</f>
      </c>
    </row>
    <row r="3012">
      <c r="A3012" t="s" s="10">
        <v>15345</v>
      </c>
      <c r="B3012" t="s" s="10">
        <v>15346</v>
      </c>
      <c r="C3012" t="s" s="10">
        <v>37</v>
      </c>
      <c r="D3012" t="s" s="10">
        <v>38</v>
      </c>
      <c r="E3012" t="s" s="10">
        <v>270</v>
      </c>
      <c r="F3012" s="27">
        <v>45308</v>
      </c>
      <c r="G3012" t="s" s="10">
        <v>40</v>
      </c>
      <c r="H3012" s="42">
        <v>2.3</v>
      </c>
      <c r="I3012" s="42">
        <v>8</v>
      </c>
      <c r="J3012" t="s" s="10">
        <v>15347</v>
      </c>
      <c r="K3012" t="s" s="10">
        <v>15348</v>
      </c>
      <c r="L3012" s="16">
        <f>HYPERLINK("http://www.bankingon.io", "www.bankingon.io")</f>
      </c>
      <c r="M3012" s="16">
        <f>HYPERLINK("https://my.pitchbook.com?c=277099-39", "View Company Online")</f>
      </c>
    </row>
    <row r="3013">
      <c r="A3013" t="s" s="11">
        <v>15350</v>
      </c>
      <c r="B3013" t="s" s="11">
        <v>15351</v>
      </c>
      <c r="C3013" t="s" s="11">
        <v>60</v>
      </c>
      <c r="D3013" t="s" s="11">
        <v>192</v>
      </c>
      <c r="E3013" t="s" s="11">
        <v>30</v>
      </c>
      <c r="F3013" s="28">
        <v>44431</v>
      </c>
      <c r="G3013" t="s" s="11">
        <v>4267</v>
      </c>
      <c r="H3013" s="43">
        <v>1.5</v>
      </c>
      <c r="I3013" s="43">
        <v>8</v>
      </c>
      <c r="J3013" t="s" s="11">
        <v>15352</v>
      </c>
      <c r="K3013" t="s" s="11">
        <v>15353</v>
      </c>
      <c r="L3013" s="17">
        <f>HYPERLINK("http://www.meetbeagle.com", "www.meetbeagle.com")</f>
      </c>
      <c r="M3013" s="17">
        <f>HYPERLINK("https://my.pitchbook.com?c=462417-67", "View Company Online")</f>
      </c>
    </row>
    <row r="3014">
      <c r="A3014" t="s" s="10">
        <v>15355</v>
      </c>
      <c r="B3014" t="s" s="10">
        <v>15356</v>
      </c>
      <c r="C3014" t="s" s="10">
        <v>27</v>
      </c>
      <c r="D3014" t="s" s="10">
        <v>28</v>
      </c>
      <c r="E3014" t="s" s="10">
        <v>1859</v>
      </c>
      <c r="F3014" s="27">
        <v>45108</v>
      </c>
      <c r="G3014" t="s" s="10">
        <v>4267</v>
      </c>
      <c r="H3014" s="42">
        <v>0.6</v>
      </c>
      <c r="I3014" s="42">
        <v>8</v>
      </c>
      <c r="J3014" t="s" s="10">
        <v>15357</v>
      </c>
      <c r="K3014" t="s" s="10">
        <v>30</v>
      </c>
      <c r="L3014" s="16">
        <f>HYPERLINK("http://www.chargeblast.com", "www.chargeblast.com")</f>
      </c>
      <c r="M3014" s="16">
        <f>HYPERLINK("https://my.pitchbook.com?c=533010-97", "View Company Online")</f>
      </c>
    </row>
    <row r="3015">
      <c r="A3015" t="s" s="11">
        <v>15359</v>
      </c>
      <c r="B3015" t="s" s="11">
        <v>15360</v>
      </c>
      <c r="C3015" t="s" s="11">
        <v>114</v>
      </c>
      <c r="D3015" t="s" s="11">
        <v>136</v>
      </c>
      <c r="E3015" t="s" s="11">
        <v>15361</v>
      </c>
      <c r="F3015" s="28">
        <v>45231</v>
      </c>
      <c r="G3015" t="s" s="11">
        <v>146</v>
      </c>
      <c r="H3015" t="s" s="43">
        <v>30</v>
      </c>
      <c r="I3015" s="43">
        <v>8</v>
      </c>
      <c r="J3015" t="s" s="11">
        <v>15362</v>
      </c>
      <c r="K3015" t="s" s="11">
        <v>15363</v>
      </c>
      <c r="L3015" s="17">
        <f>HYPERLINK("http://www.dollardonationclub.com", "www.dollardonationclub.com")</f>
      </c>
      <c r="M3015" s="17">
        <f>HYPERLINK("https://my.pitchbook.com?c=481220-56", "View Company Online")</f>
      </c>
    </row>
    <row r="3016">
      <c r="A3016" t="s" s="10">
        <v>15365</v>
      </c>
      <c r="B3016" t="s" s="10">
        <v>15366</v>
      </c>
      <c r="C3016" t="s" s="10">
        <v>37</v>
      </c>
      <c r="D3016" t="s" s="10">
        <v>38</v>
      </c>
      <c r="E3016" t="s" s="10">
        <v>1859</v>
      </c>
      <c r="F3016" s="27">
        <v>45189</v>
      </c>
      <c r="G3016" t="s" s="10">
        <v>48</v>
      </c>
      <c r="H3016" t="s" s="42">
        <v>30</v>
      </c>
      <c r="I3016" s="42">
        <v>8</v>
      </c>
      <c r="J3016" t="s" s="10">
        <v>15367</v>
      </c>
      <c r="K3016" t="s" s="10">
        <v>15368</v>
      </c>
      <c r="L3016" s="16">
        <f>HYPERLINK("http://encorepay.co", "encorepay.co")</f>
      </c>
      <c r="M3016" s="16">
        <f>HYPERLINK("https://my.pitchbook.com?c=493760-71", "View Company Online")</f>
      </c>
    </row>
    <row r="3017">
      <c r="A3017" t="s" s="11">
        <v>15370</v>
      </c>
      <c r="B3017" t="s" s="11">
        <v>15371</v>
      </c>
      <c r="C3017" t="s" s="11">
        <v>60</v>
      </c>
      <c r="D3017" t="s" s="11">
        <v>246</v>
      </c>
      <c r="E3017" t="s" s="11">
        <v>193</v>
      </c>
      <c r="F3017" s="28">
        <v>45413</v>
      </c>
      <c r="G3017" t="s" s="11">
        <v>146</v>
      </c>
      <c r="H3017" t="s" s="43">
        <v>30</v>
      </c>
      <c r="I3017" s="43">
        <v>8</v>
      </c>
      <c r="J3017" t="s" s="11">
        <v>15372</v>
      </c>
      <c r="K3017" t="s" s="11">
        <v>15373</v>
      </c>
      <c r="L3017" s="17">
        <f>HYPERLINK("http://ensembleui.com", "ensembleui.com")</f>
      </c>
      <c r="M3017" s="17">
        <f>HYPERLINK("https://my.pitchbook.com?c=463615-66", "View Company Online")</f>
      </c>
    </row>
    <row r="3018">
      <c r="A3018" t="s" s="10">
        <v>15375</v>
      </c>
      <c r="B3018" t="s" s="10">
        <v>15376</v>
      </c>
      <c r="C3018" t="s" s="10">
        <v>164</v>
      </c>
      <c r="D3018" t="s" s="10">
        <v>165</v>
      </c>
      <c r="E3018" t="s" s="10">
        <v>137</v>
      </c>
      <c r="F3018" s="27">
        <v>44999</v>
      </c>
      <c r="G3018" t="s" s="10">
        <v>4267</v>
      </c>
      <c r="H3018" s="42">
        <v>1.16</v>
      </c>
      <c r="I3018" s="42">
        <v>8</v>
      </c>
      <c r="J3018" t="s" s="10">
        <v>15377</v>
      </c>
      <c r="K3018" t="s" s="10">
        <v>15378</v>
      </c>
      <c r="L3018" s="16">
        <f>HYPERLINK("http://www.fiscaladvocate.com", "www.fiscaladvocate.com")</f>
      </c>
      <c r="M3018" s="16">
        <f>HYPERLINK("https://my.pitchbook.com?c=515429-02", "View Company Online")</f>
      </c>
    </row>
    <row r="3019">
      <c r="A3019" t="s" s="11">
        <v>15380</v>
      </c>
      <c r="B3019" t="s" s="11">
        <v>15381</v>
      </c>
      <c r="C3019" t="s" s="11">
        <v>60</v>
      </c>
      <c r="D3019" t="s" s="11">
        <v>246</v>
      </c>
      <c r="E3019" t="s" s="11">
        <v>1093</v>
      </c>
      <c r="F3019" s="28">
        <v>45292</v>
      </c>
      <c r="G3019" t="s" s="11">
        <v>607</v>
      </c>
      <c r="H3019" t="s" s="43">
        <v>30</v>
      </c>
      <c r="I3019" s="43">
        <v>8</v>
      </c>
      <c r="J3019" t="s" s="11">
        <v>15382</v>
      </c>
      <c r="K3019" t="s" s="11">
        <v>15383</v>
      </c>
      <c r="L3019" s="17">
        <f>HYPERLINK("http://www.moneysmart.sg", "www.moneysmart.sg")</f>
      </c>
      <c r="M3019" s="17">
        <f>HYPERLINK("https://my.pitchbook.com?c=94303-90", "View Company Online")</f>
      </c>
    </row>
    <row r="3020">
      <c r="A3020" t="s" s="10">
        <v>15385</v>
      </c>
      <c r="B3020" t="s" s="10">
        <v>15386</v>
      </c>
      <c r="C3020" t="s" s="10">
        <v>164</v>
      </c>
      <c r="D3020" t="s" s="10">
        <v>206</v>
      </c>
      <c r="E3020" t="s" s="10">
        <v>270</v>
      </c>
      <c r="F3020" s="27">
        <v>44946</v>
      </c>
      <c r="G3020" t="s" s="10">
        <v>4267</v>
      </c>
      <c r="H3020" t="s" s="42">
        <v>30</v>
      </c>
      <c r="I3020" s="42">
        <v>8</v>
      </c>
      <c r="J3020" t="s" s="10">
        <v>15387</v>
      </c>
      <c r="K3020" t="s" s="10">
        <v>15388</v>
      </c>
      <c r="L3020" s="16">
        <f>HYPERLINK("http://www.mox.cash", "www.mox.cash")</f>
      </c>
      <c r="M3020" s="16">
        <f>HYPERLINK("https://my.pitchbook.com?c=503823-70", "View Company Online")</f>
      </c>
    </row>
    <row r="3021">
      <c r="A3021" t="s" s="11">
        <v>15390</v>
      </c>
      <c r="B3021" t="s" s="11">
        <v>15391</v>
      </c>
      <c r="C3021" t="s" s="11">
        <v>222</v>
      </c>
      <c r="D3021" t="s" s="11">
        <v>223</v>
      </c>
      <c r="E3021" t="s" s="11">
        <v>15392</v>
      </c>
      <c r="F3021" s="28">
        <v>44957</v>
      </c>
      <c r="G3021" t="s" s="11">
        <v>607</v>
      </c>
      <c r="H3021" t="s" s="43">
        <v>30</v>
      </c>
      <c r="I3021" s="43">
        <v>8</v>
      </c>
      <c r="J3021" t="s" s="11">
        <v>15393</v>
      </c>
      <c r="K3021" t="s" s="11">
        <v>15394</v>
      </c>
      <c r="L3021" s="17">
        <f>HYPERLINK("http://www.quantamarkets.com", "www.quantamarkets.com")</f>
      </c>
      <c r="M3021" s="17">
        <f>HYPERLINK("https://my.pitchbook.com?c=503231-50", "View Company Online")</f>
      </c>
    </row>
    <row r="3022">
      <c r="A3022" t="s" s="10">
        <v>15396</v>
      </c>
      <c r="B3022" t="s" s="10">
        <v>15397</v>
      </c>
      <c r="C3022" t="s" s="10">
        <v>60</v>
      </c>
      <c r="D3022" t="s" s="10">
        <v>192</v>
      </c>
      <c r="E3022" t="s" s="10">
        <v>1349</v>
      </c>
      <c r="F3022" s="27">
        <v>44615</v>
      </c>
      <c r="G3022" t="s" s="10">
        <v>4267</v>
      </c>
      <c r="H3022" s="42">
        <v>2</v>
      </c>
      <c r="I3022" s="42">
        <v>8</v>
      </c>
      <c r="J3022" t="s" s="10">
        <v>15398</v>
      </c>
      <c r="K3022" t="s" s="10">
        <v>15399</v>
      </c>
      <c r="L3022" s="16">
        <f>HYPERLINK("http://www.quiverquant.com", "www.quiverquant.com")</f>
      </c>
      <c r="M3022" s="16">
        <f>HYPERLINK("https://my.pitchbook.com?c=459129-61", "View Company Online")</f>
      </c>
    </row>
    <row r="3023">
      <c r="A3023" t="s" s="11">
        <v>15401</v>
      </c>
      <c r="B3023" t="s" s="11">
        <v>15402</v>
      </c>
      <c r="C3023" t="s" s="11">
        <v>114</v>
      </c>
      <c r="D3023" t="s" s="11">
        <v>136</v>
      </c>
      <c r="E3023" t="s" s="11">
        <v>137</v>
      </c>
      <c r="F3023" s="28">
        <v>43668</v>
      </c>
      <c r="G3023" t="s" s="11">
        <v>40</v>
      </c>
      <c r="H3023" s="43">
        <v>7.27</v>
      </c>
      <c r="I3023" s="43">
        <v>8</v>
      </c>
      <c r="J3023" t="s" s="11">
        <v>15403</v>
      </c>
      <c r="K3023" t="s" s="11">
        <v>15404</v>
      </c>
      <c r="L3023" s="17">
        <f>HYPERLINK("http://www.roadoor.com", "www.roadoor.com")</f>
      </c>
      <c r="M3023" s="17">
        <f>HYPERLINK("https://my.pitchbook.com?c=433580-59", "View Company Online")</f>
      </c>
    </row>
    <row r="3024">
      <c r="A3024" t="s" s="10">
        <v>15406</v>
      </c>
      <c r="B3024" t="s" s="10">
        <v>15407</v>
      </c>
      <c r="C3024" t="s" s="10">
        <v>37</v>
      </c>
      <c r="D3024" t="s" s="10">
        <v>304</v>
      </c>
      <c r="E3024" t="s" s="10">
        <v>1652</v>
      </c>
      <c r="F3024" s="27">
        <v>44671</v>
      </c>
      <c r="G3024" t="s" s="10">
        <v>4267</v>
      </c>
      <c r="H3024" s="42">
        <v>3</v>
      </c>
      <c r="I3024" s="42">
        <v>8</v>
      </c>
      <c r="J3024" t="s" s="10">
        <v>15408</v>
      </c>
      <c r="K3024" t="s" s="10">
        <v>15409</v>
      </c>
      <c r="L3024" s="16">
        <f>HYPERLINK("http://www.sawa.money", "www.sawa.money")</f>
      </c>
      <c r="M3024" s="16">
        <f>HYPERLINK("https://my.pitchbook.com?c=490683-16", "View Company Online")</f>
      </c>
    </row>
    <row r="3025">
      <c r="A3025" t="s" s="11">
        <v>15411</v>
      </c>
      <c r="B3025" t="s" s="11">
        <v>15412</v>
      </c>
      <c r="C3025" t="s" s="11">
        <v>37</v>
      </c>
      <c r="D3025" t="s" s="11">
        <v>304</v>
      </c>
      <c r="E3025" t="s" s="11">
        <v>253</v>
      </c>
      <c r="F3025" s="28">
        <v>44378</v>
      </c>
      <c r="G3025" t="s" s="11">
        <v>4267</v>
      </c>
      <c r="H3025" s="43">
        <v>1</v>
      </c>
      <c r="I3025" s="43">
        <v>8</v>
      </c>
      <c r="J3025" t="s" s="11">
        <v>15413</v>
      </c>
      <c r="K3025" t="s" s="11">
        <v>15414</v>
      </c>
      <c r="L3025" s="17">
        <f>HYPERLINK("http://www.tranquifinanzas.com", "www.tranquifinanzas.com")</f>
      </c>
      <c r="M3025" s="17">
        <f>HYPERLINK("https://my.pitchbook.com?c=231081-31", "View Company Online")</f>
      </c>
    </row>
    <row r="3026">
      <c r="A3026" t="s" s="10">
        <v>15416</v>
      </c>
      <c r="B3026" t="s" s="10">
        <v>15417</v>
      </c>
      <c r="C3026" t="s" s="10">
        <v>222</v>
      </c>
      <c r="D3026" t="s" s="10">
        <v>223</v>
      </c>
      <c r="E3026" t="s" s="10">
        <v>253</v>
      </c>
      <c r="F3026" s="27">
        <v>46143</v>
      </c>
      <c r="G3026" t="s" s="10">
        <v>271</v>
      </c>
      <c r="H3026" s="42">
        <v>1.15</v>
      </c>
      <c r="I3026" s="42">
        <v>8</v>
      </c>
      <c r="J3026" t="s" s="10">
        <v>15418</v>
      </c>
      <c r="K3026" t="s" s="10">
        <v>15419</v>
      </c>
      <c r="L3026" s="16">
        <f>HYPERLINK("http://www.hellovaluebuddy.com", "www.hellovaluebuddy.com")</f>
      </c>
      <c r="M3026" s="16">
        <f>HYPERLINK("https://my.pitchbook.com?c=509418-01", "View Company Online")</f>
      </c>
    </row>
    <row r="3027">
      <c r="A3027" t="s" s="11">
        <v>15421</v>
      </c>
      <c r="B3027" t="s" s="11">
        <v>15422</v>
      </c>
      <c r="C3027" t="s" s="11">
        <v>222</v>
      </c>
      <c r="D3027" t="s" s="11">
        <v>223</v>
      </c>
      <c r="E3027" t="s" s="11">
        <v>253</v>
      </c>
      <c r="F3027" s="28">
        <v>45020</v>
      </c>
      <c r="G3027" t="s" s="11">
        <v>607</v>
      </c>
      <c r="H3027" t="s" s="43">
        <v>30</v>
      </c>
      <c r="I3027" s="43">
        <v>8</v>
      </c>
      <c r="J3027" t="s" s="11">
        <v>15423</v>
      </c>
      <c r="K3027" t="s" s="11">
        <v>15424</v>
      </c>
      <c r="L3027" s="17">
        <f>HYPERLINK("http://www.yves.blue", "www.yves.blue")</f>
      </c>
      <c r="M3027" s="17">
        <f>HYPERLINK("https://my.pitchbook.com?c=442978-12", "View Company Online")</f>
      </c>
    </row>
    <row r="3028">
      <c r="A3028" t="s" s="10">
        <v>15426</v>
      </c>
      <c r="B3028" t="s" s="10">
        <v>15427</v>
      </c>
      <c r="C3028" t="s" s="10">
        <v>46</v>
      </c>
      <c r="D3028" t="s" s="10">
        <v>47</v>
      </c>
      <c r="E3028" t="s" s="10">
        <v>690</v>
      </c>
      <c r="F3028" s="27">
        <v>45231</v>
      </c>
      <c r="G3028" t="s" s="10">
        <v>40</v>
      </c>
      <c r="H3028" t="s" s="42">
        <v>30</v>
      </c>
      <c r="I3028" s="42">
        <v>7.98</v>
      </c>
      <c r="J3028" t="s" s="10">
        <v>15428</v>
      </c>
      <c r="K3028" t="s" s="10">
        <v>15429</v>
      </c>
      <c r="L3028" s="16">
        <f>HYPERLINK("http://www.dokka.com", "www.dokka.com")</f>
      </c>
      <c r="M3028" s="16">
        <f>HYPERLINK("https://my.pitchbook.com?c=180291-52", "View Company Online")</f>
      </c>
    </row>
    <row r="3029">
      <c r="A3029" t="s" s="11">
        <v>15431</v>
      </c>
      <c r="B3029" t="s" s="11">
        <v>15432</v>
      </c>
      <c r="C3029" t="s" s="11">
        <v>164</v>
      </c>
      <c r="D3029" t="s" s="11">
        <v>206</v>
      </c>
      <c r="E3029" t="s" s="11">
        <v>367</v>
      </c>
      <c r="F3029" s="28">
        <v>45292</v>
      </c>
      <c r="G3029" t="s" s="11">
        <v>607</v>
      </c>
      <c r="H3029" t="s" s="43">
        <v>30</v>
      </c>
      <c r="I3029" s="43">
        <v>7.98</v>
      </c>
      <c r="J3029" t="s" s="11">
        <v>15433</v>
      </c>
      <c r="K3029" t="s" s="11">
        <v>15434</v>
      </c>
      <c r="L3029" s="17">
        <f>HYPERLINK("http://www.finexos.io", "www.finexos.io")</f>
      </c>
      <c r="M3029" s="17">
        <f>HYPERLINK("https://my.pitchbook.com?c=462041-47", "View Company Online")</f>
      </c>
    </row>
    <row r="3030">
      <c r="A3030" t="s" s="10">
        <v>15436</v>
      </c>
      <c r="B3030" t="s" s="10">
        <v>15437</v>
      </c>
      <c r="C3030" t="s" s="10">
        <v>60</v>
      </c>
      <c r="D3030" t="s" s="10">
        <v>246</v>
      </c>
      <c r="E3030" t="s" s="10">
        <v>270</v>
      </c>
      <c r="F3030" s="27">
        <v>46202</v>
      </c>
      <c r="G3030" t="s" s="10">
        <v>2051</v>
      </c>
      <c r="H3030" t="s" s="42">
        <v>30</v>
      </c>
      <c r="I3030" s="42">
        <v>7.98</v>
      </c>
      <c r="J3030" t="s" s="10">
        <v>15438</v>
      </c>
      <c r="K3030" t="s" s="10">
        <v>30</v>
      </c>
      <c r="L3030" s="16">
        <f>HYPERLINK("http://www.moneyworld.app", "www.moneyworld.app")</f>
      </c>
      <c r="M3030" s="16">
        <f>HYPERLINK("https://my.pitchbook.com?c=482788-99", "View Company Online")</f>
      </c>
    </row>
    <row r="3031">
      <c r="A3031" t="s" s="11">
        <v>15440</v>
      </c>
      <c r="B3031" t="s" s="11">
        <v>15441</v>
      </c>
      <c r="C3031" t="s" s="11">
        <v>60</v>
      </c>
      <c r="D3031" t="s" s="11">
        <v>192</v>
      </c>
      <c r="E3031" t="s" s="11">
        <v>4792</v>
      </c>
      <c r="F3031" s="28">
        <v>44837</v>
      </c>
      <c r="G3031" t="s" s="11">
        <v>48</v>
      </c>
      <c r="H3031" t="s" s="43">
        <v>30</v>
      </c>
      <c r="I3031" s="43">
        <v>7.96</v>
      </c>
      <c r="J3031" t="s" s="11">
        <v>15442</v>
      </c>
      <c r="K3031" t="s" s="11">
        <v>15443</v>
      </c>
      <c r="L3031" s="17">
        <f>HYPERLINK("http://www.asokoinsight.com", "www.asokoinsight.com")</f>
      </c>
      <c r="M3031" s="17">
        <f>HYPERLINK("https://my.pitchbook.com?c=108798-67", "View Company Online")</f>
      </c>
    </row>
    <row r="3032">
      <c r="A3032" t="s" s="10">
        <v>15445</v>
      </c>
      <c r="B3032" t="s" s="10">
        <v>15446</v>
      </c>
      <c r="C3032" t="s" s="10">
        <v>60</v>
      </c>
      <c r="D3032" t="s" s="10">
        <v>727</v>
      </c>
      <c r="E3032" t="s" s="10">
        <v>137</v>
      </c>
      <c r="F3032" s="27">
        <v>45992</v>
      </c>
      <c r="G3032" t="s" s="10">
        <v>146</v>
      </c>
      <c r="H3032" t="s" s="42">
        <v>30</v>
      </c>
      <c r="I3032" s="42">
        <v>7.94</v>
      </c>
      <c r="J3032" t="s" s="10">
        <v>15447</v>
      </c>
      <c r="K3032" t="s" s="10">
        <v>15448</v>
      </c>
      <c r="L3032" s="16">
        <f>HYPERLINK("http://ventari.com", "ventari.com")</f>
      </c>
      <c r="M3032" s="16">
        <f>HYPERLINK("https://my.pitchbook.com?c=503651-44", "View Company Online")</f>
      </c>
    </row>
    <row r="3033">
      <c r="A3033" t="s" s="11">
        <v>15450</v>
      </c>
      <c r="B3033" t="s" s="11">
        <v>15451</v>
      </c>
      <c r="C3033" t="s" s="11">
        <v>164</v>
      </c>
      <c r="D3033" t="s" s="11">
        <v>206</v>
      </c>
      <c r="E3033" t="s" s="11">
        <v>253</v>
      </c>
      <c r="F3033" s="28">
        <v>46153</v>
      </c>
      <c r="G3033" t="s" s="11">
        <v>607</v>
      </c>
      <c r="H3033" t="s" s="43">
        <v>30</v>
      </c>
      <c r="I3033" s="43">
        <v>7.93</v>
      </c>
      <c r="J3033" t="s" s="11">
        <v>15452</v>
      </c>
      <c r="K3033" t="s" s="11">
        <v>15453</v>
      </c>
      <c r="L3033" s="17">
        <f>HYPERLINK("http://www.aqrisk.com", "www.aqrisk.com")</f>
      </c>
      <c r="M3033" s="17">
        <f>HYPERLINK("https://my.pitchbook.com?c=519706-27", "View Company Online")</f>
      </c>
    </row>
    <row r="3034">
      <c r="A3034" t="s" s="10">
        <v>15455</v>
      </c>
      <c r="B3034" t="s" s="10">
        <v>15456</v>
      </c>
      <c r="C3034" t="s" s="10">
        <v>222</v>
      </c>
      <c r="D3034" t="s" s="10">
        <v>223</v>
      </c>
      <c r="E3034" t="s" s="10">
        <v>367</v>
      </c>
      <c r="F3034" s="27">
        <v>46171</v>
      </c>
      <c r="G3034" t="s" s="10">
        <v>391</v>
      </c>
      <c r="H3034" t="s" s="42">
        <v>30</v>
      </c>
      <c r="I3034" s="42">
        <v>7.92</v>
      </c>
      <c r="J3034" t="s" s="10">
        <v>15457</v>
      </c>
      <c r="K3034" t="s" s="10">
        <v>30</v>
      </c>
      <c r="L3034" s="16">
        <f>HYPERLINK("http://www.aiq-index.com", "www.aiq-index.com")</f>
      </c>
      <c r="M3034" s="16">
        <f>HYPERLINK("https://my.pitchbook.com?c=279459-01", "View Company Online")</f>
      </c>
    </row>
    <row r="3035">
      <c r="A3035" t="s" s="11">
        <v>15459</v>
      </c>
      <c r="B3035" t="s" s="11">
        <v>15460</v>
      </c>
      <c r="C3035" t="s" s="11">
        <v>37</v>
      </c>
      <c r="D3035" t="s" s="11">
        <v>304</v>
      </c>
      <c r="E3035" t="s" s="11">
        <v>15461</v>
      </c>
      <c r="F3035" s="28">
        <v>46029</v>
      </c>
      <c r="G3035" t="s" s="11">
        <v>4267</v>
      </c>
      <c r="H3035" s="43">
        <v>1.5</v>
      </c>
      <c r="I3035" s="43">
        <v>7.9</v>
      </c>
      <c r="J3035" t="s" s="11">
        <v>15462</v>
      </c>
      <c r="K3035" t="s" s="11">
        <v>15463</v>
      </c>
      <c r="L3035" s="17">
        <f>HYPERLINK("http://www.10mg.ai", "www.10mg.ai")</f>
      </c>
      <c r="M3035" s="17">
        <f>HYPERLINK("https://my.pitchbook.com?c=538996-24", "View Company Online")</f>
      </c>
    </row>
    <row r="3036">
      <c r="A3036" t="s" s="10">
        <v>15465</v>
      </c>
      <c r="B3036" t="s" s="10">
        <v>15466</v>
      </c>
      <c r="C3036" t="s" s="10">
        <v>114</v>
      </c>
      <c r="D3036" t="s" s="10">
        <v>115</v>
      </c>
      <c r="E3036" t="s" s="10">
        <v>137</v>
      </c>
      <c r="F3036" s="27">
        <v>45568</v>
      </c>
      <c r="G3036" t="s" s="10">
        <v>40</v>
      </c>
      <c r="H3036" s="42">
        <v>40</v>
      </c>
      <c r="I3036" s="42">
        <v>7.82</v>
      </c>
      <c r="J3036" t="s" s="10">
        <v>15467</v>
      </c>
      <c r="K3036" t="s" s="10">
        <v>15468</v>
      </c>
      <c r="L3036" s="16">
        <f>HYPERLINK("http://www.manzil.co/ca", "www.manzil.co/ca")</f>
      </c>
      <c r="M3036" s="16">
        <f>HYPERLINK("https://my.pitchbook.com?c=327158-38", "View Company Online")</f>
      </c>
    </row>
    <row r="3037">
      <c r="A3037" t="s" s="11">
        <v>15470</v>
      </c>
      <c r="B3037" t="s" s="11">
        <v>15471</v>
      </c>
      <c r="C3037" t="s" s="11">
        <v>60</v>
      </c>
      <c r="D3037" t="s" s="11">
        <v>192</v>
      </c>
      <c r="E3037" t="s" s="11">
        <v>137</v>
      </c>
      <c r="F3037" s="28">
        <v>44068</v>
      </c>
      <c r="G3037" t="s" s="11">
        <v>40</v>
      </c>
      <c r="H3037" s="43">
        <v>4.72</v>
      </c>
      <c r="I3037" s="43">
        <v>7.81</v>
      </c>
      <c r="J3037" t="s" s="11">
        <v>15472</v>
      </c>
      <c r="K3037" t="s" s="11">
        <v>15473</v>
      </c>
      <c r="L3037" s="17">
        <f>HYPERLINK("http://www.grantcompass.com", "www.grantcompass.com")</f>
      </c>
      <c r="M3037" s="17">
        <f>HYPERLINK("https://my.pitchbook.com?c=183865-96", "View Company Online")</f>
      </c>
    </row>
    <row r="3038">
      <c r="A3038" t="s" s="10">
        <v>15475</v>
      </c>
      <c r="B3038" t="s" s="10">
        <v>15476</v>
      </c>
      <c r="C3038" t="s" s="10">
        <v>60</v>
      </c>
      <c r="D3038" t="s" s="10">
        <v>727</v>
      </c>
      <c r="E3038" t="s" s="10">
        <v>1625</v>
      </c>
      <c r="F3038" s="27">
        <v>45512</v>
      </c>
      <c r="G3038" t="s" s="10">
        <v>4267</v>
      </c>
      <c r="H3038" s="42">
        <v>0.5</v>
      </c>
      <c r="I3038" s="42">
        <v>7.8</v>
      </c>
      <c r="J3038" t="s" s="10">
        <v>15477</v>
      </c>
      <c r="K3038" t="s" s="10">
        <v>15478</v>
      </c>
      <c r="L3038" s="16">
        <f>HYPERLINK("http://www.paperstac.com", "www.paperstac.com")</f>
      </c>
      <c r="M3038" s="16">
        <f>HYPERLINK("https://my.pitchbook.com?c=234040-69", "View Company Online")</f>
      </c>
    </row>
    <row r="3039">
      <c r="A3039" t="s" s="11">
        <v>15480</v>
      </c>
      <c r="B3039" t="s" s="11">
        <v>15481</v>
      </c>
      <c r="C3039" t="s" s="11">
        <v>60</v>
      </c>
      <c r="D3039" t="s" s="11">
        <v>420</v>
      </c>
      <c r="E3039" t="s" s="11">
        <v>15482</v>
      </c>
      <c r="F3039" t="s" s="28">
        <v>30</v>
      </c>
      <c r="G3039" t="s" s="11">
        <v>271</v>
      </c>
      <c r="H3039" s="43">
        <v>0.18</v>
      </c>
      <c r="I3039" s="43">
        <v>7.78</v>
      </c>
      <c r="J3039" t="s" s="11">
        <v>15483</v>
      </c>
      <c r="K3039" t="s" s="11">
        <v>15484</v>
      </c>
      <c r="L3039" s="17">
        <f>HYPERLINK("http://www.collegia.co.uk", "www.collegia.co.uk")</f>
      </c>
      <c r="M3039" s="17">
        <f>HYPERLINK("https://my.pitchbook.com?c=442577-35", "View Company Online")</f>
      </c>
    </row>
    <row r="3040">
      <c r="A3040" t="s" s="10">
        <v>15486</v>
      </c>
      <c r="B3040" t="s" s="10">
        <v>15487</v>
      </c>
      <c r="C3040" t="s" s="10">
        <v>37</v>
      </c>
      <c r="D3040" t="s" s="10">
        <v>38</v>
      </c>
      <c r="E3040" t="s" s="10">
        <v>137</v>
      </c>
      <c r="F3040" s="27">
        <v>44608</v>
      </c>
      <c r="G3040" t="s" s="10">
        <v>4267</v>
      </c>
      <c r="H3040" s="42">
        <v>4.5</v>
      </c>
      <c r="I3040" s="42">
        <v>7.78</v>
      </c>
      <c r="J3040" t="s" s="10">
        <v>15488</v>
      </c>
      <c r="K3040" t="s" s="10">
        <v>15489</v>
      </c>
      <c r="L3040" s="16">
        <f>HYPERLINK("http://www.indo.is", "www.indo.is")</f>
      </c>
      <c r="M3040" s="16">
        <f>HYPERLINK("https://my.pitchbook.com?c=433752-04", "View Company Online")</f>
      </c>
    </row>
    <row r="3041">
      <c r="A3041" t="s" s="11">
        <v>15491</v>
      </c>
      <c r="B3041" t="s" s="11">
        <v>15492</v>
      </c>
      <c r="C3041" t="s" s="11">
        <v>60</v>
      </c>
      <c r="D3041" t="s" s="11">
        <v>192</v>
      </c>
      <c r="E3041" t="s" s="11">
        <v>2782</v>
      </c>
      <c r="F3041" s="28">
        <v>44371</v>
      </c>
      <c r="G3041" t="s" s="11">
        <v>146</v>
      </c>
      <c r="H3041" s="43">
        <v>2.11</v>
      </c>
      <c r="I3041" s="43">
        <v>7.76</v>
      </c>
      <c r="J3041" t="s" s="11">
        <v>15493</v>
      </c>
      <c r="K3041" t="s" s="11">
        <v>15494</v>
      </c>
      <c r="L3041" s="17">
        <f>HYPERLINK("http://www.incans.com", "www.incans.com")</f>
      </c>
      <c r="M3041" s="17">
        <f>HYPERLINK("https://my.pitchbook.com?c=469061-47", "View Company Online")</f>
      </c>
    </row>
    <row r="3042">
      <c r="A3042" t="s" s="10">
        <v>15496</v>
      </c>
      <c r="B3042" t="s" s="10">
        <v>15497</v>
      </c>
      <c r="C3042" t="s" s="10">
        <v>60</v>
      </c>
      <c r="D3042" t="s" s="10">
        <v>192</v>
      </c>
      <c r="E3042" t="s" s="10">
        <v>270</v>
      </c>
      <c r="F3042" s="27">
        <v>44817</v>
      </c>
      <c r="G3042" t="s" s="10">
        <v>146</v>
      </c>
      <c r="H3042" s="42">
        <v>0.5</v>
      </c>
      <c r="I3042" s="42">
        <v>7.75</v>
      </c>
      <c r="J3042" t="s" s="10">
        <v>15498</v>
      </c>
      <c r="K3042" t="s" s="10">
        <v>15499</v>
      </c>
      <c r="L3042" s="16">
        <f>HYPERLINK("http://www.getlassoapp.com", "www.getlassoapp.com")</f>
      </c>
      <c r="M3042" s="16">
        <f>HYPERLINK("https://my.pitchbook.com?c=436264-03", "View Company Online")</f>
      </c>
    </row>
    <row r="3043">
      <c r="A3043" t="s" s="11">
        <v>15501</v>
      </c>
      <c r="B3043" t="s" s="11">
        <v>15502</v>
      </c>
      <c r="C3043" t="s" s="11">
        <v>60</v>
      </c>
      <c r="D3043" t="s" s="11">
        <v>246</v>
      </c>
      <c r="E3043" t="s" s="11">
        <v>137</v>
      </c>
      <c r="F3043" s="28">
        <v>45232</v>
      </c>
      <c r="G3043" t="s" s="11">
        <v>146</v>
      </c>
      <c r="H3043" s="43">
        <v>1.6</v>
      </c>
      <c r="I3043" s="43">
        <v>7.74</v>
      </c>
      <c r="J3043" t="s" s="11">
        <v>15503</v>
      </c>
      <c r="K3043" t="s" s="11">
        <v>15504</v>
      </c>
      <c r="L3043" s="17">
        <f>HYPERLINK("http://www.easiloan.com", "www.easiloan.com")</f>
      </c>
      <c r="M3043" s="17">
        <f>HYPERLINK("https://my.pitchbook.com?c=481306-51", "View Company Online")</f>
      </c>
    </row>
    <row r="3044">
      <c r="A3044" t="s" s="10">
        <v>15506</v>
      </c>
      <c r="B3044" t="s" s="10">
        <v>15507</v>
      </c>
      <c r="C3044" t="s" s="10">
        <v>164</v>
      </c>
      <c r="D3044" t="s" s="10">
        <v>206</v>
      </c>
      <c r="E3044" t="s" s="10">
        <v>193</v>
      </c>
      <c r="F3044" t="s" s="27">
        <v>30</v>
      </c>
      <c r="G3044" t="s" s="10">
        <v>48</v>
      </c>
      <c r="H3044" t="s" s="42">
        <v>30</v>
      </c>
      <c r="I3044" s="42">
        <v>7.74</v>
      </c>
      <c r="J3044" t="s" s="10">
        <v>15508</v>
      </c>
      <c r="K3044" t="s" s="10">
        <v>15509</v>
      </c>
      <c r="L3044" s="16">
        <f>HYPERLINK("http://www.mistho.io", "www.mistho.io")</f>
      </c>
      <c r="M3044" s="16">
        <f>HYPERLINK("https://my.pitchbook.com?c=471329-20", "View Company Online")</f>
      </c>
    </row>
    <row r="3045">
      <c r="A3045" t="s" s="11">
        <v>15511</v>
      </c>
      <c r="B3045" t="s" s="11">
        <v>15512</v>
      </c>
      <c r="C3045" t="s" s="11">
        <v>60</v>
      </c>
      <c r="D3045" t="s" s="11">
        <v>192</v>
      </c>
      <c r="E3045" t="s" s="11">
        <v>373</v>
      </c>
      <c r="F3045" s="28">
        <v>46122</v>
      </c>
      <c r="G3045" t="s" s="11">
        <v>4267</v>
      </c>
      <c r="H3045" s="43">
        <v>6</v>
      </c>
      <c r="I3045" s="43">
        <v>7.73</v>
      </c>
      <c r="J3045" t="s" s="11">
        <v>15513</v>
      </c>
      <c r="K3045" t="s" s="11">
        <v>15514</v>
      </c>
      <c r="L3045" s="17">
        <f>HYPERLINK("http://www.roundtreasury.com", "www.roundtreasury.com")</f>
      </c>
      <c r="M3045" s="17">
        <f>HYPERLINK("https://my.pitchbook.com?c=523000-81", "View Company Online")</f>
      </c>
    </row>
    <row r="3046">
      <c r="A3046" t="s" s="10">
        <v>15516</v>
      </c>
      <c r="B3046" t="s" s="10">
        <v>15517</v>
      </c>
      <c r="C3046" t="s" s="10">
        <v>164</v>
      </c>
      <c r="D3046" t="s" s="10">
        <v>206</v>
      </c>
      <c r="E3046" t="s" s="10">
        <v>373</v>
      </c>
      <c r="F3046" s="27">
        <v>45378</v>
      </c>
      <c r="G3046" t="s" s="10">
        <v>4267</v>
      </c>
      <c r="H3046" s="42">
        <v>3.05</v>
      </c>
      <c r="I3046" s="42">
        <v>7.73</v>
      </c>
      <c r="J3046" t="s" s="10">
        <v>15518</v>
      </c>
      <c r="K3046" t="s" s="10">
        <v>15519</v>
      </c>
      <c r="L3046" s="16">
        <f>HYPERLINK("http://www.triffin.com", "www.triffin.com")</f>
      </c>
      <c r="M3046" s="16">
        <f>HYPERLINK("https://my.pitchbook.com?c=593315-83", "View Company Online")</f>
      </c>
    </row>
    <row r="3047">
      <c r="A3047" t="s" s="11">
        <v>15521</v>
      </c>
      <c r="B3047" t="s" s="11">
        <v>15522</v>
      </c>
      <c r="C3047" t="s" s="11">
        <v>27</v>
      </c>
      <c r="D3047" t="s" s="11">
        <v>28</v>
      </c>
      <c r="E3047" t="s" s="11">
        <v>137</v>
      </c>
      <c r="F3047" s="28">
        <v>42929</v>
      </c>
      <c r="G3047" t="s" s="11">
        <v>146</v>
      </c>
      <c r="H3047" s="43">
        <v>7.06</v>
      </c>
      <c r="I3047" s="43">
        <v>7.72</v>
      </c>
      <c r="J3047" t="s" s="11">
        <v>15523</v>
      </c>
      <c r="K3047" t="s" s="11">
        <v>15524</v>
      </c>
      <c r="L3047" s="17">
        <f>HYPERLINK("http://easypaymentgateway.com", "easypaymentgateway.com")</f>
      </c>
      <c r="M3047" s="17">
        <f>HYPERLINK("https://my.pitchbook.com?c=101262-16", "View Company Online")</f>
      </c>
    </row>
    <row r="3048">
      <c r="A3048" t="s" s="10">
        <v>15526</v>
      </c>
      <c r="B3048" t="s" s="10">
        <v>15527</v>
      </c>
      <c r="C3048" t="s" s="10">
        <v>46</v>
      </c>
      <c r="D3048" t="s" s="10">
        <v>397</v>
      </c>
      <c r="E3048" t="s" s="10">
        <v>1652</v>
      </c>
      <c r="F3048" s="27">
        <v>43875</v>
      </c>
      <c r="G3048" t="s" s="10">
        <v>40</v>
      </c>
      <c r="H3048" s="42">
        <v>1.11</v>
      </c>
      <c r="I3048" s="42">
        <v>7.72</v>
      </c>
      <c r="J3048" t="s" s="10">
        <v>15528</v>
      </c>
      <c r="K3048" t="s" s="10">
        <v>15529</v>
      </c>
      <c r="L3048" s="16">
        <f>HYPERLINK("http://www.horussoftware.be", "www.horussoftware.be")</f>
      </c>
      <c r="M3048" s="16">
        <f>HYPERLINK("https://my.pitchbook.com?c=467040-79", "View Company Online")</f>
      </c>
    </row>
    <row r="3049">
      <c r="A3049" t="s" s="11">
        <v>15531</v>
      </c>
      <c r="B3049" t="s" s="11">
        <v>15532</v>
      </c>
      <c r="C3049" t="s" s="11">
        <v>46</v>
      </c>
      <c r="D3049" t="s" s="11">
        <v>397</v>
      </c>
      <c r="E3049" t="s" s="11">
        <v>1207</v>
      </c>
      <c r="F3049" s="28">
        <v>43586</v>
      </c>
      <c r="G3049" t="s" s="11">
        <v>48</v>
      </c>
      <c r="H3049" t="s" s="43">
        <v>30</v>
      </c>
      <c r="I3049" s="43">
        <v>7.72</v>
      </c>
      <c r="J3049" t="s" s="11">
        <v>15533</v>
      </c>
      <c r="K3049" t="s" s="11">
        <v>15534</v>
      </c>
      <c r="L3049" s="17">
        <f>HYPERLINK("http://www.zipbooks.com", "www.zipbooks.com")</f>
      </c>
      <c r="M3049" s="17">
        <f>HYPERLINK("https://my.pitchbook.com?c=162903-70", "View Company Online")</f>
      </c>
    </row>
    <row r="3050">
      <c r="A3050" t="s" s="10">
        <v>15536</v>
      </c>
      <c r="B3050" t="s" s="10">
        <v>15537</v>
      </c>
      <c r="C3050" t="s" s="10">
        <v>60</v>
      </c>
      <c r="D3050" t="s" s="10">
        <v>192</v>
      </c>
      <c r="E3050" t="s" s="10">
        <v>1207</v>
      </c>
      <c r="F3050" s="27">
        <v>44159</v>
      </c>
      <c r="G3050" t="s" s="10">
        <v>4267</v>
      </c>
      <c r="H3050" s="42">
        <v>2.19</v>
      </c>
      <c r="I3050" s="42">
        <v>7.7</v>
      </c>
      <c r="J3050" t="s" s="10">
        <v>15538</v>
      </c>
      <c r="K3050" t="s" s="10">
        <v>30</v>
      </c>
      <c r="L3050" s="16">
        <f>HYPERLINK("http://www.getecio.com", "www.getecio.com")</f>
      </c>
      <c r="M3050" s="16">
        <f>HYPERLINK("https://my.pitchbook.com?c=454308-40", "View Company Online")</f>
      </c>
    </row>
    <row r="3051">
      <c r="A3051" t="s" s="11">
        <v>15540</v>
      </c>
      <c r="B3051" t="s" s="11">
        <v>15541</v>
      </c>
      <c r="C3051" t="s" s="11">
        <v>114</v>
      </c>
      <c r="D3051" t="s" s="11">
        <v>136</v>
      </c>
      <c r="E3051" t="s" s="11">
        <v>137</v>
      </c>
      <c r="F3051" s="28">
        <v>45055</v>
      </c>
      <c r="G3051" t="s" s="11">
        <v>40</v>
      </c>
      <c r="H3051" t="s" s="43">
        <v>30</v>
      </c>
      <c r="I3051" s="43">
        <v>7.68</v>
      </c>
      <c r="J3051" t="s" s="11">
        <v>15542</v>
      </c>
      <c r="K3051" t="s" s="11">
        <v>15543</v>
      </c>
      <c r="L3051" s="17">
        <f>HYPERLINK("http://www.cashinvoice.it", "www.cashinvoice.it")</f>
      </c>
      <c r="M3051" s="17">
        <f>HYPERLINK("https://my.pitchbook.com?c=433169-02", "View Company Online")</f>
      </c>
    </row>
    <row r="3052">
      <c r="A3052" t="s" s="10">
        <v>15545</v>
      </c>
      <c r="B3052" t="s" s="10">
        <v>15546</v>
      </c>
      <c r="C3052" t="s" s="10">
        <v>60</v>
      </c>
      <c r="D3052" t="s" s="10">
        <v>192</v>
      </c>
      <c r="E3052" t="s" s="10">
        <v>759</v>
      </c>
      <c r="F3052" s="27">
        <v>45762</v>
      </c>
      <c r="G3052" t="s" s="10">
        <v>146</v>
      </c>
      <c r="H3052" s="42">
        <v>1.1</v>
      </c>
      <c r="I3052" s="42">
        <v>7.67</v>
      </c>
      <c r="J3052" t="s" s="10">
        <v>15547</v>
      </c>
      <c r="K3052" t="s" s="10">
        <v>15548</v>
      </c>
      <c r="L3052" s="16">
        <f>HYPERLINK("http://www.wealthreader.com", "www.wealthreader.com")</f>
      </c>
      <c r="M3052" s="16">
        <f>HYPERLINK("https://my.pitchbook.com?c=521998-93", "View Company Online")</f>
      </c>
    </row>
    <row r="3053">
      <c r="A3053" t="s" s="11">
        <v>15550</v>
      </c>
      <c r="B3053" t="s" s="11">
        <v>15551</v>
      </c>
      <c r="C3053" t="s" s="11">
        <v>46</v>
      </c>
      <c r="D3053" t="s" s="11">
        <v>78</v>
      </c>
      <c r="E3053" t="s" s="11">
        <v>137</v>
      </c>
      <c r="F3053" s="28">
        <v>45291</v>
      </c>
      <c r="G3053" t="s" s="11">
        <v>4267</v>
      </c>
      <c r="H3053" s="43">
        <v>1.57</v>
      </c>
      <c r="I3053" s="43">
        <v>7.65</v>
      </c>
      <c r="J3053" t="s" s="11">
        <v>15552</v>
      </c>
      <c r="K3053" t="s" s="11">
        <v>15553</v>
      </c>
      <c r="L3053" s="17">
        <f>HYPERLINK("http://www.cappy.se", "www.cappy.se")</f>
      </c>
      <c r="M3053" s="17">
        <f>HYPERLINK("https://my.pitchbook.com?c=466898-32", "View Company Online")</f>
      </c>
    </row>
    <row r="3054">
      <c r="A3054" t="s" s="10">
        <v>15555</v>
      </c>
      <c r="B3054" t="s" s="10">
        <v>15556</v>
      </c>
      <c r="C3054" t="s" s="10">
        <v>27</v>
      </c>
      <c r="D3054" t="s" s="10">
        <v>28</v>
      </c>
      <c r="E3054" t="s" s="10">
        <v>193</v>
      </c>
      <c r="F3054" s="27">
        <v>45047</v>
      </c>
      <c r="G3054" t="s" s="10">
        <v>4267</v>
      </c>
      <c r="H3054" s="42">
        <v>1.5</v>
      </c>
      <c r="I3054" s="42">
        <v>7.65</v>
      </c>
      <c r="J3054" t="s" s="10">
        <v>15557</v>
      </c>
      <c r="K3054" t="s" s="10">
        <v>15558</v>
      </c>
      <c r="L3054" s="16">
        <f>HYPERLINK("http://www.dibee.vn", "www.dibee.vn")</f>
      </c>
      <c r="M3054" s="16">
        <f>HYPERLINK("https://my.pitchbook.com?c=268276-06", "View Company Online")</f>
      </c>
    </row>
    <row r="3055">
      <c r="A3055" t="s" s="11">
        <v>15560</v>
      </c>
      <c r="B3055" t="s" s="11">
        <v>15561</v>
      </c>
      <c r="C3055" t="s" s="11">
        <v>60</v>
      </c>
      <c r="D3055" t="s" s="11">
        <v>192</v>
      </c>
      <c r="E3055" t="s" s="11">
        <v>270</v>
      </c>
      <c r="F3055" t="s" s="28">
        <v>30</v>
      </c>
      <c r="G3055" t="s" s="11">
        <v>40</v>
      </c>
      <c r="H3055" t="s" s="43">
        <v>30</v>
      </c>
      <c r="I3055" s="43">
        <v>7.65</v>
      </c>
      <c r="J3055" t="s" s="11">
        <v>15562</v>
      </c>
      <c r="K3055" t="s" s="11">
        <v>15563</v>
      </c>
      <c r="L3055" s="17">
        <f>HYPERLINK("http://www.ametra.in", "www.ametra.in")</f>
      </c>
      <c r="M3055" s="17">
        <f>HYPERLINK("https://my.pitchbook.com?c=491323-15", "View Company Online")</f>
      </c>
    </row>
    <row r="3056">
      <c r="A3056" t="s" s="10">
        <v>15565</v>
      </c>
      <c r="B3056" t="s" s="10">
        <v>15566</v>
      </c>
      <c r="C3056" t="s" s="10">
        <v>46</v>
      </c>
      <c r="D3056" t="s" s="10">
        <v>47</v>
      </c>
      <c r="E3056" t="s" s="10">
        <v>253</v>
      </c>
      <c r="F3056" s="27">
        <v>46147</v>
      </c>
      <c r="G3056" t="s" s="10">
        <v>4267</v>
      </c>
      <c r="H3056" s="42">
        <v>1.94</v>
      </c>
      <c r="I3056" s="42">
        <v>7.65</v>
      </c>
      <c r="J3056" t="s" s="10">
        <v>15567</v>
      </c>
      <c r="K3056" t="s" s="10">
        <v>15568</v>
      </c>
      <c r="L3056" s="16">
        <f>HYPERLINK("http://www.opencfo.ai", "www.opencfo.ai")</f>
      </c>
      <c r="M3056" s="16">
        <f>HYPERLINK("https://my.pitchbook.com?c=1326044-80", "View Company Online")</f>
      </c>
    </row>
    <row r="3057">
      <c r="A3057" t="s" s="11">
        <v>15570</v>
      </c>
      <c r="B3057" t="s" s="11">
        <v>15571</v>
      </c>
      <c r="C3057" t="s" s="11">
        <v>37</v>
      </c>
      <c r="D3057" t="s" s="11">
        <v>38</v>
      </c>
      <c r="E3057" t="s" s="11">
        <v>2575</v>
      </c>
      <c r="F3057" s="28">
        <v>44835</v>
      </c>
      <c r="G3057" t="s" s="11">
        <v>48</v>
      </c>
      <c r="H3057" t="s" s="43">
        <v>30</v>
      </c>
      <c r="I3057" s="43">
        <v>7.65</v>
      </c>
      <c r="J3057" t="s" s="11">
        <v>15572</v>
      </c>
      <c r="K3057" t="s" s="11">
        <v>15573</v>
      </c>
      <c r="L3057" s="17">
        <f>HYPERLINK("http://www.business.talkbank.io", "www.business.talkbank.io")</f>
      </c>
      <c r="M3057" s="17">
        <f>HYPERLINK("https://my.pitchbook.com?c=166709-89", "View Company Online")</f>
      </c>
    </row>
    <row r="3058">
      <c r="A3058" t="s" s="10">
        <v>15575</v>
      </c>
      <c r="B3058" t="s" s="10">
        <v>15576</v>
      </c>
      <c r="C3058" t="s" s="10">
        <v>37</v>
      </c>
      <c r="D3058" t="s" s="10">
        <v>38</v>
      </c>
      <c r="E3058" t="s" s="10">
        <v>137</v>
      </c>
      <c r="F3058" s="27">
        <v>45850</v>
      </c>
      <c r="G3058" t="s" s="10">
        <v>4267</v>
      </c>
      <c r="H3058" s="42">
        <v>0.81</v>
      </c>
      <c r="I3058" s="42">
        <v>7.64</v>
      </c>
      <c r="J3058" t="s" s="10">
        <v>15577</v>
      </c>
      <c r="K3058" t="s" s="10">
        <v>15578</v>
      </c>
      <c r="L3058" s="16">
        <f>HYPERLINK("http://www.rupeeflo.com", "www.rupeeflo.com")</f>
      </c>
      <c r="M3058" s="16">
        <f>HYPERLINK("https://my.pitchbook.com?c=746606-35", "View Company Online")</f>
      </c>
    </row>
    <row r="3059">
      <c r="A3059" t="s" s="11">
        <v>15580</v>
      </c>
      <c r="B3059" t="s" s="11">
        <v>15581</v>
      </c>
      <c r="C3059" t="s" s="11">
        <v>114</v>
      </c>
      <c r="D3059" t="s" s="11">
        <v>852</v>
      </c>
      <c r="E3059" t="s" s="11">
        <v>137</v>
      </c>
      <c r="F3059" s="28">
        <v>45224</v>
      </c>
      <c r="G3059" t="s" s="11">
        <v>2174</v>
      </c>
      <c r="H3059" s="43">
        <v>71.66</v>
      </c>
      <c r="I3059" s="43">
        <v>7.63</v>
      </c>
      <c r="J3059" t="s" s="11">
        <v>15582</v>
      </c>
      <c r="K3059" t="s" s="11">
        <v>15583</v>
      </c>
      <c r="L3059" s="17">
        <f>HYPERLINK("http://www.tp24group.com", "www.tp24group.com")</f>
      </c>
      <c r="M3059" s="17">
        <f>HYPERLINK("https://my.pitchbook.com?c=179294-32", "View Company Online")</f>
      </c>
    </row>
    <row r="3060">
      <c r="A3060" t="s" s="10">
        <v>15585</v>
      </c>
      <c r="B3060" t="s" s="10">
        <v>15586</v>
      </c>
      <c r="C3060" t="s" s="10">
        <v>60</v>
      </c>
      <c r="D3060" t="s" s="10">
        <v>246</v>
      </c>
      <c r="E3060" t="s" s="10">
        <v>1207</v>
      </c>
      <c r="F3060" s="27">
        <v>45658</v>
      </c>
      <c r="G3060" t="s" s="10">
        <v>607</v>
      </c>
      <c r="H3060" t="s" s="42">
        <v>30</v>
      </c>
      <c r="I3060" s="42">
        <v>7.63</v>
      </c>
      <c r="J3060" t="s" s="10">
        <v>15587</v>
      </c>
      <c r="K3060" t="s" s="10">
        <v>15588</v>
      </c>
      <c r="L3060" s="16">
        <f>HYPERLINK("http://www.umushroom.com", "www.umushroom.com")</f>
      </c>
      <c r="M3060" s="16">
        <f>HYPERLINK("https://my.pitchbook.com?c=484840-09", "View Company Online")</f>
      </c>
    </row>
    <row r="3061">
      <c r="A3061" t="s" s="11">
        <v>15590</v>
      </c>
      <c r="B3061" t="s" s="11">
        <v>15591</v>
      </c>
      <c r="C3061" t="s" s="11">
        <v>164</v>
      </c>
      <c r="D3061" t="s" s="11">
        <v>206</v>
      </c>
      <c r="E3061" t="s" s="11">
        <v>30</v>
      </c>
      <c r="F3061" s="28">
        <v>45604</v>
      </c>
      <c r="G3061" t="s" s="11">
        <v>4267</v>
      </c>
      <c r="H3061" s="43">
        <v>1.95</v>
      </c>
      <c r="I3061" s="43">
        <v>7.6</v>
      </c>
      <c r="J3061" t="s" s="11">
        <v>15592</v>
      </c>
      <c r="K3061" t="s" s="11">
        <v>15593</v>
      </c>
      <c r="L3061" s="17">
        <f>HYPERLINK("http://www.wearegroov.io", "www.wearegroov.io")</f>
      </c>
      <c r="M3061" s="17">
        <f>HYPERLINK("https://my.pitchbook.com?c=515327-41", "View Company Online")</f>
      </c>
    </row>
    <row r="3062">
      <c r="A3062" t="s" s="10">
        <v>15595</v>
      </c>
      <c r="B3062" t="s" s="10">
        <v>15596</v>
      </c>
      <c r="C3062" t="s" s="10">
        <v>222</v>
      </c>
      <c r="D3062" t="s" s="10">
        <v>252</v>
      </c>
      <c r="E3062" t="s" s="10">
        <v>253</v>
      </c>
      <c r="F3062" s="27">
        <v>45757</v>
      </c>
      <c r="G3062" t="s" s="10">
        <v>40</v>
      </c>
      <c r="H3062" s="42">
        <v>6.46</v>
      </c>
      <c r="I3062" s="42">
        <v>7.58</v>
      </c>
      <c r="J3062" t="s" s="10">
        <v>15597</v>
      </c>
      <c r="K3062" t="s" s="10">
        <v>15598</v>
      </c>
      <c r="L3062" s="16">
        <f>HYPERLINK("http://www.coinvestor.co.uk", "www.coinvestor.co.uk")</f>
      </c>
      <c r="M3062" s="16">
        <f>HYPERLINK("https://my.pitchbook.com?c=167562-55", "View Company Online")</f>
      </c>
    </row>
    <row r="3063">
      <c r="A3063" t="s" s="11">
        <v>15600</v>
      </c>
      <c r="B3063" t="s" s="11">
        <v>15601</v>
      </c>
      <c r="C3063" t="s" s="11">
        <v>60</v>
      </c>
      <c r="D3063" t="s" s="11">
        <v>246</v>
      </c>
      <c r="E3063" t="s" s="11">
        <v>200</v>
      </c>
      <c r="F3063" s="28">
        <v>43607</v>
      </c>
      <c r="G3063" t="s" s="11">
        <v>4267</v>
      </c>
      <c r="H3063" s="43">
        <v>1.99</v>
      </c>
      <c r="I3063" s="43">
        <v>7.58</v>
      </c>
      <c r="J3063" t="s" s="11">
        <v>15602</v>
      </c>
      <c r="K3063" t="s" s="11">
        <v>15603</v>
      </c>
      <c r="L3063" s="17">
        <f>HYPERLINK("http://www.koosmik.com", "www.koosmik.com")</f>
      </c>
      <c r="M3063" s="17">
        <f>HYPERLINK("https://my.pitchbook.com?c=183641-50", "View Company Online")</f>
      </c>
    </row>
    <row r="3064">
      <c r="A3064" t="s" s="10">
        <v>15605</v>
      </c>
      <c r="B3064" t="s" s="10">
        <v>15606</v>
      </c>
      <c r="C3064" t="s" s="10">
        <v>46</v>
      </c>
      <c r="D3064" t="s" s="10">
        <v>397</v>
      </c>
      <c r="E3064" t="s" s="10">
        <v>137</v>
      </c>
      <c r="F3064" s="27">
        <v>46002</v>
      </c>
      <c r="G3064" t="s" s="10">
        <v>146</v>
      </c>
      <c r="H3064" s="42">
        <v>14.53</v>
      </c>
      <c r="I3064" s="42">
        <v>7.56</v>
      </c>
      <c r="J3064" t="s" s="10">
        <v>15607</v>
      </c>
      <c r="K3064" t="s" s="10">
        <v>15608</v>
      </c>
      <c r="L3064" s="16">
        <f>HYPERLINK("http://www.yondatax.com", "www.yondatax.com")</f>
      </c>
      <c r="M3064" s="16">
        <f>HYPERLINK("https://my.pitchbook.com?c=529869-07", "View Company Online")</f>
      </c>
    </row>
    <row r="3065">
      <c r="A3065" t="s" s="11">
        <v>15610</v>
      </c>
      <c r="B3065" t="s" s="11">
        <v>15611</v>
      </c>
      <c r="C3065" t="s" s="11">
        <v>222</v>
      </c>
      <c r="D3065" t="s" s="11">
        <v>252</v>
      </c>
      <c r="E3065" t="s" s="11">
        <v>270</v>
      </c>
      <c r="F3065" s="28">
        <v>43605</v>
      </c>
      <c r="G3065" t="s" s="11">
        <v>40</v>
      </c>
      <c r="H3065" s="43">
        <v>0.48</v>
      </c>
      <c r="I3065" s="43">
        <v>7.52</v>
      </c>
      <c r="J3065" t="s" s="11">
        <v>15612</v>
      </c>
      <c r="K3065" t="s" s="11">
        <v>15613</v>
      </c>
      <c r="L3065" s="17">
        <f>HYPERLINK("http://myforexeye.com", "myforexeye.com")</f>
      </c>
      <c r="M3065" s="17">
        <f>HYPERLINK("https://my.pitchbook.com?c=132191-83", "View Company Online")</f>
      </c>
    </row>
    <row r="3066">
      <c r="A3066" t="s" s="10">
        <v>15615</v>
      </c>
      <c r="B3066" t="s" s="10">
        <v>15616</v>
      </c>
      <c r="C3066" t="s" s="10">
        <v>60</v>
      </c>
      <c r="D3066" t="s" s="10">
        <v>432</v>
      </c>
      <c r="E3066" t="s" s="10">
        <v>137</v>
      </c>
      <c r="F3066" s="27">
        <v>44480</v>
      </c>
      <c r="G3066" t="s" s="10">
        <v>4267</v>
      </c>
      <c r="H3066" s="42">
        <v>1.08</v>
      </c>
      <c r="I3066" s="42">
        <v>7.51</v>
      </c>
      <c r="J3066" t="s" s="10">
        <v>15617</v>
      </c>
      <c r="K3066" t="s" s="10">
        <v>30</v>
      </c>
      <c r="L3066" s="16">
        <f>HYPERLINK("http://www.earnwealth.in", "www.earnwealth.in")</f>
      </c>
      <c r="M3066" s="16">
        <f>HYPERLINK("https://my.pitchbook.com?c=482361-40", "View Company Online")</f>
      </c>
    </row>
    <row r="3067">
      <c r="A3067" t="s" s="11">
        <v>15619</v>
      </c>
      <c r="B3067" t="s" s="11">
        <v>15620</v>
      </c>
      <c r="C3067" t="s" s="11">
        <v>60</v>
      </c>
      <c r="D3067" t="s" s="11">
        <v>727</v>
      </c>
      <c r="E3067" t="s" s="11">
        <v>137</v>
      </c>
      <c r="F3067" t="s" s="28">
        <v>30</v>
      </c>
      <c r="G3067" t="s" s="11">
        <v>48</v>
      </c>
      <c r="H3067" t="s" s="43">
        <v>30</v>
      </c>
      <c r="I3067" s="43">
        <v>7.5</v>
      </c>
      <c r="J3067" t="s" s="11">
        <v>15621</v>
      </c>
      <c r="K3067" t="s" s="11">
        <v>15622</v>
      </c>
      <c r="L3067" s="17">
        <f>HYPERLINK("http://www.anotemusic.com", "www.anotemusic.com")</f>
      </c>
      <c r="M3067" s="17">
        <f>HYPERLINK("https://my.pitchbook.com?c=293059-27", "View Company Online")</f>
      </c>
    </row>
    <row r="3068">
      <c r="A3068" t="s" s="10">
        <v>15624</v>
      </c>
      <c r="B3068" t="s" s="10">
        <v>15625</v>
      </c>
      <c r="C3068" t="s" s="10">
        <v>114</v>
      </c>
      <c r="D3068" t="s" s="10">
        <v>136</v>
      </c>
      <c r="E3068" t="s" s="10">
        <v>270</v>
      </c>
      <c r="F3068" s="27">
        <v>45197</v>
      </c>
      <c r="G3068" t="s" s="10">
        <v>40</v>
      </c>
      <c r="H3068" s="42">
        <v>1.5</v>
      </c>
      <c r="I3068" s="42">
        <v>7.5</v>
      </c>
      <c r="J3068" t="s" s="10">
        <v>15626</v>
      </c>
      <c r="K3068" t="s" s="10">
        <v>15627</v>
      </c>
      <c r="L3068" s="16">
        <f>HYPERLINK("http://www.chipper.app", "www.chipper.app")</f>
      </c>
      <c r="M3068" s="16">
        <f>HYPERLINK("https://my.pitchbook.com?c=227818-81", "View Company Online")</f>
      </c>
    </row>
    <row r="3069">
      <c r="A3069" t="s" s="11">
        <v>15629</v>
      </c>
      <c r="B3069" t="s" s="11">
        <v>15630</v>
      </c>
      <c r="C3069" t="s" s="11">
        <v>114</v>
      </c>
      <c r="D3069" t="s" s="11">
        <v>1386</v>
      </c>
      <c r="E3069" t="s" s="11">
        <v>759</v>
      </c>
      <c r="F3069" t="s" s="28">
        <v>30</v>
      </c>
      <c r="G3069" t="s" s="11">
        <v>607</v>
      </c>
      <c r="H3069" t="s" s="43">
        <v>30</v>
      </c>
      <c r="I3069" s="43">
        <v>7.5</v>
      </c>
      <c r="J3069" t="s" s="11">
        <v>15631</v>
      </c>
      <c r="K3069" t="s" s="11">
        <v>15632</v>
      </c>
      <c r="L3069" s="17">
        <f>HYPERLINK("http://www.bluering.com", "www.bluering.com")</f>
      </c>
      <c r="M3069" s="17">
        <f>HYPERLINK("https://my.pitchbook.com?c=139456-54", "View Company Online")</f>
      </c>
    </row>
    <row r="3070">
      <c r="A3070" t="s" s="10">
        <v>15634</v>
      </c>
      <c r="B3070" t="s" s="10">
        <v>15635</v>
      </c>
      <c r="C3070" t="s" s="10">
        <v>46</v>
      </c>
      <c r="D3070" t="s" s="10">
        <v>915</v>
      </c>
      <c r="E3070" t="s" s="10">
        <v>373</v>
      </c>
      <c r="F3070" s="27">
        <v>45939</v>
      </c>
      <c r="G3070" t="s" s="10">
        <v>146</v>
      </c>
      <c r="H3070" s="42">
        <v>2.4</v>
      </c>
      <c r="I3070" s="42">
        <v>7.5</v>
      </c>
      <c r="J3070" t="s" s="10">
        <v>15636</v>
      </c>
      <c r="K3070" t="s" s="10">
        <v>15637</v>
      </c>
      <c r="L3070" s="16">
        <f>HYPERLINK("http://www.getparallel.com", "www.getparallel.com")</f>
      </c>
      <c r="M3070" s="16">
        <f>HYPERLINK("https://my.pitchbook.com?c=534461-59", "View Company Online")</f>
      </c>
    </row>
    <row r="3071">
      <c r="A3071" t="s" s="11">
        <v>15639</v>
      </c>
      <c r="B3071" t="s" s="11">
        <v>15640</v>
      </c>
      <c r="C3071" t="s" s="11">
        <v>60</v>
      </c>
      <c r="D3071" t="s" s="11">
        <v>246</v>
      </c>
      <c r="E3071" t="s" s="11">
        <v>253</v>
      </c>
      <c r="F3071" s="28">
        <v>45181</v>
      </c>
      <c r="G3071" t="s" s="11">
        <v>607</v>
      </c>
      <c r="H3071" t="s" s="43">
        <v>30</v>
      </c>
      <c r="I3071" s="43">
        <v>7.5</v>
      </c>
      <c r="J3071" t="s" s="11">
        <v>15641</v>
      </c>
      <c r="K3071" t="s" s="11">
        <v>15642</v>
      </c>
      <c r="L3071" s="17">
        <f>HYPERLINK("http://www.lumiant.io", "www.lumiant.io")</f>
      </c>
      <c r="M3071" s="17">
        <f>HYPERLINK("https://my.pitchbook.com?c=454259-08", "View Company Online")</f>
      </c>
    </row>
    <row r="3072">
      <c r="A3072" t="s" s="10">
        <v>15644</v>
      </c>
      <c r="B3072" t="s" s="10">
        <v>15645</v>
      </c>
      <c r="C3072" t="s" s="10">
        <v>60</v>
      </c>
      <c r="D3072" t="s" s="10">
        <v>192</v>
      </c>
      <c r="E3072" t="s" s="10">
        <v>253</v>
      </c>
      <c r="F3072" s="27">
        <v>46206</v>
      </c>
      <c r="G3072" t="s" s="10">
        <v>40</v>
      </c>
      <c r="H3072" s="42">
        <v>2.52</v>
      </c>
      <c r="I3072" s="42">
        <v>7.5</v>
      </c>
      <c r="J3072" t="s" s="10">
        <v>15646</v>
      </c>
      <c r="K3072" t="s" s="10">
        <v>30</v>
      </c>
      <c r="L3072" s="16">
        <f>HYPERLINK("http://www.partipris-invest.com", "www.partipris-invest.com")</f>
      </c>
      <c r="M3072" s="16">
        <f>HYPERLINK("https://my.pitchbook.com?c=653078-80", "View Company Online")</f>
      </c>
    </row>
    <row r="3073">
      <c r="A3073" t="s" s="11">
        <v>15648</v>
      </c>
      <c r="B3073" t="s" s="11">
        <v>15649</v>
      </c>
      <c r="C3073" t="s" s="11">
        <v>114</v>
      </c>
      <c r="D3073" t="s" s="11">
        <v>136</v>
      </c>
      <c r="E3073" t="s" s="11">
        <v>253</v>
      </c>
      <c r="F3073" s="28">
        <v>45820</v>
      </c>
      <c r="G3073" t="s" s="11">
        <v>4267</v>
      </c>
      <c r="H3073" s="43">
        <v>2.9</v>
      </c>
      <c r="I3073" s="43">
        <v>7.5</v>
      </c>
      <c r="J3073" t="s" s="11">
        <v>15650</v>
      </c>
      <c r="K3073" t="s" s="11">
        <v>15651</v>
      </c>
      <c r="L3073" s="17">
        <f>HYPERLINK("http://www.vinefin.com", "www.vinefin.com")</f>
      </c>
      <c r="M3073" s="17">
        <f>HYPERLINK("https://my.pitchbook.com?c=519619-96", "View Company Online")</f>
      </c>
    </row>
    <row r="3074">
      <c r="A3074" t="s" s="10">
        <v>15653</v>
      </c>
      <c r="B3074" t="s" s="10">
        <v>15654</v>
      </c>
      <c r="C3074" t="s" s="10">
        <v>60</v>
      </c>
      <c r="D3074" t="s" s="10">
        <v>192</v>
      </c>
      <c r="E3074" t="s" s="10">
        <v>270</v>
      </c>
      <c r="F3074" s="27">
        <v>45335</v>
      </c>
      <c r="G3074" t="s" s="10">
        <v>607</v>
      </c>
      <c r="H3074" t="s" s="42">
        <v>30</v>
      </c>
      <c r="I3074" s="42">
        <v>7.5</v>
      </c>
      <c r="J3074" t="s" s="10">
        <v>15655</v>
      </c>
      <c r="K3074" t="s" s="10">
        <v>15656</v>
      </c>
      <c r="L3074" s="16">
        <f>HYPERLINK("http://www.wizest.com", "www.wizest.com")</f>
      </c>
      <c r="M3074" s="16">
        <f>HYPERLINK("https://my.pitchbook.com?c=268210-45", "View Company Online")</f>
      </c>
    </row>
    <row r="3075">
      <c r="A3075" t="s" s="11">
        <v>15658</v>
      </c>
      <c r="B3075" t="s" s="11">
        <v>15659</v>
      </c>
      <c r="C3075" t="s" s="11">
        <v>27</v>
      </c>
      <c r="D3075" t="s" s="11">
        <v>28</v>
      </c>
      <c r="E3075" t="s" s="11">
        <v>270</v>
      </c>
      <c r="F3075" s="28">
        <v>44414</v>
      </c>
      <c r="G3075" t="s" s="11">
        <v>4267</v>
      </c>
      <c r="H3075" s="43">
        <v>2.96</v>
      </c>
      <c r="I3075" s="43">
        <v>7.49</v>
      </c>
      <c r="J3075" t="s" s="11">
        <v>15660</v>
      </c>
      <c r="K3075" t="s" s="11">
        <v>15661</v>
      </c>
      <c r="L3075" s="17">
        <f>HYPERLINK("http://www.youpay.co", "www.youpay.co")</f>
      </c>
      <c r="M3075" s="17">
        <f>HYPERLINK("https://my.pitchbook.com?c=483246-91", "View Company Online")</f>
      </c>
    </row>
    <row r="3076">
      <c r="A3076" t="s" s="10">
        <v>15663</v>
      </c>
      <c r="B3076" t="s" s="10">
        <v>15664</v>
      </c>
      <c r="C3076" t="s" s="10">
        <v>46</v>
      </c>
      <c r="D3076" t="s" s="10">
        <v>397</v>
      </c>
      <c r="E3076" t="s" s="10">
        <v>253</v>
      </c>
      <c r="F3076" s="27">
        <v>44533</v>
      </c>
      <c r="G3076" t="s" s="10">
        <v>40</v>
      </c>
      <c r="H3076" s="42">
        <v>5</v>
      </c>
      <c r="I3076" s="42">
        <v>7.48</v>
      </c>
      <c r="J3076" t="s" s="10">
        <v>15665</v>
      </c>
      <c r="K3076" t="s" s="10">
        <v>15666</v>
      </c>
      <c r="L3076" s="16">
        <f>HYPERLINK("http://www.amaka.com", "www.amaka.com")</f>
      </c>
      <c r="M3076" s="16">
        <f>HYPERLINK("https://my.pitchbook.com?c=300305-08", "View Company Online")</f>
      </c>
    </row>
    <row r="3077">
      <c r="A3077" t="s" s="11">
        <v>15668</v>
      </c>
      <c r="B3077" t="s" s="11">
        <v>15669</v>
      </c>
      <c r="C3077" t="s" s="11">
        <v>60</v>
      </c>
      <c r="D3077" t="s" s="11">
        <v>192</v>
      </c>
      <c r="E3077" t="s" s="11">
        <v>373</v>
      </c>
      <c r="F3077" s="28">
        <v>45379</v>
      </c>
      <c r="G3077" t="s" s="11">
        <v>607</v>
      </c>
      <c r="H3077" t="s" s="43">
        <v>30</v>
      </c>
      <c r="I3077" s="43">
        <v>7.46</v>
      </c>
      <c r="J3077" t="s" s="11">
        <v>15670</v>
      </c>
      <c r="K3077" t="s" s="11">
        <v>15671</v>
      </c>
      <c r="L3077" s="17">
        <f>HYPERLINK("http://www.intellibonds.com", "www.intellibonds.com")</f>
      </c>
      <c r="M3077" s="17">
        <f>HYPERLINK("https://my.pitchbook.com?c=433914-85", "View Company Online")</f>
      </c>
    </row>
    <row r="3078">
      <c r="A3078" t="s" s="10">
        <v>15673</v>
      </c>
      <c r="B3078" t="s" s="10">
        <v>15674</v>
      </c>
      <c r="C3078" t="s" s="10">
        <v>114</v>
      </c>
      <c r="D3078" t="s" s="10">
        <v>136</v>
      </c>
      <c r="E3078" t="s" s="10">
        <v>3138</v>
      </c>
      <c r="F3078" s="27">
        <v>46212</v>
      </c>
      <c r="G3078" t="s" s="10">
        <v>391</v>
      </c>
      <c r="H3078" t="s" s="42">
        <v>30</v>
      </c>
      <c r="I3078" s="42">
        <v>7.42</v>
      </c>
      <c r="J3078" t="s" s="10">
        <v>15675</v>
      </c>
      <c r="K3078" t="s" s="10">
        <v>30</v>
      </c>
      <c r="L3078" s="16">
        <f>HYPERLINK("http://www.blipp.se", "www.blipp.se")</f>
      </c>
      <c r="M3078" s="16">
        <f>HYPERLINK("https://my.pitchbook.com?c=462605-05", "View Company Online")</f>
      </c>
    </row>
    <row r="3079">
      <c r="A3079" t="s" s="11">
        <v>15677</v>
      </c>
      <c r="B3079" t="s" s="11">
        <v>15678</v>
      </c>
      <c r="C3079" t="s" s="11">
        <v>27</v>
      </c>
      <c r="D3079" t="s" s="11">
        <v>28</v>
      </c>
      <c r="E3079" t="s" s="11">
        <v>253</v>
      </c>
      <c r="F3079" s="28">
        <v>44501</v>
      </c>
      <c r="G3079" t="s" s="11">
        <v>40</v>
      </c>
      <c r="H3079" s="43">
        <v>0.86</v>
      </c>
      <c r="I3079" s="43">
        <v>7.4</v>
      </c>
      <c r="J3079" t="s" s="11">
        <v>15679</v>
      </c>
      <c r="K3079" t="s" s="11">
        <v>15680</v>
      </c>
      <c r="L3079" s="17">
        <f>HYPERLINK("http://www.bonushub.co.in", "www.bonushub.co.in")</f>
      </c>
      <c r="M3079" s="17">
        <f>HYPERLINK("https://my.pitchbook.com?c=432997-93", "View Company Online")</f>
      </c>
    </row>
    <row r="3080">
      <c r="A3080" t="s" s="10">
        <v>15682</v>
      </c>
      <c r="B3080" t="s" s="10">
        <v>15683</v>
      </c>
      <c r="C3080" t="s" s="10">
        <v>172</v>
      </c>
      <c r="D3080" t="s" s="10">
        <v>338</v>
      </c>
      <c r="E3080" t="s" s="10">
        <v>759</v>
      </c>
      <c r="F3080" s="27">
        <v>43496</v>
      </c>
      <c r="G3080" t="s" s="10">
        <v>146</v>
      </c>
      <c r="H3080" s="42">
        <v>1.71</v>
      </c>
      <c r="I3080" s="42">
        <v>7.39</v>
      </c>
      <c r="J3080" t="s" s="10">
        <v>15684</v>
      </c>
      <c r="K3080" t="s" s="10">
        <v>15685</v>
      </c>
      <c r="L3080" s="16">
        <f>HYPERLINK("http://www.bondlinc.com", "www.bondlinc.com")</f>
      </c>
      <c r="M3080" s="16">
        <f>HYPERLINK("https://my.pitchbook.com?c=167142-61", "View Company Online")</f>
      </c>
    </row>
    <row r="3081">
      <c r="A3081" t="s" s="11">
        <v>15687</v>
      </c>
      <c r="B3081" t="s" s="11">
        <v>15688</v>
      </c>
      <c r="C3081" t="s" s="11">
        <v>164</v>
      </c>
      <c r="D3081" t="s" s="11">
        <v>165</v>
      </c>
      <c r="E3081" t="s" s="11">
        <v>193</v>
      </c>
      <c r="F3081" s="28">
        <v>45553</v>
      </c>
      <c r="G3081" t="s" s="11">
        <v>4267</v>
      </c>
      <c r="H3081" s="43">
        <v>3.15</v>
      </c>
      <c r="I3081" s="43">
        <v>7.39</v>
      </c>
      <c r="J3081" t="s" s="11">
        <v>15689</v>
      </c>
      <c r="K3081" t="s" s="11">
        <v>15690</v>
      </c>
      <c r="L3081" s="17">
        <f>HYPERLINK("http://www.primary.tech", "www.primary.tech")</f>
      </c>
      <c r="M3081" s="17">
        <f>HYPERLINK("https://my.pitchbook.com?c=528684-13", "View Company Online")</f>
      </c>
    </row>
    <row r="3082">
      <c r="A3082" t="s" s="10">
        <v>15692</v>
      </c>
      <c r="B3082" t="s" s="10">
        <v>15693</v>
      </c>
      <c r="C3082" t="s" s="10">
        <v>60</v>
      </c>
      <c r="D3082" t="s" s="10">
        <v>61</v>
      </c>
      <c r="E3082" t="s" s="10">
        <v>859</v>
      </c>
      <c r="F3082" s="27">
        <v>45658</v>
      </c>
      <c r="G3082" t="s" s="10">
        <v>40</v>
      </c>
      <c r="H3082" t="s" s="42">
        <v>30</v>
      </c>
      <c r="I3082" s="42">
        <v>7.38</v>
      </c>
      <c r="J3082" t="s" s="10">
        <v>15694</v>
      </c>
      <c r="K3082" t="s" s="10">
        <v>15695</v>
      </c>
      <c r="L3082" s="16">
        <f>HYPERLINK("http://www.iconomi.com", "www.iconomi.com")</f>
      </c>
      <c r="M3082" s="16">
        <f>HYPERLINK("https://my.pitchbook.com?c=265863-16", "View Company Online")</f>
      </c>
    </row>
    <row r="3083">
      <c r="A3083" t="s" s="11">
        <v>15697</v>
      </c>
      <c r="B3083" t="s" s="11">
        <v>15698</v>
      </c>
      <c r="C3083" t="s" s="11">
        <v>60</v>
      </c>
      <c r="D3083" t="s" s="11">
        <v>192</v>
      </c>
      <c r="E3083" t="s" s="11">
        <v>759</v>
      </c>
      <c r="F3083" s="28">
        <v>44743</v>
      </c>
      <c r="G3083" t="s" s="11">
        <v>40</v>
      </c>
      <c r="H3083" t="s" s="43">
        <v>30</v>
      </c>
      <c r="I3083" s="43">
        <v>7.35</v>
      </c>
      <c r="J3083" t="s" s="11">
        <v>15699</v>
      </c>
      <c r="K3083" t="s" s="11">
        <v>15700</v>
      </c>
      <c r="L3083" s="17">
        <f>HYPERLINK("http://www.fundshop.fr", "www.fundshop.fr")</f>
      </c>
      <c r="M3083" s="17">
        <f>HYPERLINK("https://my.pitchbook.com?c=107420-59", "View Company Online")</f>
      </c>
    </row>
    <row r="3084">
      <c r="A3084" t="s" s="10">
        <v>15702</v>
      </c>
      <c r="B3084" t="s" s="10">
        <v>15703</v>
      </c>
      <c r="C3084" t="s" s="10">
        <v>114</v>
      </c>
      <c r="D3084" t="s" s="10">
        <v>136</v>
      </c>
      <c r="E3084" t="s" s="10">
        <v>137</v>
      </c>
      <c r="F3084" s="27">
        <v>45813</v>
      </c>
      <c r="G3084" t="s" s="10">
        <v>146</v>
      </c>
      <c r="H3084" s="42">
        <v>1.98</v>
      </c>
      <c r="I3084" s="42">
        <v>7.34</v>
      </c>
      <c r="J3084" t="s" s="10">
        <v>15704</v>
      </c>
      <c r="K3084" t="s" s="10">
        <v>15705</v>
      </c>
      <c r="L3084" s="16">
        <f>HYPERLINK("http://www.lendorse.com", "www.lendorse.com")</f>
      </c>
      <c r="M3084" s="16">
        <f>HYPERLINK("https://my.pitchbook.com?c=503365-06", "View Company Online")</f>
      </c>
    </row>
    <row r="3085">
      <c r="A3085" t="s" s="11">
        <v>15707</v>
      </c>
      <c r="B3085" t="s" s="11">
        <v>15708</v>
      </c>
      <c r="C3085" t="s" s="11">
        <v>172</v>
      </c>
      <c r="D3085" t="s" s="11">
        <v>173</v>
      </c>
      <c r="E3085" t="s" s="11">
        <v>373</v>
      </c>
      <c r="F3085" s="28">
        <v>44529</v>
      </c>
      <c r="G3085" t="s" s="11">
        <v>146</v>
      </c>
      <c r="H3085" s="43">
        <v>2.2</v>
      </c>
      <c r="I3085" s="43">
        <v>7.33</v>
      </c>
      <c r="J3085" t="s" s="11">
        <v>15709</v>
      </c>
      <c r="K3085" t="s" s="11">
        <v>15710</v>
      </c>
      <c r="L3085" s="17">
        <f>HYPERLINK("http://www.payok.com.au", "www.payok.com.au")</f>
      </c>
      <c r="M3085" s="17">
        <f>HYPERLINK("https://my.pitchbook.com?c=484137-10", "View Company Online")</f>
      </c>
    </row>
    <row r="3086">
      <c r="A3086" t="s" s="10">
        <v>15712</v>
      </c>
      <c r="B3086" t="s" s="10">
        <v>15713</v>
      </c>
      <c r="C3086" t="s" s="10">
        <v>46</v>
      </c>
      <c r="D3086" t="s" s="10">
        <v>397</v>
      </c>
      <c r="E3086" t="s" s="10">
        <v>253</v>
      </c>
      <c r="F3086" s="27">
        <v>45047</v>
      </c>
      <c r="G3086" t="s" s="10">
        <v>146</v>
      </c>
      <c r="H3086" s="42">
        <v>25</v>
      </c>
      <c r="I3086" s="42">
        <v>7.3</v>
      </c>
      <c r="J3086" t="s" s="10">
        <v>15714</v>
      </c>
      <c r="K3086" t="s" s="10">
        <v>15715</v>
      </c>
      <c r="L3086" s="16">
        <f>HYPERLINK("http://www.joinheard.com", "www.joinheard.com")</f>
      </c>
      <c r="M3086" s="16">
        <f>HYPERLINK("https://my.pitchbook.com?c=462922-48", "View Company Online")</f>
      </c>
    </row>
    <row r="3087">
      <c r="A3087" t="s" s="11">
        <v>15717</v>
      </c>
      <c r="B3087" t="s" s="11">
        <v>15718</v>
      </c>
      <c r="C3087" t="s" s="11">
        <v>60</v>
      </c>
      <c r="D3087" t="s" s="11">
        <v>61</v>
      </c>
      <c r="E3087" t="s" s="11">
        <v>137</v>
      </c>
      <c r="F3087" s="28">
        <v>43602</v>
      </c>
      <c r="G3087" t="s" s="11">
        <v>4267</v>
      </c>
      <c r="H3087" s="43">
        <v>2</v>
      </c>
      <c r="I3087" s="43">
        <v>7.3</v>
      </c>
      <c r="J3087" t="s" s="11">
        <v>15719</v>
      </c>
      <c r="K3087" t="s" s="11">
        <v>15720</v>
      </c>
      <c r="L3087" s="17">
        <f>HYPERLINK("http://www.roundhillinvestments.com", "www.roundhillinvestments.com")</f>
      </c>
      <c r="M3087" s="17">
        <f>HYPERLINK("https://my.pitchbook.com?c=267474-88", "View Company Online")</f>
      </c>
    </row>
    <row r="3088">
      <c r="A3088" t="s" s="10">
        <v>15722</v>
      </c>
      <c r="B3088" t="s" s="10">
        <v>15723</v>
      </c>
      <c r="C3088" t="s" s="10">
        <v>46</v>
      </c>
      <c r="D3088" t="s" s="10">
        <v>47</v>
      </c>
      <c r="E3088" t="s" s="10">
        <v>193</v>
      </c>
      <c r="F3088" s="27">
        <v>45806</v>
      </c>
      <c r="G3088" t="s" s="10">
        <v>40</v>
      </c>
      <c r="H3088" s="42">
        <v>7.5</v>
      </c>
      <c r="I3088" s="42">
        <v>7.3</v>
      </c>
      <c r="J3088" t="s" s="10">
        <v>15724</v>
      </c>
      <c r="K3088" t="s" s="10">
        <v>15725</v>
      </c>
      <c r="L3088" s="16">
        <f>HYPERLINK("http://www.getsequence.io", "www.getsequence.io")</f>
      </c>
      <c r="M3088" s="16">
        <f>HYPERLINK("https://my.pitchbook.com?c=231080-68", "View Company Online")</f>
      </c>
    </row>
    <row r="3089">
      <c r="A3089" t="s" s="11">
        <v>15727</v>
      </c>
      <c r="B3089" t="s" s="11">
        <v>15728</v>
      </c>
      <c r="C3089" t="s" s="11">
        <v>222</v>
      </c>
      <c r="D3089" t="s" s="11">
        <v>223</v>
      </c>
      <c r="E3089" t="s" s="11">
        <v>137</v>
      </c>
      <c r="F3089" s="28">
        <v>44944</v>
      </c>
      <c r="G3089" t="s" s="11">
        <v>40</v>
      </c>
      <c r="H3089" s="43">
        <v>1.98</v>
      </c>
      <c r="I3089" s="43">
        <v>7.29</v>
      </c>
      <c r="J3089" t="s" s="11">
        <v>15729</v>
      </c>
      <c r="K3089" t="s" s="11">
        <v>15730</v>
      </c>
      <c r="L3089" s="17">
        <f>HYPERLINK("http://www.mprofit.in", "www.mprofit.in")</f>
      </c>
      <c r="M3089" s="17">
        <f>HYPERLINK("https://my.pitchbook.com?c=515403-73", "View Company Online")</f>
      </c>
    </row>
    <row r="3090">
      <c r="A3090" t="s" s="10">
        <v>15732</v>
      </c>
      <c r="B3090" t="s" s="10">
        <v>15733</v>
      </c>
      <c r="C3090" t="s" s="10">
        <v>27</v>
      </c>
      <c r="D3090" t="s" s="10">
        <v>122</v>
      </c>
      <c r="E3090" t="s" s="10">
        <v>137</v>
      </c>
      <c r="F3090" s="27">
        <v>45870</v>
      </c>
      <c r="G3090" t="s" s="10">
        <v>40</v>
      </c>
      <c r="H3090" t="s" s="42">
        <v>30</v>
      </c>
      <c r="I3090" s="42">
        <v>7.23</v>
      </c>
      <c r="J3090" t="s" s="10">
        <v>15734</v>
      </c>
      <c r="K3090" t="s" s="10">
        <v>15735</v>
      </c>
      <c r="L3090" s="16">
        <f>HYPERLINK("http://www.winvesta.in", "www.winvesta.in")</f>
      </c>
      <c r="M3090" s="16">
        <f>HYPERLINK("https://my.pitchbook.com?c=436432-78", "View Company Online")</f>
      </c>
    </row>
    <row r="3091">
      <c r="A3091" t="s" s="11">
        <v>15737</v>
      </c>
      <c r="B3091" t="s" s="11">
        <v>15738</v>
      </c>
      <c r="C3091" t="s" s="11">
        <v>164</v>
      </c>
      <c r="D3091" t="s" s="11">
        <v>206</v>
      </c>
      <c r="E3091" t="s" s="11">
        <v>373</v>
      </c>
      <c r="F3091" s="28">
        <v>45414</v>
      </c>
      <c r="G3091" t="s" s="11">
        <v>271</v>
      </c>
      <c r="H3091" s="43">
        <v>0.76</v>
      </c>
      <c r="I3091" s="43">
        <v>7.22</v>
      </c>
      <c r="J3091" t="s" s="11">
        <v>15739</v>
      </c>
      <c r="K3091" t="s" s="11">
        <v>15740</v>
      </c>
      <c r="L3091" s="17">
        <f>HYPERLINK("http://www.qlower.com", "www.qlower.com")</f>
      </c>
      <c r="M3091" s="17">
        <f>HYPERLINK("https://my.pitchbook.com?c=497974-33", "View Company Online")</f>
      </c>
    </row>
    <row r="3092">
      <c r="A3092" t="s" s="10">
        <v>15742</v>
      </c>
      <c r="B3092" t="s" s="10">
        <v>15743</v>
      </c>
      <c r="C3092" t="s" s="10">
        <v>46</v>
      </c>
      <c r="D3092" t="s" s="10">
        <v>47</v>
      </c>
      <c r="E3092" t="s" s="10">
        <v>634</v>
      </c>
      <c r="F3092" s="27">
        <v>45233</v>
      </c>
      <c r="G3092" t="s" s="10">
        <v>4267</v>
      </c>
      <c r="H3092" s="42">
        <v>3.15</v>
      </c>
      <c r="I3092" s="42">
        <v>7.2</v>
      </c>
      <c r="J3092" t="s" s="10">
        <v>15744</v>
      </c>
      <c r="K3092" t="s" s="10">
        <v>15745</v>
      </c>
      <c r="L3092" s="16">
        <f>HYPERLINK("http://www.radiant1.co", "www.radiant1.co")</f>
      </c>
      <c r="M3092" s="16">
        <f>HYPERLINK("https://my.pitchbook.com?c=509874-31", "View Company Online")</f>
      </c>
    </row>
    <row r="3093">
      <c r="A3093" t="s" s="11">
        <v>15747</v>
      </c>
      <c r="B3093" t="s" s="11">
        <v>15748</v>
      </c>
      <c r="C3093" t="s" s="11">
        <v>172</v>
      </c>
      <c r="D3093" t="s" s="11">
        <v>1454</v>
      </c>
      <c r="E3093" t="s" s="11">
        <v>6894</v>
      </c>
      <c r="F3093" t="s" s="28">
        <v>30</v>
      </c>
      <c r="G3093" t="s" s="11">
        <v>146</v>
      </c>
      <c r="H3093" s="43">
        <v>3.39</v>
      </c>
      <c r="I3093" s="43">
        <v>7.18</v>
      </c>
      <c r="J3093" t="s" s="11">
        <v>15749</v>
      </c>
      <c r="K3093" t="s" s="11">
        <v>15750</v>
      </c>
      <c r="L3093" s="17">
        <f>HYPERLINK("http://www.21strategies.com", "www.21strategies.com")</f>
      </c>
      <c r="M3093" s="17">
        <f>HYPERLINK("https://my.pitchbook.com?c=434576-89", "View Company Online")</f>
      </c>
    </row>
    <row r="3094">
      <c r="A3094" t="s" s="10">
        <v>15752</v>
      </c>
      <c r="B3094" t="s" s="10">
        <v>15753</v>
      </c>
      <c r="C3094" t="s" s="10">
        <v>60</v>
      </c>
      <c r="D3094" t="s" s="10">
        <v>192</v>
      </c>
      <c r="E3094" t="s" s="10">
        <v>137</v>
      </c>
      <c r="F3094" s="27">
        <v>44834</v>
      </c>
      <c r="G3094" t="s" s="10">
        <v>4267</v>
      </c>
      <c r="H3094" s="42">
        <v>0.23</v>
      </c>
      <c r="I3094" s="42">
        <v>7.17</v>
      </c>
      <c r="J3094" t="s" s="10">
        <v>15754</v>
      </c>
      <c r="K3094" t="s" s="10">
        <v>30</v>
      </c>
      <c r="L3094" s="16">
        <f>HYPERLINK("http://finanfox.com", "finanfox.com")</f>
      </c>
      <c r="M3094" s="16">
        <f>HYPERLINK("https://my.pitchbook.com?c=509643-37", "View Company Online")</f>
      </c>
    </row>
    <row r="3095">
      <c r="A3095" t="s" s="11">
        <v>15756</v>
      </c>
      <c r="B3095" t="s" s="11">
        <v>15757</v>
      </c>
      <c r="C3095" t="s" s="11">
        <v>222</v>
      </c>
      <c r="D3095" t="s" s="11">
        <v>537</v>
      </c>
      <c r="E3095" t="s" s="11">
        <v>859</v>
      </c>
      <c r="F3095" s="28">
        <v>44805</v>
      </c>
      <c r="G3095" t="s" s="11">
        <v>2651</v>
      </c>
      <c r="H3095" s="43">
        <v>0.23</v>
      </c>
      <c r="I3095" s="43">
        <v>7.17</v>
      </c>
      <c r="J3095" t="s" s="11">
        <v>15758</v>
      </c>
      <c r="K3095" t="s" s="11">
        <v>15759</v>
      </c>
      <c r="L3095" s="17">
        <f>HYPERLINK("http://www.finteum.com", "www.finteum.com")</f>
      </c>
      <c r="M3095" s="17">
        <f>HYPERLINK("https://my.pitchbook.com?c=435965-77", "View Company Online")</f>
      </c>
    </row>
    <row r="3096">
      <c r="A3096" t="s" s="10">
        <v>15761</v>
      </c>
      <c r="B3096" t="s" s="10">
        <v>15762</v>
      </c>
      <c r="C3096" t="s" s="10">
        <v>27</v>
      </c>
      <c r="D3096" t="s" s="10">
        <v>28</v>
      </c>
      <c r="E3096" t="s" s="10">
        <v>15763</v>
      </c>
      <c r="F3096" s="27">
        <v>43524</v>
      </c>
      <c r="G3096" t="s" s="10">
        <v>40</v>
      </c>
      <c r="H3096" s="42">
        <v>0.53</v>
      </c>
      <c r="I3096" s="42">
        <v>7.17</v>
      </c>
      <c r="J3096" t="s" s="10">
        <v>15764</v>
      </c>
      <c r="K3096" t="s" s="10">
        <v>15765</v>
      </c>
      <c r="L3096" s="16">
        <f>HYPERLINK("http://www.pollentechnologies.com", "www.pollentechnologies.com")</f>
      </c>
      <c r="M3096" s="16">
        <f>HYPERLINK("https://my.pitchbook.com?c=112122-82", "View Company Online")</f>
      </c>
    </row>
    <row r="3097">
      <c r="A3097" t="s" s="11">
        <v>15767</v>
      </c>
      <c r="B3097" t="s" s="11">
        <v>15768</v>
      </c>
      <c r="C3097" t="s" s="11">
        <v>164</v>
      </c>
      <c r="D3097" t="s" s="11">
        <v>206</v>
      </c>
      <c r="E3097" t="s" s="11">
        <v>373</v>
      </c>
      <c r="F3097" s="28">
        <v>45981</v>
      </c>
      <c r="G3097" t="s" s="11">
        <v>146</v>
      </c>
      <c r="H3097" s="43">
        <v>0.46</v>
      </c>
      <c r="I3097" s="43">
        <v>7.16</v>
      </c>
      <c r="J3097" t="s" s="11">
        <v>15769</v>
      </c>
      <c r="K3097" t="s" s="11">
        <v>15770</v>
      </c>
      <c r="L3097" s="17">
        <f>HYPERLINK("http://www.eilla.ai", "www.eilla.ai")</f>
      </c>
      <c r="M3097" s="17">
        <f>HYPERLINK("https://my.pitchbook.com?c=527030-47", "View Company Online")</f>
      </c>
    </row>
    <row r="3098">
      <c r="A3098" t="s" s="10">
        <v>15772</v>
      </c>
      <c r="B3098" t="s" s="10">
        <v>15773</v>
      </c>
      <c r="C3098" t="s" s="10">
        <v>164</v>
      </c>
      <c r="D3098" t="s" s="10">
        <v>206</v>
      </c>
      <c r="E3098" t="s" s="10">
        <v>259</v>
      </c>
      <c r="F3098" s="27">
        <v>45809</v>
      </c>
      <c r="G3098" t="s" s="10">
        <v>4267</v>
      </c>
      <c r="H3098" t="s" s="42">
        <v>30</v>
      </c>
      <c r="I3098" s="42">
        <v>7.14</v>
      </c>
      <c r="J3098" t="s" s="10">
        <v>15774</v>
      </c>
      <c r="K3098" t="s" s="10">
        <v>15775</v>
      </c>
      <c r="L3098" s="16">
        <f>HYPERLINK("http://www.getanchor.co", "www.getanchor.co")</f>
      </c>
      <c r="M3098" s="16">
        <f>HYPERLINK("https://my.pitchbook.com?c=506668-33", "View Company Online")</f>
      </c>
    </row>
    <row r="3099">
      <c r="A3099" t="s" s="11">
        <v>15777</v>
      </c>
      <c r="B3099" t="s" s="11">
        <v>15778</v>
      </c>
      <c r="C3099" t="s" s="11">
        <v>46</v>
      </c>
      <c r="D3099" t="s" s="11">
        <v>397</v>
      </c>
      <c r="E3099" t="s" s="11">
        <v>373</v>
      </c>
      <c r="F3099" s="28">
        <v>45717</v>
      </c>
      <c r="G3099" t="s" s="11">
        <v>146</v>
      </c>
      <c r="H3099" s="43">
        <v>3.03</v>
      </c>
      <c r="I3099" s="43">
        <v>7.14</v>
      </c>
      <c r="J3099" t="s" s="11">
        <v>15779</v>
      </c>
      <c r="K3099" t="s" s="11">
        <v>15780</v>
      </c>
      <c r="L3099" s="17">
        <f>HYPERLINK("http://www.trycandid.com", "www.trycandid.com")</f>
      </c>
      <c r="M3099" s="17">
        <f>HYPERLINK("https://my.pitchbook.com?c=756801-55", "View Company Online")</f>
      </c>
    </row>
    <row r="3100">
      <c r="A3100" t="s" s="10">
        <v>15782</v>
      </c>
      <c r="B3100" t="s" s="10">
        <v>15783</v>
      </c>
      <c r="C3100" t="s" s="10">
        <v>222</v>
      </c>
      <c r="D3100" t="s" s="10">
        <v>223</v>
      </c>
      <c r="E3100" t="s" s="10">
        <v>493</v>
      </c>
      <c r="F3100" s="27">
        <v>44797</v>
      </c>
      <c r="G3100" t="s" s="10">
        <v>4267</v>
      </c>
      <c r="H3100" s="42">
        <v>1.18</v>
      </c>
      <c r="I3100" s="42">
        <v>7.14</v>
      </c>
      <c r="J3100" t="s" s="10">
        <v>15784</v>
      </c>
      <c r="K3100" t="s" s="10">
        <v>15785</v>
      </c>
      <c r="L3100" s="16">
        <f>HYPERLINK("http://www.capix.ai", "www.capix.ai")</f>
      </c>
      <c r="M3100" s="16">
        <f>HYPERLINK("https://my.pitchbook.com?c=515858-86", "View Company Online")</f>
      </c>
    </row>
    <row r="3101">
      <c r="A3101" t="s" s="11">
        <v>15787</v>
      </c>
      <c r="B3101" t="s" s="11">
        <v>15788</v>
      </c>
      <c r="C3101" t="s" s="11">
        <v>172</v>
      </c>
      <c r="D3101" t="s" s="11">
        <v>338</v>
      </c>
      <c r="E3101" t="s" s="11">
        <v>367</v>
      </c>
      <c r="F3101" s="28">
        <v>45807</v>
      </c>
      <c r="G3101" t="s" s="11">
        <v>4267</v>
      </c>
      <c r="H3101" t="s" s="43">
        <v>30</v>
      </c>
      <c r="I3101" s="43">
        <v>7.14</v>
      </c>
      <c r="J3101" t="s" s="11">
        <v>15789</v>
      </c>
      <c r="K3101" t="s" s="11">
        <v>15790</v>
      </c>
      <c r="L3101" s="17">
        <f>HYPERLINK("http://www.cardamon.ai", "www.cardamon.ai")</f>
      </c>
      <c r="M3101" s="17">
        <f>HYPERLINK("https://my.pitchbook.com?c=756802-00", "View Company Online")</f>
      </c>
    </row>
    <row r="3102">
      <c r="A3102" t="s" s="10">
        <v>15792</v>
      </c>
      <c r="B3102" t="s" s="10">
        <v>15793</v>
      </c>
      <c r="C3102" t="s" s="10">
        <v>114</v>
      </c>
      <c r="D3102" t="s" s="10">
        <v>115</v>
      </c>
      <c r="E3102" t="s" s="10">
        <v>5236</v>
      </c>
      <c r="F3102" s="27">
        <v>45712</v>
      </c>
      <c r="G3102" t="s" s="10">
        <v>146</v>
      </c>
      <c r="H3102" s="42">
        <v>4.66</v>
      </c>
      <c r="I3102" s="42">
        <v>7.14</v>
      </c>
      <c r="J3102" t="s" s="10">
        <v>15794</v>
      </c>
      <c r="K3102" t="s" s="10">
        <v>15795</v>
      </c>
      <c r="L3102" s="16">
        <f>HYPERLINK("http://www.cashflowportal.com", "www.cashflowportal.com")</f>
      </c>
      <c r="M3102" s="16">
        <f>HYPERLINK("https://my.pitchbook.com?c=483851-89", "View Company Online")</f>
      </c>
    </row>
    <row r="3103">
      <c r="A3103" t="s" s="11">
        <v>15797</v>
      </c>
      <c r="B3103" t="s" s="11">
        <v>15798</v>
      </c>
      <c r="C3103" t="s" s="11">
        <v>128</v>
      </c>
      <c r="D3103" t="s" s="11">
        <v>276</v>
      </c>
      <c r="E3103" t="s" s="11">
        <v>137</v>
      </c>
      <c r="F3103" s="28">
        <v>45036</v>
      </c>
      <c r="G3103" t="s" s="11">
        <v>146</v>
      </c>
      <c r="H3103" t="s" s="43">
        <v>30</v>
      </c>
      <c r="I3103" s="43">
        <v>7.14</v>
      </c>
      <c r="J3103" t="s" s="11">
        <v>15799</v>
      </c>
      <c r="K3103" t="s" s="11">
        <v>15800</v>
      </c>
      <c r="L3103" s="17">
        <f>HYPERLINK("http://www.trycoil.com", "www.trycoil.com")</f>
      </c>
      <c r="M3103" s="17">
        <f>HYPERLINK("https://my.pitchbook.com?c=521157-97", "View Company Online")</f>
      </c>
    </row>
    <row r="3104">
      <c r="A3104" t="s" s="10">
        <v>15802</v>
      </c>
      <c r="B3104" t="s" s="10">
        <v>15803</v>
      </c>
      <c r="C3104" t="s" s="10">
        <v>172</v>
      </c>
      <c r="D3104" t="s" s="10">
        <v>338</v>
      </c>
      <c r="E3104" t="s" s="10">
        <v>373</v>
      </c>
      <c r="F3104" s="27">
        <v>45839</v>
      </c>
      <c r="G3104" t="s" s="10">
        <v>607</v>
      </c>
      <c r="H3104" t="s" s="42">
        <v>30</v>
      </c>
      <c r="I3104" s="42">
        <v>7.14</v>
      </c>
      <c r="J3104" t="s" s="10">
        <v>15804</v>
      </c>
      <c r="K3104" t="s" s="10">
        <v>15805</v>
      </c>
      <c r="L3104" s="16">
        <f>HYPERLINK("http://www.complif.com", "www.complif.com")</f>
      </c>
      <c r="M3104" s="16">
        <f>HYPERLINK("https://my.pitchbook.com?c=493086-07", "View Company Online")</f>
      </c>
    </row>
    <row r="3105">
      <c r="A3105" t="s" s="11">
        <v>15807</v>
      </c>
      <c r="B3105" t="s" s="11">
        <v>15808</v>
      </c>
      <c r="C3105" t="s" s="11">
        <v>60</v>
      </c>
      <c r="D3105" t="s" s="11">
        <v>727</v>
      </c>
      <c r="E3105" t="s" s="11">
        <v>253</v>
      </c>
      <c r="F3105" s="28">
        <v>45054</v>
      </c>
      <c r="G3105" t="s" s="11">
        <v>4267</v>
      </c>
      <c r="H3105" t="s" s="43">
        <v>30</v>
      </c>
      <c r="I3105" s="43">
        <v>7.14</v>
      </c>
      <c r="J3105" t="s" s="11">
        <v>15809</v>
      </c>
      <c r="K3105" t="s" s="11">
        <v>15810</v>
      </c>
      <c r="L3105" s="17">
        <f>HYPERLINK("http://www.useconstant.com", "www.useconstant.com")</f>
      </c>
      <c r="M3105" s="17">
        <f>HYPERLINK("https://my.pitchbook.com?c=523171-54", "View Company Online")</f>
      </c>
    </row>
    <row r="3106">
      <c r="A3106" t="s" s="10">
        <v>15812</v>
      </c>
      <c r="B3106" t="s" s="10">
        <v>15813</v>
      </c>
      <c r="C3106" t="s" s="10">
        <v>172</v>
      </c>
      <c r="D3106" t="s" s="10">
        <v>1454</v>
      </c>
      <c r="E3106" t="s" s="10">
        <v>137</v>
      </c>
      <c r="F3106" s="27">
        <v>45323</v>
      </c>
      <c r="G3106" t="s" s="10">
        <v>4267</v>
      </c>
      <c r="H3106" s="42">
        <v>3.7</v>
      </c>
      <c r="I3106" s="42">
        <v>7.14</v>
      </c>
      <c r="J3106" t="s" s="10">
        <v>15814</v>
      </c>
      <c r="K3106" t="s" s="10">
        <v>15815</v>
      </c>
      <c r="L3106" s="16">
        <f>HYPERLINK("http://www.coris.ai", "www.coris.ai")</f>
      </c>
      <c r="M3106" s="16">
        <f>HYPERLINK("https://my.pitchbook.com?c=512710-39", "View Company Online")</f>
      </c>
    </row>
    <row r="3107">
      <c r="A3107" t="s" s="11">
        <v>15817</v>
      </c>
      <c r="B3107" t="s" s="11">
        <v>15818</v>
      </c>
      <c r="C3107" t="s" s="11">
        <v>222</v>
      </c>
      <c r="D3107" t="s" s="11">
        <v>223</v>
      </c>
      <c r="E3107" t="s" s="11">
        <v>367</v>
      </c>
      <c r="F3107" s="28">
        <v>45657</v>
      </c>
      <c r="G3107" t="s" s="11">
        <v>146</v>
      </c>
      <c r="H3107" t="s" s="43">
        <v>30</v>
      </c>
      <c r="I3107" s="43">
        <v>7.14</v>
      </c>
      <c r="J3107" t="s" s="11">
        <v>15819</v>
      </c>
      <c r="K3107" t="s" s="11">
        <v>15820</v>
      </c>
      <c r="L3107" s="17">
        <f>HYPERLINK("http://www.dataglade.com", "www.dataglade.com")</f>
      </c>
      <c r="M3107" s="17">
        <f>HYPERLINK("https://my.pitchbook.com?c=522871-39", "View Company Online")</f>
      </c>
    </row>
    <row r="3108">
      <c r="A3108" t="s" s="10">
        <v>15822</v>
      </c>
      <c r="B3108" t="s" s="10">
        <v>15823</v>
      </c>
      <c r="C3108" t="s" s="10">
        <v>172</v>
      </c>
      <c r="D3108" t="s" s="10">
        <v>338</v>
      </c>
      <c r="E3108" t="s" s="10">
        <v>465</v>
      </c>
      <c r="F3108" s="27">
        <v>46212</v>
      </c>
      <c r="G3108" t="s" s="10">
        <v>40</v>
      </c>
      <c r="H3108" s="42">
        <v>12.5</v>
      </c>
      <c r="I3108" s="42">
        <v>7.14</v>
      </c>
      <c r="J3108" t="s" s="10">
        <v>15824</v>
      </c>
      <c r="K3108" t="s" s="10">
        <v>15825</v>
      </c>
      <c r="L3108" s="16">
        <f>HYPERLINK("http://www.flagright.com", "www.flagright.com")</f>
      </c>
      <c r="M3108" s="16">
        <f>HYPERLINK("https://my.pitchbook.com?c=491848-84", "View Company Online")</f>
      </c>
    </row>
    <row r="3109">
      <c r="A3109" t="s" s="11">
        <v>15827</v>
      </c>
      <c r="B3109" t="s" s="11">
        <v>15828</v>
      </c>
      <c r="C3109" t="s" s="11">
        <v>27</v>
      </c>
      <c r="D3109" t="s" s="11">
        <v>28</v>
      </c>
      <c r="E3109" t="s" s="11">
        <v>158</v>
      </c>
      <c r="F3109" s="28">
        <v>44756</v>
      </c>
      <c r="G3109" t="s" s="11">
        <v>146</v>
      </c>
      <c r="H3109" t="s" s="43">
        <v>30</v>
      </c>
      <c r="I3109" s="43">
        <v>7.14</v>
      </c>
      <c r="J3109" t="s" s="11">
        <v>15829</v>
      </c>
      <c r="K3109" t="s" s="11">
        <v>15830</v>
      </c>
      <c r="L3109" s="17">
        <f>HYPERLINK("http://www.fluxqr.com", "www.fluxqr.com")</f>
      </c>
      <c r="M3109" s="17">
        <f>HYPERLINK("https://my.pitchbook.com?c=279584-92", "View Company Online")</f>
      </c>
    </row>
    <row r="3110">
      <c r="A3110" t="s" s="10">
        <v>15832</v>
      </c>
      <c r="B3110" t="s" s="10">
        <v>15833</v>
      </c>
      <c r="C3110" t="s" s="10">
        <v>46</v>
      </c>
      <c r="D3110" t="s" s="10">
        <v>78</v>
      </c>
      <c r="E3110" t="s" s="10">
        <v>270</v>
      </c>
      <c r="F3110" s="27">
        <v>45212</v>
      </c>
      <c r="G3110" t="s" s="10">
        <v>607</v>
      </c>
      <c r="H3110" t="s" s="42">
        <v>30</v>
      </c>
      <c r="I3110" s="42">
        <v>7.14</v>
      </c>
      <c r="J3110" t="s" s="10">
        <v>15834</v>
      </c>
      <c r="K3110" t="s" s="10">
        <v>15835</v>
      </c>
      <c r="L3110" s="16">
        <f>HYPERLINK("http://www.gimo.vn", "www.gimo.vn")</f>
      </c>
      <c r="M3110" s="16">
        <f>HYPERLINK("https://my.pitchbook.com?c=463169-44", "View Company Online")</f>
      </c>
    </row>
    <row r="3111">
      <c r="A3111" t="s" s="11">
        <v>15837</v>
      </c>
      <c r="B3111" t="s" s="11">
        <v>15838</v>
      </c>
      <c r="C3111" t="s" s="11">
        <v>60</v>
      </c>
      <c r="D3111" t="s" s="11">
        <v>61</v>
      </c>
      <c r="E3111" t="s" s="11">
        <v>137</v>
      </c>
      <c r="F3111" s="28">
        <v>45924</v>
      </c>
      <c r="G3111" t="s" s="11">
        <v>146</v>
      </c>
      <c r="H3111" s="43">
        <v>7.5</v>
      </c>
      <c r="I3111" s="43">
        <v>7.14</v>
      </c>
      <c r="J3111" t="s" s="11">
        <v>15839</v>
      </c>
      <c r="K3111" t="s" s="11">
        <v>15840</v>
      </c>
      <c r="L3111" s="17">
        <f>HYPERLINK("http://www.gullak.money", "www.gullak.money")</f>
      </c>
      <c r="M3111" s="17">
        <f>HYPERLINK("https://my.pitchbook.com?c=493622-11", "View Company Online")</f>
      </c>
    </row>
    <row r="3112">
      <c r="A3112" t="s" s="10">
        <v>15842</v>
      </c>
      <c r="B3112" t="s" s="10">
        <v>15843</v>
      </c>
      <c r="C3112" t="s" s="10">
        <v>164</v>
      </c>
      <c r="D3112" t="s" s="10">
        <v>206</v>
      </c>
      <c r="E3112" t="s" s="10">
        <v>137</v>
      </c>
      <c r="F3112" s="27">
        <v>45748</v>
      </c>
      <c r="G3112" t="s" s="10">
        <v>146</v>
      </c>
      <c r="H3112" t="s" s="42">
        <v>30</v>
      </c>
      <c r="I3112" s="42">
        <v>7.14</v>
      </c>
      <c r="J3112" t="s" s="10">
        <v>15844</v>
      </c>
      <c r="K3112" t="s" s="10">
        <v>15845</v>
      </c>
      <c r="L3112" s="16">
        <f>HYPERLINK("http://www.uselaminate.com", "www.uselaminate.com")</f>
      </c>
      <c r="M3112" s="16">
        <f>HYPERLINK("https://my.pitchbook.com?c=517948-93", "View Company Online")</f>
      </c>
    </row>
    <row r="3113">
      <c r="A3113" t="s" s="11">
        <v>15847</v>
      </c>
      <c r="B3113" t="s" s="11">
        <v>15848</v>
      </c>
      <c r="C3113" t="s" s="11">
        <v>46</v>
      </c>
      <c r="D3113" t="s" s="11">
        <v>397</v>
      </c>
      <c r="E3113" t="s" s="11">
        <v>493</v>
      </c>
      <c r="F3113" s="28">
        <v>45721</v>
      </c>
      <c r="G3113" t="s" s="11">
        <v>4267</v>
      </c>
      <c r="H3113" t="s" s="43">
        <v>30</v>
      </c>
      <c r="I3113" s="43">
        <v>7.14</v>
      </c>
      <c r="J3113" t="s" s="11">
        <v>15849</v>
      </c>
      <c r="K3113" t="s" s="11">
        <v>15850</v>
      </c>
      <c r="L3113" s="17">
        <f>HYPERLINK("http://www.usemesh.com", "www.usemesh.com")</f>
      </c>
      <c r="M3113" s="17">
        <f>HYPERLINK("https://my.pitchbook.com?c=739925-65", "View Company Online")</f>
      </c>
    </row>
    <row r="3114">
      <c r="A3114" t="s" s="10">
        <v>15852</v>
      </c>
      <c r="B3114" t="s" s="10">
        <v>15853</v>
      </c>
      <c r="C3114" t="s" s="10">
        <v>114</v>
      </c>
      <c r="D3114" t="s" s="10">
        <v>852</v>
      </c>
      <c r="E3114" t="s" s="10">
        <v>137</v>
      </c>
      <c r="F3114" t="s" s="27">
        <v>30</v>
      </c>
      <c r="G3114" t="s" s="10">
        <v>48</v>
      </c>
      <c r="H3114" t="s" s="42">
        <v>30</v>
      </c>
      <c r="I3114" s="42">
        <v>7.14</v>
      </c>
      <c r="J3114" t="s" s="10">
        <v>15854</v>
      </c>
      <c r="K3114" t="s" s="10">
        <v>15855</v>
      </c>
      <c r="L3114" s="16">
        <f>HYPERLINK("http://www.numida.com", "www.numida.com")</f>
      </c>
      <c r="M3114" s="16">
        <f>HYPERLINK("https://my.pitchbook.com?c=185000-77", "View Company Online")</f>
      </c>
    </row>
    <row r="3115">
      <c r="A3115" t="s" s="11">
        <v>15857</v>
      </c>
      <c r="B3115" t="s" s="11">
        <v>15858</v>
      </c>
      <c r="C3115" t="s" s="11">
        <v>164</v>
      </c>
      <c r="D3115" t="s" s="11">
        <v>206</v>
      </c>
      <c r="E3115" t="s" s="11">
        <v>137</v>
      </c>
      <c r="F3115" s="28">
        <v>44624</v>
      </c>
      <c r="G3115" t="s" s="11">
        <v>146</v>
      </c>
      <c r="H3115" s="43">
        <v>2.4</v>
      </c>
      <c r="I3115" s="43">
        <v>7.14</v>
      </c>
      <c r="J3115" t="s" s="11">
        <v>15859</v>
      </c>
      <c r="K3115" t="s" s="11">
        <v>15860</v>
      </c>
      <c r="L3115" s="17">
        <f>HYPERLINK("http://www.paycaddy.com", "www.paycaddy.com")</f>
      </c>
      <c r="M3115" s="17">
        <f>HYPERLINK("https://my.pitchbook.com?c=442897-84", "View Company Online")</f>
      </c>
    </row>
    <row r="3116">
      <c r="A3116" t="s" s="10">
        <v>15862</v>
      </c>
      <c r="B3116" t="s" s="10">
        <v>15863</v>
      </c>
      <c r="C3116" t="s" s="10">
        <v>37</v>
      </c>
      <c r="D3116" t="s" s="10">
        <v>304</v>
      </c>
      <c r="E3116" t="s" s="10">
        <v>137</v>
      </c>
      <c r="F3116" t="s" s="27">
        <v>30</v>
      </c>
      <c r="G3116" t="s" s="10">
        <v>607</v>
      </c>
      <c r="H3116" t="s" s="42">
        <v>30</v>
      </c>
      <c r="I3116" s="42">
        <v>7.14</v>
      </c>
      <c r="J3116" t="s" s="10">
        <v>15864</v>
      </c>
      <c r="K3116" t="s" s="10">
        <v>15865</v>
      </c>
      <c r="L3116" s="16">
        <f>HYPERLINK("http://www.paycrunch.in", "www.paycrunch.in")</f>
      </c>
      <c r="M3116" s="16">
        <f>HYPERLINK("https://my.pitchbook.com?c=495657-19", "View Company Online")</f>
      </c>
    </row>
    <row r="3117">
      <c r="A3117" t="s" s="11">
        <v>15867</v>
      </c>
      <c r="B3117" t="s" s="11">
        <v>15868</v>
      </c>
      <c r="C3117" t="s" s="11">
        <v>144</v>
      </c>
      <c r="D3117" t="s" s="11">
        <v>38</v>
      </c>
      <c r="E3117" t="s" s="11">
        <v>259</v>
      </c>
      <c r="F3117" t="s" s="28">
        <v>30</v>
      </c>
      <c r="G3117" t="s" s="11">
        <v>48</v>
      </c>
      <c r="H3117" t="s" s="43">
        <v>30</v>
      </c>
      <c r="I3117" s="43">
        <v>7.14</v>
      </c>
      <c r="J3117" t="s" s="11">
        <v>15869</v>
      </c>
      <c r="K3117" t="s" s="11">
        <v>15870</v>
      </c>
      <c r="L3117" s="17">
        <f>HYPERLINK("http://www.salt.pe", "www.salt.pe")</f>
      </c>
      <c r="M3117" s="17">
        <f>HYPERLINK("https://my.pitchbook.com?c=438179-77", "View Company Online")</f>
      </c>
    </row>
    <row r="3118">
      <c r="A3118" t="s" s="10">
        <v>15872</v>
      </c>
      <c r="B3118" t="s" s="10">
        <v>15873</v>
      </c>
      <c r="C3118" t="s" s="10">
        <v>222</v>
      </c>
      <c r="D3118" t="s" s="10">
        <v>223</v>
      </c>
      <c r="E3118" t="s" s="10">
        <v>373</v>
      </c>
      <c r="F3118" s="27">
        <v>45748</v>
      </c>
      <c r="G3118" t="s" s="10">
        <v>146</v>
      </c>
      <c r="H3118" t="s" s="42">
        <v>30</v>
      </c>
      <c r="I3118" s="42">
        <v>7.14</v>
      </c>
      <c r="J3118" t="s" s="10">
        <v>15874</v>
      </c>
      <c r="K3118" t="s" s="10">
        <v>15875</v>
      </c>
      <c r="L3118" s="16">
        <f>HYPERLINK("http://www.scalarfield.io", "www.scalarfield.io")</f>
      </c>
      <c r="M3118" s="16">
        <f>HYPERLINK("https://my.pitchbook.com?c=622075-78", "View Company Online")</f>
      </c>
    </row>
    <row r="3119">
      <c r="A3119" t="s" s="11">
        <v>15877</v>
      </c>
      <c r="B3119" t="s" s="11">
        <v>15878</v>
      </c>
      <c r="C3119" t="s" s="11">
        <v>114</v>
      </c>
      <c r="D3119" t="s" s="11">
        <v>852</v>
      </c>
      <c r="E3119" t="s" s="11">
        <v>193</v>
      </c>
      <c r="F3119" s="28">
        <v>45243</v>
      </c>
      <c r="G3119" t="s" s="11">
        <v>4267</v>
      </c>
      <c r="H3119" s="43">
        <v>7</v>
      </c>
      <c r="I3119" s="43">
        <v>7.14</v>
      </c>
      <c r="J3119" t="s" s="11">
        <v>15879</v>
      </c>
      <c r="K3119" t="s" s="11">
        <v>15880</v>
      </c>
      <c r="L3119" s="17">
        <f>HYPERLINK("http://www.shekelmobility.com", "www.shekelmobility.com")</f>
      </c>
      <c r="M3119" s="17">
        <f>HYPERLINK("https://my.pitchbook.com?c=496718-74", "View Company Online")</f>
      </c>
    </row>
    <row r="3120">
      <c r="A3120" t="s" s="10">
        <v>15882</v>
      </c>
      <c r="B3120" t="s" s="10">
        <v>15883</v>
      </c>
      <c r="C3120" t="s" s="10">
        <v>37</v>
      </c>
      <c r="D3120" t="s" s="10">
        <v>38</v>
      </c>
      <c r="E3120" t="s" s="10">
        <v>193</v>
      </c>
      <c r="F3120" s="27">
        <v>44851</v>
      </c>
      <c r="G3120" t="s" s="10">
        <v>4267</v>
      </c>
      <c r="H3120" s="42">
        <v>1</v>
      </c>
      <c r="I3120" s="42">
        <v>7.14</v>
      </c>
      <c r="J3120" t="s" s="10">
        <v>15884</v>
      </c>
      <c r="K3120" t="s" s="10">
        <v>15885</v>
      </c>
      <c r="L3120" s="16">
        <f>HYPERLINK("http://www.shelfpay.in", "www.shelfpay.in")</f>
      </c>
      <c r="M3120" s="16">
        <f>HYPERLINK("https://my.pitchbook.com?c=501564-88", "View Company Online")</f>
      </c>
    </row>
    <row r="3121">
      <c r="A3121" t="s" s="11">
        <v>15887</v>
      </c>
      <c r="B3121" t="s" s="11">
        <v>15888</v>
      </c>
      <c r="C3121" t="s" s="11">
        <v>46</v>
      </c>
      <c r="D3121" t="s" s="11">
        <v>397</v>
      </c>
      <c r="E3121" t="s" s="11">
        <v>373</v>
      </c>
      <c r="F3121" s="28">
        <v>45933</v>
      </c>
      <c r="G3121" t="s" s="11">
        <v>146</v>
      </c>
      <c r="H3121" t="s" s="43">
        <v>30</v>
      </c>
      <c r="I3121" s="43">
        <v>7.14</v>
      </c>
      <c r="J3121" t="s" s="11">
        <v>15889</v>
      </c>
      <c r="K3121" t="s" s="11">
        <v>15890</v>
      </c>
      <c r="L3121" s="17">
        <f>HYPERLINK("http://www.taxgpt.com", "www.taxgpt.com")</f>
      </c>
      <c r="M3121" s="17">
        <f>HYPERLINK("https://my.pitchbook.com?c=528396-76", "View Company Online")</f>
      </c>
    </row>
    <row r="3122">
      <c r="A3122" t="s" s="10">
        <v>15892</v>
      </c>
      <c r="B3122" t="s" s="10">
        <v>15893</v>
      </c>
      <c r="C3122" t="s" s="10">
        <v>172</v>
      </c>
      <c r="D3122" t="s" s="10">
        <v>338</v>
      </c>
      <c r="E3122" t="s" s="10">
        <v>7678</v>
      </c>
      <c r="F3122" s="27">
        <v>45555</v>
      </c>
      <c r="G3122" t="s" s="10">
        <v>4267</v>
      </c>
      <c r="H3122" t="s" s="42">
        <v>30</v>
      </c>
      <c r="I3122" s="42">
        <v>7.12</v>
      </c>
      <c r="J3122" t="s" s="10">
        <v>15894</v>
      </c>
      <c r="K3122" t="s" s="10">
        <v>15895</v>
      </c>
      <c r="L3122" s="16">
        <f>HYPERLINK("http://www.governid.com", "www.governid.com")</f>
      </c>
      <c r="M3122" s="16">
        <f>HYPERLINK("https://my.pitchbook.com?c=515356-93", "View Company Online")</f>
      </c>
    </row>
    <row r="3123">
      <c r="A3123" t="s" s="11">
        <v>15897</v>
      </c>
      <c r="B3123" t="s" s="11">
        <v>15898</v>
      </c>
      <c r="C3123" t="s" s="11">
        <v>60</v>
      </c>
      <c r="D3123" t="s" s="11">
        <v>61</v>
      </c>
      <c r="E3123" t="s" s="11">
        <v>270</v>
      </c>
      <c r="F3123" s="28">
        <v>44776</v>
      </c>
      <c r="G3123" t="s" s="11">
        <v>146</v>
      </c>
      <c r="H3123" t="s" s="43">
        <v>30</v>
      </c>
      <c r="I3123" s="43">
        <v>7.1</v>
      </c>
      <c r="J3123" t="s" s="11">
        <v>15899</v>
      </c>
      <c r="K3123" t="s" s="11">
        <v>15900</v>
      </c>
      <c r="L3123" s="17">
        <f>HYPERLINK("http://www.flahmingo.com", "www.flahmingo.com")</f>
      </c>
      <c r="M3123" s="17">
        <f>HYPERLINK("https://my.pitchbook.com?c=482190-22", "View Company Online")</f>
      </c>
    </row>
    <row r="3124">
      <c r="A3124" t="s" s="10">
        <v>15902</v>
      </c>
      <c r="B3124" t="s" s="10">
        <v>15903</v>
      </c>
      <c r="C3124" t="s" s="10">
        <v>222</v>
      </c>
      <c r="D3124" t="s" s="10">
        <v>235</v>
      </c>
      <c r="E3124" t="s" s="10">
        <v>253</v>
      </c>
      <c r="F3124" s="27">
        <v>45663</v>
      </c>
      <c r="G3124" t="s" s="10">
        <v>4267</v>
      </c>
      <c r="H3124" s="42">
        <v>3.46</v>
      </c>
      <c r="I3124" s="42">
        <v>7.08</v>
      </c>
      <c r="J3124" t="s" s="10">
        <v>15904</v>
      </c>
      <c r="K3124" t="s" s="10">
        <v>15905</v>
      </c>
      <c r="L3124" s="16">
        <f>HYPERLINK("http://www.aydofinance.com", "www.aydofinance.com")</f>
      </c>
      <c r="M3124" s="16">
        <f>HYPERLINK("https://my.pitchbook.com?c=510413-23", "View Company Online")</f>
      </c>
    </row>
    <row r="3125">
      <c r="A3125" t="s" s="11">
        <v>15907</v>
      </c>
      <c r="B3125" t="s" s="11">
        <v>15908</v>
      </c>
      <c r="C3125" t="s" s="11">
        <v>164</v>
      </c>
      <c r="D3125" t="s" s="11">
        <v>206</v>
      </c>
      <c r="E3125" t="s" s="11">
        <v>253</v>
      </c>
      <c r="F3125" s="28">
        <v>45097</v>
      </c>
      <c r="G3125" t="s" s="11">
        <v>40</v>
      </c>
      <c r="H3125" s="43">
        <v>2.16</v>
      </c>
      <c r="I3125" s="43">
        <v>7.08</v>
      </c>
      <c r="J3125" t="s" s="11">
        <v>15909</v>
      </c>
      <c r="K3125" t="s" s="11">
        <v>15910</v>
      </c>
      <c r="L3125" s="17">
        <f>HYPERLINK("http://www.finqware.com", "www.finqware.com")</f>
      </c>
      <c r="M3125" s="17">
        <f>HYPERLINK("https://my.pitchbook.com?c=327161-26", "View Company Online")</f>
      </c>
    </row>
    <row r="3126">
      <c r="A3126" t="s" s="10">
        <v>15912</v>
      </c>
      <c r="B3126" t="s" s="10">
        <v>15913</v>
      </c>
      <c r="C3126" t="s" s="10">
        <v>128</v>
      </c>
      <c r="D3126" t="s" s="10">
        <v>276</v>
      </c>
      <c r="E3126" t="s" s="10">
        <v>1054</v>
      </c>
      <c r="F3126" s="27">
        <v>45566</v>
      </c>
      <c r="G3126" t="s" s="10">
        <v>607</v>
      </c>
      <c r="H3126" t="s" s="42">
        <v>30</v>
      </c>
      <c r="I3126" s="42">
        <v>7.08</v>
      </c>
      <c r="J3126" t="s" s="10">
        <v>15914</v>
      </c>
      <c r="K3126" t="s" s="10">
        <v>15915</v>
      </c>
      <c r="L3126" s="16">
        <f>HYPERLINK("http://www.sendspend.com", "www.sendspend.com")</f>
      </c>
      <c r="M3126" s="16">
        <f>HYPERLINK("https://my.pitchbook.com?c=170034-58", "View Company Online")</f>
      </c>
    </row>
    <row r="3127">
      <c r="A3127" t="s" s="11">
        <v>15917</v>
      </c>
      <c r="B3127" t="s" s="11">
        <v>15918</v>
      </c>
      <c r="C3127" t="s" s="11">
        <v>27</v>
      </c>
      <c r="D3127" t="s" s="11">
        <v>28</v>
      </c>
      <c r="E3127" t="s" s="11">
        <v>193</v>
      </c>
      <c r="F3127" s="28">
        <v>44988</v>
      </c>
      <c r="G3127" t="s" s="11">
        <v>146</v>
      </c>
      <c r="H3127" s="43">
        <v>3.07</v>
      </c>
      <c r="I3127" s="43">
        <v>7.07</v>
      </c>
      <c r="J3127" t="s" s="11">
        <v>15919</v>
      </c>
      <c r="K3127" t="s" s="11">
        <v>30</v>
      </c>
      <c r="L3127" s="17">
        <f>HYPERLINK("http://www.purs.digital", "www.purs.digital")</f>
      </c>
      <c r="M3127" s="17">
        <f>HYPERLINK("https://my.pitchbook.com?c=462816-37", "View Company Online")</f>
      </c>
    </row>
    <row r="3128">
      <c r="A3128" t="s" s="10">
        <v>15921</v>
      </c>
      <c r="B3128" t="s" s="10">
        <v>15922</v>
      </c>
      <c r="C3128" t="s" s="10">
        <v>27</v>
      </c>
      <c r="D3128" t="s" s="10">
        <v>28</v>
      </c>
      <c r="E3128" t="s" s="10">
        <v>15923</v>
      </c>
      <c r="F3128" s="27">
        <v>46195</v>
      </c>
      <c r="G3128" t="s" s="10">
        <v>607</v>
      </c>
      <c r="H3128" t="s" s="42">
        <v>30</v>
      </c>
      <c r="I3128" s="42">
        <v>7.06</v>
      </c>
      <c r="J3128" t="s" s="10">
        <v>15924</v>
      </c>
      <c r="K3128" t="s" s="10">
        <v>15925</v>
      </c>
      <c r="L3128" s="16">
        <f>HYPERLINK("http://www.checkqrpay.com", "www.checkqrpay.com")</f>
      </c>
      <c r="M3128" s="16">
        <f>HYPERLINK("https://my.pitchbook.com?c=589705-57", "View Company Online")</f>
      </c>
    </row>
    <row r="3129">
      <c r="A3129" t="s" s="11">
        <v>15927</v>
      </c>
      <c r="B3129" t="s" s="11">
        <v>15928</v>
      </c>
      <c r="C3129" t="s" s="11">
        <v>60</v>
      </c>
      <c r="D3129" t="s" s="11">
        <v>246</v>
      </c>
      <c r="E3129" t="s" s="11">
        <v>193</v>
      </c>
      <c r="F3129" s="28">
        <v>45047</v>
      </c>
      <c r="G3129" t="s" s="11">
        <v>48</v>
      </c>
      <c r="H3129" t="s" s="43">
        <v>30</v>
      </c>
      <c r="I3129" s="43">
        <v>7.06</v>
      </c>
      <c r="J3129" t="s" s="11">
        <v>15929</v>
      </c>
      <c r="K3129" t="s" s="11">
        <v>15930</v>
      </c>
      <c r="L3129" s="17">
        <f>HYPERLINK("http://www.useget.com", "www.useget.com")</f>
      </c>
      <c r="M3129" s="17">
        <f>HYPERLINK("https://my.pitchbook.com?c=222649-66", "View Company Online")</f>
      </c>
    </row>
    <row r="3130">
      <c r="A3130" t="s" s="10">
        <v>15932</v>
      </c>
      <c r="B3130" t="s" s="10">
        <v>15933</v>
      </c>
      <c r="C3130" t="s" s="10">
        <v>60</v>
      </c>
      <c r="D3130" t="s" s="10">
        <v>432</v>
      </c>
      <c r="E3130" t="s" s="10">
        <v>634</v>
      </c>
      <c r="F3130" s="27">
        <v>45727</v>
      </c>
      <c r="G3130" t="s" s="10">
        <v>4267</v>
      </c>
      <c r="H3130" s="42">
        <v>2.63</v>
      </c>
      <c r="I3130" s="42">
        <v>7.05</v>
      </c>
      <c r="J3130" t="s" s="10">
        <v>15934</v>
      </c>
      <c r="K3130" t="s" s="10">
        <v>15935</v>
      </c>
      <c r="L3130" s="16">
        <f>HYPERLINK("http://www.bton.ai", "www.bton.ai")</f>
      </c>
      <c r="M3130" s="16">
        <f>HYPERLINK("https://my.pitchbook.com?c=432508-96", "View Company Online")</f>
      </c>
    </row>
    <row r="3131">
      <c r="A3131" t="s" s="11">
        <v>15937</v>
      </c>
      <c r="B3131" t="s" s="11">
        <v>15938</v>
      </c>
      <c r="C3131" t="s" s="11">
        <v>27</v>
      </c>
      <c r="D3131" t="s" s="11">
        <v>70</v>
      </c>
      <c r="E3131" t="s" s="11">
        <v>253</v>
      </c>
      <c r="F3131" s="28">
        <v>46023</v>
      </c>
      <c r="G3131" t="s" s="11">
        <v>607</v>
      </c>
      <c r="H3131" t="s" s="43">
        <v>30</v>
      </c>
      <c r="I3131" s="43">
        <v>7.05</v>
      </c>
      <c r="J3131" t="s" s="11">
        <v>15939</v>
      </c>
      <c r="K3131" t="s" s="11">
        <v>15940</v>
      </c>
      <c r="L3131" s="17">
        <f>HYPERLINK("http://www.hercle.com", "www.hercle.com")</f>
      </c>
      <c r="M3131" s="17">
        <f>HYPERLINK("https://my.pitchbook.com?c=483809-32", "View Company Online")</f>
      </c>
    </row>
    <row r="3132">
      <c r="A3132" t="s" s="10">
        <v>15942</v>
      </c>
      <c r="B3132" t="s" s="10">
        <v>15943</v>
      </c>
      <c r="C3132" t="s" s="10">
        <v>60</v>
      </c>
      <c r="D3132" t="s" s="10">
        <v>246</v>
      </c>
      <c r="E3132" t="s" s="10">
        <v>137</v>
      </c>
      <c r="F3132" s="27">
        <v>45971</v>
      </c>
      <c r="G3132" t="s" s="10">
        <v>4267</v>
      </c>
      <c r="H3132" s="42">
        <v>9.03</v>
      </c>
      <c r="I3132" s="42">
        <v>7.05</v>
      </c>
      <c r="J3132" t="s" s="10">
        <v>15944</v>
      </c>
      <c r="K3132" t="s" s="10">
        <v>15945</v>
      </c>
      <c r="L3132" s="16">
        <f>HYPERLINK("http://www.upwardli.com", "www.upwardli.com")</f>
      </c>
      <c r="M3132" s="16">
        <f>HYPERLINK("https://my.pitchbook.com?c=494972-74", "View Company Online")</f>
      </c>
    </row>
    <row r="3133">
      <c r="A3133" t="s" s="11">
        <v>15947</v>
      </c>
      <c r="B3133" t="s" s="11">
        <v>15948</v>
      </c>
      <c r="C3133" t="s" s="11">
        <v>114</v>
      </c>
      <c r="D3133" t="s" s="11">
        <v>1386</v>
      </c>
      <c r="E3133" t="s" s="11">
        <v>2695</v>
      </c>
      <c r="F3133" s="28">
        <v>45834</v>
      </c>
      <c r="G3133" t="s" s="11">
        <v>4267</v>
      </c>
      <c r="H3133" s="43">
        <v>10</v>
      </c>
      <c r="I3133" s="43">
        <v>7</v>
      </c>
      <c r="J3133" t="s" s="11">
        <v>15949</v>
      </c>
      <c r="K3133" t="s" s="11">
        <v>15950</v>
      </c>
      <c r="L3133" s="17">
        <f>HYPERLINK("http://www.adaptional.com", "www.adaptional.com")</f>
      </c>
      <c r="M3133" s="17">
        <f>HYPERLINK("https://my.pitchbook.com?c=770100-58", "View Company Online")</f>
      </c>
    </row>
    <row r="3134">
      <c r="A3134" t="s" s="10">
        <v>15952</v>
      </c>
      <c r="B3134" t="s" s="10">
        <v>15953</v>
      </c>
      <c r="C3134" t="s" s="10">
        <v>222</v>
      </c>
      <c r="D3134" t="s" s="10">
        <v>223</v>
      </c>
      <c r="E3134" t="s" s="10">
        <v>3911</v>
      </c>
      <c r="F3134" s="27">
        <v>43943</v>
      </c>
      <c r="G3134" t="s" s="10">
        <v>4267</v>
      </c>
      <c r="H3134" s="42">
        <v>1.3</v>
      </c>
      <c r="I3134" s="42">
        <v>7</v>
      </c>
      <c r="J3134" t="s" s="10">
        <v>15954</v>
      </c>
      <c r="K3134" t="s" s="10">
        <v>30</v>
      </c>
      <c r="L3134" s="16">
        <f>HYPERLINK("http://www.everysk.com", "www.everysk.com")</f>
      </c>
      <c r="M3134" s="16">
        <f>HYPERLINK("https://my.pitchbook.com?c=84790-27", "View Company Online")</f>
      </c>
    </row>
    <row r="3135">
      <c r="A3135" t="s" s="11">
        <v>15956</v>
      </c>
      <c r="B3135" t="s" s="11">
        <v>15957</v>
      </c>
      <c r="C3135" t="s" s="11">
        <v>46</v>
      </c>
      <c r="D3135" t="s" s="11">
        <v>915</v>
      </c>
      <c r="E3135" t="s" s="11">
        <v>253</v>
      </c>
      <c r="F3135" t="s" s="28">
        <v>30</v>
      </c>
      <c r="G3135" t="s" s="11">
        <v>48</v>
      </c>
      <c r="H3135" t="s" s="43">
        <v>30</v>
      </c>
      <c r="I3135" s="43">
        <v>7</v>
      </c>
      <c r="J3135" t="s" s="11">
        <v>15958</v>
      </c>
      <c r="K3135" t="s" s="11">
        <v>15959</v>
      </c>
      <c r="L3135" s="17">
        <f>HYPERLINK("http://www.missionmark.com", "www.missionmark.com")</f>
      </c>
      <c r="M3135" s="17">
        <f>HYPERLINK("https://my.pitchbook.com?c=166368-61", "View Company Online")</f>
      </c>
    </row>
    <row r="3136">
      <c r="A3136" t="s" s="10">
        <v>15961</v>
      </c>
      <c r="B3136" t="s" s="10">
        <v>15962</v>
      </c>
      <c r="C3136" t="s" s="10">
        <v>144</v>
      </c>
      <c r="D3136" t="s" s="10">
        <v>38</v>
      </c>
      <c r="E3136" t="s" s="10">
        <v>270</v>
      </c>
      <c r="F3136" s="27">
        <v>45581</v>
      </c>
      <c r="G3136" t="s" s="10">
        <v>2651</v>
      </c>
      <c r="H3136" s="42">
        <v>0.1</v>
      </c>
      <c r="I3136" s="42">
        <v>7</v>
      </c>
      <c r="J3136" t="s" s="10">
        <v>15963</v>
      </c>
      <c r="K3136" t="s" s="10">
        <v>15964</v>
      </c>
      <c r="L3136" s="16">
        <f>HYPERLINK("http://www.tradelenda.com", "www.tradelenda.com")</f>
      </c>
      <c r="M3136" s="16">
        <f>HYPERLINK("https://my.pitchbook.com?c=492783-31", "View Company Online")</f>
      </c>
    </row>
    <row r="3137">
      <c r="A3137" t="s" s="11">
        <v>15966</v>
      </c>
      <c r="B3137" t="s" s="11">
        <v>15967</v>
      </c>
      <c r="C3137" t="s" s="11">
        <v>60</v>
      </c>
      <c r="D3137" t="s" s="11">
        <v>432</v>
      </c>
      <c r="E3137" t="s" s="11">
        <v>373</v>
      </c>
      <c r="F3137" s="28">
        <v>45824</v>
      </c>
      <c r="G3137" t="s" s="11">
        <v>4267</v>
      </c>
      <c r="H3137" s="43">
        <v>2</v>
      </c>
      <c r="I3137" s="43">
        <v>7</v>
      </c>
      <c r="J3137" t="s" s="11">
        <v>15968</v>
      </c>
      <c r="K3137" t="s" s="11">
        <v>15969</v>
      </c>
      <c r="L3137" s="17">
        <f>HYPERLINK("http://www.xfolio.ai", "www.xfolio.ai")</f>
      </c>
      <c r="M3137" s="17">
        <f>HYPERLINK("https://my.pitchbook.com?c=865553-41", "View Company Online")</f>
      </c>
    </row>
    <row r="3138">
      <c r="A3138" t="s" s="10">
        <v>15971</v>
      </c>
      <c r="B3138" t="s" s="10">
        <v>15972</v>
      </c>
      <c r="C3138" t="s" s="10">
        <v>164</v>
      </c>
      <c r="D3138" t="s" s="10">
        <v>206</v>
      </c>
      <c r="E3138" t="s" s="10">
        <v>259</v>
      </c>
      <c r="F3138" s="27">
        <v>44174</v>
      </c>
      <c r="G3138" t="s" s="10">
        <v>40</v>
      </c>
      <c r="H3138" s="42">
        <v>0.94</v>
      </c>
      <c r="I3138" s="42">
        <v>6.95</v>
      </c>
      <c r="J3138" t="s" s="10">
        <v>15973</v>
      </c>
      <c r="K3138" t="s" s="10">
        <v>15974</v>
      </c>
      <c r="L3138" s="16">
        <f>HYPERLINK("http://www.spiderg.com", "www.spiderg.com")</f>
      </c>
      <c r="M3138" s="16">
        <f>HYPERLINK("https://my.pitchbook.com?c=161706-07", "View Company Online")</f>
      </c>
    </row>
    <row r="3139">
      <c r="A3139" t="s" s="11">
        <v>15976</v>
      </c>
      <c r="B3139" t="s" s="11">
        <v>15977</v>
      </c>
      <c r="C3139" t="s" s="11">
        <v>60</v>
      </c>
      <c r="D3139" t="s" s="11">
        <v>192</v>
      </c>
      <c r="E3139" t="s" s="11">
        <v>137</v>
      </c>
      <c r="F3139" s="28">
        <v>45070</v>
      </c>
      <c r="G3139" t="s" s="11">
        <v>271</v>
      </c>
      <c r="H3139" s="43">
        <v>0.68</v>
      </c>
      <c r="I3139" s="43">
        <v>6.93</v>
      </c>
      <c r="J3139" t="s" s="11">
        <v>15978</v>
      </c>
      <c r="K3139" t="s" s="11">
        <v>30</v>
      </c>
      <c r="L3139" s="17">
        <f>HYPERLINK("http://www.stellarfusion.io", "www.stellarfusion.io")</f>
      </c>
      <c r="M3139" s="17">
        <f>HYPERLINK("https://my.pitchbook.com?c=503075-17", "View Company Online")</f>
      </c>
    </row>
    <row r="3140">
      <c r="A3140" t="s" s="10">
        <v>15980</v>
      </c>
      <c r="B3140" t="s" s="10">
        <v>15981</v>
      </c>
      <c r="C3140" t="s" s="10">
        <v>172</v>
      </c>
      <c r="D3140" t="s" s="10">
        <v>338</v>
      </c>
      <c r="E3140" t="s" s="10">
        <v>414</v>
      </c>
      <c r="F3140" s="27">
        <v>44222</v>
      </c>
      <c r="G3140" t="s" s="10">
        <v>40</v>
      </c>
      <c r="H3140" s="42">
        <v>1.82</v>
      </c>
      <c r="I3140" s="42">
        <v>6.93</v>
      </c>
      <c r="J3140" t="s" s="10">
        <v>15982</v>
      </c>
      <c r="K3140" t="s" s="10">
        <v>15983</v>
      </c>
      <c r="L3140" s="16">
        <f>HYPERLINK("http://www.tetrao.eu", "www.tetrao.eu")</f>
      </c>
      <c r="M3140" s="16">
        <f>HYPERLINK("https://my.pitchbook.com?c=230440-24", "View Company Online")</f>
      </c>
    </row>
    <row r="3141">
      <c r="A3141" t="s" s="11">
        <v>15985</v>
      </c>
      <c r="B3141" t="s" s="11">
        <v>15986</v>
      </c>
      <c r="C3141" t="s" s="11">
        <v>60</v>
      </c>
      <c r="D3141" t="s" s="11">
        <v>727</v>
      </c>
      <c r="E3141" t="s" s="11">
        <v>137</v>
      </c>
      <c r="F3141" s="28">
        <v>45468</v>
      </c>
      <c r="G3141" t="s" s="11">
        <v>4267</v>
      </c>
      <c r="H3141" s="43">
        <v>1.5</v>
      </c>
      <c r="I3141" s="43">
        <v>6.92</v>
      </c>
      <c r="J3141" t="s" s="11">
        <v>15987</v>
      </c>
      <c r="K3141" t="s" s="11">
        <v>15988</v>
      </c>
      <c r="L3141" s="17">
        <f>HYPERLINK("http://www.bizhare.id", "www.bizhare.id")</f>
      </c>
      <c r="M3141" s="17">
        <f>HYPERLINK("https://my.pitchbook.com?c=327371-14", "View Company Online")</f>
      </c>
    </row>
    <row r="3142">
      <c r="A3142" t="s" s="10">
        <v>15990</v>
      </c>
      <c r="B3142" t="s" s="10">
        <v>15991</v>
      </c>
      <c r="C3142" t="s" s="10">
        <v>164</v>
      </c>
      <c r="D3142" t="s" s="10">
        <v>206</v>
      </c>
      <c r="E3142" t="s" s="10">
        <v>951</v>
      </c>
      <c r="F3142" s="27">
        <v>44197</v>
      </c>
      <c r="G3142" t="s" s="10">
        <v>146</v>
      </c>
      <c r="H3142" s="42">
        <v>0.93</v>
      </c>
      <c r="I3142" s="42">
        <v>6.92</v>
      </c>
      <c r="J3142" t="s" s="10">
        <v>15992</v>
      </c>
      <c r="K3142" t="s" s="10">
        <v>15993</v>
      </c>
      <c r="L3142" s="16">
        <f>HYPERLINK("http://www.pingpayments.com", "www.pingpayments.com")</f>
      </c>
      <c r="M3142" s="16">
        <f>HYPERLINK("https://my.pitchbook.com?c=509390-02", "View Company Online")</f>
      </c>
    </row>
    <row r="3143">
      <c r="A3143" t="s" s="11">
        <v>15995</v>
      </c>
      <c r="B3143" t="s" s="11">
        <v>15996</v>
      </c>
      <c r="C3143" t="s" s="11">
        <v>222</v>
      </c>
      <c r="D3143" t="s" s="11">
        <v>235</v>
      </c>
      <c r="E3143" t="s" s="11">
        <v>137</v>
      </c>
      <c r="F3143" s="28">
        <v>45868</v>
      </c>
      <c r="G3143" t="s" s="11">
        <v>40</v>
      </c>
      <c r="H3143" t="s" s="43">
        <v>30</v>
      </c>
      <c r="I3143" s="43">
        <v>6.9</v>
      </c>
      <c r="J3143" t="s" s="11">
        <v>15997</v>
      </c>
      <c r="K3143" t="s" s="11">
        <v>15998</v>
      </c>
      <c r="L3143" s="17">
        <f>HYPERLINK("http://www.antler.co", "www.antler.co")</f>
      </c>
      <c r="M3143" s="17">
        <f>HYPERLINK("https://my.pitchbook.com?c=226809-01", "View Company Online")</f>
      </c>
    </row>
    <row r="3144">
      <c r="A3144" t="s" s="10">
        <v>16000</v>
      </c>
      <c r="B3144" t="s" s="10">
        <v>16001</v>
      </c>
      <c r="C3144" t="s" s="10">
        <v>144</v>
      </c>
      <c r="D3144" t="s" s="10">
        <v>38</v>
      </c>
      <c r="E3144" t="s" s="10">
        <v>253</v>
      </c>
      <c r="F3144" s="27">
        <v>45298</v>
      </c>
      <c r="G3144" t="s" s="10">
        <v>3139</v>
      </c>
      <c r="H3144" t="s" s="42">
        <v>30</v>
      </c>
      <c r="I3144" s="42">
        <v>6.9</v>
      </c>
      <c r="J3144" t="s" s="10">
        <v>16002</v>
      </c>
      <c r="K3144" t="s" s="10">
        <v>16003</v>
      </c>
      <c r="L3144" s="16">
        <f>HYPERLINK("http://www.eftcorp.com", "www.eftcorp.com")</f>
      </c>
      <c r="M3144" s="16">
        <f>HYPERLINK("https://my.pitchbook.com?c=277687-27", "View Company Online")</f>
      </c>
    </row>
    <row r="3145">
      <c r="A3145" t="s" s="11">
        <v>16005</v>
      </c>
      <c r="B3145" t="s" s="11">
        <v>16006</v>
      </c>
      <c r="C3145" t="s" s="11">
        <v>60</v>
      </c>
      <c r="D3145" t="s" s="11">
        <v>61</v>
      </c>
      <c r="E3145" t="s" s="11">
        <v>62</v>
      </c>
      <c r="F3145" s="28">
        <v>45930</v>
      </c>
      <c r="G3145" t="s" s="11">
        <v>40</v>
      </c>
      <c r="H3145" s="43">
        <v>20</v>
      </c>
      <c r="I3145" s="43">
        <v>6.9</v>
      </c>
      <c r="J3145" t="s" s="11">
        <v>16007</v>
      </c>
      <c r="K3145" t="s" s="11">
        <v>16008</v>
      </c>
      <c r="L3145" s="17">
        <f>HYPERLINK("http://www.lemon.me", "www.lemon.me")</f>
      </c>
      <c r="M3145" s="17">
        <f>HYPERLINK("https://my.pitchbook.com?c=442355-59", "View Company Online")</f>
      </c>
    </row>
    <row r="3146">
      <c r="A3146" t="s" s="10">
        <v>16010</v>
      </c>
      <c r="B3146" t="s" s="10">
        <v>16011</v>
      </c>
      <c r="C3146" t="s" s="10">
        <v>114</v>
      </c>
      <c r="D3146" t="s" s="10">
        <v>136</v>
      </c>
      <c r="E3146" t="s" s="10">
        <v>16012</v>
      </c>
      <c r="F3146" s="27">
        <v>45904</v>
      </c>
      <c r="G3146" t="s" s="10">
        <v>4427</v>
      </c>
      <c r="H3146" t="s" s="42">
        <v>30</v>
      </c>
      <c r="I3146" s="42">
        <v>6.88</v>
      </c>
      <c r="J3146" t="s" s="10">
        <v>16013</v>
      </c>
      <c r="K3146" t="s" s="10">
        <v>30</v>
      </c>
      <c r="L3146" s="16">
        <f>HYPERLINK("http://www.bond180.com", "www.bond180.com")</f>
      </c>
      <c r="M3146" s="16">
        <f>HYPERLINK("https://my.pitchbook.com?c=432676-36", "View Company Online")</f>
      </c>
    </row>
    <row r="3147">
      <c r="A3147" t="s" s="11">
        <v>16015</v>
      </c>
      <c r="B3147" t="s" s="11">
        <v>16016</v>
      </c>
      <c r="C3147" t="s" s="11">
        <v>114</v>
      </c>
      <c r="D3147" t="s" s="11">
        <v>136</v>
      </c>
      <c r="E3147" t="s" s="11">
        <v>15151</v>
      </c>
      <c r="F3147" s="28">
        <v>46003</v>
      </c>
      <c r="G3147" t="s" s="11">
        <v>391</v>
      </c>
      <c r="H3147" t="s" s="43">
        <v>30</v>
      </c>
      <c r="I3147" s="43">
        <v>6.88</v>
      </c>
      <c r="J3147" t="s" s="11">
        <v>16017</v>
      </c>
      <c r="K3147" t="s" s="11">
        <v>30</v>
      </c>
      <c r="L3147" s="17">
        <f>HYPERLINK("http://www.loveelectric.cars", "www.loveelectric.cars")</f>
      </c>
      <c r="M3147" s="17">
        <f>HYPERLINK("https://my.pitchbook.com?c=491066-29", "View Company Online")</f>
      </c>
    </row>
    <row r="3148">
      <c r="A3148" t="s" s="10">
        <v>16019</v>
      </c>
      <c r="B3148" t="s" s="10">
        <v>16020</v>
      </c>
      <c r="C3148" t="s" s="10">
        <v>164</v>
      </c>
      <c r="D3148" t="s" s="10">
        <v>165</v>
      </c>
      <c r="E3148" t="s" s="10">
        <v>253</v>
      </c>
      <c r="F3148" s="27">
        <v>45626</v>
      </c>
      <c r="G3148" t="s" s="10">
        <v>607</v>
      </c>
      <c r="H3148" t="s" s="42">
        <v>30</v>
      </c>
      <c r="I3148" s="42">
        <v>6.88</v>
      </c>
      <c r="J3148" t="s" s="10">
        <v>16021</v>
      </c>
      <c r="K3148" t="s" s="10">
        <v>16022</v>
      </c>
      <c r="L3148" s="16">
        <f>HYPERLINK("http://sommosapp.com", "sommosapp.com")</f>
      </c>
      <c r="M3148" s="16">
        <f>HYPERLINK("https://my.pitchbook.com?c=520035-85", "View Company Online")</f>
      </c>
    </row>
    <row r="3149">
      <c r="A3149" t="s" s="11">
        <v>16024</v>
      </c>
      <c r="B3149" t="s" s="11">
        <v>16025</v>
      </c>
      <c r="C3149" t="s" s="11">
        <v>114</v>
      </c>
      <c r="D3149" t="s" s="11">
        <v>852</v>
      </c>
      <c r="E3149" t="s" s="11">
        <v>137</v>
      </c>
      <c r="F3149" s="28">
        <v>43769</v>
      </c>
      <c r="G3149" t="s" s="11">
        <v>31</v>
      </c>
      <c r="H3149" s="43">
        <v>82.88</v>
      </c>
      <c r="I3149" s="43">
        <v>6.86</v>
      </c>
      <c r="J3149" t="s" s="11">
        <v>16026</v>
      </c>
      <c r="K3149" t="s" s="11">
        <v>16027</v>
      </c>
      <c r="L3149" s="17">
        <f>HYPERLINK("http://www.flender.ie", "www.flender.ie")</f>
      </c>
      <c r="M3149" s="17">
        <f>HYPERLINK("https://my.pitchbook.com?c=168676-57", "View Company Online")</f>
      </c>
    </row>
    <row r="3150">
      <c r="A3150" t="s" s="10">
        <v>16029</v>
      </c>
      <c r="B3150" t="s" s="10">
        <v>16030</v>
      </c>
      <c r="C3150" t="s" s="10">
        <v>114</v>
      </c>
      <c r="D3150" t="s" s="10">
        <v>1386</v>
      </c>
      <c r="E3150" t="s" s="10">
        <v>137</v>
      </c>
      <c r="F3150" s="27">
        <v>44460</v>
      </c>
      <c r="G3150" t="s" s="10">
        <v>146</v>
      </c>
      <c r="H3150" s="42">
        <v>10</v>
      </c>
      <c r="I3150" s="42">
        <v>6.86</v>
      </c>
      <c r="J3150" t="s" s="10">
        <v>16031</v>
      </c>
      <c r="K3150" t="s" s="10">
        <v>30</v>
      </c>
      <c r="L3150" s="16">
        <f>HYPERLINK("http://www.gnugridcrb.com", "www.gnugridcrb.com")</f>
      </c>
      <c r="M3150" s="16">
        <f>HYPERLINK("https://my.pitchbook.com?c=460112-95", "View Company Online")</f>
      </c>
    </row>
    <row r="3151">
      <c r="A3151" t="s" s="11">
        <v>16033</v>
      </c>
      <c r="B3151" t="s" s="11">
        <v>16034</v>
      </c>
      <c r="C3151" t="s" s="11">
        <v>128</v>
      </c>
      <c r="D3151" t="s" s="11">
        <v>276</v>
      </c>
      <c r="E3151" t="s" s="11">
        <v>193</v>
      </c>
      <c r="F3151" s="28">
        <v>44531</v>
      </c>
      <c r="G3151" t="s" s="11">
        <v>271</v>
      </c>
      <c r="H3151" s="43">
        <v>1.76</v>
      </c>
      <c r="I3151" s="43">
        <v>6.83</v>
      </c>
      <c r="J3151" t="s" s="11">
        <v>16035</v>
      </c>
      <c r="K3151" t="s" s="11">
        <v>16036</v>
      </c>
      <c r="L3151" s="17">
        <f>HYPERLINK("http://www.easypol.io", "www.easypol.io")</f>
      </c>
      <c r="M3151" s="17">
        <f>HYPERLINK("https://my.pitchbook.com?c=459952-66", "View Company Online")</f>
      </c>
    </row>
    <row r="3152">
      <c r="A3152" t="s" s="10">
        <v>16038</v>
      </c>
      <c r="B3152" t="s" s="10">
        <v>16039</v>
      </c>
      <c r="C3152" t="s" s="10">
        <v>164</v>
      </c>
      <c r="D3152" t="s" s="10">
        <v>206</v>
      </c>
      <c r="E3152" t="s" s="10">
        <v>16040</v>
      </c>
      <c r="F3152" s="27">
        <v>45805</v>
      </c>
      <c r="G3152" t="s" s="10">
        <v>5274</v>
      </c>
      <c r="H3152" s="42">
        <v>1.27</v>
      </c>
      <c r="I3152" s="42">
        <v>6.83</v>
      </c>
      <c r="J3152" t="s" s="10">
        <v>16041</v>
      </c>
      <c r="K3152" t="s" s="10">
        <v>30</v>
      </c>
      <c r="L3152" s="16">
        <f>HYPERLINK("http://www.permutable.ai", "www.permutable.ai")</f>
      </c>
      <c r="M3152" s="16">
        <f>HYPERLINK("https://my.pitchbook.com?c=503303-86", "View Company Online")</f>
      </c>
    </row>
    <row r="3153">
      <c r="A3153" t="s" s="11">
        <v>16043</v>
      </c>
      <c r="B3153" t="s" s="11">
        <v>16044</v>
      </c>
      <c r="C3153" t="s" s="11">
        <v>128</v>
      </c>
      <c r="D3153" t="s" s="11">
        <v>129</v>
      </c>
      <c r="E3153" t="s" s="11">
        <v>1054</v>
      </c>
      <c r="F3153" t="s" s="28">
        <v>30</v>
      </c>
      <c r="G3153" t="s" s="11">
        <v>48</v>
      </c>
      <c r="H3153" t="s" s="43">
        <v>30</v>
      </c>
      <c r="I3153" s="43">
        <v>6.81</v>
      </c>
      <c r="J3153" t="s" s="11">
        <v>16045</v>
      </c>
      <c r="K3153" t="s" s="11">
        <v>16046</v>
      </c>
      <c r="L3153" s="17">
        <f>HYPERLINK("http://www.airtime.co.uk", "www.airtime.co.uk")</f>
      </c>
      <c r="M3153" s="17">
        <f>HYPERLINK("https://my.pitchbook.com?c=223068-97", "View Company Online")</f>
      </c>
    </row>
    <row r="3154">
      <c r="A3154" t="s" s="10">
        <v>16048</v>
      </c>
      <c r="B3154" t="s" s="10">
        <v>16049</v>
      </c>
      <c r="C3154" t="s" s="10">
        <v>60</v>
      </c>
      <c r="D3154" t="s" s="10">
        <v>727</v>
      </c>
      <c r="E3154" t="s" s="10">
        <v>137</v>
      </c>
      <c r="F3154" s="27">
        <v>43525</v>
      </c>
      <c r="G3154" t="s" s="10">
        <v>40</v>
      </c>
      <c r="H3154" s="42">
        <v>0.34</v>
      </c>
      <c r="I3154" s="42">
        <v>6.81</v>
      </c>
      <c r="J3154" t="s" s="10">
        <v>16050</v>
      </c>
      <c r="K3154" t="s" s="10">
        <v>16051</v>
      </c>
      <c r="L3154" s="16">
        <f>HYPERLINK("http://www.leapfunder.com", "www.leapfunder.com")</f>
      </c>
      <c r="M3154" s="16">
        <f>HYPERLINK("https://my.pitchbook.com?c=102139-12", "View Company Online")</f>
      </c>
    </row>
    <row r="3155">
      <c r="A3155" t="s" s="11">
        <v>16053</v>
      </c>
      <c r="B3155" t="s" s="11">
        <v>16054</v>
      </c>
      <c r="C3155" t="s" s="11">
        <v>114</v>
      </c>
      <c r="D3155" t="s" s="11">
        <v>1386</v>
      </c>
      <c r="E3155" t="s" s="11">
        <v>2293</v>
      </c>
      <c r="F3155" s="28">
        <v>44896</v>
      </c>
      <c r="G3155" t="s" s="11">
        <v>146</v>
      </c>
      <c r="H3155" s="43">
        <v>1.27</v>
      </c>
      <c r="I3155" s="43">
        <v>6.8</v>
      </c>
      <c r="J3155" t="s" s="11">
        <v>16055</v>
      </c>
      <c r="K3155" t="s" s="11">
        <v>16056</v>
      </c>
      <c r="L3155" s="17">
        <f>HYPERLINK("http://www.rease.co.jp", "www.rease.co.jp")</f>
      </c>
      <c r="M3155" s="17">
        <f>HYPERLINK("https://my.pitchbook.com?c=433605-61", "View Company Online")</f>
      </c>
    </row>
    <row r="3156">
      <c r="A3156" t="s" s="10">
        <v>16058</v>
      </c>
      <c r="B3156" t="s" s="10">
        <v>16059</v>
      </c>
      <c r="C3156" t="s" s="10">
        <v>60</v>
      </c>
      <c r="D3156" t="s" s="10">
        <v>246</v>
      </c>
      <c r="E3156" t="s" s="10">
        <v>270</v>
      </c>
      <c r="F3156" t="s" s="27">
        <v>30</v>
      </c>
      <c r="G3156" t="s" s="10">
        <v>146</v>
      </c>
      <c r="H3156" t="s" s="42">
        <v>30</v>
      </c>
      <c r="I3156" s="42">
        <v>6.78</v>
      </c>
      <c r="J3156" t="s" s="10">
        <v>16060</v>
      </c>
      <c r="K3156" t="s" s="10">
        <v>16061</v>
      </c>
      <c r="L3156" s="16">
        <f>HYPERLINK("http://www.horde.no", "www.horde.no")</f>
      </c>
      <c r="M3156" s="16">
        <f>HYPERLINK("https://my.pitchbook.com?c=454341-79", "View Company Online")</f>
      </c>
    </row>
    <row r="3157">
      <c r="A3157" t="s" s="11">
        <v>16063</v>
      </c>
      <c r="B3157" t="s" s="11">
        <v>16064</v>
      </c>
      <c r="C3157" t="s" s="11">
        <v>27</v>
      </c>
      <c r="D3157" t="s" s="11">
        <v>28</v>
      </c>
      <c r="E3157" t="s" s="11">
        <v>253</v>
      </c>
      <c r="F3157" s="28">
        <v>45013</v>
      </c>
      <c r="G3157" t="s" s="11">
        <v>146</v>
      </c>
      <c r="H3157" s="43">
        <v>5.5</v>
      </c>
      <c r="I3157" s="43">
        <v>6.77</v>
      </c>
      <c r="J3157" t="s" s="11">
        <v>16065</v>
      </c>
      <c r="K3157" t="s" s="11">
        <v>16066</v>
      </c>
      <c r="L3157" s="17">
        <f>HYPERLINK("http://www.nimbbl.biz", "www.nimbbl.biz")</f>
      </c>
      <c r="M3157" s="17">
        <f>HYPERLINK("https://my.pitchbook.com?c=489347-65", "View Company Online")</f>
      </c>
    </row>
    <row r="3158">
      <c r="A3158" t="s" s="10">
        <v>16068</v>
      </c>
      <c r="B3158" t="s" s="10">
        <v>16069</v>
      </c>
      <c r="C3158" t="s" s="10">
        <v>27</v>
      </c>
      <c r="D3158" t="s" s="10">
        <v>28</v>
      </c>
      <c r="E3158" t="s" s="10">
        <v>1065</v>
      </c>
      <c r="F3158" s="27">
        <v>45749</v>
      </c>
      <c r="G3158" t="s" s="10">
        <v>146</v>
      </c>
      <c r="H3158" s="42">
        <v>0.92</v>
      </c>
      <c r="I3158" s="42">
        <v>6.74</v>
      </c>
      <c r="J3158" t="s" s="10">
        <v>16070</v>
      </c>
      <c r="K3158" t="s" s="10">
        <v>30</v>
      </c>
      <c r="L3158" s="16">
        <f>HYPERLINK("http://www.emenunow.com", "www.emenunow.com")</f>
      </c>
      <c r="M3158" s="16">
        <f>HYPERLINK("https://my.pitchbook.com?c=500941-81", "View Company Online")</f>
      </c>
    </row>
    <row r="3159">
      <c r="A3159" t="s" s="11">
        <v>16072</v>
      </c>
      <c r="B3159" t="s" s="11">
        <v>16073</v>
      </c>
      <c r="C3159" t="s" s="11">
        <v>144</v>
      </c>
      <c r="D3159" t="s" s="11">
        <v>297</v>
      </c>
      <c r="E3159" t="s" s="11">
        <v>137</v>
      </c>
      <c r="F3159" s="28">
        <v>44335</v>
      </c>
      <c r="G3159" t="s" s="11">
        <v>4267</v>
      </c>
      <c r="H3159" s="43">
        <v>3.06</v>
      </c>
      <c r="I3159" s="43">
        <v>6.74</v>
      </c>
      <c r="J3159" t="s" s="11">
        <v>16074</v>
      </c>
      <c r="K3159" t="s" s="11">
        <v>16075</v>
      </c>
      <c r="L3159" s="17">
        <f>HYPERLINK("http://www.inft.co", "www.inft.co")</f>
      </c>
      <c r="M3159" s="17">
        <f>HYPERLINK("https://my.pitchbook.com?c=493024-78", "View Company Online")</f>
      </c>
    </row>
    <row r="3160">
      <c r="A3160" t="s" s="10">
        <v>16077</v>
      </c>
      <c r="B3160" t="s" s="10">
        <v>16078</v>
      </c>
      <c r="C3160" t="s" s="10">
        <v>60</v>
      </c>
      <c r="D3160" t="s" s="10">
        <v>192</v>
      </c>
      <c r="E3160" t="s" s="10">
        <v>373</v>
      </c>
      <c r="F3160" s="27">
        <v>45050</v>
      </c>
      <c r="G3160" t="s" s="10">
        <v>4267</v>
      </c>
      <c r="H3160" s="42">
        <v>1.7</v>
      </c>
      <c r="I3160" s="42">
        <v>6.7</v>
      </c>
      <c r="J3160" t="s" s="10">
        <v>16079</v>
      </c>
      <c r="K3160" t="s" s="10">
        <v>16080</v>
      </c>
      <c r="L3160" s="16">
        <f>HYPERLINK("http://www.mezzi.com", "www.mezzi.com")</f>
      </c>
      <c r="M3160" s="16">
        <f>HYPERLINK("https://my.pitchbook.com?c=467209-81", "View Company Online")</f>
      </c>
    </row>
    <row r="3161">
      <c r="A3161" t="s" s="11">
        <v>16082</v>
      </c>
      <c r="B3161" t="s" s="11">
        <v>16083</v>
      </c>
      <c r="C3161" t="s" s="11">
        <v>114</v>
      </c>
      <c r="D3161" t="s" s="11">
        <v>1386</v>
      </c>
      <c r="E3161" t="s" s="11">
        <v>4786</v>
      </c>
      <c r="F3161" s="28">
        <v>45420</v>
      </c>
      <c r="G3161" t="s" s="11">
        <v>4267</v>
      </c>
      <c r="H3161" s="43">
        <v>1.7</v>
      </c>
      <c r="I3161" s="43">
        <v>6.7</v>
      </c>
      <c r="J3161" t="s" s="11">
        <v>16084</v>
      </c>
      <c r="K3161" t="s" s="11">
        <v>16085</v>
      </c>
      <c r="L3161" s="17">
        <f>HYPERLINK("http://www.saaffinance.com", "www.saaffinance.com")</f>
      </c>
      <c r="M3161" s="17">
        <f>HYPERLINK("https://my.pitchbook.com?c=545117-95", "View Company Online")</f>
      </c>
    </row>
    <row r="3162">
      <c r="A3162" t="s" s="10">
        <v>16087</v>
      </c>
      <c r="B3162" t="s" s="10">
        <v>16088</v>
      </c>
      <c r="C3162" t="s" s="10">
        <v>114</v>
      </c>
      <c r="D3162" t="s" s="10">
        <v>852</v>
      </c>
      <c r="E3162" t="s" s="10">
        <v>2226</v>
      </c>
      <c r="F3162" t="s" s="27">
        <v>30</v>
      </c>
      <c r="G3162" t="s" s="10">
        <v>40</v>
      </c>
      <c r="H3162" s="42">
        <v>15</v>
      </c>
      <c r="I3162" s="42">
        <v>6.68</v>
      </c>
      <c r="J3162" t="s" s="10">
        <v>16089</v>
      </c>
      <c r="K3162" t="s" s="10">
        <v>16090</v>
      </c>
      <c r="L3162" s="16">
        <f>HYPERLINK("http://www.finessart.ai", "www.finessart.ai")</f>
      </c>
      <c r="M3162" s="16">
        <f>HYPERLINK("https://my.pitchbook.com?c=227224-72", "View Company Online")</f>
      </c>
    </row>
    <row r="3163">
      <c r="A3163" t="s" s="11">
        <v>16092</v>
      </c>
      <c r="B3163" t="s" s="11">
        <v>16093</v>
      </c>
      <c r="C3163" t="s" s="11">
        <v>60</v>
      </c>
      <c r="D3163" t="s" s="11">
        <v>727</v>
      </c>
      <c r="E3163" t="s" s="11">
        <v>859</v>
      </c>
      <c r="F3163" s="28">
        <v>45873</v>
      </c>
      <c r="G3163" t="s" s="11">
        <v>40</v>
      </c>
      <c r="H3163" t="s" s="43">
        <v>30</v>
      </c>
      <c r="I3163" s="43">
        <v>6.68</v>
      </c>
      <c r="J3163" t="s" s="11">
        <v>16094</v>
      </c>
      <c r="K3163" t="s" s="11">
        <v>16095</v>
      </c>
      <c r="L3163" s="17">
        <f>HYPERLINK("http://www.kriptown.com", "www.kriptown.com")</f>
      </c>
      <c r="M3163" s="17">
        <f>HYPERLINK("https://my.pitchbook.com?c=292754-80", "View Company Online")</f>
      </c>
    </row>
    <row r="3164">
      <c r="A3164" t="s" s="10">
        <v>16097</v>
      </c>
      <c r="B3164" t="s" s="10">
        <v>16098</v>
      </c>
      <c r="C3164" t="s" s="10">
        <v>60</v>
      </c>
      <c r="D3164" t="s" s="10">
        <v>727</v>
      </c>
      <c r="E3164" t="s" s="10">
        <v>137</v>
      </c>
      <c r="F3164" s="27">
        <v>45919</v>
      </c>
      <c r="G3164" t="s" s="10">
        <v>40</v>
      </c>
      <c r="H3164" s="42">
        <v>1.92</v>
      </c>
      <c r="I3164" s="42">
        <v>6.67</v>
      </c>
      <c r="J3164" t="s" s="10">
        <v>16099</v>
      </c>
      <c r="K3164" t="s" s="10">
        <v>16100</v>
      </c>
      <c r="L3164" s="16">
        <f>HYPERLINK("http://www.kilde.sg", "www.kilde.sg")</f>
      </c>
      <c r="M3164" s="16">
        <f>HYPERLINK("https://my.pitchbook.com?c=464210-56", "View Company Online")</f>
      </c>
    </row>
    <row r="3165">
      <c r="A3165" t="s" s="11">
        <v>16102</v>
      </c>
      <c r="B3165" t="s" s="11">
        <v>16103</v>
      </c>
      <c r="C3165" t="s" s="11">
        <v>27</v>
      </c>
      <c r="D3165" t="s" s="11">
        <v>28</v>
      </c>
      <c r="E3165" t="s" s="11">
        <v>1859</v>
      </c>
      <c r="F3165" t="s" s="28">
        <v>30</v>
      </c>
      <c r="G3165" t="s" s="11">
        <v>607</v>
      </c>
      <c r="H3165" t="s" s="43">
        <v>30</v>
      </c>
      <c r="I3165" s="43">
        <v>6.67</v>
      </c>
      <c r="J3165" t="s" s="11">
        <v>16104</v>
      </c>
      <c r="K3165" t="s" s="11">
        <v>16105</v>
      </c>
      <c r="L3165" s="17">
        <f>HYPERLINK("http://www.mobilexpress.com.tr", "www.mobilexpress.com.tr")</f>
      </c>
      <c r="M3165" s="17">
        <f>HYPERLINK("https://my.pitchbook.com?c=437544-82", "View Company Online")</f>
      </c>
    </row>
    <row r="3166">
      <c r="A3166" t="s" s="10">
        <v>16107</v>
      </c>
      <c r="B3166" t="s" s="10">
        <v>16108</v>
      </c>
      <c r="C3166" t="s" s="10">
        <v>60</v>
      </c>
      <c r="D3166" t="s" s="10">
        <v>61</v>
      </c>
      <c r="E3166" t="s" s="10">
        <v>414</v>
      </c>
      <c r="F3166" s="27">
        <v>45658</v>
      </c>
      <c r="G3166" t="s" s="10">
        <v>607</v>
      </c>
      <c r="H3166" t="s" s="42">
        <v>30</v>
      </c>
      <c r="I3166" s="42">
        <v>6.64</v>
      </c>
      <c r="J3166" t="s" s="10">
        <v>16109</v>
      </c>
      <c r="K3166" t="s" s="10">
        <v>16110</v>
      </c>
      <c r="L3166" s="16">
        <f>HYPERLINK("http://www.savart.com", "www.savart.com")</f>
      </c>
      <c r="M3166" s="16">
        <f>HYPERLINK("https://my.pitchbook.com?c=433081-18", "View Company Online")</f>
      </c>
    </row>
    <row r="3167">
      <c r="A3167" t="s" s="11">
        <v>16112</v>
      </c>
      <c r="B3167" t="s" s="11">
        <v>16113</v>
      </c>
      <c r="C3167" t="s" s="11">
        <v>27</v>
      </c>
      <c r="D3167" t="s" s="11">
        <v>28</v>
      </c>
      <c r="E3167" t="s" s="11">
        <v>16114</v>
      </c>
      <c r="F3167" s="28">
        <v>45589</v>
      </c>
      <c r="G3167" t="s" s="11">
        <v>607</v>
      </c>
      <c r="H3167" t="s" s="43">
        <v>30</v>
      </c>
      <c r="I3167" s="43">
        <v>6.64</v>
      </c>
      <c r="J3167" t="s" s="11">
        <v>16115</v>
      </c>
      <c r="K3167" t="s" s="11">
        <v>16116</v>
      </c>
      <c r="L3167" s="17">
        <f>HYPERLINK("http://www.smartloc.link", "www.smartloc.link")</f>
      </c>
      <c r="M3167" s="17">
        <f>HYPERLINK("https://my.pitchbook.com?c=503516-80", "View Company Online")</f>
      </c>
    </row>
    <row r="3168">
      <c r="A3168" t="s" s="10">
        <v>16118</v>
      </c>
      <c r="B3168" t="s" s="10">
        <v>16119</v>
      </c>
      <c r="C3168" t="s" s="10">
        <v>114</v>
      </c>
      <c r="D3168" t="s" s="10">
        <v>852</v>
      </c>
      <c r="E3168" t="s" s="10">
        <v>973</v>
      </c>
      <c r="F3168" s="27">
        <v>45364</v>
      </c>
      <c r="G3168" t="s" s="10">
        <v>40</v>
      </c>
      <c r="H3168" t="s" s="42">
        <v>30</v>
      </c>
      <c r="I3168" s="42">
        <v>6.63</v>
      </c>
      <c r="J3168" t="s" s="10">
        <v>16120</v>
      </c>
      <c r="K3168" t="s" s="10">
        <v>16121</v>
      </c>
      <c r="L3168" s="16">
        <f>HYPERLINK("http://www.moxeyusa.com", "www.moxeyusa.com")</f>
      </c>
      <c r="M3168" s="16">
        <f>HYPERLINK("https://my.pitchbook.com?c=483301-45", "View Company Online")</f>
      </c>
    </row>
    <row r="3169">
      <c r="A3169" t="s" s="11">
        <v>16123</v>
      </c>
      <c r="B3169" t="s" s="11">
        <v>16124</v>
      </c>
      <c r="C3169" t="s" s="11">
        <v>60</v>
      </c>
      <c r="D3169" t="s" s="11">
        <v>432</v>
      </c>
      <c r="E3169" t="s" s="11">
        <v>414</v>
      </c>
      <c r="F3169" s="28">
        <v>45050</v>
      </c>
      <c r="G3169" t="s" s="11">
        <v>4267</v>
      </c>
      <c r="H3169" s="43">
        <v>1.07</v>
      </c>
      <c r="I3169" s="43">
        <v>6.61</v>
      </c>
      <c r="J3169" t="s" s="11">
        <v>16125</v>
      </c>
      <c r="K3169" t="s" s="11">
        <v>16126</v>
      </c>
      <c r="L3169" s="17">
        <f>HYPERLINK("http://www.ningi.co.uk", "www.ningi.co.uk")</f>
      </c>
      <c r="M3169" s="17">
        <f>HYPERLINK("https://my.pitchbook.com?c=493485-76", "View Company Online")</f>
      </c>
    </row>
    <row r="3170">
      <c r="A3170" t="s" s="10">
        <v>16128</v>
      </c>
      <c r="B3170" t="s" s="10">
        <v>16129</v>
      </c>
      <c r="C3170" t="s" s="10">
        <v>114</v>
      </c>
      <c r="D3170" t="s" s="10">
        <v>136</v>
      </c>
      <c r="E3170" t="s" s="10">
        <v>137</v>
      </c>
      <c r="F3170" s="27">
        <v>46082</v>
      </c>
      <c r="G3170" t="s" s="10">
        <v>146</v>
      </c>
      <c r="H3170" t="s" s="42">
        <v>30</v>
      </c>
      <c r="I3170" s="42">
        <v>6.6</v>
      </c>
      <c r="J3170" t="s" s="10">
        <v>16130</v>
      </c>
      <c r="K3170" t="s" s="10">
        <v>16131</v>
      </c>
      <c r="L3170" s="16">
        <f>HYPERLINK("http://www.embifi.in", "www.embifi.in")</f>
      </c>
      <c r="M3170" s="16">
        <f>HYPERLINK("https://my.pitchbook.com?c=503513-65", "View Company Online")</f>
      </c>
    </row>
    <row r="3171">
      <c r="A3171" t="s" s="11">
        <v>16133</v>
      </c>
      <c r="B3171" t="s" s="11">
        <v>16134</v>
      </c>
      <c r="C3171" t="s" s="11">
        <v>27</v>
      </c>
      <c r="D3171" t="s" s="11">
        <v>28</v>
      </c>
      <c r="E3171" t="s" s="11">
        <v>193</v>
      </c>
      <c r="F3171" s="28">
        <v>43640</v>
      </c>
      <c r="G3171" t="s" s="11">
        <v>40</v>
      </c>
      <c r="H3171" t="s" s="43">
        <v>30</v>
      </c>
      <c r="I3171" s="43">
        <v>6.6</v>
      </c>
      <c r="J3171" t="s" s="11">
        <v>16135</v>
      </c>
      <c r="K3171" t="s" s="11">
        <v>16136</v>
      </c>
      <c r="L3171" s="17">
        <f>HYPERLINK("http://www.mondido.com", "www.mondido.com")</f>
      </c>
      <c r="M3171" s="17">
        <f>HYPERLINK("https://my.pitchbook.com?c=98852-32", "View Company Online")</f>
      </c>
    </row>
    <row r="3172">
      <c r="A3172" t="s" s="10">
        <v>16138</v>
      </c>
      <c r="B3172" t="s" s="10">
        <v>16139</v>
      </c>
      <c r="C3172" t="s" s="10">
        <v>164</v>
      </c>
      <c r="D3172" t="s" s="10">
        <v>206</v>
      </c>
      <c r="E3172" t="s" s="10">
        <v>1859</v>
      </c>
      <c r="F3172" s="27">
        <v>44627</v>
      </c>
      <c r="G3172" t="s" s="10">
        <v>146</v>
      </c>
      <c r="H3172" s="42">
        <v>2.25</v>
      </c>
      <c r="I3172" s="42">
        <v>6.58</v>
      </c>
      <c r="J3172" t="s" s="10">
        <v>16140</v>
      </c>
      <c r="K3172" t="s" s="10">
        <v>16141</v>
      </c>
      <c r="L3172" s="16">
        <f>HYPERLINK("http://www.finshark.io", "www.finshark.io")</f>
      </c>
      <c r="M3172" s="16">
        <f>HYPERLINK("https://my.pitchbook.com?c=493949-08", "View Company Online")</f>
      </c>
    </row>
    <row r="3173">
      <c r="A3173" t="s" s="11">
        <v>16143</v>
      </c>
      <c r="B3173" t="s" s="11">
        <v>16144</v>
      </c>
      <c r="C3173" t="s" s="11">
        <v>114</v>
      </c>
      <c r="D3173" t="s" s="11">
        <v>136</v>
      </c>
      <c r="E3173" t="s" s="11">
        <v>15151</v>
      </c>
      <c r="F3173" s="28">
        <v>44543</v>
      </c>
      <c r="G3173" t="s" s="11">
        <v>4267</v>
      </c>
      <c r="H3173" s="43">
        <v>1.04</v>
      </c>
      <c r="I3173" s="43">
        <v>6.56</v>
      </c>
      <c r="J3173" t="s" s="11">
        <v>16145</v>
      </c>
      <c r="K3173" t="s" s="11">
        <v>16146</v>
      </c>
      <c r="L3173" s="17">
        <f>HYPERLINK("http://www.alter5.com", "www.alter5.com")</f>
      </c>
      <c r="M3173" s="17">
        <f>HYPERLINK("https://my.pitchbook.com?c=496362-34", "View Company Online")</f>
      </c>
    </row>
    <row r="3174">
      <c r="A3174" t="s" s="10">
        <v>16148</v>
      </c>
      <c r="B3174" t="s" s="10">
        <v>16149</v>
      </c>
      <c r="C3174" t="s" s="10">
        <v>222</v>
      </c>
      <c r="D3174" t="s" s="10">
        <v>252</v>
      </c>
      <c r="E3174" t="s" s="10">
        <v>373</v>
      </c>
      <c r="F3174" s="27">
        <v>44350</v>
      </c>
      <c r="G3174" t="s" s="10">
        <v>40</v>
      </c>
      <c r="H3174" s="42">
        <v>1.4</v>
      </c>
      <c r="I3174" s="42">
        <v>6.54</v>
      </c>
      <c r="J3174" t="s" s="10">
        <v>16150</v>
      </c>
      <c r="K3174" t="s" s="10">
        <v>16151</v>
      </c>
      <c r="L3174" s="16">
        <f>HYPERLINK("http://www.s-ancial.com", "www.s-ancial.com")</f>
      </c>
      <c r="M3174" s="16">
        <f>HYPERLINK("https://my.pitchbook.com?c=118716-22", "View Company Online")</f>
      </c>
    </row>
    <row r="3175">
      <c r="A3175" t="s" s="11">
        <v>16153</v>
      </c>
      <c r="B3175" t="s" s="11">
        <v>16154</v>
      </c>
      <c r="C3175" t="s" s="11">
        <v>27</v>
      </c>
      <c r="D3175" t="s" s="11">
        <v>70</v>
      </c>
      <c r="E3175" t="s" s="11">
        <v>15302</v>
      </c>
      <c r="F3175" t="s" s="28">
        <v>30</v>
      </c>
      <c r="G3175" t="s" s="11">
        <v>48</v>
      </c>
      <c r="H3175" t="s" s="43">
        <v>30</v>
      </c>
      <c r="I3175" s="43">
        <v>6.52</v>
      </c>
      <c r="J3175" t="s" s="11">
        <v>16155</v>
      </c>
      <c r="K3175" t="s" s="11">
        <v>16156</v>
      </c>
      <c r="L3175" s="17">
        <f>HYPERLINK("http://www.briqpay.com", "www.briqpay.com")</f>
      </c>
      <c r="M3175" s="17">
        <f>HYPERLINK("https://my.pitchbook.com?c=437449-15", "View Company Online")</f>
      </c>
    </row>
    <row r="3176">
      <c r="A3176" t="s" s="10">
        <v>16158</v>
      </c>
      <c r="B3176" t="s" s="10">
        <v>16159</v>
      </c>
      <c r="C3176" t="s" s="10">
        <v>164</v>
      </c>
      <c r="D3176" t="s" s="10">
        <v>206</v>
      </c>
      <c r="E3176" t="s" s="10">
        <v>373</v>
      </c>
      <c r="F3176" t="s" s="27">
        <v>30</v>
      </c>
      <c r="G3176" t="s" s="10">
        <v>48</v>
      </c>
      <c r="H3176" t="s" s="42">
        <v>30</v>
      </c>
      <c r="I3176" s="42">
        <v>6.52</v>
      </c>
      <c r="J3176" t="s" s="10">
        <v>16160</v>
      </c>
      <c r="K3176" t="s" s="10">
        <v>16161</v>
      </c>
      <c r="L3176" s="16">
        <f>HYPERLINK("http://klavi.ai", "klavi.ai")</f>
      </c>
      <c r="M3176" s="16">
        <f>HYPERLINK("https://my.pitchbook.com?c=467107-84", "View Company Online")</f>
      </c>
    </row>
    <row r="3177">
      <c r="A3177" t="s" s="11">
        <v>16163</v>
      </c>
      <c r="B3177" t="s" s="11">
        <v>16164</v>
      </c>
      <c r="C3177" t="s" s="11">
        <v>128</v>
      </c>
      <c r="D3177" t="s" s="11">
        <v>276</v>
      </c>
      <c r="E3177" t="s" s="11">
        <v>193</v>
      </c>
      <c r="F3177" s="28">
        <v>45805</v>
      </c>
      <c r="G3177" t="s" s="11">
        <v>4267</v>
      </c>
      <c r="H3177" s="43">
        <v>1</v>
      </c>
      <c r="I3177" s="43">
        <v>6.5</v>
      </c>
      <c r="J3177" t="s" s="11">
        <v>16165</v>
      </c>
      <c r="K3177" t="s" s="11">
        <v>16166</v>
      </c>
      <c r="L3177" s="17">
        <f>HYPERLINK("http://www.straitpay.com", "www.straitpay.com")</f>
      </c>
      <c r="M3177" s="17">
        <f>HYPERLINK("https://my.pitchbook.com?c=620660-17", "View Company Online")</f>
      </c>
    </row>
    <row r="3178">
      <c r="A3178" t="s" s="10">
        <v>16168</v>
      </c>
      <c r="B3178" t="s" s="10">
        <v>16169</v>
      </c>
      <c r="C3178" t="s" s="10">
        <v>172</v>
      </c>
      <c r="D3178" t="s" s="10">
        <v>1454</v>
      </c>
      <c r="E3178" t="s" s="10">
        <v>634</v>
      </c>
      <c r="F3178" s="27">
        <v>43556</v>
      </c>
      <c r="G3178" t="s" s="10">
        <v>146</v>
      </c>
      <c r="H3178" s="42">
        <v>1.5</v>
      </c>
      <c r="I3178" s="42">
        <v>6.5</v>
      </c>
      <c r="J3178" t="s" s="10">
        <v>16170</v>
      </c>
      <c r="K3178" t="s" s="10">
        <v>16171</v>
      </c>
      <c r="L3178" s="16">
        <f>HYPERLINK("http://www.straterix.com", "www.straterix.com")</f>
      </c>
      <c r="M3178" s="16">
        <f>HYPERLINK("https://my.pitchbook.com?c=433550-35", "View Company Online")</f>
      </c>
    </row>
    <row r="3179">
      <c r="A3179" t="s" s="11">
        <v>16173</v>
      </c>
      <c r="B3179" t="s" s="11">
        <v>16174</v>
      </c>
      <c r="C3179" t="s" s="11">
        <v>144</v>
      </c>
      <c r="D3179" t="s" s="11">
        <v>297</v>
      </c>
      <c r="E3179" t="s" s="11">
        <v>16175</v>
      </c>
      <c r="F3179" s="28">
        <v>45768</v>
      </c>
      <c r="G3179" t="s" s="11">
        <v>4267</v>
      </c>
      <c r="H3179" s="43">
        <v>1</v>
      </c>
      <c r="I3179" s="43">
        <v>6.5</v>
      </c>
      <c r="J3179" t="s" s="11">
        <v>16176</v>
      </c>
      <c r="K3179" t="s" s="11">
        <v>16177</v>
      </c>
      <c r="L3179" s="17">
        <f>HYPERLINK("http://www.supplyline.network", "www.supplyline.network")</f>
      </c>
      <c r="M3179" s="17">
        <f>HYPERLINK("https://my.pitchbook.com?c=491056-75", "View Company Online")</f>
      </c>
    </row>
    <row r="3180">
      <c r="A3180" t="s" s="10">
        <v>16179</v>
      </c>
      <c r="B3180" t="s" s="10">
        <v>16180</v>
      </c>
      <c r="C3180" t="s" s="10">
        <v>46</v>
      </c>
      <c r="D3180" t="s" s="10">
        <v>397</v>
      </c>
      <c r="E3180" t="s" s="10">
        <v>253</v>
      </c>
      <c r="F3180" s="27">
        <v>44852</v>
      </c>
      <c r="G3180" t="s" s="10">
        <v>4267</v>
      </c>
      <c r="H3180" s="42">
        <v>0.5</v>
      </c>
      <c r="I3180" s="42">
        <v>6.5</v>
      </c>
      <c r="J3180" t="s" s="10">
        <v>16181</v>
      </c>
      <c r="K3180" t="s" s="10">
        <v>16182</v>
      </c>
      <c r="L3180" s="16">
        <f>HYPERLINK("http://www.truerev.com", "www.truerev.com")</f>
      </c>
      <c r="M3180" s="16">
        <f>HYPERLINK("https://my.pitchbook.com?c=110951-74", "View Company Online")</f>
      </c>
    </row>
    <row r="3181">
      <c r="A3181" t="s" s="11">
        <v>16184</v>
      </c>
      <c r="B3181" t="s" s="11">
        <v>16185</v>
      </c>
      <c r="C3181" t="s" s="11">
        <v>27</v>
      </c>
      <c r="D3181" t="s" s="11">
        <v>28</v>
      </c>
      <c r="E3181" t="s" s="11">
        <v>253</v>
      </c>
      <c r="F3181" s="28">
        <v>44774</v>
      </c>
      <c r="G3181" t="s" s="11">
        <v>40</v>
      </c>
      <c r="H3181" t="s" s="43">
        <v>30</v>
      </c>
      <c r="I3181" s="43">
        <v>6.48</v>
      </c>
      <c r="J3181" t="s" s="11">
        <v>16186</v>
      </c>
      <c r="K3181" t="s" s="11">
        <v>16187</v>
      </c>
      <c r="L3181" s="17">
        <f>HYPERLINK("http://www.cardse.co", "www.cardse.co")</f>
      </c>
      <c r="M3181" s="17">
        <f>HYPERLINK("https://my.pitchbook.com?c=458343-01", "View Company Online")</f>
      </c>
    </row>
    <row r="3182">
      <c r="A3182" t="s" s="10">
        <v>16189</v>
      </c>
      <c r="B3182" t="s" s="10">
        <v>16190</v>
      </c>
      <c r="C3182" t="s" s="10">
        <v>164</v>
      </c>
      <c r="D3182" t="s" s="10">
        <v>206</v>
      </c>
      <c r="E3182" t="s" s="10">
        <v>193</v>
      </c>
      <c r="F3182" s="27">
        <v>44600</v>
      </c>
      <c r="G3182" t="s" s="10">
        <v>146</v>
      </c>
      <c r="H3182" t="s" s="42">
        <v>30</v>
      </c>
      <c r="I3182" s="42">
        <v>6.48</v>
      </c>
      <c r="J3182" t="s" s="10">
        <v>16191</v>
      </c>
      <c r="K3182" t="s" s="10">
        <v>16192</v>
      </c>
      <c r="L3182" s="16">
        <f>HYPERLINK("http://www.iupay.com.br", "www.iupay.com.br")</f>
      </c>
      <c r="M3182" s="16">
        <f>HYPERLINK("https://my.pitchbook.com?c=499991-41", "View Company Online")</f>
      </c>
    </row>
    <row r="3183">
      <c r="A3183" t="s" s="11">
        <v>16194</v>
      </c>
      <c r="B3183" t="s" s="11">
        <v>16195</v>
      </c>
      <c r="C3183" t="s" s="11">
        <v>164</v>
      </c>
      <c r="D3183" t="s" s="11">
        <v>206</v>
      </c>
      <c r="E3183" t="s" s="11">
        <v>1093</v>
      </c>
      <c r="F3183" t="s" s="28">
        <v>30</v>
      </c>
      <c r="G3183" t="s" s="11">
        <v>146</v>
      </c>
      <c r="H3183" t="s" s="43">
        <v>30</v>
      </c>
      <c r="I3183" s="43">
        <v>6.48</v>
      </c>
      <c r="J3183" t="s" s="11">
        <v>16196</v>
      </c>
      <c r="K3183" t="s" s="11">
        <v>16197</v>
      </c>
      <c r="L3183" s="17">
        <f>HYPERLINK("http://www.vlot.ch", "www.vlot.ch")</f>
      </c>
      <c r="M3183" s="17">
        <f>HYPERLINK("https://my.pitchbook.com?c=222736-78", "View Company Online")</f>
      </c>
    </row>
    <row r="3184">
      <c r="A3184" t="s" s="10">
        <v>16199</v>
      </c>
      <c r="B3184" t="s" s="10">
        <v>16200</v>
      </c>
      <c r="C3184" t="s" s="10">
        <v>60</v>
      </c>
      <c r="D3184" t="s" s="10">
        <v>246</v>
      </c>
      <c r="E3184" t="s" s="10">
        <v>270</v>
      </c>
      <c r="F3184" s="27">
        <v>44985</v>
      </c>
      <c r="G3184" t="s" s="10">
        <v>4267</v>
      </c>
      <c r="H3184" s="42">
        <v>0.9</v>
      </c>
      <c r="I3184" s="42">
        <v>6.46</v>
      </c>
      <c r="J3184" t="s" s="10">
        <v>16201</v>
      </c>
      <c r="K3184" t="s" s="10">
        <v>16202</v>
      </c>
      <c r="L3184" s="16">
        <f>HYPERLINK("http://www.balo.app", "www.balo.app")</f>
      </c>
      <c r="M3184" s="16">
        <f>HYPERLINK("https://my.pitchbook.com?c=101656-81", "View Company Online")</f>
      </c>
    </row>
    <row r="3185">
      <c r="A3185" t="s" s="11">
        <v>16204</v>
      </c>
      <c r="B3185" t="s" s="11">
        <v>16205</v>
      </c>
      <c r="C3185" t="s" s="11">
        <v>46</v>
      </c>
      <c r="D3185" t="s" s="11">
        <v>47</v>
      </c>
      <c r="E3185" t="s" s="11">
        <v>1964</v>
      </c>
      <c r="F3185" s="28">
        <v>46107</v>
      </c>
      <c r="G3185" t="s" s="11">
        <v>146</v>
      </c>
      <c r="H3185" s="43">
        <v>3.38</v>
      </c>
      <c r="I3185" s="43">
        <v>6.46</v>
      </c>
      <c r="J3185" t="s" s="11">
        <v>16206</v>
      </c>
      <c r="K3185" t="s" s="11">
        <v>16207</v>
      </c>
      <c r="L3185" s="17">
        <f>HYPERLINK("http://www.frefins.com", "www.frefins.com")</f>
      </c>
      <c r="M3185" s="17">
        <f>HYPERLINK("https://my.pitchbook.com?c=692422-30", "View Company Online")</f>
      </c>
    </row>
    <row r="3186">
      <c r="A3186" t="s" s="10">
        <v>16209</v>
      </c>
      <c r="B3186" t="s" s="10">
        <v>16210</v>
      </c>
      <c r="C3186" t="s" s="10">
        <v>46</v>
      </c>
      <c r="D3186" t="s" s="10">
        <v>78</v>
      </c>
      <c r="E3186" t="s" s="10">
        <v>270</v>
      </c>
      <c r="F3186" s="27">
        <v>45377</v>
      </c>
      <c r="G3186" t="s" s="10">
        <v>4267</v>
      </c>
      <c r="H3186" s="42">
        <v>2.15</v>
      </c>
      <c r="I3186" s="42">
        <v>6.44</v>
      </c>
      <c r="J3186" t="s" s="10">
        <v>16211</v>
      </c>
      <c r="K3186" t="s" s="10">
        <v>16212</v>
      </c>
      <c r="L3186" s="16">
        <f>HYPERLINK("http://www.levelft.com", "www.levelft.com")</f>
      </c>
      <c r="M3186" s="16">
        <f>HYPERLINK("https://my.pitchbook.com?c=454499-20", "View Company Online")</f>
      </c>
    </row>
    <row r="3187">
      <c r="A3187" t="s" s="11">
        <v>16214</v>
      </c>
      <c r="B3187" t="s" s="11">
        <v>16215</v>
      </c>
      <c r="C3187" t="s" s="11">
        <v>114</v>
      </c>
      <c r="D3187" t="s" s="11">
        <v>870</v>
      </c>
      <c r="E3187" t="s" s="11">
        <v>253</v>
      </c>
      <c r="F3187" t="s" s="28">
        <v>30</v>
      </c>
      <c r="G3187" t="s" s="11">
        <v>607</v>
      </c>
      <c r="H3187" t="s" s="43">
        <v>30</v>
      </c>
      <c r="I3187" s="43">
        <v>6.43</v>
      </c>
      <c r="J3187" t="s" s="11">
        <v>16216</v>
      </c>
      <c r="K3187" t="s" s="11">
        <v>16217</v>
      </c>
      <c r="L3187" s="17">
        <f>HYPERLINK("http://getkosh.com", "getkosh.com")</f>
      </c>
      <c r="M3187" s="17">
        <f>HYPERLINK("https://my.pitchbook.com?c=433409-41", "View Company Online")</f>
      </c>
    </row>
    <row r="3188">
      <c r="A3188" t="s" s="10">
        <v>16219</v>
      </c>
      <c r="B3188" t="s" s="10">
        <v>16220</v>
      </c>
      <c r="C3188" t="s" s="10">
        <v>222</v>
      </c>
      <c r="D3188" t="s" s="10">
        <v>235</v>
      </c>
      <c r="E3188" t="s" s="10">
        <v>137</v>
      </c>
      <c r="F3188" s="27">
        <v>45422</v>
      </c>
      <c r="G3188" t="s" s="10">
        <v>607</v>
      </c>
      <c r="H3188" t="s" s="42">
        <v>30</v>
      </c>
      <c r="I3188" s="42">
        <v>6.43</v>
      </c>
      <c r="J3188" t="s" s="10">
        <v>16221</v>
      </c>
      <c r="K3188" t="s" s="10">
        <v>16222</v>
      </c>
      <c r="L3188" s="16">
        <f>HYPERLINK("http://www.mergerdomo.com", "www.mergerdomo.com")</f>
      </c>
      <c r="M3188" s="16">
        <f>HYPERLINK("https://my.pitchbook.com?c=436335-31", "View Company Online")</f>
      </c>
    </row>
    <row r="3189">
      <c r="A3189" t="s" s="11">
        <v>16224</v>
      </c>
      <c r="B3189" t="s" s="11">
        <v>16225</v>
      </c>
      <c r="C3189" t="s" s="11">
        <v>27</v>
      </c>
      <c r="D3189" t="s" s="11">
        <v>122</v>
      </c>
      <c r="E3189" t="s" s="11">
        <v>16226</v>
      </c>
      <c r="F3189" s="28">
        <v>46161</v>
      </c>
      <c r="G3189" t="s" s="11">
        <v>40</v>
      </c>
      <c r="H3189" s="43">
        <v>3.51</v>
      </c>
      <c r="I3189" s="43">
        <v>6.42</v>
      </c>
      <c r="J3189" t="s" s="11">
        <v>16227</v>
      </c>
      <c r="K3189" t="s" s="11">
        <v>16228</v>
      </c>
      <c r="L3189" s="17">
        <f>HYPERLINK("http://www.aryze.io", "www.aryze.io")</f>
      </c>
      <c r="M3189" s="17">
        <f>HYPERLINK("https://my.pitchbook.com?c=277618-51", "View Company Online")</f>
      </c>
    </row>
    <row r="3190">
      <c r="A3190" t="s" s="10">
        <v>16230</v>
      </c>
      <c r="B3190" t="s" s="10">
        <v>16231</v>
      </c>
      <c r="C3190" t="s" s="10">
        <v>27</v>
      </c>
      <c r="D3190" t="s" s="10">
        <v>28</v>
      </c>
      <c r="E3190" t="s" s="10">
        <v>253</v>
      </c>
      <c r="F3190" s="27">
        <v>44959</v>
      </c>
      <c r="G3190" t="s" s="10">
        <v>40</v>
      </c>
      <c r="H3190" t="s" s="42">
        <v>30</v>
      </c>
      <c r="I3190" s="42">
        <v>6.42</v>
      </c>
      <c r="J3190" t="s" s="10">
        <v>16232</v>
      </c>
      <c r="K3190" t="s" s="10">
        <v>16233</v>
      </c>
      <c r="L3190" s="16">
        <f>HYPERLINK("http://www.qihangjinfu.com/html/mainpage.html", "www.qihangjinfu.com/html/mainpage.html")</f>
      </c>
      <c r="M3190" s="16">
        <f>HYPERLINK("https://my.pitchbook.com?c=267775-93", "View Company Online")</f>
      </c>
    </row>
    <row r="3191">
      <c r="A3191" t="s" s="11">
        <v>16235</v>
      </c>
      <c r="B3191" t="s" s="11">
        <v>16236</v>
      </c>
      <c r="C3191" t="s" s="11">
        <v>164</v>
      </c>
      <c r="D3191" t="s" s="11">
        <v>206</v>
      </c>
      <c r="E3191" t="s" s="11">
        <v>253</v>
      </c>
      <c r="F3191" t="s" s="28">
        <v>30</v>
      </c>
      <c r="G3191" t="s" s="11">
        <v>48</v>
      </c>
      <c r="H3191" t="s" s="43">
        <v>30</v>
      </c>
      <c r="I3191" s="43">
        <v>6.41</v>
      </c>
      <c r="J3191" t="s" s="11">
        <v>16237</v>
      </c>
      <c r="K3191" t="s" s="11">
        <v>16238</v>
      </c>
      <c r="L3191" s="17">
        <f>HYPERLINK("http://www.akahu.nz", "www.akahu.nz")</f>
      </c>
      <c r="M3191" s="17">
        <f>HYPERLINK("https://my.pitchbook.com?c=503821-09", "View Company Online")</f>
      </c>
    </row>
    <row r="3192">
      <c r="A3192" t="s" s="10">
        <v>16240</v>
      </c>
      <c r="B3192" t="s" s="10">
        <v>16241</v>
      </c>
      <c r="C3192" t="s" s="10">
        <v>128</v>
      </c>
      <c r="D3192" t="s" s="10">
        <v>276</v>
      </c>
      <c r="E3192" t="s" s="10">
        <v>158</v>
      </c>
      <c r="F3192" s="27">
        <v>45082</v>
      </c>
      <c r="G3192" t="s" s="10">
        <v>4267</v>
      </c>
      <c r="H3192" s="42">
        <v>0.81</v>
      </c>
      <c r="I3192" s="42">
        <v>6.41</v>
      </c>
      <c r="J3192" t="s" s="10">
        <v>16242</v>
      </c>
      <c r="K3192" t="s" s="10">
        <v>16243</v>
      </c>
      <c r="L3192" s="16">
        <f>HYPERLINK("http://www.fumopay.com", "www.fumopay.com")</f>
      </c>
      <c r="M3192" s="16">
        <f>HYPERLINK("https://my.pitchbook.com?c=528738-40", "View Company Online")</f>
      </c>
    </row>
    <row r="3193">
      <c r="A3193" t="s" s="11">
        <v>16245</v>
      </c>
      <c r="B3193" t="s" s="11">
        <v>16246</v>
      </c>
      <c r="C3193" t="s" s="11">
        <v>114</v>
      </c>
      <c r="D3193" t="s" s="11">
        <v>1386</v>
      </c>
      <c r="E3193" t="s" s="11">
        <v>367</v>
      </c>
      <c r="F3193" s="28">
        <v>45931</v>
      </c>
      <c r="G3193" t="s" s="11">
        <v>146</v>
      </c>
      <c r="H3193" s="43">
        <v>1.69</v>
      </c>
      <c r="I3193" s="43">
        <v>6.39</v>
      </c>
      <c r="J3193" t="s" s="11">
        <v>16247</v>
      </c>
      <c r="K3193" t="s" s="11">
        <v>16248</v>
      </c>
      <c r="L3193" s="17">
        <f>HYPERLINK("http://www.qlfy.co.uk", "www.qlfy.co.uk")</f>
      </c>
      <c r="M3193" s="17">
        <f>HYPERLINK("https://my.pitchbook.com?c=996762-07", "View Company Online")</f>
      </c>
    </row>
    <row r="3194">
      <c r="A3194" t="s" s="10">
        <v>16250</v>
      </c>
      <c r="B3194" t="s" s="10">
        <v>16251</v>
      </c>
      <c r="C3194" t="s" s="10">
        <v>60</v>
      </c>
      <c r="D3194" t="s" s="10">
        <v>192</v>
      </c>
      <c r="E3194" t="s" s="10">
        <v>253</v>
      </c>
      <c r="F3194" s="27">
        <v>44531</v>
      </c>
      <c r="G3194" t="s" s="10">
        <v>40</v>
      </c>
      <c r="H3194" s="42">
        <v>0.22</v>
      </c>
      <c r="I3194" s="42">
        <v>6.35</v>
      </c>
      <c r="J3194" t="s" s="10">
        <v>16252</v>
      </c>
      <c r="K3194" t="s" s="10">
        <v>16253</v>
      </c>
      <c r="L3194" s="16">
        <f>HYPERLINK("http://www.sharpfin.com", "www.sharpfin.com")</f>
      </c>
      <c r="M3194" s="16">
        <f>HYPERLINK("https://my.pitchbook.com?c=185169-07", "View Company Online")</f>
      </c>
    </row>
    <row r="3195">
      <c r="A3195" t="s" s="11">
        <v>16255</v>
      </c>
      <c r="B3195" t="s" s="11">
        <v>16256</v>
      </c>
      <c r="C3195" t="s" s="11">
        <v>60</v>
      </c>
      <c r="D3195" t="s" s="11">
        <v>246</v>
      </c>
      <c r="E3195" t="s" s="11">
        <v>373</v>
      </c>
      <c r="F3195" s="28">
        <v>44924</v>
      </c>
      <c r="G3195" t="s" s="11">
        <v>40</v>
      </c>
      <c r="H3195" s="43">
        <v>2.47</v>
      </c>
      <c r="I3195" s="43">
        <v>6.34</v>
      </c>
      <c r="J3195" t="s" s="11">
        <v>16257</v>
      </c>
      <c r="K3195" t="s" s="11">
        <v>16258</v>
      </c>
      <c r="L3195" s="17">
        <f>HYPERLINK("http://www.roov.app", "www.roov.app")</f>
      </c>
      <c r="M3195" s="17">
        <f>HYPERLINK("https://my.pitchbook.com?c=462660-22", "View Company Online")</f>
      </c>
    </row>
    <row r="3196">
      <c r="A3196" t="s" s="10">
        <v>16260</v>
      </c>
      <c r="B3196" t="s" s="10">
        <v>16261</v>
      </c>
      <c r="C3196" t="s" s="10">
        <v>164</v>
      </c>
      <c r="D3196" t="s" s="10">
        <v>206</v>
      </c>
      <c r="E3196" t="s" s="10">
        <v>367</v>
      </c>
      <c r="F3196" s="27">
        <v>45930</v>
      </c>
      <c r="G3196" t="s" s="10">
        <v>2051</v>
      </c>
      <c r="H3196" t="s" s="42">
        <v>30</v>
      </c>
      <c r="I3196" s="42">
        <v>6.32</v>
      </c>
      <c r="J3196" t="s" s="10">
        <v>16262</v>
      </c>
      <c r="K3196" t="s" s="10">
        <v>30</v>
      </c>
      <c r="L3196" s="16">
        <f>HYPERLINK("http://www.repoptim.com", "www.repoptim.com")</f>
      </c>
      <c r="M3196" s="16">
        <f>HYPERLINK("https://my.pitchbook.com?c=491238-28", "View Company Online")</f>
      </c>
    </row>
    <row r="3197">
      <c r="A3197" t="s" s="11">
        <v>16264</v>
      </c>
      <c r="B3197" t="s" s="11">
        <v>16265</v>
      </c>
      <c r="C3197" t="s" s="11">
        <v>27</v>
      </c>
      <c r="D3197" t="s" s="11">
        <v>70</v>
      </c>
      <c r="E3197" t="s" s="11">
        <v>253</v>
      </c>
      <c r="F3197" s="28">
        <v>45230</v>
      </c>
      <c r="G3197" t="s" s="11">
        <v>4267</v>
      </c>
      <c r="H3197" s="43">
        <v>1.31</v>
      </c>
      <c r="I3197" s="43">
        <v>6.31</v>
      </c>
      <c r="J3197" t="s" s="11">
        <v>16266</v>
      </c>
      <c r="K3197" t="s" s="11">
        <v>16267</v>
      </c>
      <c r="L3197" s="17">
        <f>HYPERLINK("http://www.axify.shop", "www.axify.shop")</f>
      </c>
      <c r="M3197" s="17">
        <f>HYPERLINK("https://my.pitchbook.com?c=500527-54", "View Company Online")</f>
      </c>
    </row>
    <row r="3198">
      <c r="A3198" t="s" s="10">
        <v>16269</v>
      </c>
      <c r="B3198" t="s" s="10">
        <v>16270</v>
      </c>
      <c r="C3198" t="s" s="10">
        <v>60</v>
      </c>
      <c r="D3198" t="s" s="10">
        <v>246</v>
      </c>
      <c r="E3198" t="s" s="10">
        <v>270</v>
      </c>
      <c r="F3198" s="27">
        <v>45045</v>
      </c>
      <c r="G3198" t="s" s="10">
        <v>271</v>
      </c>
      <c r="H3198" s="42">
        <v>2.86</v>
      </c>
      <c r="I3198" s="42">
        <v>6.3</v>
      </c>
      <c r="J3198" t="s" s="10">
        <v>16271</v>
      </c>
      <c r="K3198" t="s" s="10">
        <v>16272</v>
      </c>
      <c r="L3198" s="16">
        <f>HYPERLINK("http://www.joinguac.com", "www.joinguac.com")</f>
      </c>
      <c r="M3198" s="16">
        <f>HYPERLINK("https://my.pitchbook.com?c=434938-87", "View Company Online")</f>
      </c>
    </row>
    <row r="3199">
      <c r="A3199" t="s" s="11">
        <v>16274</v>
      </c>
      <c r="B3199" t="s" s="11">
        <v>16275</v>
      </c>
      <c r="C3199" t="s" s="11">
        <v>27</v>
      </c>
      <c r="D3199" t="s" s="11">
        <v>70</v>
      </c>
      <c r="E3199" t="s" s="11">
        <v>859</v>
      </c>
      <c r="F3199" s="28">
        <v>46023</v>
      </c>
      <c r="G3199" t="s" s="11">
        <v>146</v>
      </c>
      <c r="H3199" t="s" s="43">
        <v>30</v>
      </c>
      <c r="I3199" s="43">
        <v>6.28</v>
      </c>
      <c r="J3199" t="s" s="11">
        <v>16276</v>
      </c>
      <c r="K3199" t="s" s="11">
        <v>16277</v>
      </c>
      <c r="L3199" s="17">
        <f>HYPERLINK("http://agant.io", "agant.io")</f>
      </c>
      <c r="M3199" s="17">
        <f>HYPERLINK("https://my.pitchbook.com?c=664534-54", "View Company Online")</f>
      </c>
    </row>
    <row r="3200">
      <c r="A3200" t="s" s="10">
        <v>16279</v>
      </c>
      <c r="B3200" t="s" s="10">
        <v>16280</v>
      </c>
      <c r="C3200" t="s" s="10">
        <v>60</v>
      </c>
      <c r="D3200" t="s" s="10">
        <v>727</v>
      </c>
      <c r="E3200" t="s" s="10">
        <v>859</v>
      </c>
      <c r="F3200" s="27">
        <v>45793</v>
      </c>
      <c r="G3200" t="s" s="10">
        <v>146</v>
      </c>
      <c r="H3200" s="42">
        <v>0.07</v>
      </c>
      <c r="I3200" s="42">
        <v>6.26</v>
      </c>
      <c r="J3200" t="s" s="10">
        <v>16281</v>
      </c>
      <c r="K3200" t="s" s="10">
        <v>16282</v>
      </c>
      <c r="L3200" s="16">
        <f>HYPERLINK("http://www.winefi.co", "www.winefi.co")</f>
      </c>
      <c r="M3200" s="16">
        <f>HYPERLINK("https://my.pitchbook.com?c=530873-02", "View Company Online")</f>
      </c>
    </row>
    <row r="3201">
      <c r="A3201" t="s" s="11">
        <v>16284</v>
      </c>
      <c r="B3201" t="s" s="11">
        <v>16285</v>
      </c>
      <c r="C3201" t="s" s="11">
        <v>27</v>
      </c>
      <c r="D3201" t="s" s="11">
        <v>28</v>
      </c>
      <c r="E3201" t="s" s="11">
        <v>16286</v>
      </c>
      <c r="F3201" s="28">
        <v>45397</v>
      </c>
      <c r="G3201" t="s" s="11">
        <v>4267</v>
      </c>
      <c r="H3201" s="43">
        <v>1.25</v>
      </c>
      <c r="I3201" s="43">
        <v>6.25</v>
      </c>
      <c r="J3201" t="s" s="11">
        <v>16287</v>
      </c>
      <c r="K3201" t="s" s="11">
        <v>16288</v>
      </c>
      <c r="L3201" s="17">
        <f>HYPERLINK("http://www.joba.network", "www.joba.network")</f>
      </c>
      <c r="M3201" s="17">
        <f>HYPERLINK("https://my.pitchbook.com?c=532824-31", "View Company Online")</f>
      </c>
    </row>
    <row r="3202">
      <c r="A3202" t="s" s="10">
        <v>16290</v>
      </c>
      <c r="B3202" t="s" s="10">
        <v>16291</v>
      </c>
      <c r="C3202" t="s" s="10">
        <v>172</v>
      </c>
      <c r="D3202" t="s" s="10">
        <v>173</v>
      </c>
      <c r="E3202" t="s" s="10">
        <v>1277</v>
      </c>
      <c r="F3202" s="27">
        <v>46153</v>
      </c>
      <c r="G3202" t="s" s="10">
        <v>607</v>
      </c>
      <c r="H3202" t="s" s="42">
        <v>30</v>
      </c>
      <c r="I3202" s="42">
        <v>6.25</v>
      </c>
      <c r="J3202" t="s" s="10">
        <v>16292</v>
      </c>
      <c r="K3202" t="s" s="10">
        <v>16293</v>
      </c>
      <c r="L3202" s="16">
        <f>HYPERLINK("http://www.sygno.com", "www.sygno.com")</f>
      </c>
      <c r="M3202" s="16">
        <f>HYPERLINK("https://my.pitchbook.com?c=182567-35", "View Company Online")</f>
      </c>
    </row>
    <row r="3203">
      <c r="A3203" t="s" s="11">
        <v>16295</v>
      </c>
      <c r="B3203" t="s" s="11">
        <v>16296</v>
      </c>
      <c r="C3203" t="s" s="11">
        <v>46</v>
      </c>
      <c r="D3203" t="s" s="11">
        <v>397</v>
      </c>
      <c r="E3203" t="s" s="11">
        <v>253</v>
      </c>
      <c r="F3203" s="28">
        <v>46036</v>
      </c>
      <c r="G3203" t="s" s="11">
        <v>146</v>
      </c>
      <c r="H3203" s="43">
        <v>8.29</v>
      </c>
      <c r="I3203" s="43">
        <v>6.23</v>
      </c>
      <c r="J3203" t="s" s="11">
        <v>16297</v>
      </c>
      <c r="K3203" t="s" s="11">
        <v>16298</v>
      </c>
      <c r="L3203" s="17">
        <f>HYPERLINK("http://taxnap.co.jp", "taxnap.co.jp")</f>
      </c>
      <c r="M3203" s="17">
        <f>HYPERLINK("https://my.pitchbook.com?c=539118-37", "View Company Online")</f>
      </c>
    </row>
    <row r="3204">
      <c r="A3204" t="s" s="10">
        <v>16300</v>
      </c>
      <c r="B3204" t="s" s="10">
        <v>16301</v>
      </c>
      <c r="C3204" t="s" s="10">
        <v>27</v>
      </c>
      <c r="D3204" t="s" s="10">
        <v>28</v>
      </c>
      <c r="E3204" t="s" s="10">
        <v>16302</v>
      </c>
      <c r="F3204" s="27">
        <v>44927</v>
      </c>
      <c r="G3204" t="s" s="10">
        <v>607</v>
      </c>
      <c r="H3204" t="s" s="42">
        <v>30</v>
      </c>
      <c r="I3204" s="42">
        <v>6.21</v>
      </c>
      <c r="J3204" t="s" s="10">
        <v>16303</v>
      </c>
      <c r="K3204" t="s" s="10">
        <v>16304</v>
      </c>
      <c r="L3204" s="16">
        <f>HYPERLINK("http://www.trilo.io", "www.trilo.io")</f>
      </c>
      <c r="M3204" s="16">
        <f>HYPERLINK("https://my.pitchbook.com?c=442170-19", "View Company Online")</f>
      </c>
    </row>
    <row r="3205">
      <c r="A3205" t="s" s="11">
        <v>16306</v>
      </c>
      <c r="B3205" t="s" s="11">
        <v>16307</v>
      </c>
      <c r="C3205" t="s" s="11">
        <v>27</v>
      </c>
      <c r="D3205" t="s" s="11">
        <v>28</v>
      </c>
      <c r="E3205" t="s" s="11">
        <v>29</v>
      </c>
      <c r="F3205" s="28">
        <v>45447</v>
      </c>
      <c r="G3205" t="s" s="11">
        <v>146</v>
      </c>
      <c r="H3205" s="43">
        <v>1.58</v>
      </c>
      <c r="I3205" s="43">
        <v>6.2</v>
      </c>
      <c r="J3205" t="s" s="11">
        <v>16308</v>
      </c>
      <c r="K3205" t="s" s="11">
        <v>16309</v>
      </c>
      <c r="L3205" s="17">
        <f>HYPERLINK("http://www.ponchopay.com", "www.ponchopay.com")</f>
      </c>
      <c r="M3205" s="17">
        <f>HYPERLINK("https://my.pitchbook.com?c=458500-60", "View Company Online")</f>
      </c>
    </row>
    <row r="3206">
      <c r="A3206" t="s" s="10">
        <v>16311</v>
      </c>
      <c r="B3206" t="s" s="10">
        <v>16312</v>
      </c>
      <c r="C3206" t="s" s="10">
        <v>46</v>
      </c>
      <c r="D3206" t="s" s="10">
        <v>78</v>
      </c>
      <c r="E3206" t="s" s="10">
        <v>9259</v>
      </c>
      <c r="F3206" s="27">
        <v>45818</v>
      </c>
      <c r="G3206" t="s" s="10">
        <v>4267</v>
      </c>
      <c r="H3206" s="42">
        <v>1.87</v>
      </c>
      <c r="I3206" s="42">
        <v>6.19</v>
      </c>
      <c r="J3206" t="s" s="10">
        <v>16313</v>
      </c>
      <c r="K3206" t="s" s="10">
        <v>16314</v>
      </c>
      <c r="L3206" s="16">
        <f>HYPERLINK("http://www.goteal.co", "www.goteal.co")</f>
      </c>
      <c r="M3206" s="16">
        <f>HYPERLINK("https://my.pitchbook.com?c=538949-44", "View Company Online")</f>
      </c>
    </row>
    <row r="3207">
      <c r="A3207" t="s" s="11">
        <v>16316</v>
      </c>
      <c r="B3207" t="s" s="11">
        <v>16317</v>
      </c>
      <c r="C3207" t="s" s="11">
        <v>172</v>
      </c>
      <c r="D3207" t="s" s="11">
        <v>338</v>
      </c>
      <c r="E3207" t="s" s="11">
        <v>1207</v>
      </c>
      <c r="F3207" s="28">
        <v>45689</v>
      </c>
      <c r="G3207" t="s" s="11">
        <v>40</v>
      </c>
      <c r="H3207" t="s" s="43">
        <v>30</v>
      </c>
      <c r="I3207" s="43">
        <v>6.15</v>
      </c>
      <c r="J3207" t="s" s="11">
        <v>16318</v>
      </c>
      <c r="K3207" t="s" s="11">
        <v>16319</v>
      </c>
      <c r="L3207" s="17">
        <f>HYPERLINK("http://www.maximusinfoware.in", "www.maximusinfoware.in")</f>
      </c>
      <c r="M3207" s="17">
        <f>HYPERLINK("https://my.pitchbook.com?c=149618-98", "View Company Online")</f>
      </c>
    </row>
    <row r="3208">
      <c r="A3208" t="s" s="10">
        <v>16321</v>
      </c>
      <c r="B3208" t="s" s="10">
        <v>16322</v>
      </c>
      <c r="C3208" t="s" s="10">
        <v>114</v>
      </c>
      <c r="D3208" t="s" s="10">
        <v>136</v>
      </c>
      <c r="E3208" t="s" s="10">
        <v>373</v>
      </c>
      <c r="F3208" t="s" s="27">
        <v>15318</v>
      </c>
      <c r="G3208" t="s" s="10">
        <v>40</v>
      </c>
      <c r="H3208" t="s" s="42">
        <v>30</v>
      </c>
      <c r="I3208" s="42">
        <v>6.14</v>
      </c>
      <c r="J3208" t="s" s="10">
        <v>16323</v>
      </c>
      <c r="K3208" t="s" s="10">
        <v>16324</v>
      </c>
      <c r="L3208" s="16">
        <f>HYPERLINK("http://www.fagura.com", "www.fagura.com")</f>
      </c>
      <c r="M3208" s="16">
        <f>HYPERLINK("https://my.pitchbook.com?c=466476-22", "View Company Online")</f>
      </c>
    </row>
    <row r="3209">
      <c r="A3209" t="s" s="11">
        <v>16326</v>
      </c>
      <c r="B3209" t="s" s="11">
        <v>16327</v>
      </c>
      <c r="C3209" t="s" s="11">
        <v>60</v>
      </c>
      <c r="D3209" t="s" s="11">
        <v>727</v>
      </c>
      <c r="E3209" t="s" s="11">
        <v>193</v>
      </c>
      <c r="F3209" s="28">
        <v>44315</v>
      </c>
      <c r="G3209" t="s" s="11">
        <v>40</v>
      </c>
      <c r="H3209" s="43">
        <v>0.67</v>
      </c>
      <c r="I3209" s="43">
        <v>6.13</v>
      </c>
      <c r="J3209" t="s" s="11">
        <v>16328</v>
      </c>
      <c r="K3209" t="s" s="11">
        <v>16329</v>
      </c>
      <c r="L3209" s="17">
        <f>HYPERLINK("http://www.lendbox.in", "www.lendbox.in")</f>
      </c>
      <c r="M3209" s="17">
        <f>HYPERLINK("https://my.pitchbook.com?c=234791-20", "View Company Online")</f>
      </c>
    </row>
    <row r="3210">
      <c r="A3210" t="s" s="10">
        <v>16331</v>
      </c>
      <c r="B3210" t="s" s="10">
        <v>16332</v>
      </c>
      <c r="C3210" t="s" s="10">
        <v>27</v>
      </c>
      <c r="D3210" t="s" s="10">
        <v>28</v>
      </c>
      <c r="E3210" t="s" s="10">
        <v>859</v>
      </c>
      <c r="F3210" t="s" s="27">
        <v>30</v>
      </c>
      <c r="G3210" t="s" s="10">
        <v>391</v>
      </c>
      <c r="H3210" t="s" s="42">
        <v>30</v>
      </c>
      <c r="I3210" s="42">
        <v>6.1</v>
      </c>
      <c r="J3210" t="s" s="10">
        <v>16333</v>
      </c>
      <c r="K3210" t="s" s="10">
        <v>16334</v>
      </c>
      <c r="L3210" s="16">
        <f>HYPERLINK("http://www.centi.ch", "www.centi.ch")</f>
      </c>
      <c r="M3210" s="16">
        <f>HYPERLINK("https://my.pitchbook.com?c=438228-37", "View Company Online")</f>
      </c>
    </row>
    <row r="3211">
      <c r="A3211" t="s" s="11">
        <v>16336</v>
      </c>
      <c r="B3211" t="s" s="11">
        <v>16337</v>
      </c>
      <c r="C3211" t="s" s="11">
        <v>60</v>
      </c>
      <c r="D3211" t="s" s="11">
        <v>246</v>
      </c>
      <c r="E3211" t="s" s="11">
        <v>137</v>
      </c>
      <c r="F3211" t="s" s="28">
        <v>30</v>
      </c>
      <c r="G3211" t="s" s="11">
        <v>40</v>
      </c>
      <c r="H3211" t="s" s="43">
        <v>30</v>
      </c>
      <c r="I3211" s="43">
        <v>6.1</v>
      </c>
      <c r="J3211" t="s" s="11">
        <v>16338</v>
      </c>
      <c r="K3211" t="s" s="11">
        <v>16339</v>
      </c>
      <c r="L3211" s="17">
        <f>HYPERLINK("http://www.nivesh.com", "www.nivesh.com")</f>
      </c>
      <c r="M3211" s="17">
        <f>HYPERLINK("https://my.pitchbook.com?c=181556-83", "View Company Online")</f>
      </c>
    </row>
    <row r="3212">
      <c r="A3212" t="s" s="10">
        <v>16341</v>
      </c>
      <c r="B3212" t="s" s="10">
        <v>16342</v>
      </c>
      <c r="C3212" t="s" s="10">
        <v>46</v>
      </c>
      <c r="D3212" t="s" s="10">
        <v>47</v>
      </c>
      <c r="E3212" t="s" s="10">
        <v>253</v>
      </c>
      <c r="F3212" s="27">
        <v>46139</v>
      </c>
      <c r="G3212" t="s" s="10">
        <v>2051</v>
      </c>
      <c r="H3212" t="s" s="42">
        <v>30</v>
      </c>
      <c r="I3212" s="42">
        <v>6.09</v>
      </c>
      <c r="J3212" t="s" s="10">
        <v>16343</v>
      </c>
      <c r="K3212" t="s" s="10">
        <v>30</v>
      </c>
      <c r="L3212" s="16">
        <f>HYPERLINK("http://home.axeptia.com", "home.axeptia.com")</f>
      </c>
      <c r="M3212" s="16">
        <f>HYPERLINK("https://my.pitchbook.com?c=224293-60", "View Company Online")</f>
      </c>
    </row>
    <row r="3213">
      <c r="A3213" t="s" s="11">
        <v>16345</v>
      </c>
      <c r="B3213" t="s" s="11">
        <v>16346</v>
      </c>
      <c r="C3213" t="s" s="11">
        <v>60</v>
      </c>
      <c r="D3213" t="s" s="11">
        <v>727</v>
      </c>
      <c r="E3213" t="s" s="11">
        <v>4013</v>
      </c>
      <c r="F3213" s="28">
        <v>45536</v>
      </c>
      <c r="G3213" t="s" s="11">
        <v>40</v>
      </c>
      <c r="H3213" t="s" s="43">
        <v>30</v>
      </c>
      <c r="I3213" s="43">
        <v>6.09</v>
      </c>
      <c r="J3213" t="s" s="11">
        <v>16347</v>
      </c>
      <c r="K3213" t="s" s="11">
        <v>16348</v>
      </c>
      <c r="L3213" s="17">
        <f>HYPERLINK("http://www.vervesuper.com.au", "www.vervesuper.com.au")</f>
      </c>
      <c r="M3213" s="17">
        <f>HYPERLINK("https://my.pitchbook.com?c=481734-01", "View Company Online")</f>
      </c>
    </row>
    <row r="3214">
      <c r="A3214" t="s" s="10">
        <v>16350</v>
      </c>
      <c r="B3214" t="s" s="10">
        <v>16351</v>
      </c>
      <c r="C3214" t="s" s="10">
        <v>222</v>
      </c>
      <c r="D3214" t="s" s="10">
        <v>223</v>
      </c>
      <c r="E3214" t="s" s="10">
        <v>16352</v>
      </c>
      <c r="F3214" s="27">
        <v>45942</v>
      </c>
      <c r="G3214" t="s" s="10">
        <v>146</v>
      </c>
      <c r="H3214" s="42">
        <v>4.98</v>
      </c>
      <c r="I3214" s="42">
        <v>6.07</v>
      </c>
      <c r="J3214" t="s" s="10">
        <v>16353</v>
      </c>
      <c r="K3214" t="s" s="10">
        <v>16354</v>
      </c>
      <c r="L3214" s="16">
        <f>HYPERLINK("http://www.eoliann.com", "www.eoliann.com")</f>
      </c>
      <c r="M3214" s="16">
        <f>HYPERLINK("https://my.pitchbook.com?c=507445-93", "View Company Online")</f>
      </c>
    </row>
    <row r="3215">
      <c r="A3215" t="s" s="11">
        <v>16356</v>
      </c>
      <c r="B3215" t="s" s="11">
        <v>16357</v>
      </c>
      <c r="C3215" t="s" s="11">
        <v>164</v>
      </c>
      <c r="D3215" t="s" s="11">
        <v>206</v>
      </c>
      <c r="E3215" t="s" s="11">
        <v>253</v>
      </c>
      <c r="F3215" s="28">
        <v>45929</v>
      </c>
      <c r="G3215" t="s" s="11">
        <v>40</v>
      </c>
      <c r="H3215" s="43">
        <v>2.6</v>
      </c>
      <c r="I3215" s="43">
        <v>6.07</v>
      </c>
      <c r="J3215" t="s" s="11">
        <v>16358</v>
      </c>
      <c r="K3215" t="s" s="11">
        <v>16359</v>
      </c>
      <c r="L3215" s="17">
        <f>HYPERLINK("http://www.wych.io", "www.wych.io")</f>
      </c>
      <c r="M3215" s="17">
        <f>HYPERLINK("https://my.pitchbook.com?c=522679-42", "View Company Online")</f>
      </c>
    </row>
    <row r="3216">
      <c r="A3216" t="s" s="10">
        <v>16361</v>
      </c>
      <c r="B3216" t="s" s="10">
        <v>16362</v>
      </c>
      <c r="C3216" t="s" s="10">
        <v>114</v>
      </c>
      <c r="D3216" t="s" s="10">
        <v>136</v>
      </c>
      <c r="E3216" t="s" s="10">
        <v>367</v>
      </c>
      <c r="F3216" s="27">
        <v>45400</v>
      </c>
      <c r="G3216" t="s" s="10">
        <v>4267</v>
      </c>
      <c r="H3216" s="42">
        <v>0.38</v>
      </c>
      <c r="I3216" s="42">
        <v>6.06</v>
      </c>
      <c r="J3216" t="s" s="10">
        <v>16363</v>
      </c>
      <c r="K3216" t="s" s="10">
        <v>16364</v>
      </c>
      <c r="L3216" s="16">
        <f>HYPERLINK("http://www.drivio.in", "www.drivio.in")</f>
      </c>
      <c r="M3216" s="16">
        <f>HYPERLINK("https://my.pitchbook.com?c=517124-53", "View Company Online")</f>
      </c>
    </row>
    <row r="3217">
      <c r="A3217" t="s" s="11">
        <v>16366</v>
      </c>
      <c r="B3217" t="s" s="11">
        <v>16367</v>
      </c>
      <c r="C3217" t="s" s="11">
        <v>60</v>
      </c>
      <c r="D3217" t="s" s="11">
        <v>420</v>
      </c>
      <c r="E3217" t="s" s="11">
        <v>137</v>
      </c>
      <c r="F3217" s="28">
        <v>44439</v>
      </c>
      <c r="G3217" t="s" s="11">
        <v>146</v>
      </c>
      <c r="H3217" s="43">
        <v>5</v>
      </c>
      <c r="I3217" s="43">
        <v>6.05</v>
      </c>
      <c r="J3217" t="s" s="11">
        <v>16368</v>
      </c>
      <c r="K3217" t="s" s="11">
        <v>16369</v>
      </c>
      <c r="L3217" s="17">
        <f>HYPERLINK("http://www.tomorrowsuper.com.au", "www.tomorrowsuper.com.au")</f>
      </c>
      <c r="M3217" s="17">
        <f>HYPERLINK("https://my.pitchbook.com?c=470650-33", "View Company Online")</f>
      </c>
    </row>
    <row r="3218">
      <c r="A3218" t="s" s="10">
        <v>16371</v>
      </c>
      <c r="B3218" t="s" s="10">
        <v>16372</v>
      </c>
      <c r="C3218" t="s" s="10">
        <v>27</v>
      </c>
      <c r="D3218" t="s" s="10">
        <v>122</v>
      </c>
      <c r="E3218" t="s" s="10">
        <v>16373</v>
      </c>
      <c r="F3218" s="27">
        <v>46223</v>
      </c>
      <c r="G3218" t="s" s="10">
        <v>2051</v>
      </c>
      <c r="H3218" t="s" s="42">
        <v>30</v>
      </c>
      <c r="I3218" s="42">
        <v>6.05</v>
      </c>
      <c r="J3218" t="s" s="10">
        <v>16374</v>
      </c>
      <c r="K3218" t="s" s="10">
        <v>30</v>
      </c>
      <c r="L3218" s="16">
        <f>HYPERLINK("http://www.walletengine.io", "www.walletengine.io")</f>
      </c>
      <c r="M3218" s="16">
        <f>HYPERLINK("https://my.pitchbook.com?c=227950-30", "View Company Online")</f>
      </c>
    </row>
    <row r="3219">
      <c r="A3219" t="s" s="11">
        <v>16376</v>
      </c>
      <c r="B3219" t="s" s="11">
        <v>16377</v>
      </c>
      <c r="C3219" t="s" s="11">
        <v>114</v>
      </c>
      <c r="D3219" t="s" s="11">
        <v>870</v>
      </c>
      <c r="E3219" t="s" s="11">
        <v>193</v>
      </c>
      <c r="F3219" s="28">
        <v>46062</v>
      </c>
      <c r="G3219" t="s" s="11">
        <v>40</v>
      </c>
      <c r="H3219" t="s" s="43">
        <v>30</v>
      </c>
      <c r="I3219" s="43">
        <v>6.03</v>
      </c>
      <c r="J3219" t="s" s="11">
        <v>16378</v>
      </c>
      <c r="K3219" t="s" s="11">
        <v>16379</v>
      </c>
      <c r="L3219" s="17">
        <f>HYPERLINK("http://www.meutudo.com.br", "www.meutudo.com.br")</f>
      </c>
      <c r="M3219" s="17">
        <f>HYPERLINK("https://my.pitchbook.com?c=437628-34", "View Company Online")</f>
      </c>
    </row>
    <row r="3220">
      <c r="A3220" t="s" s="10">
        <v>16381</v>
      </c>
      <c r="B3220" t="s" s="10">
        <v>16382</v>
      </c>
      <c r="C3220" t="s" s="10">
        <v>164</v>
      </c>
      <c r="D3220" t="s" s="10">
        <v>165</v>
      </c>
      <c r="E3220" t="s" s="10">
        <v>373</v>
      </c>
      <c r="F3220" s="27">
        <v>45930</v>
      </c>
      <c r="G3220" t="s" s="10">
        <v>146</v>
      </c>
      <c r="H3220" s="42">
        <v>4</v>
      </c>
      <c r="I3220" s="42">
        <v>6.01</v>
      </c>
      <c r="J3220" t="s" s="10">
        <v>16383</v>
      </c>
      <c r="K3220" t="s" s="10">
        <v>16384</v>
      </c>
      <c r="L3220" s="16">
        <f>HYPERLINK("http://www.ignosis.ai", "www.ignosis.ai")</f>
      </c>
      <c r="M3220" s="16">
        <f>HYPERLINK("https://my.pitchbook.com?c=549237-43", "View Company Online")</f>
      </c>
    </row>
    <row r="3221">
      <c r="A3221" t="s" s="11">
        <v>16386</v>
      </c>
      <c r="B3221" t="s" s="11">
        <v>16387</v>
      </c>
      <c r="C3221" t="s" s="11">
        <v>60</v>
      </c>
      <c r="D3221" t="s" s="11">
        <v>61</v>
      </c>
      <c r="E3221" t="s" s="11">
        <v>193</v>
      </c>
      <c r="F3221" s="28">
        <v>46099</v>
      </c>
      <c r="G3221" t="s" s="11">
        <v>271</v>
      </c>
      <c r="H3221" s="43">
        <v>0.78</v>
      </c>
      <c r="I3221" s="43">
        <v>6.01</v>
      </c>
      <c r="J3221" t="s" s="11">
        <v>16388</v>
      </c>
      <c r="K3221" t="s" s="11">
        <v>16389</v>
      </c>
      <c r="L3221" s="17">
        <f>HYPERLINK("http://www.stackby.me", "www.stackby.me")</f>
      </c>
      <c r="M3221" s="17">
        <f>HYPERLINK("https://my.pitchbook.com?c=517547-98", "View Company Online")</f>
      </c>
    </row>
    <row r="3222">
      <c r="A3222" t="s" s="10">
        <v>16391</v>
      </c>
      <c r="B3222" t="s" s="10">
        <v>16392</v>
      </c>
      <c r="C3222" t="s" s="10">
        <v>46</v>
      </c>
      <c r="D3222" t="s" s="10">
        <v>397</v>
      </c>
      <c r="E3222" t="s" s="10">
        <v>29</v>
      </c>
      <c r="F3222" s="27">
        <v>44719</v>
      </c>
      <c r="G3222" t="s" s="10">
        <v>4267</v>
      </c>
      <c r="H3222" t="s" s="42">
        <v>30</v>
      </c>
      <c r="I3222" s="42">
        <v>6</v>
      </c>
      <c r="J3222" t="s" s="10">
        <v>16393</v>
      </c>
      <c r="K3222" t="s" s="10">
        <v>16394</v>
      </c>
      <c r="L3222" s="16">
        <f>HYPERLINK("http://www.booke.ai", "www.booke.ai")</f>
      </c>
      <c r="M3222" s="16">
        <f>HYPERLINK("https://my.pitchbook.com?c=490975-39", "View Company Online")</f>
      </c>
    </row>
    <row r="3223">
      <c r="A3223" t="s" s="11">
        <v>16396</v>
      </c>
      <c r="B3223" t="s" s="11">
        <v>16397</v>
      </c>
      <c r="C3223" t="s" s="11">
        <v>60</v>
      </c>
      <c r="D3223" t="s" s="11">
        <v>61</v>
      </c>
      <c r="E3223" t="s" s="11">
        <v>16398</v>
      </c>
      <c r="F3223" s="28">
        <v>45502</v>
      </c>
      <c r="G3223" t="s" s="11">
        <v>146</v>
      </c>
      <c r="H3223" t="s" s="43">
        <v>30</v>
      </c>
      <c r="I3223" s="43">
        <v>6</v>
      </c>
      <c r="J3223" t="s" s="11">
        <v>16399</v>
      </c>
      <c r="K3223" t="s" s="11">
        <v>16400</v>
      </c>
      <c r="L3223" s="17">
        <f>HYPERLINK("http://www.carmine.finance", "www.carmine.finance")</f>
      </c>
      <c r="M3223" s="17">
        <f>HYPERLINK("https://my.pitchbook.com?c=528885-19", "View Company Online")</f>
      </c>
    </row>
    <row r="3224">
      <c r="A3224" t="s" s="10">
        <v>16402</v>
      </c>
      <c r="B3224" t="s" s="10">
        <v>16403</v>
      </c>
      <c r="C3224" t="s" s="10">
        <v>27</v>
      </c>
      <c r="D3224" t="s" s="10">
        <v>28</v>
      </c>
      <c r="E3224" t="s" s="10">
        <v>1065</v>
      </c>
      <c r="F3224" s="27">
        <v>43060</v>
      </c>
      <c r="G3224" t="s" s="10">
        <v>40</v>
      </c>
      <c r="H3224" s="42">
        <v>1.5</v>
      </c>
      <c r="I3224" s="42">
        <v>6</v>
      </c>
      <c r="J3224" t="s" s="10">
        <v>16404</v>
      </c>
      <c r="K3224" t="s" s="10">
        <v>30</v>
      </c>
      <c r="L3224" s="16">
        <f>HYPERLINK("http://www.ezuza.com", "www.ezuza.com")</f>
      </c>
      <c r="M3224" s="16">
        <f>HYPERLINK("https://my.pitchbook.com?c=58974-49", "View Company Online")</f>
      </c>
    </row>
    <row r="3225">
      <c r="A3225" t="s" s="11">
        <v>16406</v>
      </c>
      <c r="B3225" t="s" s="11">
        <v>16407</v>
      </c>
      <c r="C3225" t="s" s="11">
        <v>114</v>
      </c>
      <c r="D3225" t="s" s="11">
        <v>115</v>
      </c>
      <c r="E3225" t="s" s="11">
        <v>2782</v>
      </c>
      <c r="F3225" s="28">
        <v>45383</v>
      </c>
      <c r="G3225" t="s" s="11">
        <v>40</v>
      </c>
      <c r="H3225" t="s" s="43">
        <v>30</v>
      </c>
      <c r="I3225" s="43">
        <v>6</v>
      </c>
      <c r="J3225" t="s" s="11">
        <v>16408</v>
      </c>
      <c r="K3225" t="s" s="11">
        <v>16409</v>
      </c>
      <c r="L3225" s="17">
        <f>HYPERLINK("http://www.funding.com.au", "www.funding.com.au")</f>
      </c>
      <c r="M3225" s="17">
        <f>HYPERLINK("https://my.pitchbook.com?c=435520-63", "View Company Online")</f>
      </c>
    </row>
    <row r="3226">
      <c r="A3226" t="s" s="10">
        <v>16411</v>
      </c>
      <c r="B3226" t="s" s="10">
        <v>16412</v>
      </c>
      <c r="C3226" t="s" s="10">
        <v>114</v>
      </c>
      <c r="D3226" t="s" s="10">
        <v>136</v>
      </c>
      <c r="E3226" t="s" s="10">
        <v>137</v>
      </c>
      <c r="F3226" t="s" s="27">
        <v>30</v>
      </c>
      <c r="G3226" t="s" s="10">
        <v>40</v>
      </c>
      <c r="H3226" t="s" s="42">
        <v>30</v>
      </c>
      <c r="I3226" s="42">
        <v>6</v>
      </c>
      <c r="J3226" t="s" s="10">
        <v>16413</v>
      </c>
      <c r="K3226" t="s" s="10">
        <v>16414</v>
      </c>
      <c r="L3226" s="16">
        <f>HYPERLINK("http://www.interaktifkredi.com.tr", "www.interaktifkredi.com.tr")</f>
      </c>
      <c r="M3226" s="16">
        <f>HYPERLINK("https://my.pitchbook.com?c=459080-02", "View Company Online")</f>
      </c>
    </row>
    <row r="3227">
      <c r="A3227" t="s" s="11">
        <v>16416</v>
      </c>
      <c r="B3227" t="s" s="11">
        <v>16417</v>
      </c>
      <c r="C3227" t="s" s="11">
        <v>60</v>
      </c>
      <c r="D3227" t="s" s="11">
        <v>246</v>
      </c>
      <c r="E3227" t="s" s="11">
        <v>2210</v>
      </c>
      <c r="F3227" s="28">
        <v>45565</v>
      </c>
      <c r="G3227" t="s" s="11">
        <v>607</v>
      </c>
      <c r="H3227" t="s" s="43">
        <v>30</v>
      </c>
      <c r="I3227" s="43">
        <v>6</v>
      </c>
      <c r="J3227" t="s" s="11">
        <v>16418</v>
      </c>
      <c r="K3227" t="s" s="11">
        <v>16419</v>
      </c>
      <c r="L3227" s="17">
        <f>HYPERLINK("http://www.kiddiekredit.com", "www.kiddiekredit.com")</f>
      </c>
      <c r="M3227" s="17">
        <f>HYPERLINK("https://my.pitchbook.com?c=437741-92", "View Company Online")</f>
      </c>
    </row>
    <row r="3228">
      <c r="A3228" t="s" s="10">
        <v>16421</v>
      </c>
      <c r="B3228" t="s" s="10">
        <v>16422</v>
      </c>
      <c r="C3228" t="s" s="10">
        <v>27</v>
      </c>
      <c r="D3228" t="s" s="10">
        <v>122</v>
      </c>
      <c r="E3228" t="s" s="10">
        <v>16423</v>
      </c>
      <c r="F3228" s="27">
        <v>45505</v>
      </c>
      <c r="G3228" t="s" s="10">
        <v>4267</v>
      </c>
      <c r="H3228" s="42">
        <v>5</v>
      </c>
      <c r="I3228" s="42">
        <v>6</v>
      </c>
      <c r="J3228" t="s" s="10">
        <v>16424</v>
      </c>
      <c r="K3228" t="s" s="10">
        <v>16425</v>
      </c>
      <c r="L3228" s="16">
        <f>HYPERLINK("http://www.koywe.com", "www.koywe.com")</f>
      </c>
      <c r="M3228" s="16">
        <f>HYPERLINK("https://my.pitchbook.com?c=515852-65", "View Company Online")</f>
      </c>
    </row>
    <row r="3229">
      <c r="A3229" t="s" s="11">
        <v>16427</v>
      </c>
      <c r="B3229" t="s" s="11">
        <v>16428</v>
      </c>
      <c r="C3229" t="s" s="11">
        <v>114</v>
      </c>
      <c r="D3229" t="s" s="11">
        <v>136</v>
      </c>
      <c r="E3229" t="s" s="11">
        <v>253</v>
      </c>
      <c r="F3229" t="s" s="28">
        <v>30</v>
      </c>
      <c r="G3229" t="s" s="11">
        <v>48</v>
      </c>
      <c r="H3229" t="s" s="43">
        <v>30</v>
      </c>
      <c r="I3229" s="43">
        <v>6</v>
      </c>
      <c r="J3229" t="s" s="11">
        <v>16429</v>
      </c>
      <c r="K3229" t="s" s="11">
        <v>30</v>
      </c>
      <c r="L3229" s="17">
        <f>HYPERLINK("http://www.meetkredit.com", "www.meetkredit.com")</f>
      </c>
      <c r="M3229" s="17">
        <f>HYPERLINK("https://my.pitchbook.com?c=438560-65", "View Company Online")</f>
      </c>
    </row>
    <row r="3230">
      <c r="A3230" t="s" s="10">
        <v>16431</v>
      </c>
      <c r="B3230" t="s" s="10">
        <v>16432</v>
      </c>
      <c r="C3230" t="s" s="10">
        <v>60</v>
      </c>
      <c r="D3230" t="s" s="10">
        <v>432</v>
      </c>
      <c r="E3230" t="s" s="10">
        <v>634</v>
      </c>
      <c r="F3230" s="27">
        <v>43315</v>
      </c>
      <c r="G3230" t="s" s="10">
        <v>4267</v>
      </c>
      <c r="H3230" s="42">
        <v>1.5</v>
      </c>
      <c r="I3230" s="42">
        <v>6</v>
      </c>
      <c r="J3230" t="s" s="10">
        <v>16433</v>
      </c>
      <c r="K3230" t="s" s="10">
        <v>16434</v>
      </c>
      <c r="L3230" s="16">
        <f>HYPERLINK("http://www.singularities.com", "www.singularities.com")</f>
      </c>
      <c r="M3230" s="16">
        <f>HYPERLINK("https://my.pitchbook.com?c=153512-56", "View Company Online")</f>
      </c>
    </row>
    <row r="3231">
      <c r="A3231" t="s" s="11">
        <v>16436</v>
      </c>
      <c r="B3231" t="s" s="11">
        <v>16437</v>
      </c>
      <c r="C3231" t="s" s="11">
        <v>46</v>
      </c>
      <c r="D3231" t="s" s="11">
        <v>47</v>
      </c>
      <c r="E3231" t="s" s="11">
        <v>15361</v>
      </c>
      <c r="F3231" s="28">
        <v>46139</v>
      </c>
      <c r="G3231" t="s" s="11">
        <v>40</v>
      </c>
      <c r="H3231" s="43">
        <v>0.15</v>
      </c>
      <c r="I3231" s="43">
        <v>6</v>
      </c>
      <c r="J3231" t="s" s="11">
        <v>16438</v>
      </c>
      <c r="K3231" t="s" s="11">
        <v>16439</v>
      </c>
      <c r="L3231" s="17">
        <f>HYPERLINK("http://www.spend.care", "www.spend.care")</f>
      </c>
      <c r="M3231" s="17">
        <f>HYPERLINK("https://my.pitchbook.com?c=481503-07", "View Company Online")</f>
      </c>
    </row>
    <row r="3232">
      <c r="A3232" t="s" s="10">
        <v>16441</v>
      </c>
      <c r="B3232" t="s" s="10">
        <v>16442</v>
      </c>
      <c r="C3232" t="s" s="10">
        <v>27</v>
      </c>
      <c r="D3232" t="s" s="10">
        <v>28</v>
      </c>
      <c r="E3232" t="s" s="10">
        <v>629</v>
      </c>
      <c r="F3232" s="27">
        <v>45266</v>
      </c>
      <c r="G3232" t="s" s="10">
        <v>4267</v>
      </c>
      <c r="H3232" s="42">
        <v>1.68</v>
      </c>
      <c r="I3232" s="42">
        <v>6</v>
      </c>
      <c r="J3232" t="s" s="10">
        <v>16443</v>
      </c>
      <c r="K3232" t="s" s="10">
        <v>16444</v>
      </c>
      <c r="L3232" s="16">
        <f>HYPERLINK("http://www.versal.money", "www.versal.money")</f>
      </c>
      <c r="M3232" s="16">
        <f>HYPERLINK("https://my.pitchbook.com?c=465198-49", "View Company Online")</f>
      </c>
    </row>
    <row r="3233">
      <c r="A3233" t="s" s="11">
        <v>16446</v>
      </c>
      <c r="B3233" t="s" s="11">
        <v>16447</v>
      </c>
      <c r="C3233" t="s" s="11">
        <v>46</v>
      </c>
      <c r="D3233" t="s" s="11">
        <v>47</v>
      </c>
      <c r="E3233" t="s" s="11">
        <v>373</v>
      </c>
      <c r="F3233" s="28">
        <v>45658</v>
      </c>
      <c r="G3233" t="s" s="11">
        <v>146</v>
      </c>
      <c r="H3233" s="43">
        <v>1.5</v>
      </c>
      <c r="I3233" s="43">
        <v>6</v>
      </c>
      <c r="J3233" t="s" s="11">
        <v>16448</v>
      </c>
      <c r="K3233" t="s" s="11">
        <v>16449</v>
      </c>
      <c r="L3233" s="17">
        <f>HYPERLINK("http://www.xpendit.com", "www.xpendit.com")</f>
      </c>
      <c r="M3233" s="17">
        <f>HYPERLINK("https://my.pitchbook.com?c=572024-98", "View Company Online")</f>
      </c>
    </row>
    <row r="3234">
      <c r="A3234" t="s" s="10">
        <v>16451</v>
      </c>
      <c r="B3234" t="s" s="10">
        <v>16452</v>
      </c>
      <c r="C3234" t="s" s="10">
        <v>164</v>
      </c>
      <c r="D3234" t="s" s="10">
        <v>206</v>
      </c>
      <c r="E3234" t="s" s="10">
        <v>5128</v>
      </c>
      <c r="F3234" s="27">
        <v>45680</v>
      </c>
      <c r="G3234" t="s" s="10">
        <v>40</v>
      </c>
      <c r="H3234" s="42">
        <v>3.15</v>
      </c>
      <c r="I3234" s="42">
        <v>5.98</v>
      </c>
      <c r="J3234" t="s" s="10">
        <v>16453</v>
      </c>
      <c r="K3234" t="s" s="10">
        <v>16454</v>
      </c>
      <c r="L3234" s="16">
        <f>HYPERLINK("http://www.openpayments.io", "www.openpayments.io")</f>
      </c>
      <c r="M3234" s="16">
        <f>HYPERLINK("https://my.pitchbook.com?c=226541-80", "View Company Online")</f>
      </c>
    </row>
    <row r="3235">
      <c r="A3235" t="s" s="11">
        <v>16456</v>
      </c>
      <c r="B3235" t="s" s="11">
        <v>16457</v>
      </c>
      <c r="C3235" t="s" s="11">
        <v>60</v>
      </c>
      <c r="D3235" t="s" s="11">
        <v>192</v>
      </c>
      <c r="E3235" t="s" s="11">
        <v>29</v>
      </c>
      <c r="F3235" s="28">
        <v>43831</v>
      </c>
      <c r="G3235" t="s" s="11">
        <v>5274</v>
      </c>
      <c r="H3235" s="43">
        <v>0.34</v>
      </c>
      <c r="I3235" s="43">
        <v>5.96</v>
      </c>
      <c r="J3235" t="s" s="11">
        <v>16458</v>
      </c>
      <c r="K3235" t="s" s="11">
        <v>16459</v>
      </c>
      <c r="L3235" s="17">
        <f>HYPERLINK("http://www.simplywall.st", "www.simplywall.st")</f>
      </c>
      <c r="M3235" s="17">
        <f>HYPERLINK("https://my.pitchbook.com?c=104398-57", "View Company Online")</f>
      </c>
    </row>
    <row r="3236">
      <c r="A3236" t="s" s="10">
        <v>16461</v>
      </c>
      <c r="B3236" t="s" s="10">
        <v>16462</v>
      </c>
      <c r="C3236" t="s" s="10">
        <v>60</v>
      </c>
      <c r="D3236" t="s" s="10">
        <v>727</v>
      </c>
      <c r="E3236" t="s" s="10">
        <v>137</v>
      </c>
      <c r="F3236" s="27">
        <v>45123</v>
      </c>
      <c r="G3236" t="s" s="10">
        <v>4267</v>
      </c>
      <c r="H3236" s="42">
        <v>1.79</v>
      </c>
      <c r="I3236" s="42">
        <v>5.96</v>
      </c>
      <c r="J3236" t="s" s="10">
        <v>16463</v>
      </c>
      <c r="K3236" t="s" s="10">
        <v>30</v>
      </c>
      <c r="L3236" s="16">
        <f>HYPERLINK("http://www.viasprout.com", "www.viasprout.com")</f>
      </c>
      <c r="M3236" s="16">
        <f>HYPERLINK("https://my.pitchbook.com?c=484035-49", "View Company Online")</f>
      </c>
    </row>
    <row r="3237">
      <c r="A3237" t="s" s="11">
        <v>16465</v>
      </c>
      <c r="B3237" t="s" s="11">
        <v>16466</v>
      </c>
      <c r="C3237" t="s" s="11">
        <v>27</v>
      </c>
      <c r="D3237" t="s" s="11">
        <v>28</v>
      </c>
      <c r="E3237" t="s" s="11">
        <v>1859</v>
      </c>
      <c r="F3237" t="s" s="28">
        <v>30</v>
      </c>
      <c r="G3237" t="s" s="11">
        <v>146</v>
      </c>
      <c r="H3237" t="s" s="43">
        <v>30</v>
      </c>
      <c r="I3237" s="43">
        <v>5.94</v>
      </c>
      <c r="J3237" t="s" s="11">
        <v>16467</v>
      </c>
      <c r="K3237" t="s" s="11">
        <v>16468</v>
      </c>
      <c r="L3237" s="17">
        <f>HYPERLINK("http://www.tulyp.io", "www.tulyp.io")</f>
      </c>
      <c r="M3237" s="17">
        <f>HYPERLINK("https://my.pitchbook.com?c=539238-34", "View Company Online")</f>
      </c>
    </row>
    <row r="3238">
      <c r="A3238" t="s" s="10">
        <v>16470</v>
      </c>
      <c r="B3238" t="s" s="10">
        <v>16471</v>
      </c>
      <c r="C3238" t="s" s="10">
        <v>60</v>
      </c>
      <c r="D3238" t="s" s="10">
        <v>727</v>
      </c>
      <c r="E3238" t="s" s="10">
        <v>2782</v>
      </c>
      <c r="F3238" s="27">
        <v>44792</v>
      </c>
      <c r="G3238" t="s" s="10">
        <v>4267</v>
      </c>
      <c r="H3238" s="42">
        <v>6</v>
      </c>
      <c r="I3238" s="42">
        <v>5.93</v>
      </c>
      <c r="J3238" t="s" s="10">
        <v>16472</v>
      </c>
      <c r="K3238" t="s" s="10">
        <v>16473</v>
      </c>
      <c r="L3238" s="16">
        <f>HYPERLINK("http://www.capitalizarme.com", "www.capitalizarme.com")</f>
      </c>
      <c r="M3238" s="16">
        <f>HYPERLINK("https://my.pitchbook.com?c=109053-19", "View Company Online")</f>
      </c>
    </row>
    <row r="3239">
      <c r="A3239" t="s" s="11">
        <v>16475</v>
      </c>
      <c r="B3239" t="s" s="11">
        <v>16476</v>
      </c>
      <c r="C3239" t="s" s="11">
        <v>60</v>
      </c>
      <c r="D3239" t="s" s="11">
        <v>246</v>
      </c>
      <c r="E3239" t="s" s="11">
        <v>253</v>
      </c>
      <c r="F3239" s="28">
        <v>45191</v>
      </c>
      <c r="G3239" t="s" s="11">
        <v>40</v>
      </c>
      <c r="H3239" t="s" s="43">
        <v>30</v>
      </c>
      <c r="I3239" s="43">
        <v>5.92</v>
      </c>
      <c r="J3239" t="s" s="11">
        <v>16477</v>
      </c>
      <c r="K3239" t="s" s="11">
        <v>16478</v>
      </c>
      <c r="L3239" s="17">
        <f>HYPERLINK("http://www.iciredimpagados.com", "www.iciredimpagados.com")</f>
      </c>
      <c r="M3239" s="17">
        <f>HYPERLINK("https://my.pitchbook.com?c=327436-12", "View Company Online")</f>
      </c>
    </row>
    <row r="3240">
      <c r="A3240" t="s" s="10">
        <v>16480</v>
      </c>
      <c r="B3240" t="s" s="10">
        <v>16481</v>
      </c>
      <c r="C3240" t="s" s="10">
        <v>222</v>
      </c>
      <c r="D3240" t="s" s="10">
        <v>252</v>
      </c>
      <c r="E3240" t="s" s="10">
        <v>137</v>
      </c>
      <c r="F3240" s="27">
        <v>44482</v>
      </c>
      <c r="G3240" t="s" s="10">
        <v>40</v>
      </c>
      <c r="H3240" s="42">
        <v>19</v>
      </c>
      <c r="I3240" s="42">
        <v>5.91</v>
      </c>
      <c r="J3240" t="s" s="10">
        <v>16482</v>
      </c>
      <c r="K3240" t="s" s="10">
        <v>16483</v>
      </c>
      <c r="L3240" s="16">
        <f>HYPERLINK("http://www.makor-group.com", "www.makor-group.com")</f>
      </c>
      <c r="M3240" s="16">
        <f>HYPERLINK("https://my.pitchbook.com?c=328863-43", "View Company Online")</f>
      </c>
    </row>
    <row r="3241">
      <c r="A3241" t="s" s="11">
        <v>16485</v>
      </c>
      <c r="B3241" t="s" s="11">
        <v>16486</v>
      </c>
      <c r="C3241" t="s" s="11">
        <v>46</v>
      </c>
      <c r="D3241" t="s" s="11">
        <v>915</v>
      </c>
      <c r="E3241" t="s" s="11">
        <v>253</v>
      </c>
      <c r="F3241" s="28">
        <v>44939</v>
      </c>
      <c r="G3241" t="s" s="11">
        <v>4267</v>
      </c>
      <c r="H3241" s="43">
        <v>3.2</v>
      </c>
      <c r="I3241" s="43">
        <v>5.91</v>
      </c>
      <c r="J3241" t="s" s="11">
        <v>16487</v>
      </c>
      <c r="K3241" t="s" s="11">
        <v>16488</v>
      </c>
      <c r="L3241" s="17">
        <f>HYPERLINK("http://www.trezy.io", "www.trezy.io")</f>
      </c>
      <c r="M3241" s="17">
        <f>HYPERLINK("https://my.pitchbook.com?c=496537-12", "View Company Online")</f>
      </c>
    </row>
    <row r="3242">
      <c r="A3242" t="s" s="10">
        <v>16490</v>
      </c>
      <c r="B3242" t="s" s="10">
        <v>16491</v>
      </c>
      <c r="C3242" t="s" s="10">
        <v>27</v>
      </c>
      <c r="D3242" t="s" s="10">
        <v>28</v>
      </c>
      <c r="E3242" t="s" s="10">
        <v>345</v>
      </c>
      <c r="F3242" s="27">
        <v>42788</v>
      </c>
      <c r="G3242" t="s" s="10">
        <v>4267</v>
      </c>
      <c r="H3242" s="42">
        <v>1.07</v>
      </c>
      <c r="I3242" s="42">
        <v>5.88</v>
      </c>
      <c r="J3242" t="s" s="10">
        <v>16492</v>
      </c>
      <c r="K3242" t="s" s="10">
        <v>16493</v>
      </c>
      <c r="L3242" s="16">
        <f>HYPERLINK("http://www.coowry.com", "www.coowry.com")</f>
      </c>
      <c r="M3242" s="16">
        <f>HYPERLINK("https://my.pitchbook.com?c=166263-40", "View Company Online")</f>
      </c>
    </row>
    <row r="3243">
      <c r="A3243" t="s" s="11">
        <v>16495</v>
      </c>
      <c r="B3243" t="s" s="11">
        <v>16496</v>
      </c>
      <c r="C3243" t="s" s="11">
        <v>60</v>
      </c>
      <c r="D3243" t="s" s="11">
        <v>192</v>
      </c>
      <c r="E3243" t="s" s="11">
        <v>137</v>
      </c>
      <c r="F3243" s="28">
        <v>45860</v>
      </c>
      <c r="G3243" t="s" s="11">
        <v>40</v>
      </c>
      <c r="H3243" s="43">
        <v>0.62</v>
      </c>
      <c r="I3243" s="43">
        <v>5.88</v>
      </c>
      <c r="J3243" t="s" s="11">
        <v>16497</v>
      </c>
      <c r="K3243" t="s" s="11">
        <v>16498</v>
      </c>
      <c r="L3243" s="17">
        <f>HYPERLINK("http://www.curvo.eu", "www.curvo.eu")</f>
      </c>
      <c r="M3243" s="17">
        <f>HYPERLINK("https://my.pitchbook.com?c=517370-68", "View Company Online")</f>
      </c>
    </row>
    <row r="3244">
      <c r="A3244" t="s" s="10">
        <v>16500</v>
      </c>
      <c r="B3244" t="s" s="10">
        <v>16501</v>
      </c>
      <c r="C3244" t="s" s="10">
        <v>37</v>
      </c>
      <c r="D3244" t="s" s="10">
        <v>304</v>
      </c>
      <c r="E3244" t="s" s="10">
        <v>137</v>
      </c>
      <c r="F3244" s="27">
        <v>43515</v>
      </c>
      <c r="G3244" t="s" s="10">
        <v>4267</v>
      </c>
      <c r="H3244" s="42">
        <v>0.53</v>
      </c>
      <c r="I3244" s="42">
        <v>5.88</v>
      </c>
      <c r="J3244" t="s" s="10">
        <v>16502</v>
      </c>
      <c r="K3244" t="s" s="10">
        <v>16503</v>
      </c>
      <c r="L3244" s="16">
        <f>HYPERLINK("http://www.happyemi.com", "www.happyemi.com")</f>
      </c>
      <c r="M3244" s="16">
        <f>HYPERLINK("https://my.pitchbook.com?c=231936-13", "View Company Online")</f>
      </c>
    </row>
    <row r="3245">
      <c r="A3245" t="s" s="11">
        <v>16505</v>
      </c>
      <c r="B3245" t="s" s="11">
        <v>16506</v>
      </c>
      <c r="C3245" t="s" s="11">
        <v>46</v>
      </c>
      <c r="D3245" t="s" s="11">
        <v>397</v>
      </c>
      <c r="E3245" t="s" s="11">
        <v>373</v>
      </c>
      <c r="F3245" s="28">
        <v>45831</v>
      </c>
      <c r="G3245" t="s" s="11">
        <v>146</v>
      </c>
      <c r="H3245" s="43">
        <v>0.83</v>
      </c>
      <c r="I3245" s="43">
        <v>5.87</v>
      </c>
      <c r="J3245" t="s" s="11">
        <v>16507</v>
      </c>
      <c r="K3245" t="s" s="11">
        <v>16508</v>
      </c>
      <c r="L3245" s="17">
        <f>HYPERLINK("http://www.comptasecure.fr", "www.comptasecure.fr")</f>
      </c>
      <c r="M3245" s="17">
        <f>HYPERLINK("https://my.pitchbook.com?c=628299-01", "View Company Online")</f>
      </c>
    </row>
    <row r="3246">
      <c r="A3246" t="s" s="10">
        <v>16510</v>
      </c>
      <c r="B3246" t="s" s="10">
        <v>16511</v>
      </c>
      <c r="C3246" t="s" s="10">
        <v>46</v>
      </c>
      <c r="D3246" t="s" s="10">
        <v>915</v>
      </c>
      <c r="E3246" t="s" s="10">
        <v>373</v>
      </c>
      <c r="F3246" s="27">
        <v>46054</v>
      </c>
      <c r="G3246" t="s" s="10">
        <v>4267</v>
      </c>
      <c r="H3246" s="42">
        <v>1.17</v>
      </c>
      <c r="I3246" s="42">
        <v>5.87</v>
      </c>
      <c r="J3246" t="s" s="10">
        <v>16512</v>
      </c>
      <c r="K3246" t="s" s="10">
        <v>16513</v>
      </c>
      <c r="L3246" s="16">
        <f>HYPERLINK("http://www.flyward.eu", "www.flyward.eu")</f>
      </c>
      <c r="M3246" s="16">
        <f>HYPERLINK("https://my.pitchbook.com?c=753070-96", "View Company Online")</f>
      </c>
    </row>
    <row r="3247">
      <c r="A3247" t="s" s="11">
        <v>16515</v>
      </c>
      <c r="B3247" t="s" s="11">
        <v>16516</v>
      </c>
      <c r="C3247" t="s" s="11">
        <v>222</v>
      </c>
      <c r="D3247" t="s" s="11">
        <v>223</v>
      </c>
      <c r="E3247" t="s" s="11">
        <v>493</v>
      </c>
      <c r="F3247" s="28">
        <v>45740</v>
      </c>
      <c r="G3247" t="s" s="11">
        <v>146</v>
      </c>
      <c r="H3247" s="43">
        <v>1.26</v>
      </c>
      <c r="I3247" s="43">
        <v>5.87</v>
      </c>
      <c r="J3247" t="s" s="11">
        <v>16517</v>
      </c>
      <c r="K3247" t="s" s="11">
        <v>16518</v>
      </c>
      <c r="L3247" s="17">
        <f>HYPERLINK("http://www.liquidacquire.com", "www.liquidacquire.com")</f>
      </c>
      <c r="M3247" s="17">
        <f>HYPERLINK("https://my.pitchbook.com?c=741880-54", "View Company Online")</f>
      </c>
    </row>
    <row r="3248">
      <c r="A3248" t="s" s="10">
        <v>16520</v>
      </c>
      <c r="B3248" t="s" s="10">
        <v>16521</v>
      </c>
      <c r="C3248" t="s" s="10">
        <v>27</v>
      </c>
      <c r="D3248" t="s" s="10">
        <v>28</v>
      </c>
      <c r="E3248" t="s" s="10">
        <v>332</v>
      </c>
      <c r="F3248" s="27">
        <v>44562</v>
      </c>
      <c r="G3248" t="s" s="10">
        <v>40</v>
      </c>
      <c r="H3248" s="42">
        <v>0.98</v>
      </c>
      <c r="I3248" s="42">
        <v>5.87</v>
      </c>
      <c r="J3248" t="s" s="10">
        <v>16522</v>
      </c>
      <c r="K3248" t="s" s="10">
        <v>16523</v>
      </c>
      <c r="L3248" s="16">
        <f>HYPERLINK("http://www.puntopago.net", "www.puntopago.net")</f>
      </c>
      <c r="M3248" s="16">
        <f>HYPERLINK("https://my.pitchbook.com?c=231720-13", "View Company Online")</f>
      </c>
    </row>
    <row r="3249">
      <c r="A3249" t="s" s="11">
        <v>16525</v>
      </c>
      <c r="B3249" t="s" s="11">
        <v>16526</v>
      </c>
      <c r="C3249" t="s" s="11">
        <v>172</v>
      </c>
      <c r="D3249" t="s" s="11">
        <v>338</v>
      </c>
      <c r="E3249" t="s" s="11">
        <v>493</v>
      </c>
      <c r="F3249" s="28">
        <v>44467</v>
      </c>
      <c r="G3249" t="s" s="11">
        <v>4267</v>
      </c>
      <c r="H3249" s="43">
        <v>1.09</v>
      </c>
      <c r="I3249" s="43">
        <v>5.85</v>
      </c>
      <c r="J3249" t="s" s="11">
        <v>16527</v>
      </c>
      <c r="K3249" t="s" s="11">
        <v>16528</v>
      </c>
      <c r="L3249" s="17">
        <f>HYPERLINK("http://www.manchtech.com", "www.manchtech.com")</f>
      </c>
      <c r="M3249" s="17">
        <f>HYPERLINK("https://my.pitchbook.com?c=481816-36", "View Company Online")</f>
      </c>
    </row>
    <row r="3250">
      <c r="A3250" t="s" s="10">
        <v>16530</v>
      </c>
      <c r="B3250" t="s" s="10">
        <v>16531</v>
      </c>
      <c r="C3250" t="s" s="10">
        <v>164</v>
      </c>
      <c r="D3250" t="s" s="10">
        <v>206</v>
      </c>
      <c r="E3250" t="s" s="10">
        <v>253</v>
      </c>
      <c r="F3250" s="27">
        <v>46023</v>
      </c>
      <c r="G3250" t="s" s="10">
        <v>48</v>
      </c>
      <c r="H3250" t="s" s="42">
        <v>30</v>
      </c>
      <c r="I3250" s="42">
        <v>5.84</v>
      </c>
      <c r="J3250" t="s" s="10">
        <v>16532</v>
      </c>
      <c r="K3250" t="s" s="10">
        <v>30</v>
      </c>
      <c r="L3250" s="16">
        <f>HYPERLINK("http://www.fundvisory.fr", "www.fundvisory.fr")</f>
      </c>
      <c r="M3250" s="16">
        <f>HYPERLINK("https://my.pitchbook.com?c=234860-41", "View Company Online")</f>
      </c>
    </row>
    <row r="3251">
      <c r="A3251" t="s" s="11">
        <v>16534</v>
      </c>
      <c r="B3251" t="s" s="11">
        <v>16535</v>
      </c>
      <c r="C3251" t="s" s="11">
        <v>60</v>
      </c>
      <c r="D3251" t="s" s="11">
        <v>192</v>
      </c>
      <c r="E3251" t="s" s="11">
        <v>5790</v>
      </c>
      <c r="F3251" s="28">
        <v>45545</v>
      </c>
      <c r="G3251" t="s" s="11">
        <v>40</v>
      </c>
      <c r="H3251" t="s" s="43">
        <v>30</v>
      </c>
      <c r="I3251" s="43">
        <v>5.81</v>
      </c>
      <c r="J3251" t="s" s="11">
        <v>16536</v>
      </c>
      <c r="K3251" t="s" s="11">
        <v>16537</v>
      </c>
      <c r="L3251" s="17">
        <f>HYPERLINK("http://www.ensombl.com", "www.ensombl.com")</f>
      </c>
      <c r="M3251" s="17">
        <f>HYPERLINK("https://my.pitchbook.com?c=522410-32", "View Company Online")</f>
      </c>
    </row>
    <row r="3252">
      <c r="A3252" t="s" s="10">
        <v>16539</v>
      </c>
      <c r="B3252" t="s" s="10">
        <v>16540</v>
      </c>
      <c r="C3252" t="s" s="10">
        <v>60</v>
      </c>
      <c r="D3252" t="s" s="10">
        <v>246</v>
      </c>
      <c r="E3252" t="s" s="10">
        <v>116</v>
      </c>
      <c r="F3252" s="27">
        <v>46069</v>
      </c>
      <c r="G3252" t="s" s="10">
        <v>4267</v>
      </c>
      <c r="H3252" s="42">
        <v>1.29</v>
      </c>
      <c r="I3252" s="42">
        <v>5.79</v>
      </c>
      <c r="J3252" t="s" s="10">
        <v>16541</v>
      </c>
      <c r="K3252" t="s" s="10">
        <v>16542</v>
      </c>
      <c r="L3252" s="16">
        <f>HYPERLINK("http://www.otto.money", "www.otto.money")</f>
      </c>
      <c r="M3252" s="16">
        <f>HYPERLINK("https://my.pitchbook.com?c=1318383-55", "View Company Online")</f>
      </c>
    </row>
    <row r="3253">
      <c r="A3253" t="s" s="11">
        <v>16544</v>
      </c>
      <c r="B3253" t="s" s="11">
        <v>16545</v>
      </c>
      <c r="C3253" t="s" s="11">
        <v>60</v>
      </c>
      <c r="D3253" t="s" s="11">
        <v>192</v>
      </c>
      <c r="E3253" t="s" s="11">
        <v>373</v>
      </c>
      <c r="F3253" s="28">
        <v>45952</v>
      </c>
      <c r="G3253" t="s" s="11">
        <v>607</v>
      </c>
      <c r="H3253" t="s" s="43">
        <v>30</v>
      </c>
      <c r="I3253" s="43">
        <v>5.77</v>
      </c>
      <c r="J3253" t="s" s="11">
        <v>16546</v>
      </c>
      <c r="K3253" t="s" s="11">
        <v>16547</v>
      </c>
      <c r="L3253" s="17">
        <f>HYPERLINK("http://www.stratxai.com", "www.stratxai.com")</f>
      </c>
      <c r="M3253" s="17">
        <f>HYPERLINK("https://my.pitchbook.com?c=459373-96", "View Company Online")</f>
      </c>
    </row>
    <row r="3254">
      <c r="A3254" t="s" s="10">
        <v>16549</v>
      </c>
      <c r="B3254" t="s" s="10">
        <v>16550</v>
      </c>
      <c r="C3254" t="s" s="10">
        <v>164</v>
      </c>
      <c r="D3254" t="s" s="10">
        <v>165</v>
      </c>
      <c r="E3254" t="s" s="10">
        <v>253</v>
      </c>
      <c r="F3254" s="27">
        <v>45936</v>
      </c>
      <c r="G3254" t="s" s="10">
        <v>4267</v>
      </c>
      <c r="H3254" s="42">
        <v>2.7</v>
      </c>
      <c r="I3254" s="42">
        <v>5.74</v>
      </c>
      <c r="J3254" t="s" s="10">
        <v>16551</v>
      </c>
      <c r="K3254" t="s" s="10">
        <v>16552</v>
      </c>
      <c r="L3254" s="16">
        <f>HYPERLINK("http://www.aazzur.com", "www.aazzur.com")</f>
      </c>
      <c r="M3254" s="16">
        <f>HYPERLINK("https://my.pitchbook.com?c=226122-49", "View Company Online")</f>
      </c>
    </row>
    <row r="3255">
      <c r="A3255" t="s" s="11">
        <v>16554</v>
      </c>
      <c r="B3255" t="s" s="11">
        <v>16555</v>
      </c>
      <c r="C3255" t="s" s="11">
        <v>164</v>
      </c>
      <c r="D3255" t="s" s="11">
        <v>165</v>
      </c>
      <c r="E3255" t="s" s="11">
        <v>193</v>
      </c>
      <c r="F3255" s="28">
        <v>45440</v>
      </c>
      <c r="G3255" t="s" s="11">
        <v>607</v>
      </c>
      <c r="H3255" t="s" s="43">
        <v>30</v>
      </c>
      <c r="I3255" s="43">
        <v>5.74</v>
      </c>
      <c r="J3255" t="s" s="11">
        <v>16556</v>
      </c>
      <c r="K3255" t="s" s="11">
        <v>16557</v>
      </c>
      <c r="L3255" s="17">
        <f>HYPERLINK("http://www.bankify.io", "www.bankify.io")</f>
      </c>
      <c r="M3255" s="17">
        <f>HYPERLINK("https://my.pitchbook.com?c=226383-04", "View Company Online")</f>
      </c>
    </row>
    <row r="3256">
      <c r="A3256" t="s" s="10">
        <v>16559</v>
      </c>
      <c r="B3256" t="s" s="10">
        <v>16560</v>
      </c>
      <c r="C3256" t="s" s="10">
        <v>60</v>
      </c>
      <c r="D3256" t="s" s="10">
        <v>192</v>
      </c>
      <c r="E3256" t="s" s="10">
        <v>29</v>
      </c>
      <c r="F3256" s="27">
        <v>46227</v>
      </c>
      <c r="G3256" t="s" s="10">
        <v>271</v>
      </c>
      <c r="H3256" s="42">
        <v>0.41</v>
      </c>
      <c r="I3256" s="42">
        <v>5.74</v>
      </c>
      <c r="J3256" t="s" s="10">
        <v>16561</v>
      </c>
      <c r="K3256" t="s" s="10">
        <v>16562</v>
      </c>
      <c r="L3256" s="16">
        <f>HYPERLINK("http://www.stratiphy.io", "www.stratiphy.io")</f>
      </c>
      <c r="M3256" s="16">
        <f>HYPERLINK("https://my.pitchbook.com?c=482273-74", "View Company Online")</f>
      </c>
    </row>
    <row r="3257">
      <c r="A3257" t="s" s="11">
        <v>16564</v>
      </c>
      <c r="B3257" t="s" s="11">
        <v>16565</v>
      </c>
      <c r="C3257" t="s" s="11">
        <v>128</v>
      </c>
      <c r="D3257" t="s" s="11">
        <v>199</v>
      </c>
      <c r="E3257" t="s" s="11">
        <v>16566</v>
      </c>
      <c r="F3257" s="28">
        <v>46064</v>
      </c>
      <c r="G3257" t="s" s="11">
        <v>40</v>
      </c>
      <c r="H3257" t="s" s="43">
        <v>30</v>
      </c>
      <c r="I3257" s="43">
        <v>5.73</v>
      </c>
      <c r="J3257" t="s" s="11">
        <v>16567</v>
      </c>
      <c r="K3257" t="s" s="11">
        <v>16568</v>
      </c>
      <c r="L3257" s="17">
        <f>HYPERLINK("http://www.seven.ooo", "www.seven.ooo")</f>
      </c>
      <c r="M3257" s="17">
        <f>HYPERLINK("https://my.pitchbook.com?c=707887-27", "View Company Online")</f>
      </c>
    </row>
    <row r="3258">
      <c r="A3258" t="s" s="10">
        <v>16570</v>
      </c>
      <c r="B3258" t="s" s="10">
        <v>16571</v>
      </c>
      <c r="C3258" t="s" s="10">
        <v>164</v>
      </c>
      <c r="D3258" t="s" s="10">
        <v>165</v>
      </c>
      <c r="E3258" t="s" s="10">
        <v>2782</v>
      </c>
      <c r="F3258" s="27">
        <v>45314</v>
      </c>
      <c r="G3258" t="s" s="10">
        <v>40</v>
      </c>
      <c r="H3258" s="42">
        <v>6.58</v>
      </c>
      <c r="I3258" s="42">
        <v>5.72</v>
      </c>
      <c r="J3258" t="s" s="10">
        <v>16572</v>
      </c>
      <c r="K3258" t="s" s="10">
        <v>16573</v>
      </c>
      <c r="L3258" s="16">
        <f>HYPERLINK("http://www.mipise.com", "www.mipise.com")</f>
      </c>
      <c r="M3258" s="16">
        <f>HYPERLINK("https://my.pitchbook.com?c=268356-97", "View Company Online")</f>
      </c>
    </row>
    <row r="3259">
      <c r="A3259" t="s" s="11">
        <v>16575</v>
      </c>
      <c r="B3259" t="s" s="11">
        <v>16576</v>
      </c>
      <c r="C3259" t="s" s="11">
        <v>60</v>
      </c>
      <c r="D3259" t="s" s="11">
        <v>727</v>
      </c>
      <c r="E3259" t="s" s="11">
        <v>2782</v>
      </c>
      <c r="F3259" s="28">
        <v>45384</v>
      </c>
      <c r="G3259" t="s" s="11">
        <v>271</v>
      </c>
      <c r="H3259" s="43">
        <v>1.03</v>
      </c>
      <c r="I3259" s="43">
        <v>5.7</v>
      </c>
      <c r="J3259" t="s" s="11">
        <v>16577</v>
      </c>
      <c r="K3259" t="s" s="11">
        <v>16578</v>
      </c>
      <c r="L3259" s="17">
        <f>HYPERLINK("http://www.fraccional.cl", "www.fraccional.cl")</f>
      </c>
      <c r="M3259" s="17">
        <f>HYPERLINK("https://my.pitchbook.com?c=528242-77", "View Company Online")</f>
      </c>
    </row>
    <row r="3260">
      <c r="A3260" t="s" s="10">
        <v>16580</v>
      </c>
      <c r="B3260" t="s" s="10">
        <v>16581</v>
      </c>
      <c r="C3260" t="s" s="10">
        <v>60</v>
      </c>
      <c r="D3260" t="s" s="10">
        <v>246</v>
      </c>
      <c r="E3260" t="s" s="10">
        <v>2782</v>
      </c>
      <c r="F3260" s="27">
        <v>45041</v>
      </c>
      <c r="G3260" t="s" s="10">
        <v>4267</v>
      </c>
      <c r="H3260" s="42">
        <v>1.27</v>
      </c>
      <c r="I3260" s="42">
        <v>5.69</v>
      </c>
      <c r="J3260" t="s" s="10">
        <v>16582</v>
      </c>
      <c r="K3260" t="s" s="10">
        <v>30</v>
      </c>
      <c r="L3260" s="16">
        <f>HYPERLINK("http://www.evorest.ch", "www.evorest.ch")</f>
      </c>
      <c r="M3260" s="16">
        <f>HYPERLINK("https://my.pitchbook.com?c=525439-72", "View Company Online")</f>
      </c>
    </row>
    <row r="3261">
      <c r="A3261" t="s" s="11">
        <v>16584</v>
      </c>
      <c r="B3261" t="s" s="11">
        <v>16585</v>
      </c>
      <c r="C3261" t="s" s="11">
        <v>114</v>
      </c>
      <c r="D3261" t="s" s="11">
        <v>136</v>
      </c>
      <c r="E3261" t="s" s="11">
        <v>373</v>
      </c>
      <c r="F3261" s="28">
        <v>45901</v>
      </c>
      <c r="G3261" t="s" s="11">
        <v>607</v>
      </c>
      <c r="H3261" t="s" s="43">
        <v>30</v>
      </c>
      <c r="I3261" s="43">
        <v>5.69</v>
      </c>
      <c r="J3261" t="s" s="11">
        <v>16586</v>
      </c>
      <c r="K3261" t="s" s="11">
        <v>16587</v>
      </c>
      <c r="L3261" s="17">
        <f>HYPERLINK("http://www.lendox.com", "www.lendox.com")</f>
      </c>
      <c r="M3261" s="17">
        <f>HYPERLINK("https://my.pitchbook.com?c=182356-48", "View Company Online")</f>
      </c>
    </row>
    <row r="3262">
      <c r="A3262" t="s" s="10">
        <v>16589</v>
      </c>
      <c r="B3262" t="s" s="10">
        <v>16590</v>
      </c>
      <c r="C3262" t="s" s="10">
        <v>37</v>
      </c>
      <c r="D3262" t="s" s="10">
        <v>304</v>
      </c>
      <c r="E3262" t="s" s="10">
        <v>270</v>
      </c>
      <c r="F3262" s="27">
        <v>45726</v>
      </c>
      <c r="G3262" t="s" s="10">
        <v>146</v>
      </c>
      <c r="H3262" s="42">
        <v>0.4</v>
      </c>
      <c r="I3262" s="42">
        <v>5.68</v>
      </c>
      <c r="J3262" t="s" s="10">
        <v>16591</v>
      </c>
      <c r="K3262" t="s" s="10">
        <v>16592</v>
      </c>
      <c r="L3262" s="16">
        <f>HYPERLINK("http://www.pollenpay.com", "www.pollenpay.com")</f>
      </c>
      <c r="M3262" s="16">
        <f>HYPERLINK("https://my.pitchbook.com?c=492837-58", "View Company Online")</f>
      </c>
    </row>
    <row r="3263">
      <c r="A3263" t="s" s="11">
        <v>16594</v>
      </c>
      <c r="B3263" t="s" s="11">
        <v>16595</v>
      </c>
      <c r="C3263" t="s" s="11">
        <v>27</v>
      </c>
      <c r="D3263" t="s" s="11">
        <v>28</v>
      </c>
      <c r="E3263" t="s" s="11">
        <v>345</v>
      </c>
      <c r="F3263" s="28">
        <v>43370</v>
      </c>
      <c r="G3263" t="s" s="11">
        <v>146</v>
      </c>
      <c r="H3263" s="43">
        <v>1.37</v>
      </c>
      <c r="I3263" s="43">
        <v>5.68</v>
      </c>
      <c r="J3263" t="s" s="11">
        <v>16596</v>
      </c>
      <c r="K3263" t="s" s="11">
        <v>16597</v>
      </c>
      <c r="L3263" s="17">
        <f>HYPERLINK("http://www.truust.io", "www.truust.io")</f>
      </c>
      <c r="M3263" s="17">
        <f>HYPERLINK("https://my.pitchbook.com?c=221893-57", "View Company Online")</f>
      </c>
    </row>
    <row r="3264">
      <c r="A3264" t="s" s="10">
        <v>16599</v>
      </c>
      <c r="B3264" t="s" s="10">
        <v>16600</v>
      </c>
      <c r="C3264" t="s" s="10">
        <v>37</v>
      </c>
      <c r="D3264" t="s" s="10">
        <v>304</v>
      </c>
      <c r="E3264" t="s" s="10">
        <v>137</v>
      </c>
      <c r="F3264" s="27">
        <v>44791</v>
      </c>
      <c r="G3264" t="s" s="10">
        <v>40</v>
      </c>
      <c r="H3264" s="42">
        <v>2</v>
      </c>
      <c r="I3264" s="42">
        <v>5.67</v>
      </c>
      <c r="J3264" t="s" s="10">
        <v>16601</v>
      </c>
      <c r="K3264" t="s" s="10">
        <v>16602</v>
      </c>
      <c r="L3264" s="16">
        <f>HYPERLINK("http://www.flexmoney.in", "www.flexmoney.in")</f>
      </c>
      <c r="M3264" s="16">
        <f>HYPERLINK("https://my.pitchbook.com?c=340832-53", "View Company Online")</f>
      </c>
    </row>
    <row r="3265">
      <c r="A3265" t="s" s="11">
        <v>16604</v>
      </c>
      <c r="B3265" t="s" s="11">
        <v>16605</v>
      </c>
      <c r="C3265" t="s" s="11">
        <v>172</v>
      </c>
      <c r="D3265" t="s" s="11">
        <v>1454</v>
      </c>
      <c r="E3265" t="s" s="11">
        <v>3320</v>
      </c>
      <c r="F3265" s="28">
        <v>46174</v>
      </c>
      <c r="G3265" t="s" s="11">
        <v>138</v>
      </c>
      <c r="H3265" t="s" s="43">
        <v>30</v>
      </c>
      <c r="I3265" s="43">
        <v>5.66</v>
      </c>
      <c r="J3265" t="s" s="11">
        <v>16606</v>
      </c>
      <c r="K3265" t="s" s="11">
        <v>30</v>
      </c>
      <c r="L3265" s="17">
        <f>HYPERLINK("http://www.derivitec.com", "www.derivitec.com")</f>
      </c>
      <c r="M3265" s="17">
        <f>HYPERLINK("https://my.pitchbook.com?c=184811-59", "View Company Online")</f>
      </c>
    </row>
    <row r="3266">
      <c r="A3266" t="s" s="10">
        <v>16608</v>
      </c>
      <c r="B3266" t="s" s="10">
        <v>16609</v>
      </c>
      <c r="C3266" t="s" s="10">
        <v>172</v>
      </c>
      <c r="D3266" t="s" s="10">
        <v>173</v>
      </c>
      <c r="E3266" t="s" s="10">
        <v>4279</v>
      </c>
      <c r="F3266" s="27">
        <v>46167</v>
      </c>
      <c r="G3266" t="s" s="10">
        <v>146</v>
      </c>
      <c r="H3266" s="42">
        <v>0.11</v>
      </c>
      <c r="I3266" s="42">
        <v>5.66</v>
      </c>
      <c r="J3266" t="s" s="10">
        <v>16610</v>
      </c>
      <c r="K3266" t="s" s="10">
        <v>16611</v>
      </c>
      <c r="L3266" s="16">
        <f>HYPERLINK("http://raptorx.ai", "raptorx.ai")</f>
      </c>
      <c r="M3266" s="16">
        <f>HYPERLINK("https://my.pitchbook.com?c=589060-54", "View Company Online")</f>
      </c>
    </row>
    <row r="3267">
      <c r="A3267" t="s" s="11">
        <v>16613</v>
      </c>
      <c r="B3267" t="s" s="11">
        <v>16614</v>
      </c>
      <c r="C3267" t="s" s="11">
        <v>222</v>
      </c>
      <c r="D3267" t="s" s="11">
        <v>537</v>
      </c>
      <c r="E3267" t="s" s="11">
        <v>373</v>
      </c>
      <c r="F3267" s="28">
        <v>44440</v>
      </c>
      <c r="G3267" t="s" s="11">
        <v>4267</v>
      </c>
      <c r="H3267" s="43">
        <v>2.09</v>
      </c>
      <c r="I3267" s="43">
        <v>5.66</v>
      </c>
      <c r="J3267" t="s" s="11">
        <v>16615</v>
      </c>
      <c r="K3267" t="s" s="11">
        <v>16616</v>
      </c>
      <c r="L3267" s="17">
        <f>HYPERLINK("http://www.rosecut.com", "www.rosecut.com")</f>
      </c>
      <c r="M3267" s="17">
        <f>HYPERLINK("https://my.pitchbook.com?c=268496-29", "View Company Online")</f>
      </c>
    </row>
    <row r="3268">
      <c r="A3268" t="s" s="10">
        <v>16618</v>
      </c>
      <c r="B3268" t="s" s="10">
        <v>16619</v>
      </c>
      <c r="C3268" t="s" s="10">
        <v>27</v>
      </c>
      <c r="D3268" t="s" s="10">
        <v>28</v>
      </c>
      <c r="E3268" t="s" s="10">
        <v>3320</v>
      </c>
      <c r="F3268" s="27">
        <v>45962</v>
      </c>
      <c r="G3268" t="s" s="10">
        <v>48</v>
      </c>
      <c r="H3268" t="s" s="42">
        <v>30</v>
      </c>
      <c r="I3268" s="42">
        <v>5.63</v>
      </c>
      <c r="J3268" t="s" s="10">
        <v>16620</v>
      </c>
      <c r="K3268" t="s" s="10">
        <v>16621</v>
      </c>
      <c r="L3268" s="16">
        <f>HYPERLINK("http://www.reclaimit.com", "www.reclaimit.com")</f>
      </c>
      <c r="M3268" s="16">
        <f>HYPERLINK("https://my.pitchbook.com?c=111354-31", "View Company Online")</f>
      </c>
    </row>
    <row r="3269">
      <c r="A3269" t="s" s="11">
        <v>16623</v>
      </c>
      <c r="B3269" t="s" s="11">
        <v>16624</v>
      </c>
      <c r="C3269" t="s" s="11">
        <v>114</v>
      </c>
      <c r="D3269" t="s" s="11">
        <v>1386</v>
      </c>
      <c r="E3269" t="s" s="11">
        <v>253</v>
      </c>
      <c r="F3269" s="28">
        <v>46042</v>
      </c>
      <c r="G3269" t="s" s="11">
        <v>4267</v>
      </c>
      <c r="H3269" s="43">
        <v>1.18</v>
      </c>
      <c r="I3269" s="43">
        <v>5.62</v>
      </c>
      <c r="J3269" t="s" s="11">
        <v>16625</v>
      </c>
      <c r="K3269" t="s" s="11">
        <v>16626</v>
      </c>
      <c r="L3269" s="17">
        <f>HYPERLINK("http://www.intellendtech.com", "www.intellendtech.com")</f>
      </c>
      <c r="M3269" s="17">
        <f>HYPERLINK("https://my.pitchbook.com?c=1242062-47", "View Company Online")</f>
      </c>
    </row>
    <row r="3270">
      <c r="A3270" t="s" s="10">
        <v>16628</v>
      </c>
      <c r="B3270" t="s" s="10">
        <v>16629</v>
      </c>
      <c r="C3270" t="s" s="10">
        <v>60</v>
      </c>
      <c r="D3270" t="s" s="10">
        <v>246</v>
      </c>
      <c r="E3270" t="s" s="10">
        <v>270</v>
      </c>
      <c r="F3270" s="27">
        <v>45078</v>
      </c>
      <c r="G3270" t="s" s="10">
        <v>607</v>
      </c>
      <c r="H3270" s="42">
        <v>0.15</v>
      </c>
      <c r="I3270" s="42">
        <v>5.6</v>
      </c>
      <c r="J3270" t="s" s="10">
        <v>16630</v>
      </c>
      <c r="K3270" t="s" s="10">
        <v>16631</v>
      </c>
      <c r="L3270" s="16">
        <f>HYPERLINK("http://www.herconomy.com", "www.herconomy.com")</f>
      </c>
      <c r="M3270" s="16">
        <f>HYPERLINK("https://my.pitchbook.com?c=484528-15", "View Company Online")</f>
      </c>
    </row>
    <row r="3271">
      <c r="A3271" t="s" s="11">
        <v>16633</v>
      </c>
      <c r="B3271" t="s" s="11">
        <v>16634</v>
      </c>
      <c r="C3271" t="s" s="11">
        <v>164</v>
      </c>
      <c r="D3271" t="s" s="11">
        <v>206</v>
      </c>
      <c r="E3271" t="s" s="11">
        <v>108</v>
      </c>
      <c r="F3271" s="28">
        <v>46108</v>
      </c>
      <c r="G3271" t="s" s="11">
        <v>40</v>
      </c>
      <c r="H3271" s="43">
        <v>0.2</v>
      </c>
      <c r="I3271" s="43">
        <v>5.59</v>
      </c>
      <c r="J3271" t="s" s="11">
        <v>16635</v>
      </c>
      <c r="K3271" t="s" s="11">
        <v>16636</v>
      </c>
      <c r="L3271" s="17">
        <f>HYPERLINK("http://www.finexer.com", "www.finexer.com")</f>
      </c>
      <c r="M3271" s="17">
        <f>HYPERLINK("https://my.pitchbook.com?c=648990-19", "View Company Online")</f>
      </c>
    </row>
    <row r="3272">
      <c r="A3272" t="s" s="10">
        <v>16638</v>
      </c>
      <c r="B3272" t="s" s="10">
        <v>16639</v>
      </c>
      <c r="C3272" t="s" s="10">
        <v>60</v>
      </c>
      <c r="D3272" t="s" s="10">
        <v>192</v>
      </c>
      <c r="E3272" t="s" s="10">
        <v>16640</v>
      </c>
      <c r="F3272" s="27">
        <v>46099</v>
      </c>
      <c r="G3272" t="s" s="10">
        <v>4267</v>
      </c>
      <c r="H3272" s="42">
        <v>4.2</v>
      </c>
      <c r="I3272" s="42">
        <v>5.58</v>
      </c>
      <c r="J3272" t="s" s="10">
        <v>16641</v>
      </c>
      <c r="K3272" t="s" s="10">
        <v>16642</v>
      </c>
      <c r="L3272" s="16">
        <f>HYPERLINK("http://www.homaio.com", "www.homaio.com")</f>
      </c>
      <c r="M3272" s="16">
        <f>HYPERLINK("https://my.pitchbook.com?c=519489-10", "View Company Online")</f>
      </c>
    </row>
    <row r="3273">
      <c r="A3273" t="s" s="11">
        <v>16644</v>
      </c>
      <c r="B3273" t="s" s="11">
        <v>16645</v>
      </c>
      <c r="C3273" t="s" s="11">
        <v>222</v>
      </c>
      <c r="D3273" t="s" s="11">
        <v>235</v>
      </c>
      <c r="E3273" t="s" s="11">
        <v>137</v>
      </c>
      <c r="F3273" s="28">
        <v>45147</v>
      </c>
      <c r="G3273" t="s" s="11">
        <v>4267</v>
      </c>
      <c r="H3273" s="43">
        <v>0.65</v>
      </c>
      <c r="I3273" s="43">
        <v>5.58</v>
      </c>
      <c r="J3273" t="s" s="11">
        <v>16646</v>
      </c>
      <c r="K3273" t="s" s="11">
        <v>16647</v>
      </c>
      <c r="L3273" s="17">
        <f>HYPERLINK("http://www.mnaara.com", "www.mnaara.com")</f>
      </c>
      <c r="M3273" s="17">
        <f>HYPERLINK("https://my.pitchbook.com?c=533207-62", "View Company Online")</f>
      </c>
    </row>
    <row r="3274">
      <c r="A3274" t="s" s="10">
        <v>16649</v>
      </c>
      <c r="B3274" t="s" s="10">
        <v>16650</v>
      </c>
      <c r="C3274" t="s" s="10">
        <v>27</v>
      </c>
      <c r="D3274" t="s" s="10">
        <v>70</v>
      </c>
      <c r="E3274" t="s" s="10">
        <v>259</v>
      </c>
      <c r="F3274" s="27">
        <v>44385</v>
      </c>
      <c r="G3274" t="s" s="10">
        <v>146</v>
      </c>
      <c r="H3274" s="42">
        <v>1.14</v>
      </c>
      <c r="I3274" s="42">
        <v>5.58</v>
      </c>
      <c r="J3274" t="s" s="10">
        <v>16651</v>
      </c>
      <c r="K3274" t="s" s="10">
        <v>16652</v>
      </c>
      <c r="L3274" s="16">
        <f>HYPERLINK("http://www.payleadr.com", "www.payleadr.com")</f>
      </c>
      <c r="M3274" s="16">
        <f>HYPERLINK("https://my.pitchbook.com?c=498099-25", "View Company Online")</f>
      </c>
    </row>
    <row r="3275">
      <c r="A3275" t="s" s="11">
        <v>16654</v>
      </c>
      <c r="B3275" t="s" s="11">
        <v>16655</v>
      </c>
      <c r="C3275" t="s" s="11">
        <v>164</v>
      </c>
      <c r="D3275" t="s" s="11">
        <v>206</v>
      </c>
      <c r="E3275" t="s" s="11">
        <v>137</v>
      </c>
      <c r="F3275" s="28">
        <v>45972</v>
      </c>
      <c r="G3275" t="s" s="11">
        <v>138</v>
      </c>
      <c r="H3275" t="s" s="43">
        <v>30</v>
      </c>
      <c r="I3275" s="43">
        <v>5.57</v>
      </c>
      <c r="J3275" t="s" s="11">
        <v>16656</v>
      </c>
      <c r="K3275" t="s" s="11">
        <v>30</v>
      </c>
      <c r="L3275" s="17">
        <f>HYPERLINK("http://www.finclude.ai", "www.finclude.ai")</f>
      </c>
      <c r="M3275" s="17">
        <f>HYPERLINK("https://my.pitchbook.com?c=325238-95", "View Company Online")</f>
      </c>
    </row>
    <row r="3276">
      <c r="A3276" t="s" s="10">
        <v>16658</v>
      </c>
      <c r="B3276" t="s" s="10">
        <v>16659</v>
      </c>
      <c r="C3276" t="s" s="10">
        <v>172</v>
      </c>
      <c r="D3276" t="s" s="10">
        <v>338</v>
      </c>
      <c r="E3276" t="s" s="10">
        <v>4279</v>
      </c>
      <c r="F3276" s="27">
        <v>45992</v>
      </c>
      <c r="G3276" t="s" s="10">
        <v>48</v>
      </c>
      <c r="H3276" t="s" s="42">
        <v>30</v>
      </c>
      <c r="I3276" s="42">
        <v>5.55</v>
      </c>
      <c r="J3276" t="s" s="10">
        <v>16660</v>
      </c>
      <c r="K3276" t="s" s="10">
        <v>16661</v>
      </c>
      <c r="L3276" s="16">
        <f>HYPERLINK("http://www.hyperverge.co", "www.hyperverge.co")</f>
      </c>
      <c r="M3276" s="16">
        <f>HYPERLINK("https://my.pitchbook.com?c=100360-00", "View Company Online")</f>
      </c>
    </row>
    <row r="3277">
      <c r="A3277" t="s" s="11">
        <v>16663</v>
      </c>
      <c r="B3277" t="s" s="11">
        <v>16664</v>
      </c>
      <c r="C3277" t="s" s="11">
        <v>60</v>
      </c>
      <c r="D3277" t="s" s="11">
        <v>192</v>
      </c>
      <c r="E3277" t="s" s="11">
        <v>16665</v>
      </c>
      <c r="F3277" t="s" s="28">
        <v>30</v>
      </c>
      <c r="G3277" t="s" s="11">
        <v>607</v>
      </c>
      <c r="H3277" t="s" s="43">
        <v>30</v>
      </c>
      <c r="I3277" s="43">
        <v>5.52</v>
      </c>
      <c r="J3277" t="s" s="11">
        <v>16666</v>
      </c>
      <c r="K3277" t="s" s="11">
        <v>16667</v>
      </c>
      <c r="L3277" s="17">
        <f>HYPERLINK("http://www.finmarie.com", "www.finmarie.com")</f>
      </c>
      <c r="M3277" s="17">
        <f>HYPERLINK("https://my.pitchbook.com?c=438753-97", "View Company Online")</f>
      </c>
    </row>
    <row r="3278">
      <c r="A3278" t="s" s="10">
        <v>16669</v>
      </c>
      <c r="B3278" t="s" s="10">
        <v>16670</v>
      </c>
      <c r="C3278" t="s" s="10">
        <v>60</v>
      </c>
      <c r="D3278" t="s" s="10">
        <v>246</v>
      </c>
      <c r="E3278" t="s" s="10">
        <v>634</v>
      </c>
      <c r="F3278" s="27">
        <v>44652</v>
      </c>
      <c r="G3278" t="s" s="10">
        <v>4267</v>
      </c>
      <c r="H3278" s="42">
        <v>0.42</v>
      </c>
      <c r="I3278" s="42">
        <v>5.52</v>
      </c>
      <c r="J3278" t="s" s="10">
        <v>16671</v>
      </c>
      <c r="K3278" t="s" s="10">
        <v>16672</v>
      </c>
      <c r="L3278" s="16">
        <f>HYPERLINK("http://www.goalteller.com", "www.goalteller.com")</f>
      </c>
      <c r="M3278" s="16">
        <f>HYPERLINK("https://my.pitchbook.com?c=465298-66", "View Company Online")</f>
      </c>
    </row>
    <row r="3279">
      <c r="A3279" t="s" s="11">
        <v>16674</v>
      </c>
      <c r="B3279" t="s" s="11">
        <v>16675</v>
      </c>
      <c r="C3279" t="s" s="11">
        <v>27</v>
      </c>
      <c r="D3279" t="s" s="11">
        <v>28</v>
      </c>
      <c r="E3279" t="s" s="11">
        <v>753</v>
      </c>
      <c r="F3279" s="28">
        <v>45657</v>
      </c>
      <c r="G3279" t="s" s="11">
        <v>40</v>
      </c>
      <c r="H3279" s="43">
        <v>1.24</v>
      </c>
      <c r="I3279" s="43">
        <v>5.52</v>
      </c>
      <c r="J3279" t="s" s="11">
        <v>16676</v>
      </c>
      <c r="K3279" t="s" s="11">
        <v>16677</v>
      </c>
      <c r="L3279" s="17">
        <f>HYPERLINK("http://www.swoopos.com", "www.swoopos.com")</f>
      </c>
      <c r="M3279" s="17">
        <f>HYPERLINK("https://my.pitchbook.com?c=181812-43", "View Company Online")</f>
      </c>
    </row>
    <row r="3280">
      <c r="A3280" t="s" s="10">
        <v>16679</v>
      </c>
      <c r="B3280" t="s" s="10">
        <v>16680</v>
      </c>
      <c r="C3280" t="s" s="10">
        <v>27</v>
      </c>
      <c r="D3280" t="s" s="10">
        <v>28</v>
      </c>
      <c r="E3280" t="s" s="10">
        <v>270</v>
      </c>
      <c r="F3280" s="27">
        <v>45017</v>
      </c>
      <c r="G3280" t="s" s="10">
        <v>146</v>
      </c>
      <c r="H3280" s="42">
        <v>3.5</v>
      </c>
      <c r="I3280" s="42">
        <v>5.5</v>
      </c>
      <c r="J3280" t="s" s="10">
        <v>16681</v>
      </c>
      <c r="K3280" t="s" s="10">
        <v>16682</v>
      </c>
      <c r="L3280" s="16">
        <f>HYPERLINK("http://www.cubopago.com", "www.cubopago.com")</f>
      </c>
      <c r="M3280" s="16">
        <f>HYPERLINK("https://my.pitchbook.com?c=481454-83", "View Company Online")</f>
      </c>
    </row>
    <row r="3281">
      <c r="A3281" t="s" s="11">
        <v>16684</v>
      </c>
      <c r="B3281" t="s" s="11">
        <v>16685</v>
      </c>
      <c r="C3281" t="s" s="11">
        <v>60</v>
      </c>
      <c r="D3281" t="s" s="11">
        <v>192</v>
      </c>
      <c r="E3281" t="s" s="11">
        <v>253</v>
      </c>
      <c r="F3281" s="28">
        <v>45957</v>
      </c>
      <c r="G3281" t="s" s="11">
        <v>4267</v>
      </c>
      <c r="H3281" t="s" s="43">
        <v>30</v>
      </c>
      <c r="I3281" s="43">
        <v>5.5</v>
      </c>
      <c r="J3281" t="s" s="11">
        <v>16686</v>
      </c>
      <c r="K3281" t="s" s="11">
        <v>16687</v>
      </c>
      <c r="L3281" s="17">
        <f>HYPERLINK("http://www.halfmore.co", "www.halfmore.co")</f>
      </c>
      <c r="M3281" s="17">
        <f>HYPERLINK("https://my.pitchbook.com?c=592944-94", "View Company Online")</f>
      </c>
    </row>
    <row r="3282">
      <c r="A3282" t="s" s="10">
        <v>16689</v>
      </c>
      <c r="B3282" t="s" s="10">
        <v>16690</v>
      </c>
      <c r="C3282" t="s" s="10">
        <v>60</v>
      </c>
      <c r="D3282" t="s" s="10">
        <v>432</v>
      </c>
      <c r="E3282" t="s" s="10">
        <v>634</v>
      </c>
      <c r="F3282" s="27">
        <v>45916</v>
      </c>
      <c r="G3282" t="s" s="10">
        <v>4267</v>
      </c>
      <c r="H3282" s="42">
        <v>1.79</v>
      </c>
      <c r="I3282" s="42">
        <v>5.5</v>
      </c>
      <c r="J3282" t="s" s="10">
        <v>16691</v>
      </c>
      <c r="K3282" t="s" s="10">
        <v>16692</v>
      </c>
      <c r="L3282" s="16">
        <f>HYPERLINK("http://leatechnologies.ai", "leatechnologies.ai")</f>
      </c>
      <c r="M3282" s="16">
        <f>HYPERLINK("https://my.pitchbook.com?c=551715-22", "View Company Online")</f>
      </c>
    </row>
    <row r="3283">
      <c r="A3283" t="s" s="11">
        <v>16694</v>
      </c>
      <c r="B3283" t="s" s="11">
        <v>16695</v>
      </c>
      <c r="C3283" t="s" s="11">
        <v>60</v>
      </c>
      <c r="D3283" t="s" s="11">
        <v>61</v>
      </c>
      <c r="E3283" t="s" s="11">
        <v>373</v>
      </c>
      <c r="F3283" t="s" s="28">
        <v>30</v>
      </c>
      <c r="G3283" t="s" s="11">
        <v>146</v>
      </c>
      <c r="H3283" s="43">
        <v>0.5</v>
      </c>
      <c r="I3283" s="43">
        <v>5.5</v>
      </c>
      <c r="J3283" t="s" s="11">
        <v>16696</v>
      </c>
      <c r="K3283" t="s" s="11">
        <v>16697</v>
      </c>
      <c r="L3283" s="17">
        <f>HYPERLINK("http://www.mystocks.africa", "www.mystocks.africa")</f>
      </c>
      <c r="M3283" s="17">
        <f>HYPERLINK("https://my.pitchbook.com?c=731711-17", "View Company Online")</f>
      </c>
    </row>
    <row r="3284">
      <c r="A3284" t="s" s="10">
        <v>16699</v>
      </c>
      <c r="B3284" t="s" s="10">
        <v>16700</v>
      </c>
      <c r="C3284" t="s" s="10">
        <v>114</v>
      </c>
      <c r="D3284" t="s" s="10">
        <v>1386</v>
      </c>
      <c r="E3284" t="s" s="10">
        <v>3320</v>
      </c>
      <c r="F3284" s="27">
        <v>46186</v>
      </c>
      <c r="G3284" t="s" s="10">
        <v>2051</v>
      </c>
      <c r="H3284" t="s" s="42">
        <v>30</v>
      </c>
      <c r="I3284" s="42">
        <v>5.5</v>
      </c>
      <c r="J3284" t="s" s="10">
        <v>16701</v>
      </c>
      <c r="K3284" t="s" s="10">
        <v>30</v>
      </c>
      <c r="L3284" s="16">
        <f>HYPERLINK("http://www.r3score.com", "www.r3score.com")</f>
      </c>
      <c r="M3284" s="16">
        <f>HYPERLINK("https://my.pitchbook.com?c=279508-96", "View Company Online")</f>
      </c>
    </row>
    <row r="3285">
      <c r="A3285" t="s" s="11">
        <v>16703</v>
      </c>
      <c r="B3285" t="s" s="11">
        <v>16704</v>
      </c>
      <c r="C3285" t="s" s="11">
        <v>60</v>
      </c>
      <c r="D3285" t="s" s="11">
        <v>727</v>
      </c>
      <c r="E3285" t="s" s="11">
        <v>137</v>
      </c>
      <c r="F3285" s="28">
        <v>45203</v>
      </c>
      <c r="G3285" t="s" s="11">
        <v>146</v>
      </c>
      <c r="H3285" s="43">
        <v>0.5</v>
      </c>
      <c r="I3285" s="43">
        <v>5.5</v>
      </c>
      <c r="J3285" t="s" s="11">
        <v>16705</v>
      </c>
      <c r="K3285" t="s" s="11">
        <v>16706</v>
      </c>
      <c r="L3285" s="17">
        <f>HYPERLINK("http://www.sateeq.crd.co", "www.sateeq.crd.co")</f>
      </c>
      <c r="M3285" s="17">
        <f>HYPERLINK("https://my.pitchbook.com?c=495820-99", "View Company Online")</f>
      </c>
    </row>
    <row r="3286">
      <c r="A3286" t="s" s="10">
        <v>16708</v>
      </c>
      <c r="B3286" t="s" s="10">
        <v>16709</v>
      </c>
      <c r="C3286" t="s" s="10">
        <v>164</v>
      </c>
      <c r="D3286" t="s" s="10">
        <v>206</v>
      </c>
      <c r="E3286" t="s" s="10">
        <v>193</v>
      </c>
      <c r="F3286" s="27">
        <v>44804</v>
      </c>
      <c r="G3286" t="s" s="10">
        <v>40</v>
      </c>
      <c r="H3286" t="s" s="42">
        <v>30</v>
      </c>
      <c r="I3286" s="42">
        <v>5.5</v>
      </c>
      <c r="J3286" t="s" s="10">
        <v>16710</v>
      </c>
      <c r="K3286" t="s" s="10">
        <v>16711</v>
      </c>
      <c r="L3286" s="16">
        <f>HYPERLINK("http://www.t2pco.com", "www.t2pco.com")</f>
      </c>
      <c r="M3286" s="16">
        <f>HYPERLINK("https://my.pitchbook.com?c=158328-55", "View Company Online")</f>
      </c>
    </row>
    <row r="3287">
      <c r="A3287" t="s" s="11">
        <v>16713</v>
      </c>
      <c r="B3287" t="s" s="11">
        <v>16714</v>
      </c>
      <c r="C3287" t="s" s="11">
        <v>60</v>
      </c>
      <c r="D3287" t="s" s="11">
        <v>432</v>
      </c>
      <c r="E3287" t="s" s="11">
        <v>414</v>
      </c>
      <c r="F3287" t="s" s="28">
        <v>30</v>
      </c>
      <c r="G3287" t="s" s="11">
        <v>607</v>
      </c>
      <c r="H3287" t="s" s="43">
        <v>30</v>
      </c>
      <c r="I3287" s="43">
        <v>5.49</v>
      </c>
      <c r="J3287" t="s" s="11">
        <v>16715</v>
      </c>
      <c r="K3287" t="s" s="11">
        <v>16716</v>
      </c>
      <c r="L3287" s="17">
        <f>HYPERLINK("http://www.responsive.ai", "www.responsive.ai")</f>
      </c>
      <c r="M3287" s="17">
        <f>HYPERLINK("https://my.pitchbook.com?c=184747-78", "View Company Online")</f>
      </c>
    </row>
    <row r="3288">
      <c r="A3288" t="s" s="10">
        <v>16718</v>
      </c>
      <c r="B3288" t="s" s="10">
        <v>16719</v>
      </c>
      <c r="C3288" t="s" s="10">
        <v>164</v>
      </c>
      <c r="D3288" t="s" s="10">
        <v>165</v>
      </c>
      <c r="E3288" t="s" s="10">
        <v>253</v>
      </c>
      <c r="F3288" s="27">
        <v>44739</v>
      </c>
      <c r="G3288" t="s" s="10">
        <v>146</v>
      </c>
      <c r="H3288" s="42">
        <v>1.08</v>
      </c>
      <c r="I3288" s="42">
        <v>5.46</v>
      </c>
      <c r="J3288" t="s" s="10">
        <v>16720</v>
      </c>
      <c r="K3288" t="s" s="10">
        <v>30</v>
      </c>
      <c r="L3288" s="16">
        <f>HYPERLINK("http://www.techpassport.io", "www.techpassport.io")</f>
      </c>
      <c r="M3288" s="16">
        <f>HYPERLINK("https://my.pitchbook.com?c=483105-07", "View Company Online")</f>
      </c>
    </row>
    <row r="3289">
      <c r="A3289" t="s" s="11">
        <v>16722</v>
      </c>
      <c r="B3289" t="s" s="11">
        <v>16723</v>
      </c>
      <c r="C3289" t="s" s="11">
        <v>114</v>
      </c>
      <c r="D3289" t="s" s="11">
        <v>1386</v>
      </c>
      <c r="E3289" t="s" s="11">
        <v>270</v>
      </c>
      <c r="F3289" t="s" s="28">
        <v>30</v>
      </c>
      <c r="G3289" t="s" s="11">
        <v>48</v>
      </c>
      <c r="H3289" t="s" s="43">
        <v>30</v>
      </c>
      <c r="I3289" s="43">
        <v>5.45</v>
      </c>
      <c r="J3289" t="s" s="11">
        <v>16724</v>
      </c>
      <c r="K3289" t="s" s="11">
        <v>16725</v>
      </c>
      <c r="L3289" s="17">
        <f>HYPERLINK("http://www.updraft.com", "www.updraft.com")</f>
      </c>
      <c r="M3289" s="17">
        <f>HYPERLINK("https://my.pitchbook.com?c=339892-03", "View Company Online")</f>
      </c>
    </row>
    <row r="3290">
      <c r="A3290" t="s" s="10">
        <v>16727</v>
      </c>
      <c r="B3290" t="s" s="10">
        <v>16728</v>
      </c>
      <c r="C3290" t="s" s="10">
        <v>60</v>
      </c>
      <c r="D3290" t="s" s="10">
        <v>727</v>
      </c>
      <c r="E3290" t="s" s="10">
        <v>137</v>
      </c>
      <c r="F3290" s="27">
        <v>45425</v>
      </c>
      <c r="G3290" t="s" s="10">
        <v>4267</v>
      </c>
      <c r="H3290" s="42">
        <v>1.36</v>
      </c>
      <c r="I3290" s="42">
        <v>5.43</v>
      </c>
      <c r="J3290" t="s" s="10">
        <v>16729</v>
      </c>
      <c r="K3290" t="s" s="10">
        <v>16730</v>
      </c>
      <c r="L3290" s="16">
        <f>HYPERLINK("http://www.thecarcrowd.uk", "www.thecarcrowd.uk")</f>
      </c>
      <c r="M3290" s="16">
        <f>HYPERLINK("https://my.pitchbook.com?c=464041-99", "View Company Online")</f>
      </c>
    </row>
    <row r="3291">
      <c r="A3291" t="s" s="11">
        <v>16732</v>
      </c>
      <c r="B3291" t="s" s="11">
        <v>16733</v>
      </c>
      <c r="C3291" t="s" s="11">
        <v>128</v>
      </c>
      <c r="D3291" t="s" s="11">
        <v>276</v>
      </c>
      <c r="E3291" t="s" s="11">
        <v>345</v>
      </c>
      <c r="F3291" s="28">
        <v>45412</v>
      </c>
      <c r="G3291" t="s" s="11">
        <v>4267</v>
      </c>
      <c r="H3291" s="43">
        <v>1.62</v>
      </c>
      <c r="I3291" s="43">
        <v>5.43</v>
      </c>
      <c r="J3291" t="s" s="11">
        <v>16734</v>
      </c>
      <c r="K3291" t="s" s="11">
        <v>16735</v>
      </c>
      <c r="L3291" s="17">
        <f>HYPERLINK("http://www.tikpay.com", "www.tikpay.com")</f>
      </c>
      <c r="M3291" s="17">
        <f>HYPERLINK("https://my.pitchbook.com?c=521976-25", "View Company Online")</f>
      </c>
    </row>
    <row r="3292">
      <c r="A3292" t="s" s="10">
        <v>16737</v>
      </c>
      <c r="B3292" t="s" s="10">
        <v>16738</v>
      </c>
      <c r="C3292" t="s" s="10">
        <v>164</v>
      </c>
      <c r="D3292" t="s" s="10">
        <v>165</v>
      </c>
      <c r="E3292" t="s" s="10">
        <v>2678</v>
      </c>
      <c r="F3292" t="s" s="27">
        <v>30</v>
      </c>
      <c r="G3292" t="s" s="10">
        <v>271</v>
      </c>
      <c r="H3292" s="42">
        <v>0.14</v>
      </c>
      <c r="I3292" s="42">
        <v>5.42</v>
      </c>
      <c r="J3292" t="s" s="10">
        <v>16739</v>
      </c>
      <c r="K3292" t="s" s="10">
        <v>16740</v>
      </c>
      <c r="L3292" s="16">
        <f>HYPERLINK("http://www.linklusion.co.jp", "www.linklusion.co.jp")</f>
      </c>
      <c r="M3292" s="16">
        <f>HYPERLINK("https://my.pitchbook.com?c=399114-28", "View Company Online")</f>
      </c>
    </row>
    <row r="3293">
      <c r="A3293" t="s" s="11">
        <v>16742</v>
      </c>
      <c r="B3293" t="s" s="11">
        <v>16743</v>
      </c>
      <c r="C3293" t="s" s="11">
        <v>60</v>
      </c>
      <c r="D3293" t="s" s="11">
        <v>246</v>
      </c>
      <c r="E3293" t="s" s="11">
        <v>1266</v>
      </c>
      <c r="F3293" s="28">
        <v>45632</v>
      </c>
      <c r="G3293" t="s" s="11">
        <v>146</v>
      </c>
      <c r="H3293" s="43">
        <v>0.88</v>
      </c>
      <c r="I3293" s="43">
        <v>5.42</v>
      </c>
      <c r="J3293" t="s" s="11">
        <v>16744</v>
      </c>
      <c r="K3293" t="s" s="11">
        <v>16745</v>
      </c>
      <c r="L3293" s="17">
        <f>HYPERLINK("http://memetech.co.jp", "memetech.co.jp")</f>
      </c>
      <c r="M3293" s="17">
        <f>HYPERLINK("https://my.pitchbook.com?c=493205-14", "View Company Online")</f>
      </c>
    </row>
    <row r="3294">
      <c r="A3294" t="s" s="10">
        <v>16747</v>
      </c>
      <c r="B3294" t="s" s="10">
        <v>16748</v>
      </c>
      <c r="C3294" t="s" s="10">
        <v>172</v>
      </c>
      <c r="D3294" t="s" s="10">
        <v>173</v>
      </c>
      <c r="E3294" t="s" s="10">
        <v>414</v>
      </c>
      <c r="F3294" s="27">
        <v>45762</v>
      </c>
      <c r="G3294" t="s" s="10">
        <v>607</v>
      </c>
      <c r="H3294" t="s" s="42">
        <v>30</v>
      </c>
      <c r="I3294" s="42">
        <v>5.42</v>
      </c>
      <c r="J3294" t="s" s="10">
        <v>16749</v>
      </c>
      <c r="K3294" t="s" s="10">
        <v>16750</v>
      </c>
      <c r="L3294" s="16">
        <f>HYPERLINK("http://www.myserene.io", "www.myserene.io")</f>
      </c>
      <c r="M3294" s="16">
        <f>HYPERLINK("https://my.pitchbook.com?c=572257-72", "View Company Online")</f>
      </c>
    </row>
    <row r="3295">
      <c r="A3295" t="s" s="11">
        <v>16752</v>
      </c>
      <c r="B3295" t="s" s="11">
        <v>16753</v>
      </c>
      <c r="C3295" t="s" s="11">
        <v>222</v>
      </c>
      <c r="D3295" t="s" s="11">
        <v>537</v>
      </c>
      <c r="E3295" t="s" s="11">
        <v>253</v>
      </c>
      <c r="F3295" s="28">
        <v>43161</v>
      </c>
      <c r="G3295" t="s" s="11">
        <v>146</v>
      </c>
      <c r="H3295" s="43">
        <v>1.5</v>
      </c>
      <c r="I3295" s="43">
        <v>5.41</v>
      </c>
      <c r="J3295" t="s" s="11">
        <v>16754</v>
      </c>
      <c r="K3295" t="s" s="11">
        <v>16755</v>
      </c>
      <c r="L3295" s="17">
        <f>HYPERLINK("http://www.ngclearing.com", "www.ngclearing.com")</f>
      </c>
      <c r="M3295" s="17">
        <f>HYPERLINK("https://my.pitchbook.com?c=443018-35", "View Company Online")</f>
      </c>
    </row>
    <row r="3296">
      <c r="A3296" t="s" s="10">
        <v>16757</v>
      </c>
      <c r="B3296" t="s" s="10">
        <v>16758</v>
      </c>
      <c r="C3296" t="s" s="10">
        <v>164</v>
      </c>
      <c r="D3296" t="s" s="10">
        <v>206</v>
      </c>
      <c r="E3296" t="s" s="10">
        <v>259</v>
      </c>
      <c r="F3296" s="27">
        <v>44704</v>
      </c>
      <c r="G3296" t="s" s="10">
        <v>4267</v>
      </c>
      <c r="H3296" s="42">
        <v>2.02</v>
      </c>
      <c r="I3296" s="42">
        <v>5.4</v>
      </c>
      <c r="J3296" t="s" s="10">
        <v>16759</v>
      </c>
      <c r="K3296" t="s" s="10">
        <v>16760</v>
      </c>
      <c r="L3296" s="16">
        <f>HYPERLINK("http://www.buildd.in", "www.buildd.in")</f>
      </c>
      <c r="M3296" s="16">
        <f>HYPERLINK("https://my.pitchbook.com?c=497228-59", "View Company Online")</f>
      </c>
    </row>
    <row r="3297">
      <c r="A3297" t="s" s="11">
        <v>16762</v>
      </c>
      <c r="B3297" t="s" s="11">
        <v>16763</v>
      </c>
      <c r="C3297" t="s" s="11">
        <v>114</v>
      </c>
      <c r="D3297" t="s" s="11">
        <v>115</v>
      </c>
      <c r="E3297" t="s" s="11">
        <v>1625</v>
      </c>
      <c r="F3297" s="28">
        <v>45778</v>
      </c>
      <c r="G3297" t="s" s="11">
        <v>40</v>
      </c>
      <c r="H3297" t="s" s="43">
        <v>30</v>
      </c>
      <c r="I3297" s="43">
        <v>5.4</v>
      </c>
      <c r="J3297" t="s" s="11">
        <v>16764</v>
      </c>
      <c r="K3297" t="s" s="11">
        <v>16765</v>
      </c>
      <c r="L3297" s="17">
        <f>HYPERLINK("http://www.hypoteq.com", "www.hypoteq.com")</f>
      </c>
      <c r="M3297" s="17">
        <f>HYPERLINK("https://my.pitchbook.com?c=515674-36", "View Company Online")</f>
      </c>
    </row>
    <row r="3298">
      <c r="A3298" t="s" s="10">
        <v>16767</v>
      </c>
      <c r="B3298" t="s" s="10">
        <v>16768</v>
      </c>
      <c r="C3298" t="s" s="10">
        <v>46</v>
      </c>
      <c r="D3298" t="s" s="10">
        <v>47</v>
      </c>
      <c r="E3298" t="s" s="10">
        <v>414</v>
      </c>
      <c r="F3298" s="27">
        <v>45231</v>
      </c>
      <c r="G3298" t="s" s="10">
        <v>40</v>
      </c>
      <c r="H3298" t="s" s="42">
        <v>30</v>
      </c>
      <c r="I3298" s="42">
        <v>5.4</v>
      </c>
      <c r="J3298" t="s" s="10">
        <v>16769</v>
      </c>
      <c r="K3298" t="s" s="10">
        <v>16770</v>
      </c>
      <c r="L3298" s="16">
        <f>HYPERLINK("http://www.polaroo.com", "www.polaroo.com")</f>
      </c>
      <c r="M3298" s="16">
        <f>HYPERLINK("https://my.pitchbook.com?c=268666-75", "View Company Online")</f>
      </c>
    </row>
    <row r="3299">
      <c r="A3299" t="s" s="11">
        <v>16772</v>
      </c>
      <c r="B3299" t="s" s="11">
        <v>16773</v>
      </c>
      <c r="C3299" t="s" s="11">
        <v>172</v>
      </c>
      <c r="D3299" t="s" s="11">
        <v>338</v>
      </c>
      <c r="E3299" t="s" s="11">
        <v>137</v>
      </c>
      <c r="F3299" t="s" s="28">
        <v>30</v>
      </c>
      <c r="G3299" t="s" s="11">
        <v>48</v>
      </c>
      <c r="H3299" t="s" s="43">
        <v>30</v>
      </c>
      <c r="I3299" s="43">
        <v>5.4</v>
      </c>
      <c r="J3299" t="s" s="11">
        <v>16774</v>
      </c>
      <c r="K3299" t="s" s="11">
        <v>16775</v>
      </c>
      <c r="L3299" s="17">
        <f>HYPERLINK("http://www.scalens.com", "www.scalens.com")</f>
      </c>
      <c r="M3299" s="17">
        <f>HYPERLINK("https://my.pitchbook.com?c=433830-79", "View Company Online")</f>
      </c>
    </row>
    <row r="3300">
      <c r="A3300" t="s" s="10">
        <v>16777</v>
      </c>
      <c r="B3300" t="s" s="10">
        <v>16778</v>
      </c>
      <c r="C3300" t="s" s="10">
        <v>172</v>
      </c>
      <c r="D3300" t="s" s="10">
        <v>338</v>
      </c>
      <c r="E3300" t="s" s="10">
        <v>16779</v>
      </c>
      <c r="F3300" s="27">
        <v>45580</v>
      </c>
      <c r="G3300" t="s" s="10">
        <v>40</v>
      </c>
      <c r="H3300" s="42">
        <v>1.5</v>
      </c>
      <c r="I3300" s="42">
        <v>5.4</v>
      </c>
      <c r="J3300" t="s" s="10">
        <v>16780</v>
      </c>
      <c r="K3300" t="s" s="10">
        <v>16781</v>
      </c>
      <c r="L3300" s="16">
        <f>HYPERLINK("http://www.trustelevate.com", "www.trustelevate.com")</f>
      </c>
      <c r="M3300" s="16">
        <f>HYPERLINK("https://my.pitchbook.com?c=227395-90", "View Company Online")</f>
      </c>
    </row>
    <row r="3301">
      <c r="A3301" t="s" s="11">
        <v>16783</v>
      </c>
      <c r="B3301" t="s" s="11">
        <v>16784</v>
      </c>
      <c r="C3301" t="s" s="11">
        <v>164</v>
      </c>
      <c r="D3301" t="s" s="11">
        <v>206</v>
      </c>
      <c r="E3301" t="s" s="11">
        <v>1065</v>
      </c>
      <c r="F3301" s="28">
        <v>44074</v>
      </c>
      <c r="G3301" t="s" s="11">
        <v>146</v>
      </c>
      <c r="H3301" s="43">
        <v>2.39</v>
      </c>
      <c r="I3301" s="43">
        <v>5.37</v>
      </c>
      <c r="J3301" t="s" s="11">
        <v>16785</v>
      </c>
      <c r="K3301" t="s" s="11">
        <v>16786</v>
      </c>
      <c r="L3301" s="17">
        <f>HYPERLINK("http://www.finchxp.com", "www.finchxp.com")</f>
      </c>
      <c r="M3301" s="17">
        <f>HYPERLINK("https://my.pitchbook.com?c=171957-88", "View Company Online")</f>
      </c>
    </row>
    <row r="3302">
      <c r="A3302" t="s" s="10">
        <v>16788</v>
      </c>
      <c r="B3302" t="s" s="10">
        <v>16789</v>
      </c>
      <c r="C3302" t="s" s="10">
        <v>60</v>
      </c>
      <c r="D3302" t="s" s="10">
        <v>192</v>
      </c>
      <c r="E3302" t="s" s="10">
        <v>253</v>
      </c>
      <c r="F3302" s="27">
        <v>44939</v>
      </c>
      <c r="G3302" t="s" s="10">
        <v>40</v>
      </c>
      <c r="H3302" t="s" s="42">
        <v>30</v>
      </c>
      <c r="I3302" s="42">
        <v>5.37</v>
      </c>
      <c r="J3302" t="s" s="10">
        <v>16790</v>
      </c>
      <c r="K3302" t="s" s="10">
        <v>16791</v>
      </c>
      <c r="L3302" s="16">
        <f>HYPERLINK("http://www.roadshowchina.cn", "www.roadshowchina.cn")</f>
      </c>
      <c r="M3302" s="16">
        <f>HYPERLINK("https://my.pitchbook.com?c=399270-70", "View Company Online")</f>
      </c>
    </row>
    <row r="3303">
      <c r="A3303" t="s" s="11">
        <v>16793</v>
      </c>
      <c r="B3303" t="s" s="11">
        <v>16794</v>
      </c>
      <c r="C3303" t="s" s="11">
        <v>172</v>
      </c>
      <c r="D3303" t="s" s="11">
        <v>173</v>
      </c>
      <c r="E3303" t="s" s="11">
        <v>7068</v>
      </c>
      <c r="F3303" s="28">
        <v>46135</v>
      </c>
      <c r="G3303" t="s" s="11">
        <v>40</v>
      </c>
      <c r="H3303" s="43">
        <v>1.71</v>
      </c>
      <c r="I3303" s="43">
        <v>5.36</v>
      </c>
      <c r="J3303" t="s" s="11">
        <v>16795</v>
      </c>
      <c r="K3303" t="s" s="11">
        <v>16796</v>
      </c>
      <c r="L3303" s="17">
        <f>HYPERLINK("http://www.deepalgorithms.io", "www.deepalgorithms.io")</f>
      </c>
      <c r="M3303" s="17">
        <f>HYPERLINK("https://my.pitchbook.com?c=547311-07", "View Company Online")</f>
      </c>
    </row>
    <row r="3304">
      <c r="A3304" t="s" s="10">
        <v>16798</v>
      </c>
      <c r="B3304" t="s" s="10">
        <v>16799</v>
      </c>
      <c r="C3304" t="s" s="10">
        <v>27</v>
      </c>
      <c r="D3304" t="s" s="10">
        <v>122</v>
      </c>
      <c r="E3304" t="s" s="10">
        <v>137</v>
      </c>
      <c r="F3304" s="27">
        <v>45827</v>
      </c>
      <c r="G3304" t="s" s="10">
        <v>4267</v>
      </c>
      <c r="H3304" s="42">
        <v>0.61</v>
      </c>
      <c r="I3304" s="42">
        <v>5.35</v>
      </c>
      <c r="J3304" t="s" s="10">
        <v>16800</v>
      </c>
      <c r="K3304" t="s" s="10">
        <v>12113</v>
      </c>
      <c r="L3304" s="16">
        <f>HYPERLINK("http://www.glyde.money", "www.glyde.money")</f>
      </c>
      <c r="M3304" s="16">
        <f>HYPERLINK("https://my.pitchbook.com?c=865975-87", "View Company Online")</f>
      </c>
    </row>
    <row r="3305">
      <c r="A3305" t="s" s="11">
        <v>16802</v>
      </c>
      <c r="B3305" t="s" s="11">
        <v>16803</v>
      </c>
      <c r="C3305" t="s" s="11">
        <v>60</v>
      </c>
      <c r="D3305" t="s" s="11">
        <v>246</v>
      </c>
      <c r="E3305" t="s" s="11">
        <v>270</v>
      </c>
      <c r="F3305" s="28">
        <v>45197</v>
      </c>
      <c r="G3305" t="s" s="11">
        <v>40</v>
      </c>
      <c r="H3305" s="43">
        <v>0.2</v>
      </c>
      <c r="I3305" s="43">
        <v>5.33</v>
      </c>
      <c r="J3305" t="s" s="11">
        <v>16804</v>
      </c>
      <c r="K3305" t="s" s="11">
        <v>16805</v>
      </c>
      <c r="L3305" s="17">
        <f>HYPERLINK("http://www.jamii.one", "www.jamii.one")</f>
      </c>
      <c r="M3305" s="17">
        <f>HYPERLINK("https://my.pitchbook.com?c=266208-22", "View Company Online")</f>
      </c>
    </row>
    <row r="3306">
      <c r="A3306" t="s" s="10">
        <v>16807</v>
      </c>
      <c r="B3306" t="s" s="10">
        <v>16808</v>
      </c>
      <c r="C3306" t="s" s="10">
        <v>172</v>
      </c>
      <c r="D3306" t="s" s="10">
        <v>338</v>
      </c>
      <c r="E3306" t="s" s="10">
        <v>373</v>
      </c>
      <c r="F3306" s="27">
        <v>45848</v>
      </c>
      <c r="G3306" t="s" s="10">
        <v>4267</v>
      </c>
      <c r="H3306" s="42">
        <v>1.54</v>
      </c>
      <c r="I3306" s="42">
        <v>5.32</v>
      </c>
      <c r="J3306" t="s" s="10">
        <v>16809</v>
      </c>
      <c r="K3306" t="s" s="10">
        <v>16810</v>
      </c>
      <c r="L3306" s="16">
        <f>HYPERLINK("http://www.neurofin.ai", "www.neurofin.ai")</f>
      </c>
      <c r="M3306" s="16">
        <f>HYPERLINK("https://my.pitchbook.com?c=894771-01", "View Company Online")</f>
      </c>
    </row>
    <row r="3307">
      <c r="A3307" t="s" s="11">
        <v>16812</v>
      </c>
      <c r="B3307" t="s" s="11">
        <v>16813</v>
      </c>
      <c r="C3307" t="s" s="11">
        <v>37</v>
      </c>
      <c r="D3307" t="s" s="11">
        <v>304</v>
      </c>
      <c r="E3307" t="s" s="11">
        <v>137</v>
      </c>
      <c r="F3307" s="28">
        <v>44203</v>
      </c>
      <c r="G3307" t="s" s="11">
        <v>48</v>
      </c>
      <c r="H3307" t="s" s="43">
        <v>30</v>
      </c>
      <c r="I3307" s="43">
        <v>5.31</v>
      </c>
      <c r="J3307" t="s" s="11">
        <v>16814</v>
      </c>
      <c r="K3307" t="s" s="11">
        <v>16815</v>
      </c>
      <c r="L3307" s="17">
        <f>HYPERLINK("http://www.paypo.pl", "www.paypo.pl")</f>
      </c>
      <c r="M3307" s="17">
        <f>HYPERLINK("https://my.pitchbook.com?c=327488-23", "View Company Online")</f>
      </c>
    </row>
    <row r="3308">
      <c r="A3308" t="s" s="10">
        <v>16817</v>
      </c>
      <c r="B3308" t="s" s="10">
        <v>16818</v>
      </c>
      <c r="C3308" t="s" s="10">
        <v>172</v>
      </c>
      <c r="D3308" t="s" s="10">
        <v>338</v>
      </c>
      <c r="E3308" t="s" s="10">
        <v>253</v>
      </c>
      <c r="F3308" s="27">
        <v>44960</v>
      </c>
      <c r="G3308" t="s" s="10">
        <v>607</v>
      </c>
      <c r="H3308" t="s" s="42">
        <v>30</v>
      </c>
      <c r="I3308" s="42">
        <v>5.3</v>
      </c>
      <c r="J3308" t="s" s="10">
        <v>16819</v>
      </c>
      <c r="K3308" t="s" s="10">
        <v>16820</v>
      </c>
      <c r="L3308" s="16">
        <f>HYPERLINK("http://www.bcubeanalytics.com", "www.bcubeanalytics.com")</f>
      </c>
      <c r="M3308" s="16">
        <f>HYPERLINK("https://my.pitchbook.com?c=294492-97", "View Company Online")</f>
      </c>
    </row>
    <row r="3309">
      <c r="A3309" t="s" s="11">
        <v>16822</v>
      </c>
      <c r="B3309" t="s" s="11">
        <v>16823</v>
      </c>
      <c r="C3309" t="s" s="11">
        <v>164</v>
      </c>
      <c r="D3309" t="s" s="11">
        <v>206</v>
      </c>
      <c r="E3309" t="s" s="11">
        <v>859</v>
      </c>
      <c r="F3309" s="28">
        <v>45959</v>
      </c>
      <c r="G3309" t="s" s="11">
        <v>146</v>
      </c>
      <c r="H3309" t="s" s="43">
        <v>30</v>
      </c>
      <c r="I3309" s="43">
        <v>5.28</v>
      </c>
      <c r="J3309" t="s" s="11">
        <v>16824</v>
      </c>
      <c r="K3309" t="s" s="11">
        <v>16825</v>
      </c>
      <c r="L3309" s="17">
        <f>HYPERLINK("http://www.blostem.com", "www.blostem.com")</f>
      </c>
      <c r="M3309" s="17">
        <f>HYPERLINK("https://my.pitchbook.com?c=503854-39", "View Company Online")</f>
      </c>
    </row>
    <row r="3310">
      <c r="A3310" t="s" s="10">
        <v>16827</v>
      </c>
      <c r="B3310" t="s" s="10">
        <v>16828</v>
      </c>
      <c r="C3310" t="s" s="10">
        <v>27</v>
      </c>
      <c r="D3310" t="s" s="10">
        <v>28</v>
      </c>
      <c r="E3310" t="s" s="10">
        <v>2897</v>
      </c>
      <c r="F3310" s="27">
        <v>45357</v>
      </c>
      <c r="G3310" t="s" s="10">
        <v>607</v>
      </c>
      <c r="H3310" t="s" s="42">
        <v>30</v>
      </c>
      <c r="I3310" s="42">
        <v>5.28</v>
      </c>
      <c r="J3310" t="s" s="10">
        <v>16829</v>
      </c>
      <c r="K3310" t="s" s="10">
        <v>16830</v>
      </c>
      <c r="L3310" s="16">
        <f>HYPERLINK("http://www.itsrever.com", "www.itsrever.com")</f>
      </c>
      <c r="M3310" s="16">
        <f>HYPERLINK("https://my.pitchbook.com?c=497382-58", "View Company Online")</f>
      </c>
    </row>
    <row r="3311">
      <c r="A3311" t="s" s="11">
        <v>16832</v>
      </c>
      <c r="B3311" t="s" s="11">
        <v>16833</v>
      </c>
      <c r="C3311" t="s" s="11">
        <v>222</v>
      </c>
      <c r="D3311" t="s" s="11">
        <v>223</v>
      </c>
      <c r="E3311" t="s" s="11">
        <v>367</v>
      </c>
      <c r="F3311" s="28">
        <v>45749</v>
      </c>
      <c r="G3311" t="s" s="11">
        <v>40</v>
      </c>
      <c r="H3311" s="43">
        <v>4.66</v>
      </c>
      <c r="I3311" s="43">
        <v>5.27</v>
      </c>
      <c r="J3311" t="s" s="11">
        <v>16834</v>
      </c>
      <c r="K3311" t="s" s="11">
        <v>16835</v>
      </c>
      <c r="L3311" s="17">
        <f>HYPERLINK("http://www.axyon.ai", "www.axyon.ai")</f>
      </c>
      <c r="M3311" s="17">
        <f>HYPERLINK("https://my.pitchbook.com?c=166538-71", "View Company Online")</f>
      </c>
    </row>
    <row r="3312">
      <c r="A3312" t="s" s="10">
        <v>16837</v>
      </c>
      <c r="B3312" t="s" s="10">
        <v>16838</v>
      </c>
      <c r="C3312" t="s" s="10">
        <v>27</v>
      </c>
      <c r="D3312" t="s" s="10">
        <v>28</v>
      </c>
      <c r="E3312" t="s" s="10">
        <v>270</v>
      </c>
      <c r="F3312" s="27">
        <v>45827</v>
      </c>
      <c r="G3312" t="s" s="10">
        <v>146</v>
      </c>
      <c r="H3312" s="42">
        <v>1.71</v>
      </c>
      <c r="I3312" s="42">
        <v>5.26</v>
      </c>
      <c r="J3312" t="s" s="10">
        <v>16839</v>
      </c>
      <c r="K3312" t="s" s="10">
        <v>16840</v>
      </c>
      <c r="L3312" s="16">
        <f>HYPERLINK("http://www.pikkopay.fr", "www.pikkopay.fr")</f>
      </c>
      <c r="M3312" s="16">
        <f>HYPERLINK("https://my.pitchbook.com?c=600068-53", "View Company Online")</f>
      </c>
    </row>
    <row r="3313">
      <c r="A3313" t="s" s="11">
        <v>16842</v>
      </c>
      <c r="B3313" t="s" s="11">
        <v>16843</v>
      </c>
      <c r="C3313" t="s" s="11">
        <v>60</v>
      </c>
      <c r="D3313" t="s" s="11">
        <v>192</v>
      </c>
      <c r="E3313" t="s" s="11">
        <v>193</v>
      </c>
      <c r="F3313" s="28">
        <v>45148</v>
      </c>
      <c r="G3313" t="s" s="11">
        <v>40</v>
      </c>
      <c r="H3313" t="s" s="43">
        <v>30</v>
      </c>
      <c r="I3313" s="43">
        <v>5.25</v>
      </c>
      <c r="J3313" t="s" s="11">
        <v>16844</v>
      </c>
      <c r="K3313" t="s" s="11">
        <v>16845</v>
      </c>
      <c r="L3313" s="17">
        <f>HYPERLINK("http://www.investwithcarl.com", "www.investwithcarl.com")</f>
      </c>
      <c r="M3313" s="17">
        <f>HYPERLINK("https://my.pitchbook.com?c=399618-82", "View Company Online")</f>
      </c>
    </row>
    <row r="3314">
      <c r="A3314" t="s" s="10">
        <v>16847</v>
      </c>
      <c r="B3314" t="s" s="10">
        <v>16848</v>
      </c>
      <c r="C3314" t="s" s="10">
        <v>60</v>
      </c>
      <c r="D3314" t="s" s="10">
        <v>246</v>
      </c>
      <c r="E3314" t="s" s="10">
        <v>253</v>
      </c>
      <c r="F3314" s="27">
        <v>45911</v>
      </c>
      <c r="G3314" t="s" s="10">
        <v>607</v>
      </c>
      <c r="H3314" s="42">
        <v>0.22</v>
      </c>
      <c r="I3314" s="42">
        <v>5.25</v>
      </c>
      <c r="J3314" t="s" s="10">
        <v>16849</v>
      </c>
      <c r="K3314" t="s" s="10">
        <v>16850</v>
      </c>
      <c r="L3314" s="16">
        <f>HYPERLINK("http://www.hutsy.com", "www.hutsy.com")</f>
      </c>
      <c r="M3314" s="16">
        <f>HYPERLINK("https://my.pitchbook.com?c=472545-73", "View Company Online")</f>
      </c>
    </row>
    <row r="3315">
      <c r="A3315" t="s" s="11">
        <v>16852</v>
      </c>
      <c r="B3315" t="s" s="11">
        <v>16853</v>
      </c>
      <c r="C3315" t="s" s="11">
        <v>60</v>
      </c>
      <c r="D3315" t="s" s="11">
        <v>192</v>
      </c>
      <c r="E3315" t="s" s="11">
        <v>373</v>
      </c>
      <c r="F3315" s="28">
        <v>46126</v>
      </c>
      <c r="G3315" t="s" s="11">
        <v>391</v>
      </c>
      <c r="H3315" t="s" s="43">
        <v>30</v>
      </c>
      <c r="I3315" s="43">
        <v>5.25</v>
      </c>
      <c r="J3315" t="s" s="11">
        <v>16854</v>
      </c>
      <c r="K3315" t="s" s="11">
        <v>30</v>
      </c>
      <c r="L3315" s="17">
        <f>HYPERLINK("http://www.usesightglass.com", "www.usesightglass.com")</f>
      </c>
      <c r="M3315" s="17">
        <f>HYPERLINK("https://my.pitchbook.com?c=685939-33", "View Company Online")</f>
      </c>
    </row>
    <row r="3316">
      <c r="A3316" t="s" s="10">
        <v>16856</v>
      </c>
      <c r="B3316" t="s" s="10">
        <v>16857</v>
      </c>
      <c r="C3316" t="s" s="10">
        <v>222</v>
      </c>
      <c r="D3316" t="s" s="10">
        <v>235</v>
      </c>
      <c r="E3316" t="s" s="10">
        <v>15151</v>
      </c>
      <c r="F3316" s="27">
        <v>44868</v>
      </c>
      <c r="G3316" t="s" s="10">
        <v>4267</v>
      </c>
      <c r="H3316" s="42">
        <v>0.7</v>
      </c>
      <c r="I3316" s="42">
        <v>5.24</v>
      </c>
      <c r="J3316" t="s" s="10">
        <v>16858</v>
      </c>
      <c r="K3316" t="s" s="10">
        <v>16859</v>
      </c>
      <c r="L3316" s="16">
        <f>HYPERLINK("http://www.pfnexus.com", "www.pfnexus.com")</f>
      </c>
      <c r="M3316" s="16">
        <f>HYPERLINK("https://my.pitchbook.com?c=483295-96", "View Company Online")</f>
      </c>
    </row>
    <row r="3317">
      <c r="A3317" t="s" s="11">
        <v>16861</v>
      </c>
      <c r="B3317" t="s" s="11">
        <v>16862</v>
      </c>
      <c r="C3317" t="s" s="11">
        <v>172</v>
      </c>
      <c r="D3317" t="s" s="11">
        <v>173</v>
      </c>
      <c r="E3317" t="s" s="11">
        <v>16863</v>
      </c>
      <c r="F3317" s="28">
        <v>45665</v>
      </c>
      <c r="G3317" t="s" s="11">
        <v>4267</v>
      </c>
      <c r="H3317" s="43">
        <v>1.04</v>
      </c>
      <c r="I3317" s="43">
        <v>5.21</v>
      </c>
      <c r="J3317" t="s" s="11">
        <v>16864</v>
      </c>
      <c r="K3317" t="s" s="11">
        <v>16865</v>
      </c>
      <c r="L3317" s="17">
        <f>HYPERLINK("http://www.mopso.eu", "www.mopso.eu")</f>
      </c>
      <c r="M3317" s="17">
        <f>HYPERLINK("https://my.pitchbook.com?c=518869-54", "View Company Online")</f>
      </c>
    </row>
    <row r="3318">
      <c r="A3318" t="s" s="10">
        <v>16867</v>
      </c>
      <c r="B3318" t="s" s="10">
        <v>16868</v>
      </c>
      <c r="C3318" t="s" s="10">
        <v>164</v>
      </c>
      <c r="D3318" t="s" s="10">
        <v>206</v>
      </c>
      <c r="E3318" t="s" s="10">
        <v>1277</v>
      </c>
      <c r="F3318" s="27">
        <v>43773</v>
      </c>
      <c r="G3318" t="s" s="10">
        <v>146</v>
      </c>
      <c r="H3318" s="42">
        <v>0.65</v>
      </c>
      <c r="I3318" s="42">
        <v>5.2</v>
      </c>
      <c r="J3318" t="s" s="10">
        <v>16869</v>
      </c>
      <c r="K3318" t="s" s="10">
        <v>16870</v>
      </c>
      <c r="L3318" s="16">
        <f>HYPERLINK("http://www.alterest.co", "www.alterest.co")</f>
      </c>
      <c r="M3318" s="16">
        <f>HYPERLINK("https://my.pitchbook.com?c=152509-96", "View Company Online")</f>
      </c>
    </row>
    <row r="3319">
      <c r="A3319" t="s" s="11">
        <v>16872</v>
      </c>
      <c r="B3319" t="s" s="11">
        <v>16873</v>
      </c>
      <c r="C3319" t="s" s="11">
        <v>144</v>
      </c>
      <c r="D3319" t="s" s="11">
        <v>38</v>
      </c>
      <c r="E3319" t="s" s="11">
        <v>193</v>
      </c>
      <c r="F3319" s="28">
        <v>46170</v>
      </c>
      <c r="G3319" t="s" s="11">
        <v>2051</v>
      </c>
      <c r="H3319" t="s" s="43">
        <v>30</v>
      </c>
      <c r="I3319" s="43">
        <v>5.18</v>
      </c>
      <c r="J3319" t="s" s="11">
        <v>16874</v>
      </c>
      <c r="K3319" t="s" s="11">
        <v>30</v>
      </c>
      <c r="L3319" s="17">
        <f>HYPERLINK("http://www.fortu.co.uk", "www.fortu.co.uk")</f>
      </c>
      <c r="M3319" s="17">
        <f>HYPERLINK("https://my.pitchbook.com?c=436883-68", "View Company Online")</f>
      </c>
    </row>
    <row r="3320">
      <c r="A3320" t="s" s="10">
        <v>16876</v>
      </c>
      <c r="B3320" t="s" s="10">
        <v>16877</v>
      </c>
      <c r="C3320" t="s" s="10">
        <v>27</v>
      </c>
      <c r="D3320" t="s" s="10">
        <v>28</v>
      </c>
      <c r="E3320" t="s" s="10">
        <v>253</v>
      </c>
      <c r="F3320" s="27">
        <v>45133</v>
      </c>
      <c r="G3320" t="s" s="10">
        <v>4267</v>
      </c>
      <c r="H3320" s="42">
        <v>1.24</v>
      </c>
      <c r="I3320" s="42">
        <v>5.17</v>
      </c>
      <c r="J3320" t="s" s="10">
        <v>16878</v>
      </c>
      <c r="K3320" t="s" s="10">
        <v>16879</v>
      </c>
      <c r="L3320" s="16">
        <f>HYPERLINK("http://www.axodian.com", "www.axodian.com")</f>
      </c>
      <c r="M3320" s="16">
        <f>HYPERLINK("https://my.pitchbook.com?c=532608-49", "View Company Online")</f>
      </c>
    </row>
    <row r="3321">
      <c r="A3321" t="s" s="11">
        <v>16881</v>
      </c>
      <c r="B3321" t="s" s="11">
        <v>16882</v>
      </c>
      <c r="C3321" t="s" s="11">
        <v>172</v>
      </c>
      <c r="D3321" t="s" s="11">
        <v>338</v>
      </c>
      <c r="E3321" t="s" s="11">
        <v>493</v>
      </c>
      <c r="F3321" s="28">
        <v>45708</v>
      </c>
      <c r="G3321" t="s" s="11">
        <v>2651</v>
      </c>
      <c r="H3321" s="43">
        <v>0.06</v>
      </c>
      <c r="I3321" s="43">
        <v>5.17</v>
      </c>
      <c r="J3321" t="s" s="11">
        <v>16883</v>
      </c>
      <c r="K3321" t="s" s="11">
        <v>16884</v>
      </c>
      <c r="L3321" s="17">
        <f>HYPERLINK("http://www.docstribute.com", "www.docstribute.com")</f>
      </c>
      <c r="M3321" s="17">
        <f>HYPERLINK("https://my.pitchbook.com?c=465495-13", "View Company Online")</f>
      </c>
    </row>
    <row r="3322">
      <c r="A3322" t="s" s="10">
        <v>16886</v>
      </c>
      <c r="B3322" t="s" s="10">
        <v>16887</v>
      </c>
      <c r="C3322" t="s" s="10">
        <v>27</v>
      </c>
      <c r="D3322" t="s" s="10">
        <v>28</v>
      </c>
      <c r="E3322" t="s" s="10">
        <v>137</v>
      </c>
      <c r="F3322" s="27">
        <v>45190</v>
      </c>
      <c r="G3322" t="s" s="10">
        <v>146</v>
      </c>
      <c r="H3322" t="s" s="42">
        <v>30</v>
      </c>
      <c r="I3322" s="42">
        <v>5.17</v>
      </c>
      <c r="J3322" t="s" s="10">
        <v>16888</v>
      </c>
      <c r="K3322" t="s" s="10">
        <v>15996</v>
      </c>
      <c r="L3322" s="16">
        <f>HYPERLINK("http://safepaynordic.dk", "safepaynordic.dk")</f>
      </c>
      <c r="M3322" s="16">
        <f>HYPERLINK("https://my.pitchbook.com?c=519972-31", "View Company Online")</f>
      </c>
    </row>
    <row r="3323">
      <c r="A3323" t="s" s="11">
        <v>16890</v>
      </c>
      <c r="B3323" t="s" s="11">
        <v>16891</v>
      </c>
      <c r="C3323" t="s" s="11">
        <v>60</v>
      </c>
      <c r="D3323" t="s" s="11">
        <v>61</v>
      </c>
      <c r="E3323" t="s" s="11">
        <v>859</v>
      </c>
      <c r="F3323" s="28">
        <v>44214</v>
      </c>
      <c r="G3323" t="s" s="11">
        <v>146</v>
      </c>
      <c r="H3323" s="43">
        <v>1.3</v>
      </c>
      <c r="I3323" s="43">
        <v>5.1</v>
      </c>
      <c r="J3323" t="s" s="11">
        <v>16892</v>
      </c>
      <c r="K3323" t="s" s="11">
        <v>16893</v>
      </c>
      <c r="L3323" t="s" s="11">
        <v>30</v>
      </c>
      <c r="M3323" s="17">
        <f>HYPERLINK("https://my.pitchbook.com?c=459099-37", "View Company Online")</f>
      </c>
    </row>
    <row r="3324">
      <c r="A3324" t="s" s="10">
        <v>16894</v>
      </c>
      <c r="B3324" t="s" s="10">
        <v>16895</v>
      </c>
      <c r="C3324" t="s" s="10">
        <v>46</v>
      </c>
      <c r="D3324" t="s" s="10">
        <v>915</v>
      </c>
      <c r="E3324" t="s" s="10">
        <v>1207</v>
      </c>
      <c r="F3324" s="27">
        <v>44260</v>
      </c>
      <c r="G3324" t="s" s="10">
        <v>4267</v>
      </c>
      <c r="H3324" s="42">
        <v>1.1</v>
      </c>
      <c r="I3324" s="42">
        <v>5.1</v>
      </c>
      <c r="J3324" t="s" s="10">
        <v>16896</v>
      </c>
      <c r="K3324" t="s" s="10">
        <v>16897</v>
      </c>
      <c r="L3324" s="16">
        <f>HYPERLINK("http://www.kpisense.com", "www.kpisense.com")</f>
      </c>
      <c r="M3324" s="16">
        <f>HYPERLINK("https://my.pitchbook.com?c=436055-77", "View Company Online")</f>
      </c>
    </row>
    <row r="3325">
      <c r="A3325" t="s" s="11">
        <v>16899</v>
      </c>
      <c r="B3325" t="s" s="11">
        <v>16900</v>
      </c>
      <c r="C3325" t="s" s="11">
        <v>164</v>
      </c>
      <c r="D3325" t="s" s="11">
        <v>206</v>
      </c>
      <c r="E3325" t="s" s="11">
        <v>16901</v>
      </c>
      <c r="F3325" s="28">
        <v>44682</v>
      </c>
      <c r="G3325" t="s" s="11">
        <v>607</v>
      </c>
      <c r="H3325" t="s" s="43">
        <v>30</v>
      </c>
      <c r="I3325" s="43">
        <v>5.08</v>
      </c>
      <c r="J3325" t="s" s="11">
        <v>16902</v>
      </c>
      <c r="K3325" t="s" s="11">
        <v>16903</v>
      </c>
      <c r="L3325" s="17">
        <f>HYPERLINK("http://www.fydem.com", "www.fydem.com")</f>
      </c>
      <c r="M3325" s="17">
        <f>HYPERLINK("https://my.pitchbook.com?c=439173-82", "View Company Online")</f>
      </c>
    </row>
    <row r="3326">
      <c r="A3326" t="s" s="10">
        <v>16905</v>
      </c>
      <c r="B3326" t="s" s="10">
        <v>16906</v>
      </c>
      <c r="C3326" t="s" s="10">
        <v>128</v>
      </c>
      <c r="D3326" t="s" s="10">
        <v>129</v>
      </c>
      <c r="E3326" t="s" s="10">
        <v>3825</v>
      </c>
      <c r="F3326" s="27">
        <v>44530</v>
      </c>
      <c r="G3326" t="s" s="10">
        <v>146</v>
      </c>
      <c r="H3326" s="42">
        <v>0.26</v>
      </c>
      <c r="I3326" s="42">
        <v>5.08</v>
      </c>
      <c r="J3326" t="s" s="10">
        <v>16907</v>
      </c>
      <c r="K3326" t="s" s="10">
        <v>16908</v>
      </c>
      <c r="L3326" s="16">
        <f>HYPERLINK("http://www.kinchaku.com", "www.kinchaku.com")</f>
      </c>
      <c r="M3326" s="16">
        <f>HYPERLINK("https://my.pitchbook.com?c=466568-65", "View Company Online")</f>
      </c>
    </row>
    <row r="3327">
      <c r="A3327" t="s" s="11">
        <v>16910</v>
      </c>
      <c r="B3327" t="s" s="11">
        <v>16911</v>
      </c>
      <c r="C3327" t="s" s="11">
        <v>128</v>
      </c>
      <c r="D3327" t="s" s="11">
        <v>199</v>
      </c>
      <c r="E3327" t="s" s="11">
        <v>253</v>
      </c>
      <c r="F3327" s="28">
        <v>43473</v>
      </c>
      <c r="G3327" t="s" s="11">
        <v>4267</v>
      </c>
      <c r="H3327" s="43">
        <v>0.24</v>
      </c>
      <c r="I3327" s="43">
        <v>5.08</v>
      </c>
      <c r="J3327" t="s" s="11">
        <v>16912</v>
      </c>
      <c r="K3327" t="s" s="11">
        <v>16913</v>
      </c>
      <c r="L3327" s="17">
        <f>HYPERLINK("http://www.mcash.my", "www.mcash.my")</f>
      </c>
      <c r="M3327" s="17">
        <f>HYPERLINK("https://my.pitchbook.com?c=509836-51", "View Company Online")</f>
      </c>
    </row>
    <row r="3328">
      <c r="A3328" t="s" s="10">
        <v>16915</v>
      </c>
      <c r="B3328" t="s" s="10">
        <v>16916</v>
      </c>
      <c r="C3328" t="s" s="10">
        <v>114</v>
      </c>
      <c r="D3328" t="s" s="10">
        <v>870</v>
      </c>
      <c r="E3328" t="s" s="10">
        <v>1859</v>
      </c>
      <c r="F3328" t="s" s="27">
        <v>30</v>
      </c>
      <c r="G3328" t="s" s="10">
        <v>2051</v>
      </c>
      <c r="H3328" t="s" s="42">
        <v>30</v>
      </c>
      <c r="I3328" s="42">
        <v>5.07</v>
      </c>
      <c r="J3328" t="s" s="10">
        <v>16917</v>
      </c>
      <c r="K3328" t="s" s="10">
        <v>30</v>
      </c>
      <c r="L3328" s="16">
        <f>HYPERLINK("http://www.loansimple.in", "www.loansimple.in")</f>
      </c>
      <c r="M3328" s="16">
        <f>HYPERLINK("https://my.pitchbook.com?c=416604-34", "View Company Online")</f>
      </c>
    </row>
    <row r="3329">
      <c r="A3329" t="s" s="11">
        <v>16919</v>
      </c>
      <c r="B3329" t="s" s="11">
        <v>16920</v>
      </c>
      <c r="C3329" t="s" s="11">
        <v>222</v>
      </c>
      <c r="D3329" t="s" s="11">
        <v>235</v>
      </c>
      <c r="E3329" t="s" s="11">
        <v>193</v>
      </c>
      <c r="F3329" s="28">
        <v>44995</v>
      </c>
      <c r="G3329" t="s" s="11">
        <v>40</v>
      </c>
      <c r="H3329" s="43">
        <v>0.26</v>
      </c>
      <c r="I3329" s="43">
        <v>5.06</v>
      </c>
      <c r="J3329" t="s" s="11">
        <v>16921</v>
      </c>
      <c r="K3329" t="s" s="11">
        <v>16922</v>
      </c>
      <c r="L3329" s="17">
        <f>HYPERLINK("http://www.issuance.com", "www.issuance.com")</f>
      </c>
      <c r="M3329" s="17">
        <f>HYPERLINK("https://my.pitchbook.com?c=264817-36", "View Company Online")</f>
      </c>
    </row>
    <row r="3330">
      <c r="A3330" t="s" s="10">
        <v>16924</v>
      </c>
      <c r="B3330" t="s" s="10">
        <v>16925</v>
      </c>
      <c r="C3330" t="s" s="10">
        <v>46</v>
      </c>
      <c r="D3330" t="s" s="10">
        <v>397</v>
      </c>
      <c r="E3330" t="s" s="10">
        <v>373</v>
      </c>
      <c r="F3330" s="27">
        <v>45216</v>
      </c>
      <c r="G3330" t="s" s="10">
        <v>4267</v>
      </c>
      <c r="H3330" s="42">
        <v>1.79</v>
      </c>
      <c r="I3330" s="42">
        <v>5.05</v>
      </c>
      <c r="J3330" t="s" s="10">
        <v>16926</v>
      </c>
      <c r="K3330" t="s" s="10">
        <v>16927</v>
      </c>
      <c r="L3330" s="16">
        <f>HYPERLINK("http://www.matchmade.io", "www.matchmade.io")</f>
      </c>
      <c r="M3330" s="16">
        <f>HYPERLINK("https://my.pitchbook.com?c=528397-12", "View Company Online")</f>
      </c>
    </row>
    <row r="3331">
      <c r="A3331" t="s" s="11">
        <v>16929</v>
      </c>
      <c r="B3331" t="s" s="11">
        <v>16930</v>
      </c>
      <c r="C3331" t="s" s="11">
        <v>27</v>
      </c>
      <c r="D3331" t="s" s="11">
        <v>28</v>
      </c>
      <c r="E3331" t="s" s="11">
        <v>16931</v>
      </c>
      <c r="F3331" s="28">
        <v>45703</v>
      </c>
      <c r="G3331" t="s" s="11">
        <v>4267</v>
      </c>
      <c r="H3331" s="43">
        <v>2.32</v>
      </c>
      <c r="I3331" s="43">
        <v>5.05</v>
      </c>
      <c r="J3331" t="s" s="11">
        <v>16932</v>
      </c>
      <c r="K3331" t="s" s="11">
        <v>16933</v>
      </c>
      <c r="L3331" s="17">
        <f>HYPERLINK("http://www.pepperhq.com", "www.pepperhq.com")</f>
      </c>
      <c r="M3331" s="17">
        <f>HYPERLINK("https://my.pitchbook.com?c=126146-71", "View Company Online")</f>
      </c>
    </row>
    <row r="3332">
      <c r="A3332" t="s" s="10">
        <v>16935</v>
      </c>
      <c r="B3332" t="s" s="10">
        <v>16936</v>
      </c>
      <c r="C3332" t="s" s="10">
        <v>128</v>
      </c>
      <c r="D3332" t="s" s="10">
        <v>276</v>
      </c>
      <c r="E3332" t="s" s="10">
        <v>270</v>
      </c>
      <c r="F3332" s="27">
        <v>45211</v>
      </c>
      <c r="G3332" t="s" s="10">
        <v>271</v>
      </c>
      <c r="H3332" s="42">
        <v>0.17</v>
      </c>
      <c r="I3332" s="42">
        <v>5.04</v>
      </c>
      <c r="J3332" t="s" s="10">
        <v>16937</v>
      </c>
      <c r="K3332" t="s" s="10">
        <v>16938</v>
      </c>
      <c r="L3332" s="16">
        <f>HYPERLINK("http://www.bayfikr.net", "www.bayfikr.net")</f>
      </c>
      <c r="M3332" s="16">
        <f>HYPERLINK("https://my.pitchbook.com?c=494490-79", "View Company Online")</f>
      </c>
    </row>
    <row r="3333">
      <c r="A3333" t="s" s="11">
        <v>16940</v>
      </c>
      <c r="B3333" t="s" s="11">
        <v>16941</v>
      </c>
      <c r="C3333" t="s" s="11">
        <v>27</v>
      </c>
      <c r="D3333" t="s" s="11">
        <v>28</v>
      </c>
      <c r="E3333" t="s" s="11">
        <v>253</v>
      </c>
      <c r="F3333" s="28">
        <v>45275</v>
      </c>
      <c r="G3333" t="s" s="11">
        <v>40</v>
      </c>
      <c r="H3333" s="43">
        <v>0.36</v>
      </c>
      <c r="I3333" s="43">
        <v>5.03</v>
      </c>
      <c r="J3333" t="s" s="11">
        <v>16942</v>
      </c>
      <c r="K3333" t="s" s="11">
        <v>16943</v>
      </c>
      <c r="L3333" s="17">
        <f>HYPERLINK("http://www.airpointofsale.com", "www.airpointofsale.com")</f>
      </c>
      <c r="M3333" s="17">
        <f>HYPERLINK("https://my.pitchbook.com?c=64258-57", "View Company Online")</f>
      </c>
    </row>
    <row r="3334">
      <c r="A3334" t="s" s="10">
        <v>16945</v>
      </c>
      <c r="B3334" t="s" s="10">
        <v>16946</v>
      </c>
      <c r="C3334" t="s" s="10">
        <v>114</v>
      </c>
      <c r="D3334" t="s" s="10">
        <v>136</v>
      </c>
      <c r="E3334" t="s" s="10">
        <v>137</v>
      </c>
      <c r="F3334" s="27">
        <v>44656</v>
      </c>
      <c r="G3334" t="s" s="10">
        <v>4267</v>
      </c>
      <c r="H3334" t="s" s="42">
        <v>30</v>
      </c>
      <c r="I3334" s="42">
        <v>5.02</v>
      </c>
      <c r="J3334" t="s" s="10">
        <v>16947</v>
      </c>
      <c r="K3334" t="s" s="10">
        <v>16948</v>
      </c>
      <c r="L3334" s="16">
        <f>HYPERLINK("http://justlend.co", "justlend.co")</f>
      </c>
      <c r="M3334" s="16">
        <f>HYPERLINK("https://my.pitchbook.com?c=494661-52", "View Company Online")</f>
      </c>
    </row>
    <row r="3335">
      <c r="A3335" t="s" s="11">
        <v>16950</v>
      </c>
      <c r="B3335" t="s" s="11">
        <v>16951</v>
      </c>
      <c r="C3335" t="s" s="11">
        <v>46</v>
      </c>
      <c r="D3335" t="s" s="11">
        <v>47</v>
      </c>
      <c r="E3335" t="s" s="11">
        <v>253</v>
      </c>
      <c r="F3335" s="28">
        <v>45624</v>
      </c>
      <c r="G3335" t="s" s="11">
        <v>40</v>
      </c>
      <c r="H3335" s="43">
        <v>1.17</v>
      </c>
      <c r="I3335" s="43">
        <v>5.02</v>
      </c>
      <c r="J3335" t="s" s="11">
        <v>16952</v>
      </c>
      <c r="K3335" t="s" s="11">
        <v>16953</v>
      </c>
      <c r="L3335" s="17">
        <f>HYPERLINK("http://www.recovr.eu", "www.recovr.eu")</f>
      </c>
      <c r="M3335" s="17">
        <f>HYPERLINK("https://my.pitchbook.com?c=442259-74", "View Company Online")</f>
      </c>
    </row>
    <row r="3336">
      <c r="A3336" t="s" s="10">
        <v>16955</v>
      </c>
      <c r="B3336" t="s" s="10">
        <v>16956</v>
      </c>
      <c r="C3336" t="s" s="10">
        <v>60</v>
      </c>
      <c r="D3336" t="s" s="10">
        <v>432</v>
      </c>
      <c r="E3336" t="s" s="10">
        <v>253</v>
      </c>
      <c r="F3336" s="27">
        <v>44421</v>
      </c>
      <c r="G3336" t="s" s="10">
        <v>40</v>
      </c>
      <c r="H3336" t="s" s="42">
        <v>30</v>
      </c>
      <c r="I3336" s="42">
        <v>5.01</v>
      </c>
      <c r="J3336" t="s" s="10">
        <v>16957</v>
      </c>
      <c r="K3336" t="s" s="10">
        <v>16958</v>
      </c>
      <c r="L3336" s="16">
        <f>HYPERLINK("http://www.invsta.com", "www.invsta.com")</f>
      </c>
      <c r="M3336" s="16">
        <f>HYPERLINK("https://my.pitchbook.com?c=481644-19", "View Company Online")</f>
      </c>
    </row>
    <row r="3337">
      <c r="A3337" t="s" s="11">
        <v>16960</v>
      </c>
      <c r="B3337" t="s" s="11">
        <v>16961</v>
      </c>
      <c r="C3337" t="s" s="11">
        <v>46</v>
      </c>
      <c r="D3337" t="s" s="11">
        <v>47</v>
      </c>
      <c r="E3337" t="s" s="11">
        <v>1859</v>
      </c>
      <c r="F3337" s="28">
        <v>44117</v>
      </c>
      <c r="G3337" t="s" s="11">
        <v>146</v>
      </c>
      <c r="H3337" s="43">
        <v>1.07</v>
      </c>
      <c r="I3337" s="43">
        <v>5</v>
      </c>
      <c r="J3337" t="s" s="11">
        <v>16962</v>
      </c>
      <c r="K3337" t="s" s="11">
        <v>16963</v>
      </c>
      <c r="L3337" s="17">
        <f>HYPERLINK("http://www.advicepay.com", "www.advicepay.com")</f>
      </c>
      <c r="M3337" s="17">
        <f>HYPERLINK("https://my.pitchbook.com?c=174131-74", "View Company Online")</f>
      </c>
    </row>
    <row r="3338">
      <c r="A3338" t="s" s="10">
        <v>16965</v>
      </c>
      <c r="B3338" t="s" s="10">
        <v>16966</v>
      </c>
      <c r="C3338" t="s" s="10">
        <v>128</v>
      </c>
      <c r="D3338" t="s" s="10">
        <v>199</v>
      </c>
      <c r="E3338" t="s" s="10">
        <v>5749</v>
      </c>
      <c r="F3338" s="27">
        <v>45446</v>
      </c>
      <c r="G3338" t="s" s="10">
        <v>4267</v>
      </c>
      <c r="H3338" s="42">
        <v>1.6</v>
      </c>
      <c r="I3338" s="42">
        <v>5</v>
      </c>
      <c r="J3338" t="s" s="10">
        <v>16967</v>
      </c>
      <c r="K3338" t="s" s="10">
        <v>16968</v>
      </c>
      <c r="L3338" s="16">
        <f>HYPERLINK("http://useatlas.co", "useatlas.co")</f>
      </c>
      <c r="M3338" s="16">
        <f>HYPERLINK("https://my.pitchbook.com?c=521764-48", "View Company Online")</f>
      </c>
    </row>
    <row r="3339">
      <c r="A3339" t="s" s="11">
        <v>16970</v>
      </c>
      <c r="B3339" t="s" s="11">
        <v>16971</v>
      </c>
      <c r="C3339" t="s" s="11">
        <v>222</v>
      </c>
      <c r="D3339" t="s" s="11">
        <v>235</v>
      </c>
      <c r="E3339" t="s" s="11">
        <v>859</v>
      </c>
      <c r="F3339" t="s" s="28">
        <v>30</v>
      </c>
      <c r="G3339" t="s" s="11">
        <v>138</v>
      </c>
      <c r="H3339" s="43">
        <v>5</v>
      </c>
      <c r="I3339" s="43">
        <v>5</v>
      </c>
      <c r="J3339" t="s" s="11">
        <v>16972</v>
      </c>
      <c r="K3339" t="s" s="11">
        <v>16973</v>
      </c>
      <c r="L3339" s="17">
        <f>HYPERLINK("http://atlasone.ca", "atlasone.ca")</f>
      </c>
      <c r="M3339" s="17">
        <f>HYPERLINK("https://my.pitchbook.com?c=550458-01", "View Company Online")</f>
      </c>
    </row>
    <row r="3340">
      <c r="A3340" t="s" s="10">
        <v>16975</v>
      </c>
      <c r="B3340" t="s" s="10">
        <v>16976</v>
      </c>
      <c r="C3340" t="s" s="10">
        <v>60</v>
      </c>
      <c r="D3340" t="s" s="10">
        <v>727</v>
      </c>
      <c r="E3340" t="s" s="10">
        <v>6595</v>
      </c>
      <c r="F3340" s="27">
        <v>45931</v>
      </c>
      <c r="G3340" t="s" s="10">
        <v>607</v>
      </c>
      <c r="H3340" t="s" s="42">
        <v>30</v>
      </c>
      <c r="I3340" s="42">
        <v>5</v>
      </c>
      <c r="J3340" t="s" s="10">
        <v>16977</v>
      </c>
      <c r="K3340" t="s" s="10">
        <v>16978</v>
      </c>
      <c r="L3340" s="16">
        <f>HYPERLINK("http://www.binaryx.com", "www.binaryx.com")</f>
      </c>
      <c r="M3340" s="16">
        <f>HYPERLINK("https://my.pitchbook.com?c=442923-13", "View Company Online")</f>
      </c>
    </row>
    <row r="3341">
      <c r="A3341" t="s" s="11">
        <v>16980</v>
      </c>
      <c r="B3341" t="s" s="11">
        <v>16981</v>
      </c>
      <c r="C3341" t="s" s="11">
        <v>46</v>
      </c>
      <c r="D3341" t="s" s="11">
        <v>915</v>
      </c>
      <c r="E3341" t="s" s="11">
        <v>373</v>
      </c>
      <c r="F3341" s="28">
        <v>43936</v>
      </c>
      <c r="G3341" t="s" s="11">
        <v>5311</v>
      </c>
      <c r="H3341" t="s" s="43">
        <v>30</v>
      </c>
      <c r="I3341" s="43">
        <v>5</v>
      </c>
      <c r="J3341" t="s" s="11">
        <v>16982</v>
      </c>
      <c r="K3341" t="s" s="11">
        <v>16983</v>
      </c>
      <c r="L3341" s="17">
        <f>HYPERLINK("http://www.decisionengines.ai", "www.decisionengines.ai")</f>
      </c>
      <c r="M3341" s="17">
        <f>HYPERLINK("https://my.pitchbook.com?c=185675-95", "View Company Online")</f>
      </c>
    </row>
    <row r="3342">
      <c r="A3342" t="s" s="10">
        <v>16985</v>
      </c>
      <c r="B3342" t="s" s="10">
        <v>16986</v>
      </c>
      <c r="C3342" t="s" s="10">
        <v>60</v>
      </c>
      <c r="D3342" t="s" s="10">
        <v>246</v>
      </c>
      <c r="E3342" t="s" s="10">
        <v>116</v>
      </c>
      <c r="F3342" s="27">
        <v>45139</v>
      </c>
      <c r="G3342" t="s" s="10">
        <v>607</v>
      </c>
      <c r="H3342" s="42">
        <v>0.5</v>
      </c>
      <c r="I3342" s="42">
        <v>5</v>
      </c>
      <c r="J3342" t="s" s="10">
        <v>16987</v>
      </c>
      <c r="K3342" t="s" s="10">
        <v>16988</v>
      </c>
      <c r="L3342" s="16">
        <f>HYPERLINK("http://www.easy-expense.com", "www.easy-expense.com")</f>
      </c>
      <c r="M3342" s="16">
        <f>HYPERLINK("https://my.pitchbook.com?c=509502-88", "View Company Online")</f>
      </c>
    </row>
    <row r="3343">
      <c r="A3343" t="s" s="11">
        <v>16990</v>
      </c>
      <c r="B3343" t="s" s="11">
        <v>16991</v>
      </c>
      <c r="C3343" t="s" s="11">
        <v>60</v>
      </c>
      <c r="D3343" t="s" s="11">
        <v>246</v>
      </c>
      <c r="E3343" t="s" s="11">
        <v>270</v>
      </c>
      <c r="F3343" s="28">
        <v>44562</v>
      </c>
      <c r="G3343" t="s" s="11">
        <v>48</v>
      </c>
      <c r="H3343" t="s" s="43">
        <v>30</v>
      </c>
      <c r="I3343" s="43">
        <v>5</v>
      </c>
      <c r="J3343" t="s" s="11">
        <v>16992</v>
      </c>
      <c r="K3343" t="s" s="11">
        <v>16993</v>
      </c>
      <c r="L3343" s="17">
        <f>HYPERLINK("http://www.epesos.com", "www.epesos.com")</f>
      </c>
      <c r="M3343" s="17">
        <f>HYPERLINK("https://my.pitchbook.com?c=180320-32", "View Company Online")</f>
      </c>
    </row>
    <row r="3344">
      <c r="A3344" t="s" s="10">
        <v>16995</v>
      </c>
      <c r="B3344" t="s" s="10">
        <v>16996</v>
      </c>
      <c r="C3344" t="s" s="10">
        <v>164</v>
      </c>
      <c r="D3344" t="s" s="10">
        <v>165</v>
      </c>
      <c r="E3344" t="s" s="10">
        <v>373</v>
      </c>
      <c r="F3344" s="27">
        <v>45714</v>
      </c>
      <c r="G3344" t="s" s="10">
        <v>4267</v>
      </c>
      <c r="H3344" s="42">
        <v>6</v>
      </c>
      <c r="I3344" s="42">
        <v>5</v>
      </c>
      <c r="J3344" t="s" s="10">
        <v>16997</v>
      </c>
      <c r="K3344" t="s" s="10">
        <v>16998</v>
      </c>
      <c r="L3344" s="16">
        <f>HYPERLINK("http://www.ethosai.com", "www.ethosai.com")</f>
      </c>
      <c r="M3344" s="16">
        <f>HYPERLINK("https://my.pitchbook.com?c=541101-16", "View Company Online")</f>
      </c>
    </row>
    <row r="3345">
      <c r="A3345" t="s" s="11">
        <v>17000</v>
      </c>
      <c r="B3345" t="s" s="11">
        <v>17001</v>
      </c>
      <c r="C3345" t="s" s="11">
        <v>60</v>
      </c>
      <c r="D3345" t="s" s="11">
        <v>192</v>
      </c>
      <c r="E3345" t="s" s="11">
        <v>137</v>
      </c>
      <c r="F3345" s="28">
        <v>45238</v>
      </c>
      <c r="G3345" t="s" s="11">
        <v>146</v>
      </c>
      <c r="H3345" s="43">
        <v>1</v>
      </c>
      <c r="I3345" s="43">
        <v>5</v>
      </c>
      <c r="J3345" t="s" s="11">
        <v>17002</v>
      </c>
      <c r="K3345" t="s" s="11">
        <v>17003</v>
      </c>
      <c r="L3345" s="17">
        <f>HYPERLINK("http://www.exirio.com", "www.exirio.com")</f>
      </c>
      <c r="M3345" s="17">
        <f>HYPERLINK("https://my.pitchbook.com?c=467770-33", "View Company Online")</f>
      </c>
    </row>
    <row r="3346">
      <c r="A3346" t="s" s="10">
        <v>17005</v>
      </c>
      <c r="B3346" t="s" s="10">
        <v>17006</v>
      </c>
      <c r="C3346" t="s" s="10">
        <v>114</v>
      </c>
      <c r="D3346" t="s" s="10">
        <v>115</v>
      </c>
      <c r="E3346" t="s" s="10">
        <v>2782</v>
      </c>
      <c r="F3346" s="27">
        <v>45390</v>
      </c>
      <c r="G3346" t="s" s="10">
        <v>4267</v>
      </c>
      <c r="H3346" s="42">
        <v>1.3</v>
      </c>
      <c r="I3346" s="42">
        <v>5</v>
      </c>
      <c r="J3346" t="s" s="10">
        <v>17007</v>
      </c>
      <c r="K3346" t="s" s="10">
        <v>17008</v>
      </c>
      <c r="L3346" s="16">
        <f>HYPERLINK("http://www.finresi.com", "www.finresi.com")</f>
      </c>
      <c r="M3346" s="16">
        <f>HYPERLINK("https://my.pitchbook.com?c=483138-10", "View Company Online")</f>
      </c>
    </row>
    <row r="3347">
      <c r="A3347" t="s" s="11">
        <v>17010</v>
      </c>
      <c r="B3347" t="s" s="11">
        <v>17011</v>
      </c>
      <c r="C3347" t="s" s="11">
        <v>46</v>
      </c>
      <c r="D3347" t="s" s="11">
        <v>78</v>
      </c>
      <c r="E3347" t="s" s="11">
        <v>29</v>
      </c>
      <c r="F3347" s="28">
        <v>45261</v>
      </c>
      <c r="G3347" t="s" s="11">
        <v>146</v>
      </c>
      <c r="H3347" s="43">
        <v>12</v>
      </c>
      <c r="I3347" s="43">
        <v>5</v>
      </c>
      <c r="J3347" t="s" s="11">
        <v>17012</v>
      </c>
      <c r="K3347" t="s" s="11">
        <v>17013</v>
      </c>
      <c r="L3347" s="17">
        <f>HYPERLINK("http://www.gajikuapp.com", "www.gajikuapp.com")</f>
      </c>
      <c r="M3347" s="17">
        <f>HYPERLINK("https://my.pitchbook.com?c=439107-58", "View Company Online")</f>
      </c>
    </row>
    <row r="3348">
      <c r="A3348" t="s" s="10">
        <v>17015</v>
      </c>
      <c r="B3348" t="s" s="10">
        <v>17016</v>
      </c>
      <c r="C3348" t="s" s="10">
        <v>37</v>
      </c>
      <c r="D3348" t="s" s="10">
        <v>304</v>
      </c>
      <c r="E3348" t="s" s="10">
        <v>137</v>
      </c>
      <c r="F3348" s="27">
        <v>45734</v>
      </c>
      <c r="G3348" t="s" s="10">
        <v>146</v>
      </c>
      <c r="H3348" s="42">
        <v>1.5</v>
      </c>
      <c r="I3348" s="42">
        <v>5</v>
      </c>
      <c r="J3348" t="s" s="10">
        <v>17017</v>
      </c>
      <c r="K3348" t="s" s="10">
        <v>17018</v>
      </c>
      <c r="L3348" s="16">
        <f>HYPERLINK("http://www.guamacard.com", "www.guamacard.com")</f>
      </c>
      <c r="M3348" s="16">
        <f>HYPERLINK("https://my.pitchbook.com?c=544887-64", "View Company Online")</f>
      </c>
    </row>
    <row r="3349">
      <c r="A3349" t="s" s="11">
        <v>17020</v>
      </c>
      <c r="B3349" t="s" s="11">
        <v>17021</v>
      </c>
      <c r="C3349" t="s" s="11">
        <v>60</v>
      </c>
      <c r="D3349" t="s" s="11">
        <v>61</v>
      </c>
      <c r="E3349" t="s" s="11">
        <v>145</v>
      </c>
      <c r="F3349" s="28">
        <v>46055</v>
      </c>
      <c r="G3349" t="s" s="11">
        <v>146</v>
      </c>
      <c r="H3349" s="43">
        <v>35</v>
      </c>
      <c r="I3349" s="43">
        <v>5</v>
      </c>
      <c r="J3349" t="s" s="11">
        <v>17022</v>
      </c>
      <c r="K3349" t="s" s="11">
        <v>17023</v>
      </c>
      <c r="L3349" s="17">
        <f>HYPERLINK("http://www.jup.ag", "www.jup.ag")</f>
      </c>
      <c r="M3349" s="17">
        <f>HYPERLINK("https://my.pitchbook.com?c=615515-32", "View Company Online")</f>
      </c>
    </row>
    <row r="3350">
      <c r="A3350" t="s" s="10">
        <v>17025</v>
      </c>
      <c r="B3350" t="s" s="10">
        <v>17026</v>
      </c>
      <c r="C3350" t="s" s="10">
        <v>60</v>
      </c>
      <c r="D3350" t="s" s="10">
        <v>246</v>
      </c>
      <c r="E3350" t="s" s="10">
        <v>373</v>
      </c>
      <c r="F3350" t="s" s="27">
        <v>30</v>
      </c>
      <c r="G3350" t="s" s="10">
        <v>607</v>
      </c>
      <c r="H3350" s="42">
        <v>0.1</v>
      </c>
      <c r="I3350" s="42">
        <v>5</v>
      </c>
      <c r="J3350" t="s" s="10">
        <v>17027</v>
      </c>
      <c r="K3350" t="s" s="10">
        <v>17028</v>
      </c>
      <c r="L3350" s="16">
        <f>HYPERLINK("http://www.knomee.com", "www.knomee.com")</f>
      </c>
      <c r="M3350" s="16">
        <f>HYPERLINK("https://my.pitchbook.com?c=528259-15", "View Company Online")</f>
      </c>
    </row>
    <row r="3351">
      <c r="A3351" t="s" s="11">
        <v>17030</v>
      </c>
      <c r="B3351" t="s" s="11">
        <v>17031</v>
      </c>
      <c r="C3351" t="s" s="11">
        <v>37</v>
      </c>
      <c r="D3351" t="s" s="11">
        <v>38</v>
      </c>
      <c r="E3351" t="s" s="11">
        <v>2788</v>
      </c>
      <c r="F3351" s="28">
        <v>45790</v>
      </c>
      <c r="G3351" t="s" s="11">
        <v>2051</v>
      </c>
      <c r="H3351" t="s" s="43">
        <v>30</v>
      </c>
      <c r="I3351" s="43">
        <v>5</v>
      </c>
      <c r="J3351" t="s" s="11">
        <v>17032</v>
      </c>
      <c r="K3351" t="s" s="11">
        <v>30</v>
      </c>
      <c r="L3351" s="17">
        <f>HYPERLINK("http://www.moneymie.com", "www.moneymie.com")</f>
      </c>
      <c r="M3351" s="17">
        <f>HYPERLINK("https://my.pitchbook.com?c=472342-24", "View Company Online")</f>
      </c>
    </row>
    <row r="3352">
      <c r="A3352" t="s" s="10">
        <v>17034</v>
      </c>
      <c r="B3352" t="s" s="10">
        <v>17035</v>
      </c>
      <c r="C3352" t="s" s="10">
        <v>27</v>
      </c>
      <c r="D3352" t="s" s="10">
        <v>70</v>
      </c>
      <c r="E3352" t="s" s="10">
        <v>137</v>
      </c>
      <c r="F3352" s="27">
        <v>45933</v>
      </c>
      <c r="G3352" t="s" s="10">
        <v>4267</v>
      </c>
      <c r="H3352" s="42">
        <v>1</v>
      </c>
      <c r="I3352" s="42">
        <v>5</v>
      </c>
      <c r="J3352" t="s" s="10">
        <v>17036</v>
      </c>
      <c r="K3352" t="s" s="10">
        <v>17037</v>
      </c>
      <c r="L3352" s="16">
        <f>HYPERLINK("http://web.saf.money", "web.saf.money")</f>
      </c>
      <c r="M3352" s="16">
        <f>HYPERLINK("https://my.pitchbook.com?c=902181-25", "View Company Online")</f>
      </c>
    </row>
    <row r="3353">
      <c r="A3353" t="s" s="11">
        <v>17039</v>
      </c>
      <c r="B3353" t="s" s="11">
        <v>17040</v>
      </c>
      <c r="C3353" t="s" s="11">
        <v>27</v>
      </c>
      <c r="D3353" t="s" s="11">
        <v>70</v>
      </c>
      <c r="E3353" t="s" s="11">
        <v>17041</v>
      </c>
      <c r="F3353" t="s" s="28">
        <v>30</v>
      </c>
      <c r="G3353" t="s" s="11">
        <v>4267</v>
      </c>
      <c r="H3353" s="43">
        <v>3.5</v>
      </c>
      <c r="I3353" s="43">
        <v>5</v>
      </c>
      <c r="J3353" t="s" s="11">
        <v>17042</v>
      </c>
      <c r="K3353" t="s" s="11">
        <v>17043</v>
      </c>
      <c r="L3353" s="17">
        <f>HYPERLINK("http://www.steamchaincorp.com", "www.steamchaincorp.com")</f>
      </c>
      <c r="M3353" s="17">
        <f>HYPERLINK("https://my.pitchbook.com?c=431301-52", "View Company Online")</f>
      </c>
    </row>
    <row r="3354">
      <c r="A3354" t="s" s="10">
        <v>17045</v>
      </c>
      <c r="B3354" t="s" s="10">
        <v>17046</v>
      </c>
      <c r="C3354" t="s" s="10">
        <v>37</v>
      </c>
      <c r="D3354" t="s" s="10">
        <v>38</v>
      </c>
      <c r="E3354" t="s" s="10">
        <v>17047</v>
      </c>
      <c r="F3354" s="27">
        <v>46114</v>
      </c>
      <c r="G3354" t="s" s="10">
        <v>391</v>
      </c>
      <c r="H3354" t="s" s="42">
        <v>30</v>
      </c>
      <c r="I3354" s="42">
        <v>5</v>
      </c>
      <c r="J3354" t="s" s="10">
        <v>17048</v>
      </c>
      <c r="K3354" t="s" s="10">
        <v>17049</v>
      </c>
      <c r="L3354" s="16">
        <f>HYPERLINK("http://www.woli.io", "www.woli.io")</f>
      </c>
      <c r="M3354" s="16">
        <f>HYPERLINK("https://my.pitchbook.com?c=465166-09", "View Company Online")</f>
      </c>
    </row>
    <row r="3355">
      <c r="A3355" t="s" s="11">
        <v>17051</v>
      </c>
      <c r="B3355" t="s" s="11">
        <v>17052</v>
      </c>
      <c r="C3355" t="s" s="11">
        <v>60</v>
      </c>
      <c r="D3355" t="s" s="11">
        <v>61</v>
      </c>
      <c r="E3355" t="s" s="11">
        <v>193</v>
      </c>
      <c r="F3355" s="28">
        <v>45748</v>
      </c>
      <c r="G3355" t="s" s="11">
        <v>607</v>
      </c>
      <c r="H3355" s="43">
        <v>0.01</v>
      </c>
      <c r="I3355" s="43">
        <v>5</v>
      </c>
      <c r="J3355" t="s" s="11">
        <v>17053</v>
      </c>
      <c r="K3355" t="s" s="11">
        <v>17054</v>
      </c>
      <c r="L3355" s="17">
        <f>HYPERLINK("http://www.yancep.com", "www.yancep.com")</f>
      </c>
      <c r="M3355" s="17">
        <f>HYPERLINK("https://my.pitchbook.com?c=527185-99", "View Company Online")</f>
      </c>
    </row>
    <row r="3356">
      <c r="A3356" t="s" s="10">
        <v>17056</v>
      </c>
      <c r="B3356" t="s" s="10">
        <v>17057</v>
      </c>
      <c r="C3356" t="s" s="10">
        <v>46</v>
      </c>
      <c r="D3356" t="s" s="10">
        <v>915</v>
      </c>
      <c r="E3356" t="s" s="10">
        <v>373</v>
      </c>
      <c r="F3356" s="27">
        <v>46069</v>
      </c>
      <c r="G3356" t="s" s="10">
        <v>4267</v>
      </c>
      <c r="H3356" s="42">
        <v>0.68</v>
      </c>
      <c r="I3356" s="42">
        <v>4.99</v>
      </c>
      <c r="J3356" t="s" s="10">
        <v>17058</v>
      </c>
      <c r="K3356" t="s" s="10">
        <v>17059</v>
      </c>
      <c r="L3356" s="16">
        <f>HYPERLINK("http://www.forecasterly.com", "www.forecasterly.com")</f>
      </c>
      <c r="M3356" s="16">
        <f>HYPERLINK("https://my.pitchbook.com?c=1201727-53", "View Company Online")</f>
      </c>
    </row>
    <row r="3357">
      <c r="A3357" t="s" s="11">
        <v>17061</v>
      </c>
      <c r="B3357" t="s" s="11">
        <v>17062</v>
      </c>
      <c r="C3357" t="s" s="11">
        <v>128</v>
      </c>
      <c r="D3357" t="s" s="11">
        <v>199</v>
      </c>
      <c r="E3357" t="s" s="11">
        <v>253</v>
      </c>
      <c r="F3357" s="28">
        <v>44944</v>
      </c>
      <c r="G3357" t="s" s="11">
        <v>146</v>
      </c>
      <c r="H3357" t="s" s="43">
        <v>30</v>
      </c>
      <c r="I3357" s="43">
        <v>4.98</v>
      </c>
      <c r="J3357" t="s" s="11">
        <v>17063</v>
      </c>
      <c r="K3357" t="s" s="11">
        <v>17064</v>
      </c>
      <c r="L3357" s="17">
        <f>HYPERLINK("http://www.kashware.com", "www.kashware.com")</f>
      </c>
      <c r="M3357" s="17">
        <f>HYPERLINK("https://my.pitchbook.com?c=454287-97", "View Company Online")</f>
      </c>
    </row>
    <row r="3358">
      <c r="A3358" t="s" s="10">
        <v>17066</v>
      </c>
      <c r="B3358" t="s" s="10">
        <v>17067</v>
      </c>
      <c r="C3358" t="s" s="10">
        <v>114</v>
      </c>
      <c r="D3358" t="s" s="10">
        <v>136</v>
      </c>
      <c r="E3358" t="s" s="10">
        <v>137</v>
      </c>
      <c r="F3358" s="27">
        <v>44691</v>
      </c>
      <c r="G3358" t="s" s="10">
        <v>40</v>
      </c>
      <c r="H3358" s="42">
        <v>0.76</v>
      </c>
      <c r="I3358" s="42">
        <v>4.97</v>
      </c>
      <c r="J3358" t="s" s="10">
        <v>17068</v>
      </c>
      <c r="K3358" t="s" s="10">
        <v>17069</v>
      </c>
      <c r="L3358" s="16">
        <f>HYPERLINK("http://www.sqft.capital", "www.sqft.capital")</f>
      </c>
      <c r="M3358" s="16">
        <f>HYPERLINK("https://my.pitchbook.com?c=496321-57", "View Company Online")</f>
      </c>
    </row>
    <row r="3359">
      <c r="A3359" t="s" s="11">
        <v>17071</v>
      </c>
      <c r="B3359" t="s" s="11">
        <v>17072</v>
      </c>
      <c r="C3359" t="s" s="11">
        <v>164</v>
      </c>
      <c r="D3359" t="s" s="11">
        <v>206</v>
      </c>
      <c r="E3359" t="s" s="11">
        <v>137</v>
      </c>
      <c r="F3359" s="28">
        <v>44678</v>
      </c>
      <c r="G3359" t="s" s="11">
        <v>40</v>
      </c>
      <c r="H3359" t="s" s="43">
        <v>30</v>
      </c>
      <c r="I3359" s="43">
        <v>4.96</v>
      </c>
      <c r="J3359" t="s" s="11">
        <v>17073</v>
      </c>
      <c r="K3359" t="s" s="11">
        <v>17074</v>
      </c>
      <c r="L3359" s="17">
        <f>HYPERLINK("http://www.neonomics.io", "www.neonomics.io")</f>
      </c>
      <c r="M3359" s="17">
        <f>HYPERLINK("https://my.pitchbook.com?c=231448-69", "View Company Online")</f>
      </c>
    </row>
    <row r="3360">
      <c r="A3360" t="s" s="10">
        <v>17076</v>
      </c>
      <c r="B3360" t="s" s="10">
        <v>17077</v>
      </c>
      <c r="C3360" t="s" s="10">
        <v>164</v>
      </c>
      <c r="D3360" t="s" s="10">
        <v>165</v>
      </c>
      <c r="E3360" t="s" s="10">
        <v>1859</v>
      </c>
      <c r="F3360" s="27">
        <v>45797</v>
      </c>
      <c r="G3360" t="s" s="10">
        <v>4267</v>
      </c>
      <c r="H3360" s="42">
        <v>3.7</v>
      </c>
      <c r="I3360" s="42">
        <v>4.96</v>
      </c>
      <c r="J3360" t="s" s="10">
        <v>17078</v>
      </c>
      <c r="K3360" t="s" s="10">
        <v>17079</v>
      </c>
      <c r="L3360" s="16">
        <f>HYPERLINK("http://www.ontik.io", "www.ontik.io")</f>
      </c>
      <c r="M3360" s="16">
        <f>HYPERLINK("https://my.pitchbook.com?c=529626-88", "View Company Online")</f>
      </c>
    </row>
    <row r="3361">
      <c r="A3361" t="s" s="11">
        <v>17081</v>
      </c>
      <c r="B3361" t="s" s="11">
        <v>17082</v>
      </c>
      <c r="C3361" t="s" s="11">
        <v>114</v>
      </c>
      <c r="D3361" t="s" s="11">
        <v>852</v>
      </c>
      <c r="E3361" t="s" s="11">
        <v>137</v>
      </c>
      <c r="F3361" s="28">
        <v>43111</v>
      </c>
      <c r="G3361" t="s" s="11">
        <v>4267</v>
      </c>
      <c r="H3361" s="43">
        <v>1.9</v>
      </c>
      <c r="I3361" s="43">
        <v>4.96</v>
      </c>
      <c r="J3361" t="s" s="11">
        <v>17083</v>
      </c>
      <c r="K3361" t="s" s="11">
        <v>17084</v>
      </c>
      <c r="L3361" s="17">
        <f>HYPERLINK("http://www.traderiverusa.com", "www.traderiverusa.com")</f>
      </c>
      <c r="M3361" s="17">
        <f>HYPERLINK("https://my.pitchbook.com?c=222918-04", "View Company Online")</f>
      </c>
    </row>
    <row r="3362">
      <c r="A3362" t="s" s="10">
        <v>17086</v>
      </c>
      <c r="B3362" t="s" s="10">
        <v>17087</v>
      </c>
      <c r="C3362" t="s" s="10">
        <v>222</v>
      </c>
      <c r="D3362" t="s" s="10">
        <v>235</v>
      </c>
      <c r="E3362" t="s" s="10">
        <v>373</v>
      </c>
      <c r="F3362" s="27">
        <v>45404</v>
      </c>
      <c r="G3362" t="s" s="10">
        <v>607</v>
      </c>
      <c r="H3362" t="s" s="42">
        <v>30</v>
      </c>
      <c r="I3362" s="42">
        <v>4.95</v>
      </c>
      <c r="J3362" t="s" s="10">
        <v>17088</v>
      </c>
      <c r="K3362" t="s" s="10">
        <v>17089</v>
      </c>
      <c r="L3362" s="16">
        <f>HYPERLINK("http://www.alvo.market", "www.alvo.market")</f>
      </c>
      <c r="M3362" s="16">
        <f>HYPERLINK("https://my.pitchbook.com?c=512282-89", "View Company Online")</f>
      </c>
    </row>
    <row r="3363">
      <c r="A3363" t="s" s="11">
        <v>17091</v>
      </c>
      <c r="B3363" t="s" s="11">
        <v>17092</v>
      </c>
      <c r="C3363" t="s" s="11">
        <v>60</v>
      </c>
      <c r="D3363" t="s" s="11">
        <v>432</v>
      </c>
      <c r="E3363" t="s" s="11">
        <v>373</v>
      </c>
      <c r="F3363" s="28">
        <v>45989</v>
      </c>
      <c r="G3363" t="s" s="11">
        <v>4267</v>
      </c>
      <c r="H3363" s="43">
        <v>0.6</v>
      </c>
      <c r="I3363" s="43">
        <v>4.94</v>
      </c>
      <c r="J3363" t="s" s="11">
        <v>17093</v>
      </c>
      <c r="K3363" t="s" s="11">
        <v>17094</v>
      </c>
      <c r="L3363" s="17">
        <f>HYPERLINK("http://www.wealthai.tech", "www.wealthai.tech")</f>
      </c>
      <c r="M3363" s="17">
        <f>HYPERLINK("https://my.pitchbook.com?c=756637-12", "View Company Online")</f>
      </c>
    </row>
    <row r="3364">
      <c r="A3364" t="s" s="10">
        <v>17096</v>
      </c>
      <c r="B3364" t="s" s="10">
        <v>17097</v>
      </c>
      <c r="C3364" t="s" s="10">
        <v>27</v>
      </c>
      <c r="D3364" t="s" s="10">
        <v>28</v>
      </c>
      <c r="E3364" t="s" s="10">
        <v>270</v>
      </c>
      <c r="F3364" s="27">
        <v>45402</v>
      </c>
      <c r="G3364" t="s" s="10">
        <v>146</v>
      </c>
      <c r="H3364" s="42">
        <v>0.7</v>
      </c>
      <c r="I3364" s="42">
        <v>4.9</v>
      </c>
      <c r="J3364" t="s" s="10">
        <v>17098</v>
      </c>
      <c r="K3364" t="s" s="10">
        <v>17099</v>
      </c>
      <c r="L3364" s="16">
        <f>HYPERLINK("http://www.chaperone.co.ls", "www.chaperone.co.ls")</f>
      </c>
      <c r="M3364" s="16">
        <f>HYPERLINK("https://my.pitchbook.com?c=464322-97", "View Company Online")</f>
      </c>
    </row>
    <row r="3365">
      <c r="A3365" t="s" s="11">
        <v>17101</v>
      </c>
      <c r="B3365" t="s" s="11">
        <v>17102</v>
      </c>
      <c r="C3365" t="s" s="11">
        <v>60</v>
      </c>
      <c r="D3365" t="s" s="11">
        <v>727</v>
      </c>
      <c r="E3365" t="s" s="11">
        <v>137</v>
      </c>
      <c r="F3365" s="28">
        <v>45646</v>
      </c>
      <c r="G3365" t="s" s="11">
        <v>607</v>
      </c>
      <c r="H3365" s="43">
        <v>0.06</v>
      </c>
      <c r="I3365" s="43">
        <v>4.9</v>
      </c>
      <c r="J3365" t="s" s="11">
        <v>17103</v>
      </c>
      <c r="K3365" t="s" s="11">
        <v>17104</v>
      </c>
      <c r="L3365" s="17">
        <f>HYPERLINK("http://www.ethis.co", "www.ethis.co")</f>
      </c>
      <c r="M3365" s="17">
        <f>HYPERLINK("https://my.pitchbook.com?c=173637-91", "View Company Online")</f>
      </c>
    </row>
    <row r="3366">
      <c r="A3366" t="s" s="10">
        <v>17106</v>
      </c>
      <c r="B3366" t="s" s="10">
        <v>17107</v>
      </c>
      <c r="C3366" t="s" s="10">
        <v>60</v>
      </c>
      <c r="D3366" t="s" s="10">
        <v>246</v>
      </c>
      <c r="E3366" t="s" s="10">
        <v>1093</v>
      </c>
      <c r="F3366" s="27">
        <v>43775</v>
      </c>
      <c r="G3366" t="s" s="10">
        <v>146</v>
      </c>
      <c r="H3366" s="42">
        <v>1.21</v>
      </c>
      <c r="I3366" s="42">
        <v>4.9</v>
      </c>
      <c r="J3366" t="s" s="10">
        <v>17108</v>
      </c>
      <c r="K3366" t="s" s="10">
        <v>17109</v>
      </c>
      <c r="L3366" s="16">
        <f>HYPERLINK("http://moniclefinancial.co.jp", "moniclefinancial.co.jp")</f>
      </c>
      <c r="M3366" s="16">
        <f>HYPERLINK("https://my.pitchbook.com?c=433814-14", "View Company Online")</f>
      </c>
    </row>
    <row r="3367">
      <c r="A3367" t="s" s="11">
        <v>17111</v>
      </c>
      <c r="B3367" t="s" s="11">
        <v>17112</v>
      </c>
      <c r="C3367" t="s" s="11">
        <v>27</v>
      </c>
      <c r="D3367" t="s" s="11">
        <v>122</v>
      </c>
      <c r="E3367" t="s" s="11">
        <v>4517</v>
      </c>
      <c r="F3367" s="28">
        <v>45748</v>
      </c>
      <c r="G3367" t="s" s="11">
        <v>146</v>
      </c>
      <c r="H3367" s="43">
        <v>0.4</v>
      </c>
      <c r="I3367" s="43">
        <v>4.89</v>
      </c>
      <c r="J3367" t="s" s="11">
        <v>17113</v>
      </c>
      <c r="K3367" t="s" s="11">
        <v>17114</v>
      </c>
      <c r="L3367" s="17">
        <f>HYPERLINK("http://www.kutanapay.com", "www.kutanapay.com")</f>
      </c>
      <c r="M3367" s="17">
        <f>HYPERLINK("https://my.pitchbook.com?c=565270-12", "View Company Online")</f>
      </c>
    </row>
    <row r="3368">
      <c r="A3368" t="s" s="10">
        <v>17116</v>
      </c>
      <c r="B3368" t="s" s="10">
        <v>17117</v>
      </c>
      <c r="C3368" t="s" s="10">
        <v>164</v>
      </c>
      <c r="D3368" t="s" s="10">
        <v>206</v>
      </c>
      <c r="E3368" t="s" s="10">
        <v>17118</v>
      </c>
      <c r="F3368" s="27">
        <v>45002</v>
      </c>
      <c r="G3368" t="s" s="10">
        <v>40</v>
      </c>
      <c r="H3368" s="42">
        <v>0.46</v>
      </c>
      <c r="I3368" s="42">
        <v>4.89</v>
      </c>
      <c r="J3368" t="s" s="10">
        <v>17119</v>
      </c>
      <c r="K3368" t="s" s="10">
        <v>17120</v>
      </c>
      <c r="L3368" s="16">
        <f>HYPERLINK("http://www.payaca.com", "www.payaca.com")</f>
      </c>
      <c r="M3368" s="16">
        <f>HYPERLINK("https://my.pitchbook.com?c=460121-86", "View Company Online")</f>
      </c>
    </row>
    <row r="3369">
      <c r="A3369" t="s" s="11">
        <v>17122</v>
      </c>
      <c r="B3369" t="s" s="11">
        <v>17123</v>
      </c>
      <c r="C3369" t="s" s="11">
        <v>60</v>
      </c>
      <c r="D3369" t="s" s="11">
        <v>727</v>
      </c>
      <c r="E3369" t="s" s="11">
        <v>193</v>
      </c>
      <c r="F3369" s="28">
        <v>45468</v>
      </c>
      <c r="G3369" t="s" s="11">
        <v>4267</v>
      </c>
      <c r="H3369" s="43">
        <v>0.94</v>
      </c>
      <c r="I3369" s="43">
        <v>4.87</v>
      </c>
      <c r="J3369" t="s" s="11">
        <v>17124</v>
      </c>
      <c r="K3369" t="s" s="11">
        <v>17125</v>
      </c>
      <c r="L3369" s="17">
        <f>HYPERLINK("http://www.plusgold.in", "www.plusgold.in")</f>
      </c>
      <c r="M3369" s="17">
        <f>HYPERLINK("https://my.pitchbook.com?c=517705-12", "View Company Online")</f>
      </c>
    </row>
    <row r="3370">
      <c r="A3370" t="s" s="10">
        <v>17127</v>
      </c>
      <c r="B3370" t="s" s="10">
        <v>17128</v>
      </c>
      <c r="C3370" t="s" s="10">
        <v>144</v>
      </c>
      <c r="D3370" t="s" s="10">
        <v>297</v>
      </c>
      <c r="E3370" t="s" s="10">
        <v>6058</v>
      </c>
      <c r="F3370" s="27">
        <v>44938</v>
      </c>
      <c r="G3370" t="s" s="10">
        <v>607</v>
      </c>
      <c r="H3370" s="42">
        <v>0.84</v>
      </c>
      <c r="I3370" s="42">
        <v>4.84</v>
      </c>
      <c r="J3370" t="s" s="10">
        <v>17129</v>
      </c>
      <c r="K3370" t="s" s="10">
        <v>17130</v>
      </c>
      <c r="L3370" s="16">
        <f>HYPERLINK("http://www.agrosupplyltd.com", "www.agrosupplyltd.com")</f>
      </c>
      <c r="M3370" s="16">
        <f>HYPERLINK("https://my.pitchbook.com?c=438993-28", "View Company Online")</f>
      </c>
    </row>
    <row r="3371">
      <c r="A3371" t="s" s="11">
        <v>17132</v>
      </c>
      <c r="B3371" t="s" s="11">
        <v>17133</v>
      </c>
      <c r="C3371" t="s" s="11">
        <v>46</v>
      </c>
      <c r="D3371" t="s" s="11">
        <v>47</v>
      </c>
      <c r="E3371" t="s" s="11">
        <v>17134</v>
      </c>
      <c r="F3371" t="s" s="28">
        <v>30</v>
      </c>
      <c r="G3371" t="s" s="11">
        <v>146</v>
      </c>
      <c r="H3371" t="s" s="43">
        <v>30</v>
      </c>
      <c r="I3371" s="43">
        <v>4.84</v>
      </c>
      <c r="J3371" t="s" s="11">
        <v>17135</v>
      </c>
      <c r="K3371" t="s" s="11">
        <v>17136</v>
      </c>
      <c r="L3371" s="17">
        <f>HYPERLINK("http://www.groundley.com", "www.groundley.com")</f>
      </c>
      <c r="M3371" s="17">
        <f>HYPERLINK("https://my.pitchbook.com?c=628149-43", "View Company Online")</f>
      </c>
    </row>
    <row r="3372">
      <c r="A3372" t="s" s="10">
        <v>17138</v>
      </c>
      <c r="B3372" t="s" s="10">
        <v>17139</v>
      </c>
      <c r="C3372" t="s" s="10">
        <v>46</v>
      </c>
      <c r="D3372" t="s" s="10">
        <v>78</v>
      </c>
      <c r="E3372" t="s" s="10">
        <v>7717</v>
      </c>
      <c r="F3372" s="27">
        <v>45446</v>
      </c>
      <c r="G3372" t="s" s="10">
        <v>138</v>
      </c>
      <c r="H3372" t="s" s="42">
        <v>30</v>
      </c>
      <c r="I3372" s="42">
        <v>4.83</v>
      </c>
      <c r="J3372" t="s" s="10">
        <v>17140</v>
      </c>
      <c r="K3372" t="s" s="10">
        <v>30</v>
      </c>
      <c r="L3372" s="16">
        <f>HYPERLINK("http://www.mydigitalaccounts.com", "www.mydigitalaccounts.com")</f>
      </c>
      <c r="M3372" s="16">
        <f>HYPERLINK("https://my.pitchbook.com?c=434801-89", "View Company Online")</f>
      </c>
    </row>
    <row r="3373">
      <c r="A3373" t="s" s="11">
        <v>17142</v>
      </c>
      <c r="B3373" t="s" s="11">
        <v>17143</v>
      </c>
      <c r="C3373" t="s" s="11">
        <v>27</v>
      </c>
      <c r="D3373" t="s" s="11">
        <v>28</v>
      </c>
      <c r="E3373" t="s" s="11">
        <v>17144</v>
      </c>
      <c r="F3373" s="28">
        <v>44631</v>
      </c>
      <c r="G3373" t="s" s="11">
        <v>40</v>
      </c>
      <c r="H3373" s="43">
        <v>1.49</v>
      </c>
      <c r="I3373" s="43">
        <v>4.83</v>
      </c>
      <c r="J3373" t="s" s="11">
        <v>17145</v>
      </c>
      <c r="K3373" t="s" s="11">
        <v>17146</v>
      </c>
      <c r="L3373" s="17">
        <f>HYPERLINK("http://www.numbermall.com", "www.numbermall.com")</f>
      </c>
      <c r="M3373" s="17">
        <f>HYPERLINK("https://my.pitchbook.com?c=96490-54", "View Company Online")</f>
      </c>
    </row>
    <row r="3374">
      <c r="A3374" t="s" s="10">
        <v>17148</v>
      </c>
      <c r="B3374" t="s" s="10">
        <v>17149</v>
      </c>
      <c r="C3374" t="s" s="10">
        <v>114</v>
      </c>
      <c r="D3374" t="s" s="10">
        <v>136</v>
      </c>
      <c r="E3374" t="s" s="10">
        <v>1207</v>
      </c>
      <c r="F3374" s="27">
        <v>42758</v>
      </c>
      <c r="G3374" t="s" s="10">
        <v>146</v>
      </c>
      <c r="H3374" s="42">
        <v>0.72</v>
      </c>
      <c r="I3374" s="42">
        <v>4.82</v>
      </c>
      <c r="J3374" t="s" s="10">
        <v>17150</v>
      </c>
      <c r="K3374" t="s" s="10">
        <v>17151</v>
      </c>
      <c r="L3374" s="16">
        <f>HYPERLINK("http://www.credan.com", "www.credan.com")</f>
      </c>
      <c r="M3374" s="16">
        <f>HYPERLINK("https://my.pitchbook.com?c=186619-69", "View Company Online")</f>
      </c>
    </row>
    <row r="3375">
      <c r="A3375" t="s" s="11">
        <v>17153</v>
      </c>
      <c r="B3375" t="s" s="11">
        <v>17154</v>
      </c>
      <c r="C3375" t="s" s="11">
        <v>46</v>
      </c>
      <c r="D3375" t="s" s="11">
        <v>47</v>
      </c>
      <c r="E3375" t="s" s="11">
        <v>332</v>
      </c>
      <c r="F3375" s="28">
        <v>44603</v>
      </c>
      <c r="G3375" t="s" s="11">
        <v>4267</v>
      </c>
      <c r="H3375" s="43">
        <v>1.7</v>
      </c>
      <c r="I3375" s="43">
        <v>4.81</v>
      </c>
      <c r="J3375" t="s" s="11">
        <v>17155</v>
      </c>
      <c r="K3375" t="s" s="11">
        <v>17156</v>
      </c>
      <c r="L3375" s="17">
        <f>HYPERLINK("http://www.hivebuy.com", "www.hivebuy.com")</f>
      </c>
      <c r="M3375" s="17">
        <f>HYPERLINK("https://my.pitchbook.com?c=490121-38", "View Company Online")</f>
      </c>
    </row>
    <row r="3376">
      <c r="A3376" t="s" s="10">
        <v>17158</v>
      </c>
      <c r="B3376" t="s" s="10">
        <v>17159</v>
      </c>
      <c r="C3376" t="s" s="10">
        <v>164</v>
      </c>
      <c r="D3376" t="s" s="10">
        <v>165</v>
      </c>
      <c r="E3376" t="s" s="10">
        <v>253</v>
      </c>
      <c r="F3376" s="27">
        <v>45831</v>
      </c>
      <c r="G3376" t="s" s="10">
        <v>31</v>
      </c>
      <c r="H3376" s="42">
        <v>0.1</v>
      </c>
      <c r="I3376" s="42">
        <v>4.8</v>
      </c>
      <c r="J3376" t="s" s="10">
        <v>17160</v>
      </c>
      <c r="K3376" t="s" s="10">
        <v>17161</v>
      </c>
      <c r="L3376" s="16">
        <f>HYPERLINK("http://www.ledgersync.com", "www.ledgersync.com")</f>
      </c>
      <c r="M3376" s="16">
        <f>HYPERLINK("https://my.pitchbook.com?c=231575-23", "View Company Online")</f>
      </c>
    </row>
    <row r="3377">
      <c r="A3377" t="s" s="11">
        <v>17163</v>
      </c>
      <c r="B3377" t="s" s="11">
        <v>17164</v>
      </c>
      <c r="C3377" t="s" s="11">
        <v>164</v>
      </c>
      <c r="D3377" t="s" s="11">
        <v>206</v>
      </c>
      <c r="E3377" t="s" s="11">
        <v>253</v>
      </c>
      <c r="F3377" s="28">
        <v>45657</v>
      </c>
      <c r="G3377" t="s" s="11">
        <v>40</v>
      </c>
      <c r="H3377" s="43">
        <v>0.08</v>
      </c>
      <c r="I3377" s="43">
        <v>4.8</v>
      </c>
      <c r="J3377" t="s" s="11">
        <v>17165</v>
      </c>
      <c r="K3377" t="s" s="11">
        <v>17166</v>
      </c>
      <c r="L3377" s="17">
        <f>HYPERLINK("http://www.quotanda.com", "www.quotanda.com")</f>
      </c>
      <c r="M3377" s="17">
        <f>HYPERLINK("https://my.pitchbook.com?c=123661-45", "View Company Online")</f>
      </c>
    </row>
    <row r="3378">
      <c r="A3378" t="s" s="10">
        <v>17168</v>
      </c>
      <c r="B3378" t="s" s="10">
        <v>17169</v>
      </c>
      <c r="C3378" t="s" s="10">
        <v>60</v>
      </c>
      <c r="D3378" t="s" s="10">
        <v>246</v>
      </c>
      <c r="E3378" t="s" s="10">
        <v>137</v>
      </c>
      <c r="F3378" s="27">
        <v>44775</v>
      </c>
      <c r="G3378" t="s" s="10">
        <v>607</v>
      </c>
      <c r="H3378" s="42">
        <v>0.03</v>
      </c>
      <c r="I3378" s="42">
        <v>4.8</v>
      </c>
      <c r="J3378" t="s" s="10">
        <v>17170</v>
      </c>
      <c r="K3378" t="s" s="10">
        <v>17171</v>
      </c>
      <c r="L3378" s="16">
        <f>HYPERLINK("http://www.savology.com", "www.savology.com")</f>
      </c>
      <c r="M3378" s="16">
        <f>HYPERLINK("https://my.pitchbook.com?c=279592-93", "View Company Online")</f>
      </c>
    </row>
    <row r="3379">
      <c r="A3379" t="s" s="11">
        <v>17173</v>
      </c>
      <c r="B3379" t="s" s="11">
        <v>17174</v>
      </c>
      <c r="C3379" t="s" s="11">
        <v>164</v>
      </c>
      <c r="D3379" t="s" s="11">
        <v>165</v>
      </c>
      <c r="E3379" t="s" s="11">
        <v>2293</v>
      </c>
      <c r="F3379" t="s" s="28">
        <v>30</v>
      </c>
      <c r="G3379" t="s" s="11">
        <v>4267</v>
      </c>
      <c r="H3379" s="43">
        <v>2.5</v>
      </c>
      <c r="I3379" s="43">
        <v>4.8</v>
      </c>
      <c r="J3379" t="s" s="11">
        <v>17175</v>
      </c>
      <c r="K3379" t="s" s="11">
        <v>17176</v>
      </c>
      <c r="L3379" s="17">
        <f>HYPERLINK("http://www.valuelist.cl", "www.valuelist.cl")</f>
      </c>
      <c r="M3379" s="17">
        <f>HYPERLINK("https://my.pitchbook.com?c=496288-09", "View Company Online")</f>
      </c>
    </row>
    <row r="3380">
      <c r="A3380" t="s" s="10">
        <v>17178</v>
      </c>
      <c r="B3380" t="s" s="10">
        <v>17179</v>
      </c>
      <c r="C3380" t="s" s="10">
        <v>60</v>
      </c>
      <c r="D3380" t="s" s="10">
        <v>192</v>
      </c>
      <c r="E3380" t="s" s="10">
        <v>414</v>
      </c>
      <c r="F3380" s="27">
        <v>44211</v>
      </c>
      <c r="G3380" t="s" s="10">
        <v>5274</v>
      </c>
      <c r="H3380" t="s" s="42">
        <v>30</v>
      </c>
      <c r="I3380" s="42">
        <v>4.77</v>
      </c>
      <c r="J3380" t="s" s="10">
        <v>17180</v>
      </c>
      <c r="K3380" t="s" s="10">
        <v>17181</v>
      </c>
      <c r="L3380" s="16">
        <f>HYPERLINK("http://www.welastrategies.com", "www.welastrategies.com")</f>
      </c>
      <c r="M3380" s="16">
        <f>HYPERLINK("https://my.pitchbook.com?c=176498-83", "View Company Online")</f>
      </c>
    </row>
    <row r="3381">
      <c r="A3381" t="s" s="11">
        <v>17183</v>
      </c>
      <c r="B3381" t="s" s="11">
        <v>17184</v>
      </c>
      <c r="C3381" t="s" s="11">
        <v>164</v>
      </c>
      <c r="D3381" t="s" s="11">
        <v>206</v>
      </c>
      <c r="E3381" t="s" s="11">
        <v>270</v>
      </c>
      <c r="F3381" s="28">
        <v>46078</v>
      </c>
      <c r="G3381" t="s" s="11">
        <v>4267</v>
      </c>
      <c r="H3381" t="s" s="43">
        <v>30</v>
      </c>
      <c r="I3381" s="43">
        <v>4.76</v>
      </c>
      <c r="J3381" t="s" s="11">
        <v>17185</v>
      </c>
      <c r="K3381" t="s" s="11">
        <v>17186</v>
      </c>
      <c r="L3381" s="17">
        <f>HYPERLINK("http://www.boostkh.com", "www.boostkh.com")</f>
      </c>
      <c r="M3381" s="17">
        <f>HYPERLINK("https://my.pitchbook.com?c=442247-86", "View Company Online")</f>
      </c>
    </row>
    <row r="3382">
      <c r="A3382" t="s" s="10">
        <v>17188</v>
      </c>
      <c r="B3382" t="s" s="10">
        <v>17189</v>
      </c>
      <c r="C3382" t="s" s="10">
        <v>27</v>
      </c>
      <c r="D3382" t="s" s="10">
        <v>122</v>
      </c>
      <c r="E3382" t="s" s="10">
        <v>30</v>
      </c>
      <c r="F3382" s="27">
        <v>45308</v>
      </c>
      <c r="G3382" t="s" s="10">
        <v>146</v>
      </c>
      <c r="H3382" s="42">
        <v>1.49</v>
      </c>
      <c r="I3382" s="42">
        <v>4.74</v>
      </c>
      <c r="J3382" t="s" s="10">
        <v>17190</v>
      </c>
      <c r="K3382" t="s" s="10">
        <v>30</v>
      </c>
      <c r="L3382" s="16">
        <f>HYPERLINK("http://www.flash-payments.com", "www.flash-payments.com")</f>
      </c>
      <c r="M3382" s="16">
        <f>HYPERLINK("https://my.pitchbook.com?c=436391-38", "View Company Online")</f>
      </c>
    </row>
    <row r="3383">
      <c r="A3383" t="s" s="11">
        <v>17192</v>
      </c>
      <c r="B3383" t="s" s="11">
        <v>17193</v>
      </c>
      <c r="C3383" t="s" s="11">
        <v>114</v>
      </c>
      <c r="D3383" t="s" s="11">
        <v>136</v>
      </c>
      <c r="E3383" t="s" s="11">
        <v>759</v>
      </c>
      <c r="F3383" s="28">
        <v>45561</v>
      </c>
      <c r="G3383" t="s" s="11">
        <v>31</v>
      </c>
      <c r="H3383" s="43">
        <v>2.22</v>
      </c>
      <c r="I3383" s="43">
        <v>4.72</v>
      </c>
      <c r="J3383" t="s" s="11">
        <v>17194</v>
      </c>
      <c r="K3383" t="s" s="11">
        <v>17195</v>
      </c>
      <c r="L3383" s="17">
        <f>HYPERLINK("http://www.mintos.com", "www.mintos.com")</f>
      </c>
      <c r="M3383" s="17">
        <f>HYPERLINK("https://my.pitchbook.com?c=154244-80", "View Company Online")</f>
      </c>
    </row>
    <row r="3384">
      <c r="A3384" t="s" s="10">
        <v>17197</v>
      </c>
      <c r="B3384" t="s" s="10">
        <v>17198</v>
      </c>
      <c r="C3384" t="s" s="10">
        <v>46</v>
      </c>
      <c r="D3384" t="s" s="10">
        <v>397</v>
      </c>
      <c r="E3384" t="s" s="10">
        <v>253</v>
      </c>
      <c r="F3384" s="27">
        <v>45291</v>
      </c>
      <c r="G3384" t="s" s="10">
        <v>4267</v>
      </c>
      <c r="H3384" s="42">
        <v>0.85</v>
      </c>
      <c r="I3384" s="42">
        <v>4.71</v>
      </c>
      <c r="J3384" t="s" s="10">
        <v>17199</v>
      </c>
      <c r="K3384" t="s" s="10">
        <v>17200</v>
      </c>
      <c r="L3384" s="16">
        <f>HYPERLINK("http://www.getriddle.com", "www.getriddle.com")</f>
      </c>
      <c r="M3384" s="16">
        <f>HYPERLINK("https://my.pitchbook.com?c=597073-06", "View Company Online")</f>
      </c>
    </row>
    <row r="3385">
      <c r="A3385" t="s" s="11">
        <v>17202</v>
      </c>
      <c r="B3385" t="s" s="11">
        <v>17203</v>
      </c>
      <c r="C3385" t="s" s="11">
        <v>60</v>
      </c>
      <c r="D3385" t="s" s="11">
        <v>192</v>
      </c>
      <c r="E3385" t="s" s="11">
        <v>859</v>
      </c>
      <c r="F3385" s="28">
        <v>45716</v>
      </c>
      <c r="G3385" t="s" s="11">
        <v>40</v>
      </c>
      <c r="H3385" s="43">
        <v>5.01</v>
      </c>
      <c r="I3385" s="43">
        <v>4.7</v>
      </c>
      <c r="J3385" t="s" s="11">
        <v>17204</v>
      </c>
      <c r="K3385" t="s" s="11">
        <v>17205</v>
      </c>
      <c r="L3385" s="17">
        <f>HYPERLINK("http://www.invluencer.com", "www.invluencer.com")</f>
      </c>
      <c r="M3385" s="17">
        <f>HYPERLINK("https://my.pitchbook.com?c=442437-94", "View Company Online")</f>
      </c>
    </row>
    <row r="3386">
      <c r="A3386" t="s" s="10">
        <v>17207</v>
      </c>
      <c r="B3386" t="s" s="10">
        <v>17208</v>
      </c>
      <c r="C3386" t="s" s="10">
        <v>37</v>
      </c>
      <c r="D3386" t="s" s="10">
        <v>38</v>
      </c>
      <c r="E3386" t="s" s="10">
        <v>137</v>
      </c>
      <c r="F3386" s="27">
        <v>46126</v>
      </c>
      <c r="G3386" t="s" s="10">
        <v>146</v>
      </c>
      <c r="H3386" t="s" s="42">
        <v>30</v>
      </c>
      <c r="I3386" s="42">
        <v>4.7</v>
      </c>
      <c r="J3386" t="s" s="10">
        <v>17209</v>
      </c>
      <c r="K3386" t="s" s="10">
        <v>17210</v>
      </c>
      <c r="L3386" s="16">
        <f>HYPERLINK("http://www.qash.ai", "www.qash.ai")</f>
      </c>
      <c r="M3386" s="16">
        <f>HYPERLINK("https://my.pitchbook.com?c=694454-41", "View Company Online")</f>
      </c>
    </row>
    <row r="3387">
      <c r="A3387" t="s" s="11">
        <v>17212</v>
      </c>
      <c r="B3387" t="s" s="11">
        <v>17213</v>
      </c>
      <c r="C3387" t="s" s="11">
        <v>114</v>
      </c>
      <c r="D3387" t="s" s="11">
        <v>852</v>
      </c>
      <c r="E3387" t="s" s="11">
        <v>137</v>
      </c>
      <c r="F3387" s="28">
        <v>43956</v>
      </c>
      <c r="G3387" t="s" s="11">
        <v>146</v>
      </c>
      <c r="H3387" s="43">
        <v>0.99</v>
      </c>
      <c r="I3387" s="43">
        <v>4.69</v>
      </c>
      <c r="J3387" t="s" s="11">
        <v>17214</v>
      </c>
      <c r="K3387" t="s" s="11">
        <v>17215</v>
      </c>
      <c r="L3387" s="17">
        <f>HYPERLINK("http://happyness.net", "happyness.net")</f>
      </c>
      <c r="M3387" s="17">
        <f>HYPERLINK("https://my.pitchbook.com?c=267299-74", "View Company Online")</f>
      </c>
    </row>
    <row r="3388">
      <c r="A3388" t="s" s="10">
        <v>17217</v>
      </c>
      <c r="B3388" t="s" s="10">
        <v>17218</v>
      </c>
      <c r="C3388" t="s" s="10">
        <v>27</v>
      </c>
      <c r="D3388" t="s" s="10">
        <v>28</v>
      </c>
      <c r="E3388" t="s" s="10">
        <v>270</v>
      </c>
      <c r="F3388" t="s" s="27">
        <v>30</v>
      </c>
      <c r="G3388" t="s" s="10">
        <v>48</v>
      </c>
      <c r="H3388" t="s" s="42">
        <v>30</v>
      </c>
      <c r="I3388" s="42">
        <v>4.69</v>
      </c>
      <c r="J3388" t="s" s="10">
        <v>17219</v>
      </c>
      <c r="K3388" t="s" s="10">
        <v>17220</v>
      </c>
      <c r="L3388" s="16">
        <f>HYPERLINK("http://www.paytweak.com", "www.paytweak.com")</f>
      </c>
      <c r="M3388" s="16">
        <f>HYPERLINK("https://my.pitchbook.com?c=175207-33", "View Company Online")</f>
      </c>
    </row>
    <row r="3389">
      <c r="A3389" t="s" s="11">
        <v>17222</v>
      </c>
      <c r="B3389" t="s" s="11">
        <v>17223</v>
      </c>
      <c r="C3389" t="s" s="11">
        <v>114</v>
      </c>
      <c r="D3389" t="s" s="11">
        <v>136</v>
      </c>
      <c r="E3389" t="s" s="11">
        <v>137</v>
      </c>
      <c r="F3389" s="28">
        <v>44210</v>
      </c>
      <c r="G3389" t="s" s="11">
        <v>48</v>
      </c>
      <c r="H3389" t="s" s="43">
        <v>30</v>
      </c>
      <c r="I3389" s="43">
        <v>4.68</v>
      </c>
      <c r="J3389" t="s" s="11">
        <v>17224</v>
      </c>
      <c r="K3389" t="s" s="11">
        <v>17225</v>
      </c>
      <c r="L3389" s="17">
        <f>HYPERLINK("http://www.lanekoll.se", "www.lanekoll.se")</f>
      </c>
      <c r="M3389" s="17">
        <f>HYPERLINK("https://my.pitchbook.com?c=65591-83", "View Company Online")</f>
      </c>
    </row>
    <row r="3390">
      <c r="A3390" t="s" s="10">
        <v>17227</v>
      </c>
      <c r="B3390" t="s" s="10">
        <v>17228</v>
      </c>
      <c r="C3390" t="s" s="10">
        <v>60</v>
      </c>
      <c r="D3390" t="s" s="10">
        <v>432</v>
      </c>
      <c r="E3390" t="s" s="10">
        <v>1207</v>
      </c>
      <c r="F3390" s="27">
        <v>45993</v>
      </c>
      <c r="G3390" t="s" s="10">
        <v>607</v>
      </c>
      <c r="H3390" s="42">
        <v>0.08</v>
      </c>
      <c r="I3390" s="42">
        <v>4.68</v>
      </c>
      <c r="J3390" t="s" s="10">
        <v>17229</v>
      </c>
      <c r="K3390" t="s" s="10">
        <v>17230</v>
      </c>
      <c r="L3390" s="16">
        <f>HYPERLINK("http://www.oxfordrisk.com", "www.oxfordrisk.com")</f>
      </c>
      <c r="M3390" s="16">
        <f>HYPERLINK("https://my.pitchbook.com?c=61050-97", "View Company Online")</f>
      </c>
    </row>
    <row r="3391">
      <c r="A3391" t="s" s="11">
        <v>17232</v>
      </c>
      <c r="B3391" t="s" s="11">
        <v>17233</v>
      </c>
      <c r="C3391" t="s" s="11">
        <v>46</v>
      </c>
      <c r="D3391" t="s" s="11">
        <v>397</v>
      </c>
      <c r="E3391" t="s" s="11">
        <v>367</v>
      </c>
      <c r="F3391" s="28">
        <v>46112</v>
      </c>
      <c r="G3391" t="s" s="11">
        <v>146</v>
      </c>
      <c r="H3391" s="43">
        <v>0.24</v>
      </c>
      <c r="I3391" s="43">
        <v>4.67</v>
      </c>
      <c r="J3391" t="s" s="11">
        <v>17234</v>
      </c>
      <c r="K3391" t="s" s="11">
        <v>15288</v>
      </c>
      <c r="L3391" s="17">
        <f>HYPERLINK("http://www.syntax.tax", "www.syntax.tax")</f>
      </c>
      <c r="M3391" s="17">
        <f>HYPERLINK("https://my.pitchbook.com?c=762867-64", "View Company Online")</f>
      </c>
    </row>
    <row r="3392">
      <c r="A3392" t="s" s="10">
        <v>17236</v>
      </c>
      <c r="B3392" t="s" s="10">
        <v>17237</v>
      </c>
      <c r="C3392" t="s" s="10">
        <v>114</v>
      </c>
      <c r="D3392" t="s" s="10">
        <v>1386</v>
      </c>
      <c r="E3392" t="s" s="10">
        <v>17238</v>
      </c>
      <c r="F3392" s="27">
        <v>45744</v>
      </c>
      <c r="G3392" t="s" s="10">
        <v>40</v>
      </c>
      <c r="H3392" t="s" s="42">
        <v>30</v>
      </c>
      <c r="I3392" s="42">
        <v>4.65</v>
      </c>
      <c r="J3392" t="s" s="10">
        <v>17239</v>
      </c>
      <c r="K3392" t="s" s="10">
        <v>17240</v>
      </c>
      <c r="L3392" s="16">
        <f>HYPERLINK("http://www.vaultedge.com", "www.vaultedge.com")</f>
      </c>
      <c r="M3392" s="16">
        <f>HYPERLINK("https://my.pitchbook.com?c=175289-59", "View Company Online")</f>
      </c>
    </row>
    <row r="3393">
      <c r="A3393" t="s" s="11">
        <v>17242</v>
      </c>
      <c r="B3393" t="s" s="11">
        <v>17243</v>
      </c>
      <c r="C3393" t="s" s="11">
        <v>222</v>
      </c>
      <c r="D3393" t="s" s="11">
        <v>223</v>
      </c>
      <c r="E3393" t="s" s="11">
        <v>9672</v>
      </c>
      <c r="F3393" s="28">
        <v>44825</v>
      </c>
      <c r="G3393" t="s" s="11">
        <v>4267</v>
      </c>
      <c r="H3393" s="43">
        <v>2</v>
      </c>
      <c r="I3393" s="43">
        <v>4.64</v>
      </c>
      <c r="J3393" t="s" s="11">
        <v>17244</v>
      </c>
      <c r="K3393" t="s" s="11">
        <v>17245</v>
      </c>
      <c r="L3393" s="17">
        <f>HYPERLINK("http://www.corporatings.com", "www.corporatings.com")</f>
      </c>
      <c r="M3393" s="17">
        <f>HYPERLINK("https://my.pitchbook.com?c=497670-04", "View Company Online")</f>
      </c>
    </row>
    <row r="3394">
      <c r="A3394" t="s" s="10">
        <v>17247</v>
      </c>
      <c r="B3394" t="s" s="10">
        <v>17248</v>
      </c>
      <c r="C3394" t="s" s="10">
        <v>46</v>
      </c>
      <c r="D3394" t="s" s="10">
        <v>915</v>
      </c>
      <c r="E3394" t="s" s="10">
        <v>634</v>
      </c>
      <c r="F3394" s="27">
        <v>46113</v>
      </c>
      <c r="G3394" t="s" s="10">
        <v>4267</v>
      </c>
      <c r="H3394" s="42">
        <v>1.29</v>
      </c>
      <c r="I3394" s="42">
        <v>4.63</v>
      </c>
      <c r="J3394" t="s" s="10">
        <v>17249</v>
      </c>
      <c r="K3394" t="s" s="10">
        <v>17250</v>
      </c>
      <c r="L3394" s="16">
        <f>HYPERLINK("http://www.4-xtra.ai", "www.4-xtra.ai")</f>
      </c>
      <c r="M3394" s="16">
        <f>HYPERLINK("https://my.pitchbook.com?c=530422-39", "View Company Online")</f>
      </c>
    </row>
    <row r="3395">
      <c r="A3395" t="s" s="11">
        <v>17252</v>
      </c>
      <c r="B3395" t="s" s="11">
        <v>17253</v>
      </c>
      <c r="C3395" t="s" s="11">
        <v>27</v>
      </c>
      <c r="D3395" t="s" s="11">
        <v>28</v>
      </c>
      <c r="E3395" t="s" s="11">
        <v>270</v>
      </c>
      <c r="F3395" s="28">
        <v>46189</v>
      </c>
      <c r="G3395" t="s" s="11">
        <v>17254</v>
      </c>
      <c r="H3395" s="43">
        <v>41.81</v>
      </c>
      <c r="I3395" s="43">
        <v>4.63</v>
      </c>
      <c r="J3395" t="s" s="11">
        <v>17255</v>
      </c>
      <c r="K3395" t="s" s="11">
        <v>17256</v>
      </c>
      <c r="L3395" s="17">
        <f>HYPERLINK("http://www.twidpay.com", "www.twidpay.com")</f>
      </c>
      <c r="M3395" s="17">
        <f>HYPERLINK("https://my.pitchbook.com?c=324961-84", "View Company Online")</f>
      </c>
    </row>
    <row r="3396">
      <c r="A3396" t="s" s="10">
        <v>17258</v>
      </c>
      <c r="B3396" t="s" s="10">
        <v>17259</v>
      </c>
      <c r="C3396" t="s" s="10">
        <v>172</v>
      </c>
      <c r="D3396" t="s" s="10">
        <v>338</v>
      </c>
      <c r="E3396" t="s" s="10">
        <v>373</v>
      </c>
      <c r="F3396" s="27">
        <v>44225</v>
      </c>
      <c r="G3396" t="s" s="10">
        <v>146</v>
      </c>
      <c r="H3396" s="42">
        <v>1.62</v>
      </c>
      <c r="I3396" s="42">
        <v>4.62</v>
      </c>
      <c r="J3396" t="s" s="10">
        <v>17260</v>
      </c>
      <c r="K3396" t="s" s="10">
        <v>17261</v>
      </c>
      <c r="L3396" s="16">
        <f>HYPERLINK("http://www.freede.co", "www.freede.co")</f>
      </c>
      <c r="M3396" s="16">
        <f>HYPERLINK("https://my.pitchbook.com?c=459539-74", "View Company Online")</f>
      </c>
    </row>
    <row r="3397">
      <c r="A3397" t="s" s="11">
        <v>17263</v>
      </c>
      <c r="B3397" t="s" s="11">
        <v>17264</v>
      </c>
      <c r="C3397" t="s" s="11">
        <v>164</v>
      </c>
      <c r="D3397" t="s" s="11">
        <v>206</v>
      </c>
      <c r="E3397" t="s" s="11">
        <v>17265</v>
      </c>
      <c r="F3397" s="28">
        <v>44383</v>
      </c>
      <c r="G3397" t="s" s="11">
        <v>4267</v>
      </c>
      <c r="H3397" s="43">
        <v>1.55</v>
      </c>
      <c r="I3397" s="43">
        <v>4.58</v>
      </c>
      <c r="J3397" t="s" s="11">
        <v>17266</v>
      </c>
      <c r="K3397" t="s" s="11">
        <v>17267</v>
      </c>
      <c r="L3397" s="17">
        <f>HYPERLINK("http://www.dvaraeregistry.com", "www.dvaraeregistry.com")</f>
      </c>
      <c r="M3397" s="17">
        <f>HYPERLINK("https://my.pitchbook.com?c=469551-07", "View Company Online")</f>
      </c>
    </row>
    <row r="3398">
      <c r="A3398" t="s" s="10">
        <v>17269</v>
      </c>
      <c r="B3398" t="s" s="10">
        <v>17270</v>
      </c>
      <c r="C3398" t="s" s="10">
        <v>60</v>
      </c>
      <c r="D3398" t="s" s="10">
        <v>246</v>
      </c>
      <c r="E3398" t="s" s="10">
        <v>253</v>
      </c>
      <c r="F3398" s="27">
        <v>46194</v>
      </c>
      <c r="G3398" t="s" s="10">
        <v>391</v>
      </c>
      <c r="H3398" t="s" s="42">
        <v>30</v>
      </c>
      <c r="I3398" s="42">
        <v>4.58</v>
      </c>
      <c r="J3398" t="s" s="10">
        <v>17271</v>
      </c>
      <c r="K3398" t="s" s="10">
        <v>17272</v>
      </c>
      <c r="L3398" s="16">
        <f>HYPERLINK("http://www.lightningreach.org", "www.lightningreach.org")</f>
      </c>
      <c r="M3398" s="16">
        <f>HYPERLINK("https://my.pitchbook.com?c=462638-26", "View Company Online")</f>
      </c>
    </row>
    <row r="3399">
      <c r="A3399" t="s" s="11">
        <v>17274</v>
      </c>
      <c r="B3399" t="s" s="11">
        <v>17275</v>
      </c>
      <c r="C3399" t="s" s="11">
        <v>60</v>
      </c>
      <c r="D3399" t="s" s="11">
        <v>246</v>
      </c>
      <c r="E3399" t="s" s="11">
        <v>29</v>
      </c>
      <c r="F3399" t="s" s="28">
        <v>30</v>
      </c>
      <c r="G3399" t="s" s="11">
        <v>48</v>
      </c>
      <c r="H3399" t="s" s="43">
        <v>30</v>
      </c>
      <c r="I3399" s="43">
        <v>4.57</v>
      </c>
      <c r="J3399" t="s" s="11">
        <v>17276</v>
      </c>
      <c r="K3399" t="s" s="11">
        <v>17277</v>
      </c>
      <c r="L3399" s="17">
        <f>HYPERLINK("http://www.ayla.app", "www.ayla.app")</f>
      </c>
      <c r="M3399" s="17">
        <f>HYPERLINK("https://my.pitchbook.com?c=266664-07", "View Company Online")</f>
      </c>
    </row>
    <row r="3400">
      <c r="A3400" t="s" s="10">
        <v>17279</v>
      </c>
      <c r="B3400" t="s" s="10">
        <v>17280</v>
      </c>
      <c r="C3400" t="s" s="10">
        <v>37</v>
      </c>
      <c r="D3400" t="s" s="10">
        <v>304</v>
      </c>
      <c r="E3400" t="s" s="10">
        <v>259</v>
      </c>
      <c r="F3400" s="27">
        <v>45352</v>
      </c>
      <c r="G3400" t="s" s="10">
        <v>4267</v>
      </c>
      <c r="H3400" s="42">
        <v>0.51</v>
      </c>
      <c r="I3400" s="42">
        <v>4.56</v>
      </c>
      <c r="J3400" t="s" s="10">
        <v>17281</v>
      </c>
      <c r="K3400" t="s" s="10">
        <v>17282</v>
      </c>
      <c r="L3400" s="16">
        <f>HYPERLINK("http://www.pencilpay.com", "www.pencilpay.com")</f>
      </c>
      <c r="M3400" s="16">
        <f>HYPERLINK("https://my.pitchbook.com?c=431305-30", "View Company Online")</f>
      </c>
    </row>
    <row r="3401">
      <c r="A3401" t="s" s="11">
        <v>17284</v>
      </c>
      <c r="B3401" t="s" s="11">
        <v>17285</v>
      </c>
      <c r="C3401" t="s" s="11">
        <v>60</v>
      </c>
      <c r="D3401" t="s" s="11">
        <v>61</v>
      </c>
      <c r="E3401" t="s" s="11">
        <v>253</v>
      </c>
      <c r="F3401" t="s" s="28">
        <v>30</v>
      </c>
      <c r="G3401" t="s" s="11">
        <v>48</v>
      </c>
      <c r="H3401" t="s" s="43">
        <v>30</v>
      </c>
      <c r="I3401" s="43">
        <v>4.54</v>
      </c>
      <c r="J3401" t="s" s="11">
        <v>17286</v>
      </c>
      <c r="K3401" t="s" s="11">
        <v>30</v>
      </c>
      <c r="L3401" s="17">
        <f>HYPERLINK("http://www.heytrade.com", "www.heytrade.com")</f>
      </c>
      <c r="M3401" s="17">
        <f>HYPERLINK("https://my.pitchbook.com?c=467100-37", "View Company Online")</f>
      </c>
    </row>
    <row r="3402">
      <c r="A3402" t="s" s="10">
        <v>17288</v>
      </c>
      <c r="B3402" t="s" s="10">
        <v>17289</v>
      </c>
      <c r="C3402" t="s" s="10">
        <v>46</v>
      </c>
      <c r="D3402" t="s" s="10">
        <v>397</v>
      </c>
      <c r="E3402" t="s" s="10">
        <v>253</v>
      </c>
      <c r="F3402" s="27">
        <v>45717</v>
      </c>
      <c r="G3402" t="s" s="10">
        <v>40</v>
      </c>
      <c r="H3402" t="s" s="42">
        <v>30</v>
      </c>
      <c r="I3402" s="42">
        <v>4.53</v>
      </c>
      <c r="J3402" t="s" s="10">
        <v>17290</v>
      </c>
      <c r="K3402" t="s" s="10">
        <v>17291</v>
      </c>
      <c r="L3402" s="16">
        <f>HYPERLINK("http://www.accountflow.no", "www.accountflow.no")</f>
      </c>
      <c r="M3402" s="16">
        <f>HYPERLINK("https://my.pitchbook.com?c=438175-81", "View Company Online")</f>
      </c>
    </row>
    <row r="3403">
      <c r="A3403" t="s" s="11">
        <v>17293</v>
      </c>
      <c r="B3403" t="s" s="11">
        <v>17294</v>
      </c>
      <c r="C3403" t="s" s="11">
        <v>46</v>
      </c>
      <c r="D3403" t="s" s="11">
        <v>47</v>
      </c>
      <c r="E3403" t="s" s="11">
        <v>8644</v>
      </c>
      <c r="F3403" s="28">
        <v>45839</v>
      </c>
      <c r="G3403" t="s" s="11">
        <v>391</v>
      </c>
      <c r="H3403" s="43">
        <v>4.51</v>
      </c>
      <c r="I3403" s="43">
        <v>4.51</v>
      </c>
      <c r="J3403" t="s" s="11">
        <v>17295</v>
      </c>
      <c r="K3403" t="s" s="11">
        <v>17296</v>
      </c>
      <c r="L3403" s="17">
        <f>HYPERLINK("http://www.seiwa.app", "www.seiwa.app")</f>
      </c>
      <c r="M3403" s="17">
        <f>HYPERLINK("https://my.pitchbook.com?c=517778-02", "View Company Online")</f>
      </c>
    </row>
    <row r="3404">
      <c r="A3404" t="s" s="10">
        <v>17298</v>
      </c>
      <c r="B3404" t="s" s="10">
        <v>17299</v>
      </c>
      <c r="C3404" t="s" s="10">
        <v>144</v>
      </c>
      <c r="D3404" t="s" s="10">
        <v>297</v>
      </c>
      <c r="E3404" t="s" s="10">
        <v>253</v>
      </c>
      <c r="F3404" s="27">
        <v>45565</v>
      </c>
      <c r="G3404" t="s" s="10">
        <v>146</v>
      </c>
      <c r="H3404" s="42">
        <v>0.13</v>
      </c>
      <c r="I3404" s="42">
        <v>4.5</v>
      </c>
      <c r="J3404" t="s" s="10">
        <v>17300</v>
      </c>
      <c r="K3404" t="s" s="10">
        <v>30</v>
      </c>
      <c r="L3404" s="16">
        <f>HYPERLINK("http://bueno.money", "bueno.money")</f>
      </c>
      <c r="M3404" s="16">
        <f>HYPERLINK("https://my.pitchbook.com?c=503842-24", "View Company Online")</f>
      </c>
    </row>
    <row r="3405">
      <c r="A3405" t="s" s="11">
        <v>17302</v>
      </c>
      <c r="B3405" t="s" s="11">
        <v>17303</v>
      </c>
      <c r="C3405" t="s" s="11">
        <v>114</v>
      </c>
      <c r="D3405" t="s" s="11">
        <v>1386</v>
      </c>
      <c r="E3405" t="s" s="11">
        <v>3997</v>
      </c>
      <c r="F3405" t="s" s="28">
        <v>30</v>
      </c>
      <c r="G3405" t="s" s="11">
        <v>607</v>
      </c>
      <c r="H3405" t="s" s="43">
        <v>30</v>
      </c>
      <c r="I3405" s="43">
        <v>4.5</v>
      </c>
      <c r="J3405" t="s" s="11">
        <v>17304</v>
      </c>
      <c r="K3405" t="s" s="11">
        <v>17305</v>
      </c>
      <c r="L3405" s="17">
        <f>HYPERLINK("http://www.loandock.com", "www.loandock.com")</f>
      </c>
      <c r="M3405" s="17">
        <f>HYPERLINK("https://my.pitchbook.com?c=845836-21", "View Company Online")</f>
      </c>
    </row>
    <row r="3406">
      <c r="A3406" t="s" s="10">
        <v>17307</v>
      </c>
      <c r="B3406" t="s" s="10">
        <v>17308</v>
      </c>
      <c r="C3406" t="s" s="10">
        <v>27</v>
      </c>
      <c r="D3406" t="s" s="10">
        <v>70</v>
      </c>
      <c r="E3406" t="s" s="10">
        <v>17309</v>
      </c>
      <c r="F3406" s="27">
        <v>45017</v>
      </c>
      <c r="G3406" t="s" s="10">
        <v>31</v>
      </c>
      <c r="H3406" t="s" s="42">
        <v>30</v>
      </c>
      <c r="I3406" s="42">
        <v>4.5</v>
      </c>
      <c r="J3406" t="s" s="10">
        <v>17310</v>
      </c>
      <c r="K3406" t="s" s="10">
        <v>17311</v>
      </c>
      <c r="L3406" s="16">
        <f>HYPERLINK("http://www.siembro.com", "www.siembro.com")</f>
      </c>
      <c r="M3406" s="16">
        <f>HYPERLINK("https://my.pitchbook.com?c=234024-22", "View Company Online")</f>
      </c>
    </row>
    <row r="3407">
      <c r="A3407" t="s" s="11">
        <v>17313</v>
      </c>
      <c r="B3407" t="s" s="11">
        <v>17314</v>
      </c>
      <c r="C3407" t="s" s="11">
        <v>222</v>
      </c>
      <c r="D3407" t="s" s="11">
        <v>235</v>
      </c>
      <c r="E3407" t="s" s="11">
        <v>253</v>
      </c>
      <c r="F3407" t="s" s="28">
        <v>30</v>
      </c>
      <c r="G3407" t="s" s="11">
        <v>146</v>
      </c>
      <c r="H3407" t="s" s="43">
        <v>30</v>
      </c>
      <c r="I3407" s="43">
        <v>4.48</v>
      </c>
      <c r="J3407" t="s" s="11">
        <v>17315</v>
      </c>
      <c r="K3407" t="s" s="11">
        <v>17316</v>
      </c>
      <c r="L3407" s="17">
        <f>HYPERLINK("http://www.centsdonations.com", "www.centsdonations.com")</f>
      </c>
      <c r="M3407" s="17">
        <f>HYPERLINK("https://my.pitchbook.com?c=517159-63", "View Company Online")</f>
      </c>
    </row>
    <row r="3408">
      <c r="A3408" t="s" s="10">
        <v>17318</v>
      </c>
      <c r="B3408" t="s" s="10">
        <v>17319</v>
      </c>
      <c r="C3408" t="s" s="10">
        <v>114</v>
      </c>
      <c r="D3408" t="s" s="10">
        <v>1386</v>
      </c>
      <c r="E3408" t="s" s="10">
        <v>3433</v>
      </c>
      <c r="F3408" s="27">
        <v>45770</v>
      </c>
      <c r="G3408" t="s" s="10">
        <v>40</v>
      </c>
      <c r="H3408" s="42">
        <v>0.45</v>
      </c>
      <c r="I3408" s="42">
        <v>4.48</v>
      </c>
      <c r="J3408" t="s" s="10">
        <v>17320</v>
      </c>
      <c r="K3408" t="s" s="10">
        <v>17321</v>
      </c>
      <c r="L3408" s="16">
        <f>HYPERLINK("http://www.ekcc.nabard.org", "www.ekcc.nabard.org")</f>
      </c>
      <c r="M3408" s="16">
        <f>HYPERLINK("https://my.pitchbook.com?c=807599-35", "View Company Online")</f>
      </c>
    </row>
    <row r="3409">
      <c r="A3409" t="s" s="11">
        <v>17323</v>
      </c>
      <c r="B3409" t="s" s="11">
        <v>17324</v>
      </c>
      <c r="C3409" t="s" s="11">
        <v>222</v>
      </c>
      <c r="D3409" t="s" s="11">
        <v>235</v>
      </c>
      <c r="E3409" t="s" s="11">
        <v>137</v>
      </c>
      <c r="F3409" s="28">
        <v>45709</v>
      </c>
      <c r="G3409" t="s" s="11">
        <v>4267</v>
      </c>
      <c r="H3409" s="43">
        <v>0.27</v>
      </c>
      <c r="I3409" s="43">
        <v>4.46</v>
      </c>
      <c r="J3409" t="s" s="11">
        <v>17325</v>
      </c>
      <c r="K3409" t="s" s="11">
        <v>17326</v>
      </c>
      <c r="L3409" s="17">
        <f>HYPERLINK("http://www.fundmypitch.com", "www.fundmypitch.com")</f>
      </c>
      <c r="M3409" s="17">
        <f>HYPERLINK("https://my.pitchbook.com?c=513062-47", "View Company Online")</f>
      </c>
    </row>
    <row r="3410">
      <c r="A3410" t="s" s="10">
        <v>17328</v>
      </c>
      <c r="B3410" t="s" s="10">
        <v>17329</v>
      </c>
      <c r="C3410" t="s" s="10">
        <v>60</v>
      </c>
      <c r="D3410" t="s" s="10">
        <v>192</v>
      </c>
      <c r="E3410" t="s" s="10">
        <v>29</v>
      </c>
      <c r="F3410" s="27">
        <v>45817</v>
      </c>
      <c r="G3410" t="s" s="10">
        <v>40</v>
      </c>
      <c r="H3410" s="42">
        <v>0.27</v>
      </c>
      <c r="I3410" s="42">
        <v>4.46</v>
      </c>
      <c r="J3410" t="s" s="10">
        <v>17330</v>
      </c>
      <c r="K3410" t="s" s="10">
        <v>17331</v>
      </c>
      <c r="L3410" s="16">
        <f>HYPERLINK("http://www.goodwith.co", "www.goodwith.co")</f>
      </c>
      <c r="M3410" s="16">
        <f>HYPERLINK("https://my.pitchbook.com?c=527574-16", "View Company Online")</f>
      </c>
    </row>
    <row r="3411">
      <c r="A3411" t="s" s="11">
        <v>17333</v>
      </c>
      <c r="B3411" t="s" s="11">
        <v>17334</v>
      </c>
      <c r="C3411" t="s" s="11">
        <v>144</v>
      </c>
      <c r="D3411" t="s" s="11">
        <v>297</v>
      </c>
      <c r="E3411" t="s" s="11">
        <v>253</v>
      </c>
      <c r="F3411" s="28">
        <v>46216</v>
      </c>
      <c r="G3411" t="s" s="11">
        <v>40</v>
      </c>
      <c r="H3411" s="43">
        <v>11.44</v>
      </c>
      <c r="I3411" s="43">
        <v>4.46</v>
      </c>
      <c r="J3411" t="s" s="11">
        <v>17335</v>
      </c>
      <c r="K3411" t="s" s="11">
        <v>17336</v>
      </c>
      <c r="L3411" s="17">
        <f>HYPERLINK("http://www.kintai.com", "www.kintai.com")</f>
      </c>
      <c r="M3411" s="17">
        <f>HYPERLINK("https://my.pitchbook.com?c=512641-36", "View Company Online")</f>
      </c>
    </row>
    <row r="3412">
      <c r="A3412" t="s" s="10">
        <v>17338</v>
      </c>
      <c r="B3412" t="s" s="10">
        <v>17339</v>
      </c>
      <c r="C3412" t="s" s="10">
        <v>60</v>
      </c>
      <c r="D3412" t="s" s="10">
        <v>727</v>
      </c>
      <c r="E3412" t="s" s="10">
        <v>193</v>
      </c>
      <c r="F3412" s="27">
        <v>46167</v>
      </c>
      <c r="G3412" t="s" s="10">
        <v>391</v>
      </c>
      <c r="H3412" s="42">
        <v>10.65</v>
      </c>
      <c r="I3412" s="42">
        <v>4.45</v>
      </c>
      <c r="J3412" t="s" s="10">
        <v>17340</v>
      </c>
      <c r="K3412" t="s" s="10">
        <v>30</v>
      </c>
      <c r="L3412" s="16">
        <f>HYPERLINK("http://www.goldenpi.com", "www.goldenpi.com")</f>
      </c>
      <c r="M3412" s="16">
        <f>HYPERLINK("https://my.pitchbook.com?c=228252-07", "View Company Online")</f>
      </c>
    </row>
    <row r="3413">
      <c r="A3413" t="s" s="11">
        <v>17342</v>
      </c>
      <c r="B3413" t="s" s="11">
        <v>17343</v>
      </c>
      <c r="C3413" t="s" s="11">
        <v>60</v>
      </c>
      <c r="D3413" t="s" s="11">
        <v>246</v>
      </c>
      <c r="E3413" t="s" s="11">
        <v>137</v>
      </c>
      <c r="F3413" s="28">
        <v>45748</v>
      </c>
      <c r="G3413" t="s" s="11">
        <v>4267</v>
      </c>
      <c r="H3413" s="43">
        <v>1.94</v>
      </c>
      <c r="I3413" s="43">
        <v>4.45</v>
      </c>
      <c r="J3413" t="s" s="11">
        <v>17344</v>
      </c>
      <c r="K3413" t="s" s="11">
        <v>17345</v>
      </c>
      <c r="L3413" s="17">
        <f>HYPERLINK("http://wac.rocks", "wac.rocks")</f>
      </c>
      <c r="M3413" s="17">
        <f>HYPERLINK("https://my.pitchbook.com?c=538308-55", "View Company Online")</f>
      </c>
    </row>
    <row r="3414">
      <c r="A3414" t="s" s="10">
        <v>17347</v>
      </c>
      <c r="B3414" t="s" s="10">
        <v>17348</v>
      </c>
      <c r="C3414" t="s" s="10">
        <v>60</v>
      </c>
      <c r="D3414" t="s" s="10">
        <v>246</v>
      </c>
      <c r="E3414" t="s" s="10">
        <v>62</v>
      </c>
      <c r="F3414" s="27">
        <v>44938</v>
      </c>
      <c r="G3414" t="s" s="10">
        <v>146</v>
      </c>
      <c r="H3414" s="42">
        <v>1.06</v>
      </c>
      <c r="I3414" s="42">
        <v>4.44</v>
      </c>
      <c r="J3414" t="s" s="10">
        <v>17349</v>
      </c>
      <c r="K3414" t="s" s="10">
        <v>17350</v>
      </c>
      <c r="L3414" s="16">
        <f>HYPERLINK("http://www.cryptosimple.app", "www.cryptosimple.app")</f>
      </c>
      <c r="M3414" s="16">
        <f>HYPERLINK("https://my.pitchbook.com?c=494595-91", "View Company Online")</f>
      </c>
    </row>
    <row r="3415">
      <c r="A3415" t="s" s="11">
        <v>17352</v>
      </c>
      <c r="B3415" t="s" s="11">
        <v>17353</v>
      </c>
      <c r="C3415" t="s" s="11">
        <v>60</v>
      </c>
      <c r="D3415" t="s" s="11">
        <v>727</v>
      </c>
      <c r="E3415" t="s" s="11">
        <v>4013</v>
      </c>
      <c r="F3415" s="28">
        <v>46066</v>
      </c>
      <c r="G3415" t="s" s="11">
        <v>146</v>
      </c>
      <c r="H3415" s="43">
        <v>1.29</v>
      </c>
      <c r="I3415" s="43">
        <v>4.44</v>
      </c>
      <c r="J3415" t="s" s="11">
        <v>17354</v>
      </c>
      <c r="K3415" t="s" s="11">
        <v>17355</v>
      </c>
      <c r="L3415" s="17">
        <f>HYPERLINK("http://www.hectarea.io", "www.hectarea.io")</f>
      </c>
      <c r="M3415" s="17">
        <f>HYPERLINK("https://my.pitchbook.com?c=538083-28", "View Company Online")</f>
      </c>
    </row>
    <row r="3416">
      <c r="A3416" t="s" s="10">
        <v>17357</v>
      </c>
      <c r="B3416" t="s" s="10">
        <v>17358</v>
      </c>
      <c r="C3416" t="s" s="10">
        <v>46</v>
      </c>
      <c r="D3416" t="s" s="10">
        <v>915</v>
      </c>
      <c r="E3416" t="s" s="10">
        <v>137</v>
      </c>
      <c r="F3416" s="27">
        <v>45898</v>
      </c>
      <c r="G3416" t="s" s="10">
        <v>146</v>
      </c>
      <c r="H3416" s="42">
        <v>1.52</v>
      </c>
      <c r="I3416" s="42">
        <v>4.44</v>
      </c>
      <c r="J3416" t="s" s="10">
        <v>17359</v>
      </c>
      <c r="K3416" t="s" s="10">
        <v>17360</v>
      </c>
      <c r="L3416" s="16">
        <f>HYPERLINK("http://www.kanaglee.co.jp", "www.kanaglee.co.jp")</f>
      </c>
      <c r="M3416" s="16">
        <f>HYPERLINK("https://my.pitchbook.com?c=820225-81", "View Company Online")</f>
      </c>
    </row>
    <row r="3417">
      <c r="A3417" t="s" s="11">
        <v>17362</v>
      </c>
      <c r="B3417" t="s" s="11">
        <v>17363</v>
      </c>
      <c r="C3417" t="s" s="11">
        <v>27</v>
      </c>
      <c r="D3417" t="s" s="11">
        <v>28</v>
      </c>
      <c r="E3417" t="s" s="11">
        <v>193</v>
      </c>
      <c r="F3417" s="28">
        <v>45383</v>
      </c>
      <c r="G3417" t="s" s="11">
        <v>4267</v>
      </c>
      <c r="H3417" s="43">
        <v>1.09</v>
      </c>
      <c r="I3417" s="43">
        <v>4.43</v>
      </c>
      <c r="J3417" t="s" s="11">
        <v>17364</v>
      </c>
      <c r="K3417" t="s" s="11">
        <v>17365</v>
      </c>
      <c r="L3417" s="17">
        <f>HYPERLINK("http://www.ealyx.com", "www.ealyx.com")</f>
      </c>
      <c r="M3417" s="17">
        <f>HYPERLINK("https://my.pitchbook.com?c=593319-97", "View Company Online")</f>
      </c>
    </row>
    <row r="3418">
      <c r="A3418" t="s" s="10">
        <v>17367</v>
      </c>
      <c r="B3418" t="s" s="10">
        <v>17368</v>
      </c>
      <c r="C3418" t="s" s="10">
        <v>46</v>
      </c>
      <c r="D3418" t="s" s="10">
        <v>397</v>
      </c>
      <c r="E3418" t="s" s="10">
        <v>193</v>
      </c>
      <c r="F3418" s="27">
        <v>44882</v>
      </c>
      <c r="G3418" t="s" s="10">
        <v>146</v>
      </c>
      <c r="H3418" t="s" s="42">
        <v>30</v>
      </c>
      <c r="I3418" s="42">
        <v>4.43</v>
      </c>
      <c r="J3418" t="s" s="10">
        <v>17369</v>
      </c>
      <c r="K3418" t="s" s="10">
        <v>17370</v>
      </c>
      <c r="L3418" s="16">
        <f>HYPERLINK("http://www.earnr.co.uk", "www.earnr.co.uk")</f>
      </c>
      <c r="M3418" s="16">
        <f>HYPERLINK("https://my.pitchbook.com?c=467699-95", "View Company Online")</f>
      </c>
    </row>
    <row r="3419">
      <c r="A3419" t="s" s="11">
        <v>17372</v>
      </c>
      <c r="B3419" t="s" s="11">
        <v>17373</v>
      </c>
      <c r="C3419" t="s" s="11">
        <v>164</v>
      </c>
      <c r="D3419" t="s" s="11">
        <v>206</v>
      </c>
      <c r="E3419" t="s" s="11">
        <v>367</v>
      </c>
      <c r="F3419" s="28">
        <v>45238</v>
      </c>
      <c r="G3419" t="s" s="11">
        <v>40</v>
      </c>
      <c r="H3419" s="43">
        <v>0.67</v>
      </c>
      <c r="I3419" s="43">
        <v>4.42</v>
      </c>
      <c r="J3419" t="s" s="11">
        <v>17374</v>
      </c>
      <c r="K3419" t="s" s="11">
        <v>17375</v>
      </c>
      <c r="L3419" s="17">
        <f>HYPERLINK("http://www.billte.ch", "www.billte.ch")</f>
      </c>
      <c r="M3419" s="17">
        <f>HYPERLINK("https://my.pitchbook.com?c=227241-55", "View Company Online")</f>
      </c>
    </row>
    <row r="3420">
      <c r="A3420" t="s" s="10">
        <v>17377</v>
      </c>
      <c r="B3420" t="s" s="10">
        <v>17378</v>
      </c>
      <c r="C3420" t="s" s="10">
        <v>27</v>
      </c>
      <c r="D3420" t="s" s="10">
        <v>28</v>
      </c>
      <c r="E3420" t="s" s="10">
        <v>137</v>
      </c>
      <c r="F3420" s="27">
        <v>45231</v>
      </c>
      <c r="G3420" t="s" s="10">
        <v>48</v>
      </c>
      <c r="H3420" t="s" s="42">
        <v>30</v>
      </c>
      <c r="I3420" s="42">
        <v>4.41</v>
      </c>
      <c r="J3420" t="s" s="10">
        <v>17379</v>
      </c>
      <c r="K3420" t="s" s="10">
        <v>17380</v>
      </c>
      <c r="L3420" s="16">
        <f>HYPERLINK("http://www.mrpresta.com", "www.mrpresta.com")</f>
      </c>
      <c r="M3420" s="16">
        <f>HYPERLINK("https://my.pitchbook.com?c=92443-42", "View Company Online")</f>
      </c>
    </row>
    <row r="3421">
      <c r="A3421" t="s" s="11">
        <v>17382</v>
      </c>
      <c r="B3421" t="s" s="11">
        <v>17383</v>
      </c>
      <c r="C3421" t="s" s="11">
        <v>37</v>
      </c>
      <c r="D3421" t="s" s="11">
        <v>304</v>
      </c>
      <c r="E3421" t="s" s="11">
        <v>623</v>
      </c>
      <c r="F3421" s="28">
        <v>44987</v>
      </c>
      <c r="G3421" t="s" s="11">
        <v>4267</v>
      </c>
      <c r="H3421" s="43">
        <v>3</v>
      </c>
      <c r="I3421" s="43">
        <v>4.4</v>
      </c>
      <c r="J3421" t="s" s="11">
        <v>17384</v>
      </c>
      <c r="K3421" t="s" s="11">
        <v>17385</v>
      </c>
      <c r="L3421" s="17">
        <f>HYPERLINK("http://www.steadypay.co", "www.steadypay.co")</f>
      </c>
      <c r="M3421" s="17">
        <f>HYPERLINK("https://my.pitchbook.com?c=265627-00", "View Company Online")</f>
      </c>
    </row>
    <row r="3422">
      <c r="A3422" t="s" s="10">
        <v>17387</v>
      </c>
      <c r="B3422" t="s" s="10">
        <v>17388</v>
      </c>
      <c r="C3422" t="s" s="10">
        <v>46</v>
      </c>
      <c r="D3422" t="s" s="10">
        <v>78</v>
      </c>
      <c r="E3422" t="s" s="10">
        <v>253</v>
      </c>
      <c r="F3422" t="s" s="27">
        <v>30</v>
      </c>
      <c r="G3422" t="s" s="10">
        <v>48</v>
      </c>
      <c r="H3422" t="s" s="42">
        <v>30</v>
      </c>
      <c r="I3422" s="42">
        <v>4.4</v>
      </c>
      <c r="J3422" t="s" s="10">
        <v>17389</v>
      </c>
      <c r="K3422" t="s" s="10">
        <v>17390</v>
      </c>
      <c r="L3422" s="16">
        <f>HYPERLINK("http://www.vuiapp.vn", "www.vuiapp.vn")</f>
      </c>
      <c r="M3422" s="16">
        <f>HYPERLINK("https://my.pitchbook.com?c=439107-85", "View Company Online")</f>
      </c>
    </row>
    <row r="3423">
      <c r="A3423" t="s" s="11">
        <v>17392</v>
      </c>
      <c r="B3423" t="s" s="11">
        <v>17393</v>
      </c>
      <c r="C3423" t="s" s="11">
        <v>60</v>
      </c>
      <c r="D3423" t="s" s="11">
        <v>192</v>
      </c>
      <c r="E3423" t="s" s="11">
        <v>30</v>
      </c>
      <c r="F3423" s="28">
        <v>45627</v>
      </c>
      <c r="G3423" t="s" s="11">
        <v>146</v>
      </c>
      <c r="H3423" s="43">
        <v>2</v>
      </c>
      <c r="I3423" s="43">
        <v>4.38</v>
      </c>
      <c r="J3423" t="s" s="11">
        <v>17394</v>
      </c>
      <c r="K3423" t="s" s="11">
        <v>17395</v>
      </c>
      <c r="L3423" s="17">
        <f>HYPERLINK("http://www.networksx.co", "www.networksx.co")</f>
      </c>
      <c r="M3423" s="17">
        <f>HYPERLINK("https://my.pitchbook.com?c=519922-90", "View Company Online")</f>
      </c>
    </row>
    <row r="3424">
      <c r="A3424" t="s" s="10">
        <v>17397</v>
      </c>
      <c r="B3424" t="s" s="10">
        <v>17398</v>
      </c>
      <c r="C3424" t="s" s="10">
        <v>114</v>
      </c>
      <c r="D3424" t="s" s="10">
        <v>136</v>
      </c>
      <c r="E3424" t="s" s="10">
        <v>253</v>
      </c>
      <c r="F3424" s="27">
        <v>45230</v>
      </c>
      <c r="G3424" t="s" s="10">
        <v>4267</v>
      </c>
      <c r="H3424" s="42">
        <v>1.09</v>
      </c>
      <c r="I3424" s="42">
        <v>4.38</v>
      </c>
      <c r="J3424" t="s" s="10">
        <v>17399</v>
      </c>
      <c r="K3424" t="s" s="10">
        <v>17400</v>
      </c>
      <c r="L3424" s="16">
        <f>HYPERLINK("http://www.myparachute.co", "www.myparachute.co")</f>
      </c>
      <c r="M3424" s="16">
        <f>HYPERLINK("https://my.pitchbook.com?c=495993-16", "View Company Online")</f>
      </c>
    </row>
    <row r="3425">
      <c r="A3425" t="s" s="11">
        <v>17402</v>
      </c>
      <c r="B3425" t="s" s="11">
        <v>17403</v>
      </c>
      <c r="C3425" t="s" s="11">
        <v>114</v>
      </c>
      <c r="D3425" t="s" s="11">
        <v>1386</v>
      </c>
      <c r="E3425" t="s" s="11">
        <v>3604</v>
      </c>
      <c r="F3425" s="28">
        <v>45873</v>
      </c>
      <c r="G3425" t="s" s="11">
        <v>4267</v>
      </c>
      <c r="H3425" s="43">
        <v>0.87</v>
      </c>
      <c r="I3425" s="43">
        <v>4.37</v>
      </c>
      <c r="J3425" t="s" s="11">
        <v>17404</v>
      </c>
      <c r="K3425" t="s" s="11">
        <v>17405</v>
      </c>
      <c r="L3425" s="17">
        <f>HYPERLINK("http://www.datasinc.it", "www.datasinc.it")</f>
      </c>
      <c r="M3425" s="17">
        <f>HYPERLINK("https://my.pitchbook.com?c=542315-35", "View Company Online")</f>
      </c>
    </row>
    <row r="3426">
      <c r="A3426" t="s" s="10">
        <v>17407</v>
      </c>
      <c r="B3426" t="s" s="10">
        <v>17408</v>
      </c>
      <c r="C3426" t="s" s="10">
        <v>128</v>
      </c>
      <c r="D3426" t="s" s="10">
        <v>276</v>
      </c>
      <c r="E3426" t="s" s="10">
        <v>17409</v>
      </c>
      <c r="F3426" t="s" s="27">
        <v>30</v>
      </c>
      <c r="G3426" t="s" s="10">
        <v>40</v>
      </c>
      <c r="H3426" t="s" s="42">
        <v>30</v>
      </c>
      <c r="I3426" s="42">
        <v>4.36</v>
      </c>
      <c r="J3426" t="s" s="10">
        <v>17410</v>
      </c>
      <c r="K3426" t="s" s="10">
        <v>17411</v>
      </c>
      <c r="L3426" s="16">
        <f>HYPERLINK("http://www.digiseq.co.uk", "www.digiseq.co.uk")</f>
      </c>
      <c r="M3426" s="16">
        <f>HYPERLINK("https://my.pitchbook.com?c=143183-89", "View Company Online")</f>
      </c>
    </row>
    <row r="3427">
      <c r="A3427" t="s" s="11">
        <v>17413</v>
      </c>
      <c r="B3427" t="s" s="11">
        <v>17414</v>
      </c>
      <c r="C3427" t="s" s="11">
        <v>60</v>
      </c>
      <c r="D3427" t="s" s="11">
        <v>432</v>
      </c>
      <c r="E3427" t="s" s="11">
        <v>137</v>
      </c>
      <c r="F3427" s="28">
        <v>45195</v>
      </c>
      <c r="G3427" t="s" s="11">
        <v>146</v>
      </c>
      <c r="H3427" s="43">
        <v>0.62</v>
      </c>
      <c r="I3427" s="43">
        <v>4.36</v>
      </c>
      <c r="J3427" t="s" s="11">
        <v>17415</v>
      </c>
      <c r="K3427" t="s" s="11">
        <v>17416</v>
      </c>
      <c r="L3427" s="17">
        <f>HYPERLINK("http://moneysavvy.co.uk", "moneysavvy.co.uk")</f>
      </c>
      <c r="M3427" s="17">
        <f>HYPERLINK("https://my.pitchbook.com?c=482591-17", "View Company Online")</f>
      </c>
    </row>
    <row r="3428">
      <c r="A3428" t="s" s="10">
        <v>17418</v>
      </c>
      <c r="B3428" t="s" s="10">
        <v>17419</v>
      </c>
      <c r="C3428" t="s" s="10">
        <v>114</v>
      </c>
      <c r="D3428" t="s" s="10">
        <v>136</v>
      </c>
      <c r="E3428" t="s" s="10">
        <v>193</v>
      </c>
      <c r="F3428" s="27">
        <v>43819</v>
      </c>
      <c r="G3428" t="s" s="10">
        <v>146</v>
      </c>
      <c r="H3428" s="42">
        <v>10</v>
      </c>
      <c r="I3428" s="42">
        <v>4.35</v>
      </c>
      <c r="J3428" t="s" s="10">
        <v>17420</v>
      </c>
      <c r="K3428" t="s" s="10">
        <v>17421</v>
      </c>
      <c r="L3428" s="16">
        <f>HYPERLINK("http://www.loanframe.com", "www.loanframe.com")</f>
      </c>
      <c r="M3428" s="16">
        <f>HYPERLINK("https://my.pitchbook.com?c=151070-59", "View Company Online")</f>
      </c>
    </row>
    <row r="3429">
      <c r="A3429" t="s" s="11">
        <v>17423</v>
      </c>
      <c r="B3429" t="s" s="11">
        <v>17424</v>
      </c>
      <c r="C3429" t="s" s="11">
        <v>114</v>
      </c>
      <c r="D3429" t="s" s="11">
        <v>1386</v>
      </c>
      <c r="E3429" t="s" s="11">
        <v>373</v>
      </c>
      <c r="F3429" s="28">
        <v>46113</v>
      </c>
      <c r="G3429" t="s" s="11">
        <v>146</v>
      </c>
      <c r="H3429" t="s" s="43">
        <v>30</v>
      </c>
      <c r="I3429" s="43">
        <v>4.32</v>
      </c>
      <c r="J3429" t="s" s="11">
        <v>17425</v>
      </c>
      <c r="K3429" t="s" s="11">
        <v>17426</v>
      </c>
      <c r="L3429" s="17">
        <f>HYPERLINK("http://www.credresolve.com", "www.credresolve.com")</f>
      </c>
      <c r="M3429" s="17">
        <f>HYPERLINK("https://my.pitchbook.com?c=677408-50", "View Company Online")</f>
      </c>
    </row>
    <row r="3430">
      <c r="A3430" t="s" s="10">
        <v>17428</v>
      </c>
      <c r="B3430" t="s" s="10">
        <v>17429</v>
      </c>
      <c r="C3430" t="s" s="10">
        <v>114</v>
      </c>
      <c r="D3430" t="s" s="10">
        <v>1386</v>
      </c>
      <c r="E3430" t="s" s="10">
        <v>373</v>
      </c>
      <c r="F3430" s="27">
        <v>44881</v>
      </c>
      <c r="G3430" t="s" s="10">
        <v>4267</v>
      </c>
      <c r="H3430" s="42">
        <v>0.82</v>
      </c>
      <c r="I3430" s="42">
        <v>4.31</v>
      </c>
      <c r="J3430" t="s" s="10">
        <v>17430</v>
      </c>
      <c r="K3430" t="s" s="10">
        <v>17431</v>
      </c>
      <c r="L3430" s="16">
        <f>HYPERLINK("http://www.agam.ai", "www.agam.ai")</f>
      </c>
      <c r="M3430" s="16">
        <f>HYPERLINK("https://my.pitchbook.com?c=494273-53", "View Company Online")</f>
      </c>
    </row>
    <row r="3431">
      <c r="A3431" t="s" s="11">
        <v>17433</v>
      </c>
      <c r="B3431" t="s" s="11">
        <v>17434</v>
      </c>
      <c r="C3431" t="s" s="11">
        <v>27</v>
      </c>
      <c r="D3431" t="s" s="11">
        <v>28</v>
      </c>
      <c r="E3431" t="s" s="11">
        <v>270</v>
      </c>
      <c r="F3431" t="s" s="28">
        <v>30</v>
      </c>
      <c r="G3431" t="s" s="11">
        <v>607</v>
      </c>
      <c r="H3431" t="s" s="43">
        <v>30</v>
      </c>
      <c r="I3431" s="43">
        <v>4.31</v>
      </c>
      <c r="J3431" t="s" s="11">
        <v>17435</v>
      </c>
      <c r="K3431" t="s" s="11">
        <v>17436</v>
      </c>
      <c r="L3431" s="17">
        <f>HYPERLINK("http://sharegroop.com", "sharegroop.com")</f>
      </c>
      <c r="M3431" s="17">
        <f>HYPERLINK("https://my.pitchbook.com?c=158448-34", "View Company Online")</f>
      </c>
    </row>
    <row r="3432">
      <c r="A3432" t="s" s="10">
        <v>17438</v>
      </c>
      <c r="B3432" t="s" s="10">
        <v>17439</v>
      </c>
      <c r="C3432" t="s" s="10">
        <v>46</v>
      </c>
      <c r="D3432" t="s" s="10">
        <v>78</v>
      </c>
      <c r="E3432" t="s" s="10">
        <v>253</v>
      </c>
      <c r="F3432" s="27">
        <v>45014</v>
      </c>
      <c r="G3432" t="s" s="10">
        <v>40</v>
      </c>
      <c r="H3432" s="42">
        <v>16</v>
      </c>
      <c r="I3432" s="42">
        <v>4.3</v>
      </c>
      <c r="J3432" t="s" s="10">
        <v>17440</v>
      </c>
      <c r="K3432" t="s" s="10">
        <v>17441</v>
      </c>
      <c r="L3432" s="16">
        <f>HYPERLINK("http://www.advance.ph", "www.advance.ph")</f>
      </c>
      <c r="M3432" s="16">
        <f>HYPERLINK("https://my.pitchbook.com?c=435940-03", "View Company Online")</f>
      </c>
    </row>
    <row r="3433">
      <c r="A3433" t="s" s="11">
        <v>17443</v>
      </c>
      <c r="B3433" t="s" s="11">
        <v>17444</v>
      </c>
      <c r="C3433" t="s" s="11">
        <v>46</v>
      </c>
      <c r="D3433" t="s" s="11">
        <v>47</v>
      </c>
      <c r="E3433" t="s" s="11">
        <v>500</v>
      </c>
      <c r="F3433" s="28">
        <v>44593</v>
      </c>
      <c r="G3433" t="s" s="11">
        <v>2651</v>
      </c>
      <c r="H3433" s="43">
        <v>0.4</v>
      </c>
      <c r="I3433" s="43">
        <v>4.3</v>
      </c>
      <c r="J3433" t="s" s="11">
        <v>17445</v>
      </c>
      <c r="K3433" t="s" s="11">
        <v>17446</v>
      </c>
      <c r="L3433" s="17">
        <f>HYPERLINK("http://www.enspan.io", "www.enspan.io")</f>
      </c>
      <c r="M3433" s="17">
        <f>HYPERLINK("https://my.pitchbook.com?c=267350-86", "View Company Online")</f>
      </c>
    </row>
    <row r="3434">
      <c r="A3434" t="s" s="10">
        <v>17448</v>
      </c>
      <c r="B3434" t="s" s="10">
        <v>17449</v>
      </c>
      <c r="C3434" t="s" s="10">
        <v>172</v>
      </c>
      <c r="D3434" t="s" s="10">
        <v>1454</v>
      </c>
      <c r="E3434" t="s" s="10">
        <v>3604</v>
      </c>
      <c r="F3434" s="27">
        <v>46209</v>
      </c>
      <c r="G3434" t="s" s="10">
        <v>40</v>
      </c>
      <c r="H3434" s="42">
        <v>0.1</v>
      </c>
      <c r="I3434" s="42">
        <v>4.28</v>
      </c>
      <c r="J3434" t="s" s="10">
        <v>17450</v>
      </c>
      <c r="K3434" t="s" s="10">
        <v>17451</v>
      </c>
      <c r="L3434" s="16">
        <f>HYPERLINK("http://www.advarisk.com", "www.advarisk.com")</f>
      </c>
      <c r="M3434" s="16">
        <f>HYPERLINK("https://my.pitchbook.com?c=234071-02", "View Company Online")</f>
      </c>
    </row>
    <row r="3435">
      <c r="A3435" t="s" s="11">
        <v>17453</v>
      </c>
      <c r="B3435" t="s" s="11">
        <v>17454</v>
      </c>
      <c r="C3435" t="s" s="11">
        <v>128</v>
      </c>
      <c r="D3435" t="s" s="11">
        <v>129</v>
      </c>
      <c r="E3435" t="s" s="11">
        <v>17455</v>
      </c>
      <c r="F3435" s="28">
        <v>45658</v>
      </c>
      <c r="G3435" t="s" s="11">
        <v>607</v>
      </c>
      <c r="H3435" t="s" s="43">
        <v>30</v>
      </c>
      <c r="I3435" s="43">
        <v>4.26</v>
      </c>
      <c r="J3435" t="s" s="11">
        <v>17456</v>
      </c>
      <c r="K3435" t="s" s="11">
        <v>17457</v>
      </c>
      <c r="L3435" s="17">
        <f>HYPERLINK("http://www.loyalbe.io", "www.loyalbe.io")</f>
      </c>
      <c r="M3435" s="17">
        <f>HYPERLINK("https://my.pitchbook.com?c=267702-40", "View Company Online")</f>
      </c>
    </row>
    <row r="3436">
      <c r="A3436" t="s" s="10">
        <v>17459</v>
      </c>
      <c r="B3436" t="s" s="10">
        <v>17460</v>
      </c>
      <c r="C3436" t="s" s="10">
        <v>60</v>
      </c>
      <c r="D3436" t="s" s="10">
        <v>727</v>
      </c>
      <c r="E3436" t="s" s="10">
        <v>17461</v>
      </c>
      <c r="F3436" s="27">
        <v>46023</v>
      </c>
      <c r="G3436" t="s" s="10">
        <v>48</v>
      </c>
      <c r="H3436" t="s" s="42">
        <v>30</v>
      </c>
      <c r="I3436" s="42">
        <v>4.25</v>
      </c>
      <c r="J3436" t="s" s="10">
        <v>17462</v>
      </c>
      <c r="K3436" t="s" s="10">
        <v>17463</v>
      </c>
      <c r="L3436" s="16">
        <f>HYPERLINK("http://www.fundeen.com", "www.fundeen.com")</f>
      </c>
      <c r="M3436" s="16">
        <f>HYPERLINK("https://my.pitchbook.com?c=279645-94", "View Company Online")</f>
      </c>
    </row>
    <row r="3437">
      <c r="A3437" t="s" s="11">
        <v>17465</v>
      </c>
      <c r="B3437" t="s" s="11">
        <v>17466</v>
      </c>
      <c r="C3437" t="s" s="11">
        <v>164</v>
      </c>
      <c r="D3437" t="s" s="11">
        <v>206</v>
      </c>
      <c r="E3437" t="s" s="11">
        <v>623</v>
      </c>
      <c r="F3437" s="28">
        <v>44860</v>
      </c>
      <c r="G3437" t="s" s="11">
        <v>40</v>
      </c>
      <c r="H3437" s="43">
        <v>0.49</v>
      </c>
      <c r="I3437" s="43">
        <v>4.25</v>
      </c>
      <c r="J3437" t="s" s="11">
        <v>17467</v>
      </c>
      <c r="K3437" t="s" s="11">
        <v>17468</v>
      </c>
      <c r="L3437" s="17">
        <f>HYPERLINK("http://www.inespay.com", "www.inespay.com")</f>
      </c>
      <c r="M3437" s="17">
        <f>HYPERLINK("https://my.pitchbook.com?c=171926-92", "View Company Online")</f>
      </c>
    </row>
    <row r="3438">
      <c r="A3438" t="s" s="10">
        <v>17470</v>
      </c>
      <c r="B3438" t="s" s="10">
        <v>17471</v>
      </c>
      <c r="C3438" t="s" s="10">
        <v>37</v>
      </c>
      <c r="D3438" t="s" s="10">
        <v>38</v>
      </c>
      <c r="E3438" t="s" s="10">
        <v>373</v>
      </c>
      <c r="F3438" s="27">
        <v>44903</v>
      </c>
      <c r="G3438" t="s" s="10">
        <v>4267</v>
      </c>
      <c r="H3438" s="42">
        <v>1.25</v>
      </c>
      <c r="I3438" s="42">
        <v>4.25</v>
      </c>
      <c r="J3438" t="s" s="10">
        <v>17472</v>
      </c>
      <c r="K3438" t="s" s="10">
        <v>17473</v>
      </c>
      <c r="L3438" s="16">
        <f>HYPERLINK("http://nevly.com", "nevly.com")</f>
      </c>
      <c r="M3438" s="16">
        <f>HYPERLINK("https://my.pitchbook.com?c=490894-48", "View Company Online")</f>
      </c>
    </row>
    <row r="3439">
      <c r="A3439" t="s" s="11">
        <v>17475</v>
      </c>
      <c r="B3439" t="s" s="11">
        <v>17476</v>
      </c>
      <c r="C3439" t="s" s="11">
        <v>114</v>
      </c>
      <c r="D3439" t="s" s="11">
        <v>870</v>
      </c>
      <c r="E3439" t="s" s="11">
        <v>137</v>
      </c>
      <c r="F3439" s="28">
        <v>45825</v>
      </c>
      <c r="G3439" t="s" s="11">
        <v>146</v>
      </c>
      <c r="H3439" s="43">
        <v>2.6</v>
      </c>
      <c r="I3439" s="43">
        <v>4.25</v>
      </c>
      <c r="J3439" t="s" s="11">
        <v>17477</v>
      </c>
      <c r="K3439" t="s" s="11">
        <v>17478</v>
      </c>
      <c r="L3439" s="17">
        <f>HYPERLINK("http://www.saswatfinance.com", "www.saswatfinance.com")</f>
      </c>
      <c r="M3439" s="17">
        <f>HYPERLINK("https://my.pitchbook.com?c=593808-13", "View Company Online")</f>
      </c>
    </row>
    <row r="3440">
      <c r="A3440" t="s" s="10">
        <v>17480</v>
      </c>
      <c r="B3440" t="s" s="10">
        <v>17481</v>
      </c>
      <c r="C3440" t="s" s="10">
        <v>46</v>
      </c>
      <c r="D3440" t="s" s="10">
        <v>47</v>
      </c>
      <c r="E3440" t="s" s="10">
        <v>29</v>
      </c>
      <c r="F3440" s="27">
        <v>46030</v>
      </c>
      <c r="G3440" t="s" s="10">
        <v>607</v>
      </c>
      <c r="H3440" t="s" s="42">
        <v>30</v>
      </c>
      <c r="I3440" s="42">
        <v>4.23</v>
      </c>
      <c r="J3440" t="s" s="10">
        <v>17482</v>
      </c>
      <c r="K3440" t="s" s="10">
        <v>17483</v>
      </c>
      <c r="L3440" s="16">
        <f>HYPERLINK("http://www.juuli.com", "www.juuli.com")</f>
      </c>
      <c r="M3440" s="16">
        <f>HYPERLINK("https://my.pitchbook.com?c=538910-11", "View Company Online")</f>
      </c>
    </row>
    <row r="3441">
      <c r="A3441" t="s" s="11">
        <v>17485</v>
      </c>
      <c r="B3441" t="s" s="11">
        <v>17486</v>
      </c>
      <c r="C3441" t="s" s="11">
        <v>222</v>
      </c>
      <c r="D3441" t="s" s="11">
        <v>235</v>
      </c>
      <c r="E3441" t="s" s="11">
        <v>253</v>
      </c>
      <c r="F3441" s="28">
        <v>46036</v>
      </c>
      <c r="G3441" t="s" s="11">
        <v>146</v>
      </c>
      <c r="H3441" s="43">
        <v>1.33</v>
      </c>
      <c r="I3441" s="43">
        <v>4.23</v>
      </c>
      <c r="J3441" t="s" s="11">
        <v>17487</v>
      </c>
      <c r="K3441" t="s" s="11">
        <v>17416</v>
      </c>
      <c r="L3441" s="17">
        <f>HYPERLINK("http://saafehouse.com", "saafehouse.com")</f>
      </c>
      <c r="M3441" s="17">
        <f>HYPERLINK("https://my.pitchbook.com?c=1159410-88", "View Company Online")</f>
      </c>
    </row>
    <row r="3442">
      <c r="A3442" t="s" s="10">
        <v>17489</v>
      </c>
      <c r="B3442" t="s" s="10">
        <v>17490</v>
      </c>
      <c r="C3442" t="s" s="10">
        <v>128</v>
      </c>
      <c r="D3442" t="s" s="10">
        <v>276</v>
      </c>
      <c r="E3442" t="s" s="10">
        <v>332</v>
      </c>
      <c r="F3442" s="27">
        <v>44652</v>
      </c>
      <c r="G3442" t="s" s="10">
        <v>146</v>
      </c>
      <c r="H3442" t="s" s="42">
        <v>30</v>
      </c>
      <c r="I3442" s="42">
        <v>4.22</v>
      </c>
      <c r="J3442" t="s" s="10">
        <v>17491</v>
      </c>
      <c r="K3442" t="s" s="10">
        <v>17492</v>
      </c>
      <c r="L3442" s="16">
        <f>HYPERLINK("http://www.transfez.com", "www.transfez.com")</f>
      </c>
      <c r="M3442" s="16">
        <f>HYPERLINK("https://my.pitchbook.com?c=467667-82", "View Company Online")</f>
      </c>
    </row>
    <row r="3443">
      <c r="A3443" t="s" s="11">
        <v>17494</v>
      </c>
      <c r="B3443" t="s" s="11">
        <v>17495</v>
      </c>
      <c r="C3443" t="s" s="11">
        <v>46</v>
      </c>
      <c r="D3443" t="s" s="11">
        <v>78</v>
      </c>
      <c r="E3443" t="s" s="11">
        <v>373</v>
      </c>
      <c r="F3443" s="28">
        <v>45905</v>
      </c>
      <c r="G3443" t="s" s="11">
        <v>4267</v>
      </c>
      <c r="H3443" s="43">
        <v>1.63</v>
      </c>
      <c r="I3443" s="43">
        <v>4.2</v>
      </c>
      <c r="J3443" t="s" s="11">
        <v>17496</v>
      </c>
      <c r="K3443" t="s" s="11">
        <v>17497</v>
      </c>
      <c r="L3443" s="17">
        <f>HYPERLINK("http://www.dapt.tech", "www.dapt.tech")</f>
      </c>
      <c r="M3443" s="17">
        <f>HYPERLINK("https://my.pitchbook.com?c=462837-07", "View Company Online")</f>
      </c>
    </row>
    <row r="3444">
      <c r="A3444" t="s" s="10">
        <v>17499</v>
      </c>
      <c r="B3444" t="s" s="10">
        <v>17500</v>
      </c>
      <c r="C3444" t="s" s="10">
        <v>27</v>
      </c>
      <c r="D3444" t="s" s="10">
        <v>28</v>
      </c>
      <c r="E3444" t="s" s="10">
        <v>332</v>
      </c>
      <c r="F3444" s="27">
        <v>43873</v>
      </c>
      <c r="G3444" t="s" s="10">
        <v>4267</v>
      </c>
      <c r="H3444" s="42">
        <v>1.2</v>
      </c>
      <c r="I3444" s="42">
        <v>4.2</v>
      </c>
      <c r="J3444" t="s" s="10">
        <v>17501</v>
      </c>
      <c r="K3444" t="s" s="10">
        <v>17502</v>
      </c>
      <c r="L3444" s="16">
        <f>HYPERLINK("http://www.digitalpay.us", "www.digitalpay.us")</f>
      </c>
      <c r="M3444" s="16">
        <f>HYPERLINK("https://my.pitchbook.com?c=90130-78", "View Company Online")</f>
      </c>
    </row>
    <row r="3445">
      <c r="A3445" t="s" s="11">
        <v>17504</v>
      </c>
      <c r="B3445" t="s" s="11">
        <v>17505</v>
      </c>
      <c r="C3445" t="s" s="11">
        <v>114</v>
      </c>
      <c r="D3445" t="s" s="11">
        <v>852</v>
      </c>
      <c r="E3445" t="s" s="11">
        <v>253</v>
      </c>
      <c r="F3445" s="28">
        <v>46238</v>
      </c>
      <c r="G3445" t="s" s="11">
        <v>40</v>
      </c>
      <c r="H3445" s="43">
        <v>6.56</v>
      </c>
      <c r="I3445" s="43">
        <v>4.2</v>
      </c>
      <c r="J3445" t="s" s="11">
        <v>17506</v>
      </c>
      <c r="K3445" t="s" s="11">
        <v>17507</v>
      </c>
      <c r="L3445" s="17">
        <f>HYPERLINK("http://www.getvantage.co", "www.getvantage.co")</f>
      </c>
      <c r="M3445" s="17">
        <f>HYPERLINK("https://my.pitchbook.com?c=399660-40", "View Company Online")</f>
      </c>
    </row>
    <row r="3446">
      <c r="A3446" t="s" s="10">
        <v>17509</v>
      </c>
      <c r="B3446" t="s" s="10">
        <v>17510</v>
      </c>
      <c r="C3446" t="s" s="10">
        <v>60</v>
      </c>
      <c r="D3446" t="s" s="10">
        <v>246</v>
      </c>
      <c r="E3446" t="s" s="10">
        <v>367</v>
      </c>
      <c r="F3446" s="27">
        <v>46113</v>
      </c>
      <c r="G3446" t="s" s="10">
        <v>4267</v>
      </c>
      <c r="H3446" s="42">
        <v>1.3</v>
      </c>
      <c r="I3446" s="42">
        <v>4.2</v>
      </c>
      <c r="J3446" t="s" s="10">
        <v>17511</v>
      </c>
      <c r="K3446" t="s" s="10">
        <v>17512</v>
      </c>
      <c r="L3446" s="16">
        <f>HYPERLINK("http://www.kalgera.com", "www.kalgera.com")</f>
      </c>
      <c r="M3446" s="16">
        <f>HYPERLINK("https://my.pitchbook.com?c=264409-21", "View Company Online")</f>
      </c>
    </row>
    <row r="3447">
      <c r="A3447" t="s" s="11">
        <v>17514</v>
      </c>
      <c r="B3447" t="s" s="11">
        <v>17515</v>
      </c>
      <c r="C3447" t="s" s="11">
        <v>46</v>
      </c>
      <c r="D3447" t="s" s="11">
        <v>397</v>
      </c>
      <c r="E3447" t="s" s="11">
        <v>373</v>
      </c>
      <c r="F3447" s="28">
        <v>45901</v>
      </c>
      <c r="G3447" t="s" s="11">
        <v>146</v>
      </c>
      <c r="H3447" s="43">
        <v>0.25</v>
      </c>
      <c r="I3447" s="43">
        <v>4.2</v>
      </c>
      <c r="J3447" t="s" s="11">
        <v>17516</v>
      </c>
      <c r="K3447" t="s" s="11">
        <v>17517</v>
      </c>
      <c r="L3447" s="17">
        <f>HYPERLINK("http://www.wasabil.com", "www.wasabil.com")</f>
      </c>
      <c r="M3447" s="17">
        <f>HYPERLINK("https://my.pitchbook.com?c=706704-40", "View Company Online")</f>
      </c>
    </row>
    <row r="3448">
      <c r="A3448" t="s" s="10">
        <v>17519</v>
      </c>
      <c r="B3448" t="s" s="10">
        <v>17520</v>
      </c>
      <c r="C3448" t="s" s="10">
        <v>37</v>
      </c>
      <c r="D3448" t="s" s="10">
        <v>38</v>
      </c>
      <c r="E3448" t="s" s="10">
        <v>345</v>
      </c>
      <c r="F3448" s="27">
        <v>46224</v>
      </c>
      <c r="G3448" t="s" s="10">
        <v>40</v>
      </c>
      <c r="H3448" s="42">
        <v>0.83</v>
      </c>
      <c r="I3448" s="42">
        <v>4.19</v>
      </c>
      <c r="J3448" t="s" s="10">
        <v>17521</v>
      </c>
      <c r="K3448" t="s" s="10">
        <v>17522</v>
      </c>
      <c r="L3448" s="16">
        <f>HYPERLINK("http://www.moneyhop.co", "www.moneyhop.co")</f>
      </c>
      <c r="M3448" s="16">
        <f>HYPERLINK("https://my.pitchbook.com?c=266700-70", "View Company Online")</f>
      </c>
    </row>
    <row r="3449">
      <c r="A3449" t="s" s="11">
        <v>17524</v>
      </c>
      <c r="B3449" t="s" s="11">
        <v>17525</v>
      </c>
      <c r="C3449" t="s" s="11">
        <v>60</v>
      </c>
      <c r="D3449" t="s" s="11">
        <v>192</v>
      </c>
      <c r="E3449" t="s" s="11">
        <v>311</v>
      </c>
      <c r="F3449" s="28">
        <v>45855</v>
      </c>
      <c r="G3449" t="s" s="11">
        <v>40</v>
      </c>
      <c r="H3449" s="43">
        <v>0.42</v>
      </c>
      <c r="I3449" s="43">
        <v>4.18</v>
      </c>
      <c r="J3449" t="s" s="11">
        <v>17526</v>
      </c>
      <c r="K3449" t="s" s="11">
        <v>17527</v>
      </c>
      <c r="L3449" s="17">
        <f>HYPERLINK("http://www.fxkanin.com", "www.fxkanin.com")</f>
      </c>
      <c r="M3449" s="17">
        <f>HYPERLINK("https://my.pitchbook.com?c=492636-61", "View Company Online")</f>
      </c>
    </row>
    <row r="3450">
      <c r="A3450" t="s" s="10">
        <v>17529</v>
      </c>
      <c r="B3450" t="s" s="10">
        <v>17530</v>
      </c>
      <c r="C3450" t="s" s="10">
        <v>46</v>
      </c>
      <c r="D3450" t="s" s="10">
        <v>47</v>
      </c>
      <c r="E3450" t="s" s="10">
        <v>137</v>
      </c>
      <c r="F3450" s="27">
        <v>45056</v>
      </c>
      <c r="G3450" t="s" s="10">
        <v>4267</v>
      </c>
      <c r="H3450" s="42">
        <v>0.45</v>
      </c>
      <c r="I3450" s="42">
        <v>4.16</v>
      </c>
      <c r="J3450" t="s" s="10">
        <v>17531</v>
      </c>
      <c r="K3450" t="s" s="10">
        <v>17532</v>
      </c>
      <c r="L3450" s="16">
        <f>HYPERLINK("http://www.spendkey.io", "www.spendkey.io")</f>
      </c>
      <c r="M3450" s="16">
        <f>HYPERLINK("https://my.pitchbook.com?c=527390-65", "View Company Online")</f>
      </c>
    </row>
    <row r="3451">
      <c r="A3451" t="s" s="11">
        <v>17534</v>
      </c>
      <c r="B3451" t="s" s="11">
        <v>17535</v>
      </c>
      <c r="C3451" t="s" s="11">
        <v>222</v>
      </c>
      <c r="D3451" t="s" s="11">
        <v>223</v>
      </c>
      <c r="E3451" t="s" s="11">
        <v>634</v>
      </c>
      <c r="F3451" s="28">
        <v>43304</v>
      </c>
      <c r="G3451" t="s" s="11">
        <v>40</v>
      </c>
      <c r="H3451" s="43">
        <v>0.73</v>
      </c>
      <c r="I3451" s="43">
        <v>4.14</v>
      </c>
      <c r="J3451" t="s" s="11">
        <v>17536</v>
      </c>
      <c r="K3451" t="s" s="11">
        <v>17537</v>
      </c>
      <c r="L3451" s="17">
        <f>HYPERLINK("http://www.forensicalpha.com", "www.forensicalpha.com")</f>
      </c>
      <c r="M3451" s="17">
        <f>HYPERLINK("https://my.pitchbook.com?c=88696-09", "View Company Online")</f>
      </c>
    </row>
    <row r="3452">
      <c r="A3452" t="s" s="10">
        <v>17539</v>
      </c>
      <c r="B3452" t="s" s="10">
        <v>17540</v>
      </c>
      <c r="C3452" t="s" s="10">
        <v>114</v>
      </c>
      <c r="D3452" t="s" s="10">
        <v>136</v>
      </c>
      <c r="E3452" t="s" s="10">
        <v>137</v>
      </c>
      <c r="F3452" s="27">
        <v>46232</v>
      </c>
      <c r="G3452" t="s" s="10">
        <v>494</v>
      </c>
      <c r="H3452" s="42">
        <v>66.84</v>
      </c>
      <c r="I3452" s="42">
        <v>4.14</v>
      </c>
      <c r="J3452" t="s" s="10">
        <v>17541</v>
      </c>
      <c r="K3452" t="s" s="10">
        <v>17542</v>
      </c>
      <c r="L3452" s="16">
        <f>HYPERLINK("http://www.plend.com", "www.plend.com")</f>
      </c>
      <c r="M3452" s="16">
        <f>HYPERLINK("https://my.pitchbook.com?c=453502-90", "View Company Online")</f>
      </c>
    </row>
    <row r="3453">
      <c r="A3453" t="s" s="11">
        <v>17544</v>
      </c>
      <c r="B3453" t="s" s="11">
        <v>17545</v>
      </c>
      <c r="C3453" t="s" s="11">
        <v>60</v>
      </c>
      <c r="D3453" t="s" s="11">
        <v>432</v>
      </c>
      <c r="E3453" t="s" s="11">
        <v>185</v>
      </c>
      <c r="F3453" s="28">
        <v>45223</v>
      </c>
      <c r="G3453" t="s" s="11">
        <v>40</v>
      </c>
      <c r="H3453" s="43">
        <v>1.06</v>
      </c>
      <c r="I3453" s="43">
        <v>4.13</v>
      </c>
      <c r="J3453" t="s" s="11">
        <v>17546</v>
      </c>
      <c r="K3453" t="s" s="11">
        <v>17547</v>
      </c>
      <c r="L3453" s="17">
        <f>HYPERLINK("http://www.plotinus.tech", "www.plotinus.tech")</f>
      </c>
      <c r="M3453" s="17">
        <f>HYPERLINK("https://my.pitchbook.com?c=187693-21", "View Company Online")</f>
      </c>
    </row>
    <row r="3454">
      <c r="A3454" t="s" s="10">
        <v>17549</v>
      </c>
      <c r="B3454" t="s" s="10">
        <v>17550</v>
      </c>
      <c r="C3454" t="s" s="10">
        <v>60</v>
      </c>
      <c r="D3454" t="s" s="10">
        <v>432</v>
      </c>
      <c r="E3454" t="s" s="10">
        <v>137</v>
      </c>
      <c r="F3454" s="27">
        <v>46234</v>
      </c>
      <c r="G3454" t="s" s="10">
        <v>2051</v>
      </c>
      <c r="H3454" t="s" s="42">
        <v>30</v>
      </c>
      <c r="I3454" s="42">
        <v>4.11</v>
      </c>
      <c r="J3454" t="s" s="10">
        <v>17551</v>
      </c>
      <c r="K3454" t="s" s="10">
        <v>30</v>
      </c>
      <c r="L3454" s="16">
        <f>HYPERLINK("http://www.ottointelligence.co", "www.ottointelligence.co")</f>
      </c>
      <c r="M3454" s="16">
        <f>HYPERLINK("https://my.pitchbook.com?c=495040-60", "View Company Online")</f>
      </c>
    </row>
    <row r="3455">
      <c r="A3455" t="s" s="11">
        <v>17553</v>
      </c>
      <c r="B3455" t="s" s="11">
        <v>17554</v>
      </c>
      <c r="C3455" t="s" s="11">
        <v>27</v>
      </c>
      <c r="D3455" t="s" s="11">
        <v>122</v>
      </c>
      <c r="E3455" t="s" s="11">
        <v>137</v>
      </c>
      <c r="F3455" s="28">
        <v>46076</v>
      </c>
      <c r="G3455" t="s" s="11">
        <v>17555</v>
      </c>
      <c r="H3455" s="43">
        <v>1.7</v>
      </c>
      <c r="I3455" s="43">
        <v>4.11</v>
      </c>
      <c r="J3455" t="s" s="11">
        <v>17556</v>
      </c>
      <c r="K3455" t="s" s="11">
        <v>17557</v>
      </c>
      <c r="L3455" s="17">
        <f>HYPERLINK("http://www.satoshipay.io", "www.satoshipay.io")</f>
      </c>
      <c r="M3455" s="17">
        <f>HYPERLINK("https://my.pitchbook.com?c=99073-90", "View Company Online")</f>
      </c>
    </row>
    <row r="3456">
      <c r="A3456" t="s" s="10">
        <v>17559</v>
      </c>
      <c r="B3456" t="s" s="10">
        <v>17560</v>
      </c>
      <c r="C3456" t="s" s="10">
        <v>27</v>
      </c>
      <c r="D3456" t="s" s="10">
        <v>28</v>
      </c>
      <c r="E3456" t="s" s="10">
        <v>5904</v>
      </c>
      <c r="F3456" s="27">
        <v>44888</v>
      </c>
      <c r="G3456" t="s" s="10">
        <v>4267</v>
      </c>
      <c r="H3456" s="42">
        <v>1.41</v>
      </c>
      <c r="I3456" s="42">
        <v>4.11</v>
      </c>
      <c r="J3456" t="s" s="10">
        <v>17561</v>
      </c>
      <c r="K3456" t="s" s="10">
        <v>17562</v>
      </c>
      <c r="L3456" s="16">
        <f>HYPERLINK("http://www.yumminn.com", "www.yumminn.com")</f>
      </c>
      <c r="M3456" s="16">
        <f>HYPERLINK("https://my.pitchbook.com?c=495415-81", "View Company Online")</f>
      </c>
    </row>
    <row r="3457">
      <c r="A3457" t="s" s="11">
        <v>17564</v>
      </c>
      <c r="B3457" t="s" s="11">
        <v>17565</v>
      </c>
      <c r="C3457" t="s" s="11">
        <v>46</v>
      </c>
      <c r="D3457" t="s" s="11">
        <v>915</v>
      </c>
      <c r="E3457" t="s" s="11">
        <v>193</v>
      </c>
      <c r="F3457" s="28">
        <v>44986</v>
      </c>
      <c r="G3457" t="s" s="11">
        <v>607</v>
      </c>
      <c r="H3457" t="s" s="43">
        <v>30</v>
      </c>
      <c r="I3457" s="43">
        <v>4.1</v>
      </c>
      <c r="J3457" t="s" s="11">
        <v>17566</v>
      </c>
      <c r="K3457" t="s" s="11">
        <v>17567</v>
      </c>
      <c r="L3457" s="17">
        <f>HYPERLINK("http://www.riby.ng", "www.riby.ng")</f>
      </c>
      <c r="M3457" s="17">
        <f>HYPERLINK("https://my.pitchbook.com?c=148073-68", "View Company Online")</f>
      </c>
    </row>
    <row r="3458">
      <c r="A3458" t="s" s="10">
        <v>17569</v>
      </c>
      <c r="B3458" t="s" s="10">
        <v>17570</v>
      </c>
      <c r="C3458" t="s" s="10">
        <v>222</v>
      </c>
      <c r="D3458" t="s" s="10">
        <v>235</v>
      </c>
      <c r="E3458" t="s" s="10">
        <v>759</v>
      </c>
      <c r="F3458" s="27">
        <v>45881</v>
      </c>
      <c r="G3458" t="s" s="10">
        <v>40</v>
      </c>
      <c r="H3458" s="42">
        <v>4.07</v>
      </c>
      <c r="I3458" s="42">
        <v>4.08</v>
      </c>
      <c r="J3458" t="s" s="10">
        <v>17571</v>
      </c>
      <c r="K3458" t="s" s="10">
        <v>17572</v>
      </c>
      <c r="L3458" s="16">
        <f>HYPERLINK("http://www.invesdor.com", "www.invesdor.com")</f>
      </c>
      <c r="M3458" s="16">
        <f>HYPERLINK("https://my.pitchbook.com?c=64742-32", "View Company Online")</f>
      </c>
    </row>
    <row r="3459">
      <c r="A3459" t="s" s="11">
        <v>17574</v>
      </c>
      <c r="B3459" t="s" s="11">
        <v>17575</v>
      </c>
      <c r="C3459" t="s" s="11">
        <v>60</v>
      </c>
      <c r="D3459" t="s" s="11">
        <v>192</v>
      </c>
      <c r="E3459" t="s" s="11">
        <v>270</v>
      </c>
      <c r="F3459" s="28">
        <v>45538</v>
      </c>
      <c r="G3459" t="s" s="11">
        <v>40</v>
      </c>
      <c r="H3459" s="43">
        <v>1.56</v>
      </c>
      <c r="I3459" s="43">
        <v>4.08</v>
      </c>
      <c r="J3459" t="s" s="11">
        <v>17576</v>
      </c>
      <c r="K3459" t="s" s="11">
        <v>17577</v>
      </c>
      <c r="L3459" s="17">
        <f>HYPERLINK("http://www.propelle.io", "www.propelle.io")</f>
      </c>
      <c r="M3459" s="17">
        <f>HYPERLINK("https://my.pitchbook.com?c=512347-78", "View Company Online")</f>
      </c>
    </row>
    <row r="3460">
      <c r="A3460" t="s" s="10">
        <v>17579</v>
      </c>
      <c r="B3460" t="s" s="10">
        <v>17580</v>
      </c>
      <c r="C3460" t="s" s="10">
        <v>114</v>
      </c>
      <c r="D3460" t="s" s="10">
        <v>136</v>
      </c>
      <c r="E3460" t="s" s="10">
        <v>30</v>
      </c>
      <c r="F3460" s="27">
        <v>45597</v>
      </c>
      <c r="G3460" t="s" s="10">
        <v>48</v>
      </c>
      <c r="H3460" t="s" s="42">
        <v>30</v>
      </c>
      <c r="I3460" s="42">
        <v>4.07</v>
      </c>
      <c r="J3460" t="s" s="10">
        <v>17581</v>
      </c>
      <c r="K3460" t="s" s="10">
        <v>17582</v>
      </c>
      <c r="L3460" s="16">
        <f>HYPERLINK("http://www.climake.co", "www.climake.co")</f>
      </c>
      <c r="M3460" s="16">
        <f>HYPERLINK("https://my.pitchbook.com?c=223501-69", "View Company Online")</f>
      </c>
    </row>
    <row r="3461">
      <c r="A3461" t="s" s="11">
        <v>17584</v>
      </c>
      <c r="B3461" t="s" s="11">
        <v>17585</v>
      </c>
      <c r="C3461" t="s" s="11">
        <v>60</v>
      </c>
      <c r="D3461" t="s" s="11">
        <v>727</v>
      </c>
      <c r="E3461" t="s" s="11">
        <v>137</v>
      </c>
      <c r="F3461" s="28">
        <v>45874</v>
      </c>
      <c r="G3461" t="s" s="11">
        <v>40</v>
      </c>
      <c r="H3461" s="43">
        <v>1.8</v>
      </c>
      <c r="I3461" s="43">
        <v>4.07</v>
      </c>
      <c r="J3461" t="s" s="11">
        <v>17586</v>
      </c>
      <c r="K3461" t="s" s="11">
        <v>17587</v>
      </c>
      <c r="L3461" s="17">
        <f>HYPERLINK("http://radixflorestal.com.br", "radixflorestal.com.br")</f>
      </c>
      <c r="M3461" s="17">
        <f>HYPERLINK("https://my.pitchbook.com?c=340869-43", "View Company Online")</f>
      </c>
    </row>
    <row r="3462">
      <c r="A3462" t="s" s="10">
        <v>17589</v>
      </c>
      <c r="B3462" t="s" s="10">
        <v>17590</v>
      </c>
      <c r="C3462" t="s" s="10">
        <v>144</v>
      </c>
      <c r="D3462" t="s" s="10">
        <v>297</v>
      </c>
      <c r="E3462" t="s" s="10">
        <v>270</v>
      </c>
      <c r="F3462" s="27">
        <v>45561</v>
      </c>
      <c r="G3462" t="s" s="10">
        <v>607</v>
      </c>
      <c r="H3462" t="s" s="42">
        <v>30</v>
      </c>
      <c r="I3462" s="42">
        <v>4.06</v>
      </c>
      <c r="J3462" t="s" s="10">
        <v>17591</v>
      </c>
      <c r="K3462" t="s" s="10">
        <v>17592</v>
      </c>
      <c r="L3462" s="16">
        <f>HYPERLINK("http://web.bharatnxt.in", "web.bharatnxt.in")</f>
      </c>
      <c r="M3462" s="16">
        <f>HYPERLINK("https://my.pitchbook.com?c=522585-46", "View Company Online")</f>
      </c>
    </row>
    <row r="3463">
      <c r="A3463" t="s" s="11">
        <v>17594</v>
      </c>
      <c r="B3463" t="s" s="11">
        <v>17595</v>
      </c>
      <c r="C3463" t="s" s="11">
        <v>27</v>
      </c>
      <c r="D3463" t="s" s="11">
        <v>28</v>
      </c>
      <c r="E3463" t="s" s="11">
        <v>270</v>
      </c>
      <c r="F3463" s="28">
        <v>45099</v>
      </c>
      <c r="G3463" t="s" s="11">
        <v>4267</v>
      </c>
      <c r="H3463" s="43">
        <v>0.05</v>
      </c>
      <c r="I3463" s="43">
        <v>4.05</v>
      </c>
      <c r="J3463" t="s" s="11">
        <v>17596</v>
      </c>
      <c r="K3463" t="s" s="11">
        <v>17597</v>
      </c>
      <c r="L3463" s="17">
        <f>HYPERLINK("http://www.autospend.ai", "www.autospend.ai")</f>
      </c>
      <c r="M3463" s="17">
        <f>HYPERLINK("https://my.pitchbook.com?c=494697-70", "View Company Online")</f>
      </c>
    </row>
    <row r="3464">
      <c r="A3464" t="s" s="10">
        <v>17599</v>
      </c>
      <c r="B3464" t="s" s="10">
        <v>17600</v>
      </c>
      <c r="C3464" t="s" s="10">
        <v>46</v>
      </c>
      <c r="D3464" t="s" s="10">
        <v>47</v>
      </c>
      <c r="E3464" t="s" s="10">
        <v>259</v>
      </c>
      <c r="F3464" s="27">
        <v>45749</v>
      </c>
      <c r="G3464" t="s" s="10">
        <v>146</v>
      </c>
      <c r="H3464" t="s" s="42">
        <v>30</v>
      </c>
      <c r="I3464" s="42">
        <v>4.01</v>
      </c>
      <c r="J3464" t="s" s="10">
        <v>17601</v>
      </c>
      <c r="K3464" t="s" s="10">
        <v>17602</v>
      </c>
      <c r="L3464" s="16">
        <f>HYPERLINK("http://www.dealflow.live", "www.dealflow.live")</f>
      </c>
      <c r="M3464" s="16">
        <f>HYPERLINK("https://my.pitchbook.com?c=490693-06", "View Company Online")</f>
      </c>
    </row>
    <row r="3465">
      <c r="A3465" t="s" s="11">
        <v>17604</v>
      </c>
      <c r="B3465" t="s" s="11">
        <v>17605</v>
      </c>
      <c r="C3465" t="s" s="11">
        <v>46</v>
      </c>
      <c r="D3465" t="s" s="11">
        <v>397</v>
      </c>
      <c r="E3465" t="s" s="11">
        <v>7678</v>
      </c>
      <c r="F3465" s="28">
        <v>46207</v>
      </c>
      <c r="G3465" t="s" s="11">
        <v>2051</v>
      </c>
      <c r="H3465" t="s" s="43">
        <v>30</v>
      </c>
      <c r="I3465" s="43">
        <v>4</v>
      </c>
      <c r="J3465" t="s" s="11">
        <v>17606</v>
      </c>
      <c r="K3465" t="s" s="11">
        <v>30</v>
      </c>
      <c r="L3465" s="17">
        <f>HYPERLINK("http://www.backstartup.com", "www.backstartup.com")</f>
      </c>
      <c r="M3465" s="17">
        <f>HYPERLINK("https://my.pitchbook.com?c=167460-58", "View Company Online")</f>
      </c>
    </row>
    <row r="3466">
      <c r="A3466" t="s" s="10">
        <v>17608</v>
      </c>
      <c r="B3466" t="s" s="10">
        <v>17609</v>
      </c>
      <c r="C3466" t="s" s="10">
        <v>60</v>
      </c>
      <c r="D3466" t="s" s="10">
        <v>246</v>
      </c>
      <c r="E3466" t="s" s="10">
        <v>414</v>
      </c>
      <c r="F3466" s="27">
        <v>45138</v>
      </c>
      <c r="G3466" t="s" s="10">
        <v>5274</v>
      </c>
      <c r="H3466" s="42">
        <v>0.21</v>
      </c>
      <c r="I3466" s="42">
        <v>4</v>
      </c>
      <c r="J3466" t="s" s="10">
        <v>17610</v>
      </c>
      <c r="K3466" t="s" s="10">
        <v>17611</v>
      </c>
      <c r="L3466" s="16">
        <f>HYPERLINK("http://www.betterwealth.se", "www.betterwealth.se")</f>
      </c>
      <c r="M3466" s="16">
        <f>HYPERLINK("https://my.pitchbook.com?c=169089-76", "View Company Online")</f>
      </c>
    </row>
    <row r="3467">
      <c r="A3467" t="s" s="11">
        <v>17613</v>
      </c>
      <c r="B3467" t="s" s="11">
        <v>17614</v>
      </c>
      <c r="C3467" t="s" s="11">
        <v>46</v>
      </c>
      <c r="D3467" t="s" s="11">
        <v>397</v>
      </c>
      <c r="E3467" t="s" s="11">
        <v>634</v>
      </c>
      <c r="F3467" s="28">
        <v>43129</v>
      </c>
      <c r="G3467" t="s" s="11">
        <v>4267</v>
      </c>
      <c r="H3467" s="43">
        <v>0.1</v>
      </c>
      <c r="I3467" s="43">
        <v>4</v>
      </c>
      <c r="J3467" t="s" s="11">
        <v>17615</v>
      </c>
      <c r="K3467" t="s" s="11">
        <v>17616</v>
      </c>
      <c r="L3467" s="17">
        <f>HYPERLINK("http://www.bkper.com", "www.bkper.com")</f>
      </c>
      <c r="M3467" s="17">
        <f>HYPERLINK("https://my.pitchbook.com?c=113644-99", "View Company Online")</f>
      </c>
    </row>
    <row r="3468">
      <c r="A3468" t="s" s="10">
        <v>17618</v>
      </c>
      <c r="B3468" t="s" s="10">
        <v>17619</v>
      </c>
      <c r="C3468" t="s" s="10">
        <v>46</v>
      </c>
      <c r="D3468" t="s" s="10">
        <v>397</v>
      </c>
      <c r="E3468" t="s" s="10">
        <v>253</v>
      </c>
      <c r="F3468" t="s" s="27">
        <v>30</v>
      </c>
      <c r="G3468" t="s" s="10">
        <v>271</v>
      </c>
      <c r="H3468" t="s" s="42">
        <v>30</v>
      </c>
      <c r="I3468" s="42">
        <v>4</v>
      </c>
      <c r="J3468" t="s" s="10">
        <v>17620</v>
      </c>
      <c r="K3468" t="s" s="10">
        <v>17621</v>
      </c>
      <c r="L3468" s="16">
        <f>HYPERLINK("http://www.conduiit.app", "www.conduiit.app")</f>
      </c>
      <c r="M3468" s="16">
        <f>HYPERLINK("https://my.pitchbook.com?c=541249-57", "View Company Online")</f>
      </c>
    </row>
    <row r="3469">
      <c r="A3469" t="s" s="11">
        <v>17623</v>
      </c>
      <c r="B3469" t="s" s="11">
        <v>17624</v>
      </c>
      <c r="C3469" t="s" s="11">
        <v>114</v>
      </c>
      <c r="D3469" t="s" s="11">
        <v>852</v>
      </c>
      <c r="E3469" t="s" s="11">
        <v>270</v>
      </c>
      <c r="F3469" s="28">
        <v>45691</v>
      </c>
      <c r="G3469" t="s" s="11">
        <v>40</v>
      </c>
      <c r="H3469" s="43">
        <v>1</v>
      </c>
      <c r="I3469" s="43">
        <v>4</v>
      </c>
      <c r="J3469" t="s" s="11">
        <v>17625</v>
      </c>
      <c r="K3469" t="s" s="11">
        <v>17626</v>
      </c>
      <c r="L3469" s="17">
        <f>HYPERLINK("http://www.dinie.com", "www.dinie.com")</f>
      </c>
      <c r="M3469" s="17">
        <f>HYPERLINK("https://my.pitchbook.com?c=343088-65", "View Company Online")</f>
      </c>
    </row>
    <row r="3470">
      <c r="A3470" t="s" s="10">
        <v>17628</v>
      </c>
      <c r="B3470" t="s" s="10">
        <v>17629</v>
      </c>
      <c r="C3470" t="s" s="10">
        <v>27</v>
      </c>
      <c r="D3470" t="s" s="10">
        <v>28</v>
      </c>
      <c r="E3470" t="s" s="10">
        <v>17630</v>
      </c>
      <c r="F3470" s="27">
        <v>45219</v>
      </c>
      <c r="G3470" t="s" s="10">
        <v>48</v>
      </c>
      <c r="H3470" t="s" s="42">
        <v>30</v>
      </c>
      <c r="I3470" s="42">
        <v>4</v>
      </c>
      <c r="J3470" t="s" s="10">
        <v>17631</v>
      </c>
      <c r="K3470" t="s" s="10">
        <v>17632</v>
      </c>
      <c r="L3470" s="16">
        <f>HYPERLINK("http://www.fenige.com", "www.fenige.com")</f>
      </c>
      <c r="M3470" s="16">
        <f>HYPERLINK("https://my.pitchbook.com?c=223847-11", "View Company Online")</f>
      </c>
    </row>
    <row r="3471">
      <c r="A3471" t="s" s="11">
        <v>17634</v>
      </c>
      <c r="B3471" t="s" s="11">
        <v>17635</v>
      </c>
      <c r="C3471" t="s" s="11">
        <v>172</v>
      </c>
      <c r="D3471" t="s" s="11">
        <v>1454</v>
      </c>
      <c r="E3471" t="s" s="11">
        <v>493</v>
      </c>
      <c r="F3471" s="28">
        <v>45994</v>
      </c>
      <c r="G3471" t="s" s="11">
        <v>607</v>
      </c>
      <c r="H3471" t="s" s="43">
        <v>30</v>
      </c>
      <c r="I3471" s="43">
        <v>4</v>
      </c>
      <c r="J3471" t="s" s="11">
        <v>17636</v>
      </c>
      <c r="K3471" t="s" s="11">
        <v>17637</v>
      </c>
      <c r="L3471" s="17">
        <f>HYPERLINK("http://www.mrgn.ai", "www.mrgn.ai")</f>
      </c>
      <c r="M3471" s="17">
        <f>HYPERLINK("https://my.pitchbook.com?c=506877-31", "View Company Online")</f>
      </c>
    </row>
    <row r="3472">
      <c r="A3472" t="s" s="10">
        <v>17639</v>
      </c>
      <c r="B3472" t="s" s="10">
        <v>17640</v>
      </c>
      <c r="C3472" t="s" s="10">
        <v>46</v>
      </c>
      <c r="D3472" t="s" s="10">
        <v>397</v>
      </c>
      <c r="E3472" t="s" s="10">
        <v>253</v>
      </c>
      <c r="F3472" s="27">
        <v>46090</v>
      </c>
      <c r="G3472" t="s" s="10">
        <v>146</v>
      </c>
      <c r="H3472" s="42">
        <v>0.75</v>
      </c>
      <c r="I3472" s="42">
        <v>4</v>
      </c>
      <c r="J3472" t="s" s="10">
        <v>17641</v>
      </c>
      <c r="K3472" t="s" s="10">
        <v>17642</v>
      </c>
      <c r="L3472" s="16">
        <f>HYPERLINK("http://www.getrenn.com", "www.getrenn.com")</f>
      </c>
      <c r="M3472" s="16">
        <f>HYPERLINK("https://my.pitchbook.com?c=812228-95", "View Company Online")</f>
      </c>
    </row>
    <row r="3473">
      <c r="A3473" t="s" s="11">
        <v>17644</v>
      </c>
      <c r="B3473" t="s" s="11">
        <v>17645</v>
      </c>
      <c r="C3473" t="s" s="11">
        <v>60</v>
      </c>
      <c r="D3473" t="s" s="11">
        <v>727</v>
      </c>
      <c r="E3473" t="s" s="11">
        <v>759</v>
      </c>
      <c r="F3473" s="28">
        <v>44552</v>
      </c>
      <c r="G3473" t="s" s="11">
        <v>40</v>
      </c>
      <c r="H3473" s="43">
        <v>0.56</v>
      </c>
      <c r="I3473" s="43">
        <v>4</v>
      </c>
      <c r="J3473" t="s" s="11">
        <v>17646</v>
      </c>
      <c r="K3473" t="s" s="11">
        <v>17647</v>
      </c>
      <c r="L3473" s="17">
        <f>HYPERLINK("http://www.startupxplore.com", "www.startupxplore.com")</f>
      </c>
      <c r="M3473" s="17">
        <f>HYPERLINK("https://my.pitchbook.com?c=64215-55", "View Company Online")</f>
      </c>
    </row>
    <row r="3474">
      <c r="A3474" t="s" s="10">
        <v>17649</v>
      </c>
      <c r="B3474" t="s" s="10">
        <v>17650</v>
      </c>
      <c r="C3474" t="s" s="10">
        <v>60</v>
      </c>
      <c r="D3474" t="s" s="10">
        <v>727</v>
      </c>
      <c r="E3474" t="s" s="10">
        <v>137</v>
      </c>
      <c r="F3474" s="27">
        <v>45761</v>
      </c>
      <c r="G3474" t="s" s="10">
        <v>40</v>
      </c>
      <c r="H3474" s="42">
        <v>2</v>
      </c>
      <c r="I3474" s="42">
        <v>4</v>
      </c>
      <c r="J3474" t="s" s="10">
        <v>17651</v>
      </c>
      <c r="K3474" t="s" s="10">
        <v>17652</v>
      </c>
      <c r="L3474" s="16">
        <f>HYPERLINK("http://www.tangymarket.com", "www.tangymarket.com")</f>
      </c>
      <c r="M3474" s="16">
        <f>HYPERLINK("https://my.pitchbook.com?c=398956-24", "View Company Online")</f>
      </c>
    </row>
    <row r="3475">
      <c r="A3475" t="s" s="11">
        <v>17654</v>
      </c>
      <c r="B3475" t="s" s="11">
        <v>17655</v>
      </c>
      <c r="C3475" t="s" s="11">
        <v>222</v>
      </c>
      <c r="D3475" t="s" s="11">
        <v>537</v>
      </c>
      <c r="E3475" t="s" s="11">
        <v>137</v>
      </c>
      <c r="F3475" s="28">
        <v>45300</v>
      </c>
      <c r="G3475" t="s" s="11">
        <v>40</v>
      </c>
      <c r="H3475" s="43">
        <v>0.36</v>
      </c>
      <c r="I3475" s="43">
        <v>3.99</v>
      </c>
      <c r="J3475" t="s" s="11">
        <v>17656</v>
      </c>
      <c r="K3475" t="s" s="11">
        <v>17657</v>
      </c>
      <c r="L3475" s="17">
        <f>HYPERLINK("http://web.tradeasy.tech", "web.tradeasy.tech")</f>
      </c>
      <c r="M3475" s="17">
        <f>HYPERLINK("https://my.pitchbook.com?c=482125-33", "View Company Online")</f>
      </c>
    </row>
    <row r="3476">
      <c r="A3476" t="s" s="10">
        <v>17659</v>
      </c>
      <c r="B3476" t="s" s="10">
        <v>17660</v>
      </c>
      <c r="C3476" t="s" s="10">
        <v>222</v>
      </c>
      <c r="D3476" t="s" s="10">
        <v>223</v>
      </c>
      <c r="E3476" t="s" s="10">
        <v>634</v>
      </c>
      <c r="F3476" s="27">
        <v>46093</v>
      </c>
      <c r="G3476" t="s" s="10">
        <v>146</v>
      </c>
      <c r="H3476" s="42">
        <v>0.45</v>
      </c>
      <c r="I3476" s="42">
        <v>3.97</v>
      </c>
      <c r="J3476" t="s" s="10">
        <v>17661</v>
      </c>
      <c r="K3476" t="s" s="10">
        <v>17416</v>
      </c>
      <c r="L3476" s="16">
        <f>HYPERLINK("http://www.blueknight.io", "www.blueknight.io")</f>
      </c>
      <c r="M3476" s="16">
        <f>HYPERLINK("https://my.pitchbook.com?c=597445-75", "View Company Online")</f>
      </c>
    </row>
    <row r="3477">
      <c r="A3477" t="s" s="11">
        <v>17663</v>
      </c>
      <c r="B3477" t="s" s="11">
        <v>17664</v>
      </c>
      <c r="C3477" t="s" s="11">
        <v>46</v>
      </c>
      <c r="D3477" t="s" s="11">
        <v>915</v>
      </c>
      <c r="E3477" t="s" s="11">
        <v>253</v>
      </c>
      <c r="F3477" s="28">
        <v>45848</v>
      </c>
      <c r="G3477" t="s" s="11">
        <v>40</v>
      </c>
      <c r="H3477" s="43">
        <v>0.33</v>
      </c>
      <c r="I3477" s="43">
        <v>3.95</v>
      </c>
      <c r="J3477" t="s" s="11">
        <v>17665</v>
      </c>
      <c r="K3477" t="s" s="11">
        <v>17666</v>
      </c>
      <c r="L3477" s="17">
        <f>HYPERLINK("http://www.monitr.be", "www.monitr.be")</f>
      </c>
      <c r="M3477" s="17">
        <f>HYPERLINK("https://my.pitchbook.com?c=492865-39", "View Company Online")</f>
      </c>
    </row>
    <row r="3478">
      <c r="A3478" t="s" s="10">
        <v>17668</v>
      </c>
      <c r="B3478" t="s" s="10">
        <v>17669</v>
      </c>
      <c r="C3478" t="s" s="10">
        <v>114</v>
      </c>
      <c r="D3478" t="s" s="10">
        <v>115</v>
      </c>
      <c r="E3478" t="s" s="10">
        <v>2782</v>
      </c>
      <c r="F3478" s="27">
        <v>44594</v>
      </c>
      <c r="G3478" t="s" s="10">
        <v>4267</v>
      </c>
      <c r="H3478" s="42">
        <v>2.07</v>
      </c>
      <c r="I3478" s="42">
        <v>3.94</v>
      </c>
      <c r="J3478" t="s" s="10">
        <v>17670</v>
      </c>
      <c r="K3478" t="s" s="10">
        <v>14886</v>
      </c>
      <c r="L3478" s="16">
        <f>HYPERLINK("http://www.financenation.com", "www.financenation.com")</f>
      </c>
      <c r="M3478" s="16">
        <f>HYPERLINK("https://my.pitchbook.com?c=491080-06", "View Company Online")</f>
      </c>
    </row>
    <row r="3479">
      <c r="A3479" t="s" s="11">
        <v>17672</v>
      </c>
      <c r="B3479" t="s" s="11">
        <v>17673</v>
      </c>
      <c r="C3479" t="s" s="11">
        <v>60</v>
      </c>
      <c r="D3479" t="s" s="11">
        <v>246</v>
      </c>
      <c r="E3479" t="s" s="11">
        <v>1826</v>
      </c>
      <c r="F3479" s="28">
        <v>43957</v>
      </c>
      <c r="G3479" t="s" s="11">
        <v>40</v>
      </c>
      <c r="H3479" s="43">
        <v>0.26</v>
      </c>
      <c r="I3479" s="43">
        <v>3.92</v>
      </c>
      <c r="J3479" t="s" s="11">
        <v>17674</v>
      </c>
      <c r="K3479" t="s" s="11">
        <v>17675</v>
      </c>
      <c r="L3479" s="17">
        <f>HYPERLINK("http://www.loanadda.com", "www.loanadda.com")</f>
      </c>
      <c r="M3479" s="17">
        <f>HYPERLINK("https://my.pitchbook.com?c=222725-98", "View Company Online")</f>
      </c>
    </row>
    <row r="3480">
      <c r="A3480" t="s" s="10">
        <v>17677</v>
      </c>
      <c r="B3480" t="s" s="10">
        <v>17678</v>
      </c>
      <c r="C3480" t="s" s="10">
        <v>222</v>
      </c>
      <c r="D3480" t="s" s="10">
        <v>223</v>
      </c>
      <c r="E3480" t="s" s="10">
        <v>373</v>
      </c>
      <c r="F3480" s="27">
        <v>45898</v>
      </c>
      <c r="G3480" t="s" s="10">
        <v>4267</v>
      </c>
      <c r="H3480" s="42">
        <v>0.4</v>
      </c>
      <c r="I3480" s="42">
        <v>3.9</v>
      </c>
      <c r="J3480" t="s" s="10">
        <v>17679</v>
      </c>
      <c r="K3480" t="s" s="10">
        <v>30</v>
      </c>
      <c r="L3480" s="16">
        <f>HYPERLINK("http://www.vizmark.io", "www.vizmark.io")</f>
      </c>
      <c r="M3480" s="16">
        <f>HYPERLINK("https://my.pitchbook.com?c=902497-33", "View Company Online")</f>
      </c>
    </row>
    <row r="3481">
      <c r="A3481" t="s" s="11">
        <v>17681</v>
      </c>
      <c r="B3481" t="s" s="11">
        <v>17682</v>
      </c>
      <c r="C3481" t="s" s="11">
        <v>46</v>
      </c>
      <c r="D3481" t="s" s="11">
        <v>47</v>
      </c>
      <c r="E3481" t="s" s="11">
        <v>259</v>
      </c>
      <c r="F3481" t="s" s="28">
        <v>30</v>
      </c>
      <c r="G3481" t="s" s="11">
        <v>4267</v>
      </c>
      <c r="H3481" s="43">
        <v>2</v>
      </c>
      <c r="I3481" s="43">
        <v>3.88</v>
      </c>
      <c r="J3481" t="s" s="11">
        <v>17683</v>
      </c>
      <c r="K3481" t="s" s="11">
        <v>17684</v>
      </c>
      <c r="L3481" s="17">
        <f>HYPERLINK("http://www.troccircle.com", "www.troccircle.com")</f>
      </c>
      <c r="M3481" s="17">
        <f>HYPERLINK("https://my.pitchbook.com?c=455178-25", "View Company Online")</f>
      </c>
    </row>
    <row r="3482">
      <c r="A3482" t="s" s="10">
        <v>17686</v>
      </c>
      <c r="B3482" t="s" s="10">
        <v>17687</v>
      </c>
      <c r="C3482" t="s" s="10">
        <v>60</v>
      </c>
      <c r="D3482" t="s" s="10">
        <v>192</v>
      </c>
      <c r="E3482" t="s" s="10">
        <v>137</v>
      </c>
      <c r="F3482" t="s" s="27">
        <v>30</v>
      </c>
      <c r="G3482" t="s" s="10">
        <v>607</v>
      </c>
      <c r="H3482" t="s" s="42">
        <v>30</v>
      </c>
      <c r="I3482" s="42">
        <v>3.87</v>
      </c>
      <c r="J3482" t="s" s="10">
        <v>17688</v>
      </c>
      <c r="K3482" t="s" s="10">
        <v>17689</v>
      </c>
      <c r="L3482" s="16">
        <f>HYPERLINK("http://www.growbeansprout.com", "www.growbeansprout.com")</f>
      </c>
      <c r="M3482" s="16">
        <f>HYPERLINK("https://my.pitchbook.com?c=509733-64", "View Company Online")</f>
      </c>
    </row>
    <row r="3483">
      <c r="A3483" t="s" s="11">
        <v>17691</v>
      </c>
      <c r="B3483" t="s" s="11">
        <v>17692</v>
      </c>
      <c r="C3483" t="s" s="11">
        <v>46</v>
      </c>
      <c r="D3483" t="s" s="11">
        <v>47</v>
      </c>
      <c r="E3483" t="s" s="11">
        <v>137</v>
      </c>
      <c r="F3483" s="28">
        <v>45887</v>
      </c>
      <c r="G3483" t="s" s="11">
        <v>40</v>
      </c>
      <c r="H3483" s="43">
        <v>2.36</v>
      </c>
      <c r="I3483" s="43">
        <v>3.87</v>
      </c>
      <c r="J3483" t="s" s="11">
        <v>17693</v>
      </c>
      <c r="K3483" t="s" s="11">
        <v>17694</v>
      </c>
      <c r="L3483" s="17">
        <f>HYPERLINK("http://www.flow-cares.ai", "www.flow-cares.ai")</f>
      </c>
      <c r="M3483" s="17">
        <f>HYPERLINK("https://my.pitchbook.com?c=229961-17", "View Company Online")</f>
      </c>
    </row>
    <row r="3484">
      <c r="A3484" t="s" s="10">
        <v>17696</v>
      </c>
      <c r="B3484" t="s" s="10">
        <v>17697</v>
      </c>
      <c r="C3484" t="s" s="10">
        <v>60</v>
      </c>
      <c r="D3484" t="s" s="10">
        <v>246</v>
      </c>
      <c r="E3484" t="s" s="10">
        <v>1219</v>
      </c>
      <c r="F3484" s="27">
        <v>45894</v>
      </c>
      <c r="G3484" t="s" s="10">
        <v>40</v>
      </c>
      <c r="H3484" s="42">
        <v>22</v>
      </c>
      <c r="I3484" s="42">
        <v>3.87</v>
      </c>
      <c r="J3484" t="s" s="10">
        <v>17698</v>
      </c>
      <c r="K3484" t="s" s="10">
        <v>17699</v>
      </c>
      <c r="L3484" s="16">
        <f>HYPERLINK("http://www.useholo.com", "www.useholo.com")</f>
      </c>
      <c r="M3484" s="16">
        <f>HYPERLINK("https://my.pitchbook.com?c=399579-40", "View Company Online")</f>
      </c>
    </row>
    <row r="3485">
      <c r="A3485" t="s" s="11">
        <v>17701</v>
      </c>
      <c r="B3485" t="s" s="11">
        <v>17702</v>
      </c>
      <c r="C3485" t="s" s="11">
        <v>46</v>
      </c>
      <c r="D3485" t="s" s="11">
        <v>915</v>
      </c>
      <c r="E3485" t="s" s="11">
        <v>17703</v>
      </c>
      <c r="F3485" s="28">
        <v>46051</v>
      </c>
      <c r="G3485" t="s" s="11">
        <v>4267</v>
      </c>
      <c r="H3485" s="43">
        <v>1.01</v>
      </c>
      <c r="I3485" s="43">
        <v>3.86</v>
      </c>
      <c r="J3485" t="s" s="11">
        <v>17704</v>
      </c>
      <c r="K3485" t="s" s="11">
        <v>17705</v>
      </c>
      <c r="L3485" s="17">
        <f>HYPERLINK("http://earthsync.io", "earthsync.io")</f>
      </c>
      <c r="M3485" s="17">
        <f>HYPERLINK("https://my.pitchbook.com?c=903479-41", "View Company Online")</f>
      </c>
    </row>
    <row r="3486">
      <c r="A3486" t="s" s="10">
        <v>17707</v>
      </c>
      <c r="B3486" t="s" s="10">
        <v>17708</v>
      </c>
      <c r="C3486" t="s" s="10">
        <v>60</v>
      </c>
      <c r="D3486" t="s" s="10">
        <v>727</v>
      </c>
      <c r="E3486" t="s" s="10">
        <v>759</v>
      </c>
      <c r="F3486" s="27">
        <v>46082</v>
      </c>
      <c r="G3486" t="s" s="10">
        <v>186</v>
      </c>
      <c r="H3486" s="42">
        <v>6.51</v>
      </c>
      <c r="I3486" s="42">
        <v>3.86</v>
      </c>
      <c r="J3486" t="s" s="10">
        <v>17709</v>
      </c>
      <c r="K3486" t="s" s="10">
        <v>17710</v>
      </c>
      <c r="L3486" s="16">
        <f>HYPERLINK("http://www.indexacapital.com", "www.indexacapital.com")</f>
      </c>
      <c r="M3486" s="16">
        <f>HYPERLINK("https://my.pitchbook.com?c=149719-42", "View Company Online")</f>
      </c>
    </row>
    <row r="3487">
      <c r="A3487" t="s" s="11">
        <v>17712</v>
      </c>
      <c r="B3487" t="s" s="11">
        <v>17713</v>
      </c>
      <c r="C3487" t="s" s="11">
        <v>164</v>
      </c>
      <c r="D3487" t="s" s="11">
        <v>165</v>
      </c>
      <c r="E3487" t="s" s="11">
        <v>634</v>
      </c>
      <c r="F3487" t="s" s="28">
        <v>30</v>
      </c>
      <c r="G3487" t="s" s="11">
        <v>48</v>
      </c>
      <c r="H3487" t="s" s="43">
        <v>30</v>
      </c>
      <c r="I3487" s="43">
        <v>3.85</v>
      </c>
      <c r="J3487" t="s" s="11">
        <v>17714</v>
      </c>
      <c r="K3487" t="s" s="11">
        <v>30</v>
      </c>
      <c r="L3487" s="17">
        <f>HYPERLINK("http://www.formcept.com", "www.formcept.com")</f>
      </c>
      <c r="M3487" s="17">
        <f>HYPERLINK("https://my.pitchbook.com?c=84687-31", "View Company Online")</f>
      </c>
    </row>
    <row r="3488">
      <c r="A3488" t="s" s="10">
        <v>17716</v>
      </c>
      <c r="B3488" t="s" s="10">
        <v>17717</v>
      </c>
      <c r="C3488" t="s" s="10">
        <v>164</v>
      </c>
      <c r="D3488" t="s" s="10">
        <v>206</v>
      </c>
      <c r="E3488" t="s" s="10">
        <v>373</v>
      </c>
      <c r="F3488" s="27">
        <v>45672</v>
      </c>
      <c r="G3488" t="s" s="10">
        <v>4267</v>
      </c>
      <c r="H3488" s="42">
        <v>1</v>
      </c>
      <c r="I3488" s="42">
        <v>3.85</v>
      </c>
      <c r="J3488" t="s" s="10">
        <v>17718</v>
      </c>
      <c r="K3488" t="s" s="10">
        <v>17719</v>
      </c>
      <c r="L3488" s="16">
        <f>HYPERLINK("http://www.oqu.ai", "www.oqu.ai")</f>
      </c>
      <c r="M3488" s="16">
        <f>HYPERLINK("https://my.pitchbook.com?c=691804-99", "View Company Online")</f>
      </c>
    </row>
    <row r="3489">
      <c r="A3489" t="s" s="11">
        <v>17721</v>
      </c>
      <c r="B3489" t="s" s="11">
        <v>17722</v>
      </c>
      <c r="C3489" t="s" s="11">
        <v>60</v>
      </c>
      <c r="D3489" t="s" s="11">
        <v>727</v>
      </c>
      <c r="E3489" t="s" s="11">
        <v>2782</v>
      </c>
      <c r="F3489" s="28">
        <v>45664</v>
      </c>
      <c r="G3489" t="s" s="11">
        <v>271</v>
      </c>
      <c r="H3489" s="43">
        <v>0.57</v>
      </c>
      <c r="I3489" s="43">
        <v>3.84</v>
      </c>
      <c r="J3489" t="s" s="11">
        <v>17723</v>
      </c>
      <c r="K3489" t="s" s="11">
        <v>17724</v>
      </c>
      <c r="L3489" s="17">
        <f>HYPERLINK("http://www.simpleestate.ru", "www.simpleestate.ru")</f>
      </c>
      <c r="M3489" s="17">
        <f>HYPERLINK("https://my.pitchbook.com?c=436254-22", "View Company Online")</f>
      </c>
    </row>
    <row r="3490">
      <c r="A3490" t="s" s="10">
        <v>17726</v>
      </c>
      <c r="B3490" t="s" s="10">
        <v>17727</v>
      </c>
      <c r="C3490" t="s" s="10">
        <v>60</v>
      </c>
      <c r="D3490" t="s" s="10">
        <v>246</v>
      </c>
      <c r="E3490" t="s" s="10">
        <v>29</v>
      </c>
      <c r="F3490" s="27">
        <v>46084</v>
      </c>
      <c r="G3490" t="s" s="10">
        <v>40</v>
      </c>
      <c r="H3490" s="42">
        <v>7.09</v>
      </c>
      <c r="I3490" s="42">
        <v>3.83</v>
      </c>
      <c r="J3490" t="s" s="10">
        <v>17728</v>
      </c>
      <c r="K3490" t="s" s="10">
        <v>17729</v>
      </c>
      <c r="L3490" s="16">
        <f>HYPERLINK("http://www.wealthyhood.com", "www.wealthyhood.com")</f>
      </c>
      <c r="M3490" s="16">
        <f>HYPERLINK("https://my.pitchbook.com?c=452766-16", "View Company Online")</f>
      </c>
    </row>
    <row r="3491">
      <c r="A3491" t="s" s="11">
        <v>17731</v>
      </c>
      <c r="B3491" t="s" s="11">
        <v>17732</v>
      </c>
      <c r="C3491" t="s" s="11">
        <v>222</v>
      </c>
      <c r="D3491" t="s" s="11">
        <v>223</v>
      </c>
      <c r="E3491" t="s" s="11">
        <v>634</v>
      </c>
      <c r="F3491" t="s" s="28">
        <v>30</v>
      </c>
      <c r="G3491" t="s" s="11">
        <v>146</v>
      </c>
      <c r="H3491" t="s" s="43">
        <v>30</v>
      </c>
      <c r="I3491" s="43">
        <v>3.82</v>
      </c>
      <c r="J3491" t="s" s="11">
        <v>17733</v>
      </c>
      <c r="K3491" t="s" s="11">
        <v>17734</v>
      </c>
      <c r="L3491" s="17">
        <f>HYPERLINK("http://www.dealpotential.com", "www.dealpotential.com")</f>
      </c>
      <c r="M3491" s="17">
        <f>HYPERLINK("https://my.pitchbook.com?c=521003-26", "View Company Online")</f>
      </c>
    </row>
    <row r="3492">
      <c r="A3492" t="s" s="10">
        <v>17736</v>
      </c>
      <c r="B3492" t="s" s="10">
        <v>17737</v>
      </c>
      <c r="C3492" t="s" s="10">
        <v>60</v>
      </c>
      <c r="D3492" t="s" s="10">
        <v>727</v>
      </c>
      <c r="E3492" t="s" s="10">
        <v>17461</v>
      </c>
      <c r="F3492" s="27">
        <v>44678</v>
      </c>
      <c r="G3492" t="s" s="10">
        <v>4267</v>
      </c>
      <c r="H3492" s="42">
        <v>0.54</v>
      </c>
      <c r="I3492" s="42">
        <v>3.81</v>
      </c>
      <c r="J3492" t="s" s="10">
        <v>17738</v>
      </c>
      <c r="K3492" t="s" s="10">
        <v>30</v>
      </c>
      <c r="L3492" s="16">
        <f>HYPERLINK("http://www.flobers.com", "www.flobers.com")</f>
      </c>
      <c r="M3492" s="16">
        <f>HYPERLINK("https://my.pitchbook.com?c=496002-88", "View Company Online")</f>
      </c>
    </row>
    <row r="3493">
      <c r="A3493" t="s" s="11">
        <v>17740</v>
      </c>
      <c r="B3493" t="s" s="11">
        <v>17741</v>
      </c>
      <c r="C3493" t="s" s="11">
        <v>46</v>
      </c>
      <c r="D3493" t="s" s="11">
        <v>397</v>
      </c>
      <c r="E3493" t="s" s="11">
        <v>253</v>
      </c>
      <c r="F3493" s="28">
        <v>46195</v>
      </c>
      <c r="G3493" t="s" s="11">
        <v>2051</v>
      </c>
      <c r="H3493" t="s" s="43">
        <v>30</v>
      </c>
      <c r="I3493" s="43">
        <v>3.79</v>
      </c>
      <c r="J3493" t="s" s="11">
        <v>17742</v>
      </c>
      <c r="K3493" t="s" s="11">
        <v>30</v>
      </c>
      <c r="L3493" s="17">
        <f>HYPERLINK("http://www.mrshoebox.com", "www.mrshoebox.com")</f>
      </c>
      <c r="M3493" s="17">
        <f>HYPERLINK("https://my.pitchbook.com?c=160201-00", "View Company Online")</f>
      </c>
    </row>
    <row r="3494">
      <c r="A3494" t="s" s="10">
        <v>17744</v>
      </c>
      <c r="B3494" t="s" s="10">
        <v>17745</v>
      </c>
      <c r="C3494" t="s" s="10">
        <v>60</v>
      </c>
      <c r="D3494" t="s" s="10">
        <v>246</v>
      </c>
      <c r="E3494" t="s" s="10">
        <v>137</v>
      </c>
      <c r="F3494" s="27">
        <v>45887</v>
      </c>
      <c r="G3494" t="s" s="10">
        <v>4267</v>
      </c>
      <c r="H3494" s="42">
        <v>1.07</v>
      </c>
      <c r="I3494" s="42">
        <v>3.78</v>
      </c>
      <c r="J3494" t="s" s="10">
        <v>17746</v>
      </c>
      <c r="K3494" t="s" s="10">
        <v>17747</v>
      </c>
      <c r="L3494" s="16">
        <f>HYPERLINK("http://www.rulemoney.co.uk", "www.rulemoney.co.uk")</f>
      </c>
      <c r="M3494" s="16">
        <f>HYPERLINK("https://my.pitchbook.com?c=591507-82", "View Company Online")</f>
      </c>
    </row>
    <row r="3495">
      <c r="A3495" t="s" s="11">
        <v>17749</v>
      </c>
      <c r="B3495" t="s" s="11">
        <v>17750</v>
      </c>
      <c r="C3495" t="s" s="11">
        <v>60</v>
      </c>
      <c r="D3495" t="s" s="11">
        <v>727</v>
      </c>
      <c r="E3495" t="s" s="11">
        <v>373</v>
      </c>
      <c r="F3495" s="28">
        <v>46162</v>
      </c>
      <c r="G3495" t="s" s="11">
        <v>40</v>
      </c>
      <c r="H3495" s="43">
        <v>14.05</v>
      </c>
      <c r="I3495" s="43">
        <v>3.77</v>
      </c>
      <c r="J3495" t="s" s="11">
        <v>17751</v>
      </c>
      <c r="K3495" t="s" s="11">
        <v>17752</v>
      </c>
      <c r="L3495" s="17">
        <f>HYPERLINK("http://www.getquin.com", "www.getquin.com")</f>
      </c>
      <c r="M3495" s="17">
        <f>HYPERLINK("https://my.pitchbook.com?c=327240-37", "View Company Online")</f>
      </c>
    </row>
    <row r="3496">
      <c r="A3496" t="s" s="10">
        <v>17754</v>
      </c>
      <c r="B3496" t="s" s="10">
        <v>17755</v>
      </c>
      <c r="C3496" t="s" s="10">
        <v>60</v>
      </c>
      <c r="D3496" t="s" s="10">
        <v>192</v>
      </c>
      <c r="E3496" t="s" s="10">
        <v>253</v>
      </c>
      <c r="F3496" s="27">
        <v>45755</v>
      </c>
      <c r="G3496" t="s" s="10">
        <v>607</v>
      </c>
      <c r="H3496" t="s" s="42">
        <v>30</v>
      </c>
      <c r="I3496" s="42">
        <v>3.76</v>
      </c>
      <c r="J3496" t="s" s="10">
        <v>17756</v>
      </c>
      <c r="K3496" t="s" s="10">
        <v>17757</v>
      </c>
      <c r="L3496" s="16">
        <f>HYPERLINK("http://www.etcho.io", "www.etcho.io")</f>
      </c>
      <c r="M3496" s="16">
        <f>HYPERLINK("https://my.pitchbook.com?c=489366-01", "View Company Online")</f>
      </c>
    </row>
    <row r="3497">
      <c r="A3497" t="s" s="11">
        <v>17759</v>
      </c>
      <c r="B3497" t="s" s="11">
        <v>17760</v>
      </c>
      <c r="C3497" t="s" s="11">
        <v>46</v>
      </c>
      <c r="D3497" t="s" s="11">
        <v>397</v>
      </c>
      <c r="E3497" t="s" s="11">
        <v>137</v>
      </c>
      <c r="F3497" s="28">
        <v>45181</v>
      </c>
      <c r="G3497" t="s" s="11">
        <v>4267</v>
      </c>
      <c r="H3497" s="43">
        <v>1.51</v>
      </c>
      <c r="I3497" s="43">
        <v>3.76</v>
      </c>
      <c r="J3497" t="s" s="11">
        <v>17761</v>
      </c>
      <c r="K3497" t="s" s="11">
        <v>17762</v>
      </c>
      <c r="L3497" s="17">
        <f>HYPERLINK("http://www.eye2scan.com", "www.eye2scan.com")</f>
      </c>
      <c r="M3497" s="17">
        <f>HYPERLINK("https://my.pitchbook.com?c=535388-14", "View Company Online")</f>
      </c>
    </row>
    <row r="3498">
      <c r="A3498" t="s" s="10">
        <v>17764</v>
      </c>
      <c r="B3498" t="s" s="10">
        <v>17765</v>
      </c>
      <c r="C3498" t="s" s="10">
        <v>114</v>
      </c>
      <c r="D3498" t="s" s="10">
        <v>136</v>
      </c>
      <c r="E3498" t="s" s="10">
        <v>414</v>
      </c>
      <c r="F3498" s="27">
        <v>44337</v>
      </c>
      <c r="G3498" t="s" s="10">
        <v>146</v>
      </c>
      <c r="H3498" s="42">
        <v>12.1</v>
      </c>
      <c r="I3498" s="42">
        <v>3.74</v>
      </c>
      <c r="J3498" t="s" s="10">
        <v>17766</v>
      </c>
      <c r="K3498" t="s" s="10">
        <v>17767</v>
      </c>
      <c r="L3498" s="16">
        <f>HYPERLINK("http://www.avanseo.eu", "www.avanseo.eu")</f>
      </c>
      <c r="M3498" s="16">
        <f>HYPERLINK("https://my.pitchbook.com?c=225780-85", "View Company Online")</f>
      </c>
    </row>
    <row r="3499">
      <c r="A3499" t="s" s="11">
        <v>17769</v>
      </c>
      <c r="B3499" t="s" s="11">
        <v>17770</v>
      </c>
      <c r="C3499" t="s" s="11">
        <v>128</v>
      </c>
      <c r="D3499" t="s" s="11">
        <v>199</v>
      </c>
      <c r="E3499" t="s" s="11">
        <v>193</v>
      </c>
      <c r="F3499" s="28">
        <v>46139</v>
      </c>
      <c r="G3499" t="s" s="11">
        <v>2051</v>
      </c>
      <c r="H3499" t="s" s="43">
        <v>30</v>
      </c>
      <c r="I3499" s="43">
        <v>3.74</v>
      </c>
      <c r="J3499" t="s" s="11">
        <v>17771</v>
      </c>
      <c r="K3499" t="s" s="11">
        <v>30</v>
      </c>
      <c r="L3499" s="17">
        <f>HYPERLINK("http://www.cardblanch.com", "www.cardblanch.com")</f>
      </c>
      <c r="M3499" s="17">
        <f>HYPERLINK("https://my.pitchbook.com?c=481334-23", "View Company Online")</f>
      </c>
    </row>
    <row r="3500">
      <c r="A3500" t="s" s="10">
        <v>17773</v>
      </c>
      <c r="B3500" t="s" s="10">
        <v>17774</v>
      </c>
      <c r="C3500" t="s" s="10">
        <v>46</v>
      </c>
      <c r="D3500" t="s" s="10">
        <v>47</v>
      </c>
      <c r="E3500" t="s" s="10">
        <v>253</v>
      </c>
      <c r="F3500" s="27">
        <v>44628</v>
      </c>
      <c r="G3500" t="s" s="10">
        <v>4267</v>
      </c>
      <c r="H3500" s="42">
        <v>1.24</v>
      </c>
      <c r="I3500" s="42">
        <v>3.73</v>
      </c>
      <c r="J3500" t="s" s="10">
        <v>17775</v>
      </c>
      <c r="K3500" t="s" s="10">
        <v>17776</v>
      </c>
      <c r="L3500" s="16">
        <f>HYPERLINK("http://www.leanpay.io", "www.leanpay.io")</f>
      </c>
      <c r="M3500" s="16">
        <f>HYPERLINK("https://my.pitchbook.com?c=496713-25", "View Company Online")</f>
      </c>
    </row>
    <row r="3501">
      <c r="A3501" t="s" s="11">
        <v>17778</v>
      </c>
      <c r="B3501" t="s" s="11">
        <v>17779</v>
      </c>
      <c r="C3501" t="s" s="11">
        <v>37</v>
      </c>
      <c r="D3501" t="s" s="11">
        <v>38</v>
      </c>
      <c r="E3501" t="s" s="11">
        <v>973</v>
      </c>
      <c r="F3501" s="28">
        <v>45714</v>
      </c>
      <c r="G3501" t="s" s="11">
        <v>4267</v>
      </c>
      <c r="H3501" s="43">
        <v>2</v>
      </c>
      <c r="I3501" s="43">
        <v>3.71</v>
      </c>
      <c r="J3501" t="s" s="11">
        <v>17780</v>
      </c>
      <c r="K3501" t="s" s="11">
        <v>17781</v>
      </c>
      <c r="L3501" s="17">
        <f>HYPERLINK("http://www.hiwipay.com", "www.hiwipay.com")</f>
      </c>
      <c r="M3501" s="17">
        <f>HYPERLINK("https://my.pitchbook.com?c=532628-11", "View Company Online")</f>
      </c>
    </row>
    <row r="3502">
      <c r="A3502" t="s" s="10">
        <v>17783</v>
      </c>
      <c r="B3502" t="s" s="10">
        <v>17784</v>
      </c>
      <c r="C3502" t="s" s="10">
        <v>60</v>
      </c>
      <c r="D3502" t="s" s="10">
        <v>727</v>
      </c>
      <c r="E3502" t="s" s="10">
        <v>6240</v>
      </c>
      <c r="F3502" s="27">
        <v>44821</v>
      </c>
      <c r="G3502" t="s" s="10">
        <v>271</v>
      </c>
      <c r="H3502" s="42">
        <v>0.12</v>
      </c>
      <c r="I3502" s="42">
        <v>3.71</v>
      </c>
      <c r="J3502" t="s" s="10">
        <v>17785</v>
      </c>
      <c r="K3502" t="s" s="10">
        <v>30</v>
      </c>
      <c r="L3502" s="16">
        <f>HYPERLINK("http://www.landex.ai", "www.landex.ai")</f>
      </c>
      <c r="M3502" s="16">
        <f>HYPERLINK("https://my.pitchbook.com?c=510015-07", "View Company Online")</f>
      </c>
    </row>
    <row r="3503">
      <c r="A3503" t="s" s="11">
        <v>17787</v>
      </c>
      <c r="B3503" t="s" s="11">
        <v>17788</v>
      </c>
      <c r="C3503" t="s" s="11">
        <v>114</v>
      </c>
      <c r="D3503" t="s" s="11">
        <v>870</v>
      </c>
      <c r="E3503" t="s" s="11">
        <v>1266</v>
      </c>
      <c r="F3503" s="28">
        <v>45801</v>
      </c>
      <c r="G3503" t="s" s="11">
        <v>40</v>
      </c>
      <c r="H3503" s="43">
        <v>5.8</v>
      </c>
      <c r="I3503" s="43">
        <v>3.7</v>
      </c>
      <c r="J3503" t="s" s="11">
        <v>17789</v>
      </c>
      <c r="K3503" t="s" s="11">
        <v>17790</v>
      </c>
      <c r="L3503" s="17">
        <f>HYPERLINK("http://www.gyandhan.com", "www.gyandhan.com")</f>
      </c>
      <c r="M3503" s="17">
        <f>HYPERLINK("https://my.pitchbook.com?c=162505-63", "View Company Online")</f>
      </c>
    </row>
    <row r="3504">
      <c r="A3504" t="s" s="10">
        <v>17792</v>
      </c>
      <c r="B3504" t="s" s="10">
        <v>17793</v>
      </c>
      <c r="C3504" t="s" s="10">
        <v>222</v>
      </c>
      <c r="D3504" t="s" s="10">
        <v>235</v>
      </c>
      <c r="E3504" t="s" s="10">
        <v>5842</v>
      </c>
      <c r="F3504" s="27">
        <v>46038</v>
      </c>
      <c r="G3504" t="s" s="10">
        <v>146</v>
      </c>
      <c r="H3504" s="42">
        <v>1.17</v>
      </c>
      <c r="I3504" s="42">
        <v>3.69</v>
      </c>
      <c r="J3504" t="s" s="10">
        <v>17794</v>
      </c>
      <c r="K3504" t="s" s="10">
        <v>17795</v>
      </c>
      <c r="L3504" s="16">
        <f>HYPERLINK("http://www.gamevestor.co", "www.gamevestor.co")</f>
      </c>
      <c r="M3504" s="16">
        <f>HYPERLINK("https://my.pitchbook.com?c=1241950-06", "View Company Online")</f>
      </c>
    </row>
    <row r="3505">
      <c r="A3505" t="s" s="11">
        <v>17797</v>
      </c>
      <c r="B3505" t="s" s="11">
        <v>17798</v>
      </c>
      <c r="C3505" t="s" s="11">
        <v>222</v>
      </c>
      <c r="D3505" t="s" s="11">
        <v>235</v>
      </c>
      <c r="E3505" t="s" s="11">
        <v>253</v>
      </c>
      <c r="F3505" s="28">
        <v>45698</v>
      </c>
      <c r="G3505" t="s" s="11">
        <v>4267</v>
      </c>
      <c r="H3505" s="43">
        <v>0.58</v>
      </c>
      <c r="I3505" s="43">
        <v>3.69</v>
      </c>
      <c r="J3505" t="s" s="11">
        <v>17799</v>
      </c>
      <c r="K3505" t="s" s="11">
        <v>17800</v>
      </c>
      <c r="L3505" s="17">
        <f>HYPERLINK("http://www.rebloom.ai", "www.rebloom.ai")</f>
      </c>
      <c r="M3505" s="17">
        <f>HYPERLINK("https://my.pitchbook.com?c=747969-67", "View Company Online")</f>
      </c>
    </row>
    <row r="3506">
      <c r="A3506" t="s" s="10">
        <v>17802</v>
      </c>
      <c r="B3506" t="s" s="10">
        <v>17803</v>
      </c>
      <c r="C3506" t="s" s="10">
        <v>128</v>
      </c>
      <c r="D3506" t="s" s="10">
        <v>129</v>
      </c>
      <c r="E3506" t="s" s="10">
        <v>62</v>
      </c>
      <c r="F3506" s="27">
        <v>45819</v>
      </c>
      <c r="G3506" t="s" s="10">
        <v>607</v>
      </c>
      <c r="H3506" t="s" s="42">
        <v>30</v>
      </c>
      <c r="I3506" s="42">
        <v>3.68</v>
      </c>
      <c r="J3506" t="s" s="10">
        <v>17804</v>
      </c>
      <c r="K3506" t="s" s="10">
        <v>17805</v>
      </c>
      <c r="L3506" s="16">
        <f>HYPERLINK("http://www.foodcoin.global", "www.foodcoin.global")</f>
      </c>
      <c r="M3506" s="16">
        <f>HYPERLINK("https://my.pitchbook.com?c=491070-61", "View Company Online")</f>
      </c>
    </row>
    <row r="3507">
      <c r="A3507" t="s" s="11">
        <v>17807</v>
      </c>
      <c r="B3507" t="s" s="11">
        <v>17808</v>
      </c>
      <c r="C3507" t="s" s="11">
        <v>60</v>
      </c>
      <c r="D3507" t="s" s="11">
        <v>246</v>
      </c>
      <c r="E3507" t="s" s="11">
        <v>137</v>
      </c>
      <c r="F3507" s="28">
        <v>45912</v>
      </c>
      <c r="G3507" t="s" s="11">
        <v>607</v>
      </c>
      <c r="H3507" s="43">
        <v>0.42</v>
      </c>
      <c r="I3507" s="43">
        <v>3.67</v>
      </c>
      <c r="J3507" t="s" s="11">
        <v>17809</v>
      </c>
      <c r="K3507" t="s" s="11">
        <v>17810</v>
      </c>
      <c r="L3507" s="17">
        <f>HYPERLINK("http://www.haboomoney.com", "www.haboomoney.com")</f>
      </c>
      <c r="M3507" s="17">
        <f>HYPERLINK("https://my.pitchbook.com?c=969946-66", "View Company Online")</f>
      </c>
    </row>
    <row r="3508">
      <c r="A3508" t="s" s="10">
        <v>17812</v>
      </c>
      <c r="B3508" t="s" s="10">
        <v>17813</v>
      </c>
      <c r="C3508" t="s" s="10">
        <v>60</v>
      </c>
      <c r="D3508" t="s" s="10">
        <v>727</v>
      </c>
      <c r="E3508" t="s" s="10">
        <v>2782</v>
      </c>
      <c r="F3508" s="27">
        <v>45911</v>
      </c>
      <c r="G3508" t="s" s="10">
        <v>607</v>
      </c>
      <c r="H3508" s="42">
        <v>0.12</v>
      </c>
      <c r="I3508" s="42">
        <v>3.65</v>
      </c>
      <c r="J3508" t="s" s="10">
        <v>17814</v>
      </c>
      <c r="K3508" t="s" s="10">
        <v>17815</v>
      </c>
      <c r="L3508" s="16">
        <f>HYPERLINK("http://www.ourlegup.com", "www.ourlegup.com")</f>
      </c>
      <c r="M3508" s="16">
        <f>HYPERLINK("https://my.pitchbook.com?c=493232-41", "View Company Online")</f>
      </c>
    </row>
    <row r="3509">
      <c r="A3509" t="s" s="11">
        <v>17817</v>
      </c>
      <c r="B3509" t="s" s="11">
        <v>17818</v>
      </c>
      <c r="C3509" t="s" s="11">
        <v>144</v>
      </c>
      <c r="D3509" t="s" s="11">
        <v>297</v>
      </c>
      <c r="E3509" t="s" s="11">
        <v>17819</v>
      </c>
      <c r="F3509" s="28">
        <v>45645</v>
      </c>
      <c r="G3509" t="s" s="11">
        <v>146</v>
      </c>
      <c r="H3509" s="43">
        <v>4.5</v>
      </c>
      <c r="I3509" s="43">
        <v>3.62</v>
      </c>
      <c r="J3509" t="s" s="11">
        <v>17820</v>
      </c>
      <c r="K3509" t="s" s="11">
        <v>17821</v>
      </c>
      <c r="L3509" s="17">
        <f>HYPERLINK("http://www.quidcash.in", "www.quidcash.in")</f>
      </c>
      <c r="M3509" s="17">
        <f>HYPERLINK("https://my.pitchbook.com?c=588635-65", "View Company Online")</f>
      </c>
    </row>
    <row r="3510">
      <c r="A3510" t="s" s="10">
        <v>17823</v>
      </c>
      <c r="B3510" t="s" s="10">
        <v>17824</v>
      </c>
      <c r="C3510" t="s" s="10">
        <v>60</v>
      </c>
      <c r="D3510" t="s" s="10">
        <v>432</v>
      </c>
      <c r="E3510" t="s" s="10">
        <v>414</v>
      </c>
      <c r="F3510" s="27">
        <v>45091</v>
      </c>
      <c r="G3510" t="s" s="10">
        <v>146</v>
      </c>
      <c r="H3510" s="42">
        <v>0.59</v>
      </c>
      <c r="I3510" s="42">
        <v>3.61</v>
      </c>
      <c r="J3510" t="s" s="10">
        <v>17825</v>
      </c>
      <c r="K3510" t="s" s="10">
        <v>17826</v>
      </c>
      <c r="L3510" s="16">
        <f>HYPERLINK("http://www.odonatech.com", "www.odonatech.com")</f>
      </c>
      <c r="M3510" s="16">
        <f>HYPERLINK("https://my.pitchbook.com?c=459085-69", "View Company Online")</f>
      </c>
    </row>
    <row r="3511">
      <c r="A3511" t="s" s="11">
        <v>17828</v>
      </c>
      <c r="B3511" t="s" s="11">
        <v>17829</v>
      </c>
      <c r="C3511" t="s" s="11">
        <v>60</v>
      </c>
      <c r="D3511" t="s" s="11">
        <v>61</v>
      </c>
      <c r="E3511" t="s" s="11">
        <v>137</v>
      </c>
      <c r="F3511" s="28">
        <v>45268</v>
      </c>
      <c r="G3511" t="s" s="11">
        <v>607</v>
      </c>
      <c r="H3511" t="s" s="43">
        <v>30</v>
      </c>
      <c r="I3511" s="43">
        <v>3.61</v>
      </c>
      <c r="J3511" t="s" s="11">
        <v>17830</v>
      </c>
      <c r="K3511" t="s" s="11">
        <v>17831</v>
      </c>
      <c r="L3511" s="17">
        <f>HYPERLINK("http://www.wrightresearch.in", "www.wrightresearch.in")</f>
      </c>
      <c r="M3511" s="17">
        <f>HYPERLINK("https://my.pitchbook.com?c=458725-60", "View Company Online")</f>
      </c>
    </row>
    <row r="3512">
      <c r="A3512" t="s" s="10">
        <v>17833</v>
      </c>
      <c r="B3512" t="s" s="10">
        <v>17834</v>
      </c>
      <c r="C3512" t="s" s="10">
        <v>46</v>
      </c>
      <c r="D3512" t="s" s="10">
        <v>915</v>
      </c>
      <c r="E3512" t="s" s="10">
        <v>414</v>
      </c>
      <c r="F3512" s="27">
        <v>44783</v>
      </c>
      <c r="G3512" t="s" s="10">
        <v>607</v>
      </c>
      <c r="H3512" s="42">
        <v>0.5</v>
      </c>
      <c r="I3512" s="42">
        <v>3.6</v>
      </c>
      <c r="J3512" t="s" s="10">
        <v>17835</v>
      </c>
      <c r="K3512" t="s" s="10">
        <v>17836</v>
      </c>
      <c r="L3512" s="16">
        <f>HYPERLINK("http://www.delegasi.co", "www.delegasi.co")</f>
      </c>
      <c r="M3512" s="16">
        <f>HYPERLINK("https://my.pitchbook.com?c=509760-28", "View Company Online")</f>
      </c>
    </row>
    <row r="3513">
      <c r="A3513" t="s" s="11">
        <v>17838</v>
      </c>
      <c r="B3513" t="s" s="11">
        <v>17839</v>
      </c>
      <c r="C3513" t="s" s="11">
        <v>60</v>
      </c>
      <c r="D3513" t="s" s="11">
        <v>246</v>
      </c>
      <c r="E3513" t="s" s="11">
        <v>1652</v>
      </c>
      <c r="F3513" s="28">
        <v>44999</v>
      </c>
      <c r="G3513" t="s" s="11">
        <v>4267</v>
      </c>
      <c r="H3513" s="43">
        <v>0.28</v>
      </c>
      <c r="I3513" s="43">
        <v>3.58</v>
      </c>
      <c r="J3513" t="s" s="11">
        <v>17840</v>
      </c>
      <c r="K3513" t="s" s="11">
        <v>17841</v>
      </c>
      <c r="L3513" s="17">
        <f>HYPERLINK("http://www.novamoney.com", "www.novamoney.com")</f>
      </c>
      <c r="M3513" s="17">
        <f>HYPERLINK("https://my.pitchbook.com?c=462390-40", "View Company Online")</f>
      </c>
    </row>
    <row r="3514">
      <c r="A3514" t="s" s="10">
        <v>17843</v>
      </c>
      <c r="B3514" t="s" s="10">
        <v>17844</v>
      </c>
      <c r="C3514" t="s" s="10">
        <v>164</v>
      </c>
      <c r="D3514" t="s" s="10">
        <v>206</v>
      </c>
      <c r="E3514" t="s" s="10">
        <v>137</v>
      </c>
      <c r="F3514" s="27">
        <v>45566</v>
      </c>
      <c r="G3514" t="s" s="10">
        <v>607</v>
      </c>
      <c r="H3514" t="s" s="42">
        <v>30</v>
      </c>
      <c r="I3514" s="42">
        <v>3.57</v>
      </c>
      <c r="J3514" t="s" s="10">
        <v>17845</v>
      </c>
      <c r="K3514" t="s" s="10">
        <v>17846</v>
      </c>
      <c r="L3514" s="16">
        <f>HYPERLINK("http://www.finx1.com", "www.finx1.com")</f>
      </c>
      <c r="M3514" s="16">
        <f>HYPERLINK("https://my.pitchbook.com?c=528165-91", "View Company Online")</f>
      </c>
    </row>
    <row r="3515">
      <c r="A3515" t="s" s="11">
        <v>17848</v>
      </c>
      <c r="B3515" t="s" s="11">
        <v>17849</v>
      </c>
      <c r="C3515" t="s" s="11">
        <v>60</v>
      </c>
      <c r="D3515" t="s" s="11">
        <v>432</v>
      </c>
      <c r="E3515" t="s" s="11">
        <v>367</v>
      </c>
      <c r="F3515" t="s" s="28">
        <v>30</v>
      </c>
      <c r="G3515" t="s" s="11">
        <v>48</v>
      </c>
      <c r="H3515" t="s" s="43">
        <v>30</v>
      </c>
      <c r="I3515" s="43">
        <v>3.57</v>
      </c>
      <c r="J3515" t="s" s="11">
        <v>17850</v>
      </c>
      <c r="K3515" t="s" s="11">
        <v>17851</v>
      </c>
      <c r="L3515" s="17">
        <f>HYPERLINK("http://www.placemake.io", "www.placemake.io")</f>
      </c>
      <c r="M3515" s="17">
        <f>HYPERLINK("https://my.pitchbook.com?c=268273-72", "View Company Online")</f>
      </c>
    </row>
    <row r="3516">
      <c r="A3516" t="s" s="10">
        <v>17853</v>
      </c>
      <c r="B3516" t="s" s="10">
        <v>17854</v>
      </c>
      <c r="C3516" t="s" s="10">
        <v>27</v>
      </c>
      <c r="D3516" t="s" s="10">
        <v>28</v>
      </c>
      <c r="E3516" t="s" s="10">
        <v>253</v>
      </c>
      <c r="F3516" t="s" s="27">
        <v>30</v>
      </c>
      <c r="G3516" t="s" s="10">
        <v>607</v>
      </c>
      <c r="H3516" t="s" s="42">
        <v>30</v>
      </c>
      <c r="I3516" s="42">
        <v>3.56</v>
      </c>
      <c r="J3516" t="s" s="10">
        <v>17855</v>
      </c>
      <c r="K3516" t="s" s="10">
        <v>17856</v>
      </c>
      <c r="L3516" s="16">
        <f>HYPERLINK("http://www.uelzpay.com", "www.uelzpay.com")</f>
      </c>
      <c r="M3516" s="16">
        <f>HYPERLINK("https://my.pitchbook.com?c=266662-45", "View Company Online")</f>
      </c>
    </row>
    <row r="3517">
      <c r="A3517" t="s" s="11">
        <v>17858</v>
      </c>
      <c r="B3517" t="s" s="11">
        <v>17859</v>
      </c>
      <c r="C3517" t="s" s="11">
        <v>60</v>
      </c>
      <c r="D3517" t="s" s="11">
        <v>192</v>
      </c>
      <c r="E3517" t="s" s="11">
        <v>2293</v>
      </c>
      <c r="F3517" s="28">
        <v>45386</v>
      </c>
      <c r="G3517" t="s" s="11">
        <v>607</v>
      </c>
      <c r="H3517" t="s" s="43">
        <v>30</v>
      </c>
      <c r="I3517" s="43">
        <v>3.55</v>
      </c>
      <c r="J3517" t="s" s="11">
        <v>17860</v>
      </c>
      <c r="K3517" t="s" s="11">
        <v>17861</v>
      </c>
      <c r="L3517" s="17">
        <f>HYPERLINK("http://www.beekin.co", "www.beekin.co")</f>
      </c>
      <c r="M3517" s="17">
        <f>HYPERLINK("https://my.pitchbook.com?c=184581-10", "View Company Online")</f>
      </c>
    </row>
    <row r="3518">
      <c r="A3518" t="s" s="10">
        <v>17863</v>
      </c>
      <c r="B3518" t="s" s="10">
        <v>17864</v>
      </c>
      <c r="C3518" t="s" s="10">
        <v>114</v>
      </c>
      <c r="D3518" t="s" s="10">
        <v>852</v>
      </c>
      <c r="E3518" t="s" s="10">
        <v>414</v>
      </c>
      <c r="F3518" s="27">
        <v>44915</v>
      </c>
      <c r="G3518" t="s" s="10">
        <v>146</v>
      </c>
      <c r="H3518" s="42">
        <v>0.5</v>
      </c>
      <c r="I3518" s="42">
        <v>3.55</v>
      </c>
      <c r="J3518" t="s" s="10">
        <v>17865</v>
      </c>
      <c r="K3518" t="s" s="10">
        <v>17866</v>
      </c>
      <c r="L3518" s="16">
        <f>HYPERLINK("http://scfpe.tech", "scfpe.tech")</f>
      </c>
      <c r="M3518" s="16">
        <f>HYPERLINK("https://my.pitchbook.com?c=515058-58", "View Company Online")</f>
      </c>
    </row>
    <row r="3519">
      <c r="A3519" t="s" s="11">
        <v>17868</v>
      </c>
      <c r="B3519" t="s" s="11">
        <v>17869</v>
      </c>
      <c r="C3519" t="s" s="11">
        <v>46</v>
      </c>
      <c r="D3519" t="s" s="11">
        <v>397</v>
      </c>
      <c r="E3519" t="s" s="11">
        <v>4087</v>
      </c>
      <c r="F3519" s="28">
        <v>46108</v>
      </c>
      <c r="G3519" t="s" s="11">
        <v>48</v>
      </c>
      <c r="H3519" t="s" s="43">
        <v>30</v>
      </c>
      <c r="I3519" s="43">
        <v>3.53</v>
      </c>
      <c r="J3519" t="s" s="11">
        <v>17870</v>
      </c>
      <c r="K3519" t="s" s="11">
        <v>17871</v>
      </c>
      <c r="L3519" s="17">
        <f>HYPERLINK("http://www.wrebit.se", "www.wrebit.se")</f>
      </c>
      <c r="M3519" s="17">
        <f>HYPERLINK("https://my.pitchbook.com?c=163399-42", "View Company Online")</f>
      </c>
    </row>
    <row r="3520">
      <c r="A3520" t="s" s="10">
        <v>17873</v>
      </c>
      <c r="B3520" t="s" s="10">
        <v>17874</v>
      </c>
      <c r="C3520" t="s" s="10">
        <v>114</v>
      </c>
      <c r="D3520" t="s" s="10">
        <v>136</v>
      </c>
      <c r="E3520" t="s" s="10">
        <v>137</v>
      </c>
      <c r="F3520" s="27">
        <v>46207</v>
      </c>
      <c r="G3520" t="s" s="10">
        <v>4427</v>
      </c>
      <c r="H3520" t="s" s="42">
        <v>30</v>
      </c>
      <c r="I3520" s="42">
        <v>3.52</v>
      </c>
      <c r="J3520" t="s" s="10">
        <v>17875</v>
      </c>
      <c r="K3520" t="s" s="10">
        <v>30</v>
      </c>
      <c r="L3520" s="16">
        <f>HYPERLINK("http://www.fundtier.com", "www.fundtier.com")</f>
      </c>
      <c r="M3520" s="16">
        <f>HYPERLINK("https://my.pitchbook.com?c=509785-75", "View Company Online")</f>
      </c>
    </row>
    <row r="3521">
      <c r="A3521" t="s" s="11">
        <v>17877</v>
      </c>
      <c r="B3521" t="s" s="11">
        <v>17878</v>
      </c>
      <c r="C3521" t="s" s="11">
        <v>172</v>
      </c>
      <c r="D3521" t="s" s="11">
        <v>338</v>
      </c>
      <c r="E3521" t="s" s="11">
        <v>17879</v>
      </c>
      <c r="F3521" s="28">
        <v>43158</v>
      </c>
      <c r="G3521" t="s" s="11">
        <v>146</v>
      </c>
      <c r="H3521" s="43">
        <v>1.24</v>
      </c>
      <c r="I3521" s="43">
        <v>3.51</v>
      </c>
      <c r="J3521" t="s" s="11">
        <v>17880</v>
      </c>
      <c r="K3521" t="s" s="11">
        <v>17881</v>
      </c>
      <c r="L3521" s="17">
        <f>HYPERLINK("http://www.jenidsolutions.com", "www.jenidsolutions.com")</f>
      </c>
      <c r="M3521" s="17">
        <f>HYPERLINK("https://my.pitchbook.com?c=158850-91", "View Company Online")</f>
      </c>
    </row>
    <row r="3522">
      <c r="A3522" t="s" s="10">
        <v>17883</v>
      </c>
      <c r="B3522" t="s" s="10">
        <v>17884</v>
      </c>
      <c r="C3522" t="s" s="10">
        <v>164</v>
      </c>
      <c r="D3522" t="s" s="10">
        <v>165</v>
      </c>
      <c r="E3522" t="s" s="10">
        <v>270</v>
      </c>
      <c r="F3522" s="27">
        <v>43466</v>
      </c>
      <c r="G3522" t="s" s="10">
        <v>607</v>
      </c>
      <c r="H3522" t="s" s="42">
        <v>30</v>
      </c>
      <c r="I3522" s="42">
        <v>3.5</v>
      </c>
      <c r="J3522" t="s" s="10">
        <v>17885</v>
      </c>
      <c r="K3522" t="s" s="10">
        <v>17886</v>
      </c>
      <c r="L3522" s="16">
        <f>HYPERLINK("http://www.getxerpa.com", "www.getxerpa.com")</f>
      </c>
      <c r="M3522" s="16">
        <f>HYPERLINK("https://my.pitchbook.com?c=183184-12", "View Company Online")</f>
      </c>
    </row>
    <row r="3523">
      <c r="A3523" t="s" s="11">
        <v>17888</v>
      </c>
      <c r="B3523" t="s" s="11">
        <v>17889</v>
      </c>
      <c r="C3523" t="s" s="11">
        <v>27</v>
      </c>
      <c r="D3523" t="s" s="11">
        <v>28</v>
      </c>
      <c r="E3523" t="s" s="11">
        <v>137</v>
      </c>
      <c r="F3523" s="28">
        <v>45901</v>
      </c>
      <c r="G3523" t="s" s="11">
        <v>146</v>
      </c>
      <c r="H3523" t="s" s="43">
        <v>30</v>
      </c>
      <c r="I3523" s="43">
        <v>3.5</v>
      </c>
      <c r="J3523" t="s" s="11">
        <v>17890</v>
      </c>
      <c r="K3523" t="s" s="11">
        <v>17891</v>
      </c>
      <c r="L3523" s="17">
        <f>HYPERLINK("http://www.rocketpay.co.in", "www.rocketpay.co.in")</f>
      </c>
      <c r="M3523" s="17">
        <f>HYPERLINK("https://my.pitchbook.com?c=509458-60", "View Company Online")</f>
      </c>
    </row>
    <row r="3524">
      <c r="A3524" t="s" s="10">
        <v>17893</v>
      </c>
      <c r="B3524" t="s" s="10">
        <v>17894</v>
      </c>
      <c r="C3524" t="s" s="10">
        <v>222</v>
      </c>
      <c r="D3524" t="s" s="10">
        <v>223</v>
      </c>
      <c r="E3524" t="s" s="10">
        <v>373</v>
      </c>
      <c r="F3524" s="27">
        <v>45807</v>
      </c>
      <c r="G3524" t="s" s="10">
        <v>4267</v>
      </c>
      <c r="H3524" s="42">
        <v>2</v>
      </c>
      <c r="I3524" s="42">
        <v>3.5</v>
      </c>
      <c r="J3524" t="s" s="10">
        <v>17895</v>
      </c>
      <c r="K3524" t="s" s="10">
        <v>8364</v>
      </c>
      <c r="L3524" s="16">
        <f>HYPERLINK("http://www.scalata.ai", "www.scalata.ai")</f>
      </c>
      <c r="M3524" s="16">
        <f>HYPERLINK("https://my.pitchbook.com?c=527528-98", "View Company Online")</f>
      </c>
    </row>
    <row r="3525">
      <c r="A3525" t="s" s="11">
        <v>17897</v>
      </c>
      <c r="B3525" t="s" s="11">
        <v>17898</v>
      </c>
      <c r="C3525" t="s" s="11">
        <v>114</v>
      </c>
      <c r="D3525" t="s" s="11">
        <v>1386</v>
      </c>
      <c r="E3525" t="s" s="11">
        <v>373</v>
      </c>
      <c r="F3525" t="s" s="28">
        <v>30</v>
      </c>
      <c r="G3525" t="s" s="11">
        <v>607</v>
      </c>
      <c r="H3525" t="s" s="43">
        <v>30</v>
      </c>
      <c r="I3525" s="43">
        <v>3.5</v>
      </c>
      <c r="J3525" t="s" s="11">
        <v>17899</v>
      </c>
      <c r="K3525" t="s" s="11">
        <v>17900</v>
      </c>
      <c r="L3525" s="17">
        <f>HYPERLINK("http://www.wiserpay.co", "www.wiserpay.co")</f>
      </c>
      <c r="M3525" s="17">
        <f>HYPERLINK("https://my.pitchbook.com?c=483367-60", "View Company Online")</f>
      </c>
    </row>
    <row r="3526">
      <c r="A3526" t="s" s="10">
        <v>17902</v>
      </c>
      <c r="B3526" t="s" s="10">
        <v>17903</v>
      </c>
      <c r="C3526" t="s" s="10">
        <v>37</v>
      </c>
      <c r="D3526" t="s" s="10">
        <v>38</v>
      </c>
      <c r="E3526" t="s" s="10">
        <v>137</v>
      </c>
      <c r="F3526" s="27">
        <v>45757</v>
      </c>
      <c r="G3526" t="s" s="10">
        <v>391</v>
      </c>
      <c r="H3526" s="42">
        <v>83.04</v>
      </c>
      <c r="I3526" s="42">
        <v>3.49</v>
      </c>
      <c r="J3526" t="s" s="10">
        <v>17904</v>
      </c>
      <c r="K3526" t="s" s="10">
        <v>30</v>
      </c>
      <c r="L3526" s="16">
        <f>HYPERLINK("http://www.linebank.com.tw", "www.linebank.com.tw")</f>
      </c>
      <c r="M3526" s="16">
        <f>HYPERLINK("https://my.pitchbook.com?c=522799-03", "View Company Online")</f>
      </c>
    </row>
    <row r="3527">
      <c r="A3527" t="s" s="11">
        <v>17906</v>
      </c>
      <c r="B3527" t="s" s="11">
        <v>17907</v>
      </c>
      <c r="C3527" t="s" s="11">
        <v>46</v>
      </c>
      <c r="D3527" t="s" s="11">
        <v>915</v>
      </c>
      <c r="E3527" t="s" s="11">
        <v>373</v>
      </c>
      <c r="F3527" s="28">
        <v>45716</v>
      </c>
      <c r="G3527" t="s" s="11">
        <v>146</v>
      </c>
      <c r="H3527" s="43">
        <v>0.7</v>
      </c>
      <c r="I3527" s="43">
        <v>3.49</v>
      </c>
      <c r="J3527" t="s" s="11">
        <v>17908</v>
      </c>
      <c r="K3527" t="s" s="11">
        <v>17909</v>
      </c>
      <c r="L3527" s="17">
        <f>HYPERLINK("http://www.profitual.ai", "www.profitual.ai")</f>
      </c>
      <c r="M3527" s="17">
        <f>HYPERLINK("https://my.pitchbook.com?c=533208-70", "View Company Online")</f>
      </c>
    </row>
    <row r="3528">
      <c r="A3528" t="s" s="10">
        <v>17911</v>
      </c>
      <c r="B3528" t="s" s="10">
        <v>17912</v>
      </c>
      <c r="C3528" t="s" s="10">
        <v>164</v>
      </c>
      <c r="D3528" t="s" s="10">
        <v>206</v>
      </c>
      <c r="E3528" t="s" s="10">
        <v>17913</v>
      </c>
      <c r="F3528" s="27">
        <v>45873</v>
      </c>
      <c r="G3528" t="s" s="10">
        <v>40</v>
      </c>
      <c r="H3528" s="42">
        <v>20</v>
      </c>
      <c r="I3528" s="42">
        <v>3.48</v>
      </c>
      <c r="J3528" t="s" s="10">
        <v>17914</v>
      </c>
      <c r="K3528" t="s" s="10">
        <v>17915</v>
      </c>
      <c r="L3528" s="16">
        <f>HYPERLINK("http://www.micruity.com", "www.micruity.com")</f>
      </c>
      <c r="M3528" s="16">
        <f>HYPERLINK("https://my.pitchbook.com?c=264762-19", "View Company Online")</f>
      </c>
    </row>
    <row r="3529">
      <c r="A3529" t="s" s="11">
        <v>17917</v>
      </c>
      <c r="B3529" t="s" s="11">
        <v>17918</v>
      </c>
      <c r="C3529" t="s" s="11">
        <v>27</v>
      </c>
      <c r="D3529" t="s" s="11">
        <v>28</v>
      </c>
      <c r="E3529" t="s" s="11">
        <v>253</v>
      </c>
      <c r="F3529" s="28">
        <v>46027</v>
      </c>
      <c r="G3529" t="s" s="11">
        <v>40</v>
      </c>
      <c r="H3529" s="43">
        <v>1</v>
      </c>
      <c r="I3529" s="43">
        <v>3.46</v>
      </c>
      <c r="J3529" t="s" s="11">
        <v>17919</v>
      </c>
      <c r="K3529" t="s" s="11">
        <v>17920</v>
      </c>
      <c r="L3529" s="17">
        <f>HYPERLINK("http://www.mylapay.com", "www.mylapay.com")</f>
      </c>
      <c r="M3529" s="17">
        <f>HYPERLINK("https://my.pitchbook.com?c=542731-33", "View Company Online")</f>
      </c>
    </row>
    <row r="3530">
      <c r="A3530" t="s" s="10">
        <v>17922</v>
      </c>
      <c r="B3530" t="s" s="10">
        <v>17923</v>
      </c>
      <c r="C3530" t="s" s="10">
        <v>222</v>
      </c>
      <c r="D3530" t="s" s="10">
        <v>235</v>
      </c>
      <c r="E3530" t="s" s="10">
        <v>17924</v>
      </c>
      <c r="F3530" s="27">
        <v>46096</v>
      </c>
      <c r="G3530" t="s" s="10">
        <v>271</v>
      </c>
      <c r="H3530" s="42">
        <v>0.91</v>
      </c>
      <c r="I3530" s="42">
        <v>3.45</v>
      </c>
      <c r="J3530" t="s" s="10">
        <v>17925</v>
      </c>
      <c r="K3530" t="s" s="10">
        <v>30</v>
      </c>
      <c r="L3530" s="16">
        <f>HYPERLINK("http://www.sepanta.io", "www.sepanta.io")</f>
      </c>
      <c r="M3530" s="16">
        <f>HYPERLINK("https://my.pitchbook.com?c=501709-78", "View Company Online")</f>
      </c>
    </row>
    <row r="3531">
      <c r="A3531" t="s" s="11">
        <v>17927</v>
      </c>
      <c r="B3531" t="s" s="11">
        <v>17928</v>
      </c>
      <c r="C3531" t="s" s="11">
        <v>27</v>
      </c>
      <c r="D3531" t="s" s="11">
        <v>70</v>
      </c>
      <c r="E3531" t="s" s="11">
        <v>259</v>
      </c>
      <c r="F3531" s="28">
        <v>45807</v>
      </c>
      <c r="G3531" t="s" s="11">
        <v>4267</v>
      </c>
      <c r="H3531" s="43">
        <v>1.87</v>
      </c>
      <c r="I3531" s="43">
        <v>3.44</v>
      </c>
      <c r="J3531" t="s" s="11">
        <v>17929</v>
      </c>
      <c r="K3531" t="s" s="11">
        <v>17930</v>
      </c>
      <c r="L3531" s="17">
        <f>HYPERLINK("http://bankey.jp", "bankey.jp")</f>
      </c>
      <c r="M3531" s="17">
        <f>HYPERLINK("https://my.pitchbook.com?c=597792-52", "View Company Online")</f>
      </c>
    </row>
    <row r="3532">
      <c r="A3532" t="s" s="10">
        <v>17932</v>
      </c>
      <c r="B3532" t="s" s="10">
        <v>17933</v>
      </c>
      <c r="C3532" t="s" s="10">
        <v>46</v>
      </c>
      <c r="D3532" t="s" s="10">
        <v>915</v>
      </c>
      <c r="E3532" t="s" s="10">
        <v>253</v>
      </c>
      <c r="F3532" s="27">
        <v>44689</v>
      </c>
      <c r="G3532" t="s" s="10">
        <v>4267</v>
      </c>
      <c r="H3532" t="s" s="42">
        <v>30</v>
      </c>
      <c r="I3532" s="42">
        <v>3.44</v>
      </c>
      <c r="J3532" t="s" s="10">
        <v>17934</v>
      </c>
      <c r="K3532" t="s" s="10">
        <v>17935</v>
      </c>
      <c r="L3532" s="16">
        <f>HYPERLINK("http://www.dryrun.com", "www.dryrun.com")</f>
      </c>
      <c r="M3532" s="16">
        <f>HYPERLINK("https://my.pitchbook.com?c=265362-76", "View Company Online")</f>
      </c>
    </row>
    <row r="3533">
      <c r="A3533" t="s" s="11">
        <v>17937</v>
      </c>
      <c r="B3533" t="s" s="11">
        <v>17938</v>
      </c>
      <c r="C3533" t="s" s="11">
        <v>60</v>
      </c>
      <c r="D3533" t="s" s="11">
        <v>192</v>
      </c>
      <c r="E3533" t="s" s="11">
        <v>137</v>
      </c>
      <c r="F3533" s="28">
        <v>44228</v>
      </c>
      <c r="G3533" t="s" s="11">
        <v>146</v>
      </c>
      <c r="H3533" t="s" s="43">
        <v>30</v>
      </c>
      <c r="I3533" s="43">
        <v>3.44</v>
      </c>
      <c r="J3533" t="s" s="11">
        <v>17939</v>
      </c>
      <c r="K3533" t="s" s="11">
        <v>17940</v>
      </c>
      <c r="L3533" s="17">
        <f>HYPERLINK("http://www.genuineimpact.io", "www.genuineimpact.io")</f>
      </c>
      <c r="M3533" s="17">
        <f>HYPERLINK("https://my.pitchbook.com?c=465368-50", "View Company Online")</f>
      </c>
    </row>
    <row r="3534">
      <c r="A3534" t="s" s="10">
        <v>17942</v>
      </c>
      <c r="B3534" t="s" s="10">
        <v>17943</v>
      </c>
      <c r="C3534" t="s" s="10">
        <v>46</v>
      </c>
      <c r="D3534" t="s" s="10">
        <v>47</v>
      </c>
      <c r="E3534" t="s" s="10">
        <v>1054</v>
      </c>
      <c r="F3534" s="27">
        <v>43796</v>
      </c>
      <c r="G3534" t="s" s="10">
        <v>40</v>
      </c>
      <c r="H3534" s="42">
        <v>0.66</v>
      </c>
      <c r="I3534" s="42">
        <v>3.43</v>
      </c>
      <c r="J3534" t="s" s="10">
        <v>17944</v>
      </c>
      <c r="K3534" t="s" s="10">
        <v>17945</v>
      </c>
      <c r="L3534" s="16">
        <f>HYPERLINK("http://www.sabbatic.es", "www.sabbatic.es")</f>
      </c>
      <c r="M3534" s="16">
        <f>HYPERLINK("https://my.pitchbook.com?c=221763-70", "View Company Online")</f>
      </c>
    </row>
    <row r="3535">
      <c r="A3535" t="s" s="11">
        <v>17947</v>
      </c>
      <c r="B3535" t="s" s="11">
        <v>17948</v>
      </c>
      <c r="C3535" t="s" s="11">
        <v>164</v>
      </c>
      <c r="D3535" t="s" s="11">
        <v>206</v>
      </c>
      <c r="E3535" t="s" s="11">
        <v>270</v>
      </c>
      <c r="F3535" s="28">
        <v>45323</v>
      </c>
      <c r="G3535" t="s" s="11">
        <v>4267</v>
      </c>
      <c r="H3535" s="43">
        <v>0.51</v>
      </c>
      <c r="I3535" s="43">
        <v>3.43</v>
      </c>
      <c r="J3535" t="s" s="11">
        <v>17949</v>
      </c>
      <c r="K3535" t="s" s="11">
        <v>17950</v>
      </c>
      <c r="L3535" s="17">
        <f>HYPERLINK("http://www.sync-savings.com", "www.sync-savings.com")</f>
      </c>
      <c r="M3535" s="17">
        <f>HYPERLINK("https://my.pitchbook.com?c=534498-13", "View Company Online")</f>
      </c>
    </row>
    <row r="3536">
      <c r="A3536" t="s" s="10">
        <v>17952</v>
      </c>
      <c r="B3536" t="s" s="10">
        <v>17953</v>
      </c>
      <c r="C3536" t="s" s="10">
        <v>222</v>
      </c>
      <c r="D3536" t="s" s="10">
        <v>235</v>
      </c>
      <c r="E3536" t="s" s="10">
        <v>137</v>
      </c>
      <c r="F3536" s="27">
        <v>44774</v>
      </c>
      <c r="G3536" t="s" s="10">
        <v>40</v>
      </c>
      <c r="H3536" t="s" s="42">
        <v>30</v>
      </c>
      <c r="I3536" s="42">
        <v>3.41</v>
      </c>
      <c r="J3536" t="s" s="10">
        <v>17954</v>
      </c>
      <c r="K3536" t="s" s="10">
        <v>17955</v>
      </c>
      <c r="L3536" s="16">
        <f>HYPERLINK("http://www.wishberry.in", "www.wishberry.in")</f>
      </c>
      <c r="M3536" s="16">
        <f>HYPERLINK("https://my.pitchbook.com?c=103347-64", "View Company Online")</f>
      </c>
    </row>
    <row r="3537">
      <c r="A3537" t="s" s="11">
        <v>17957</v>
      </c>
      <c r="B3537" t="s" s="11">
        <v>17958</v>
      </c>
      <c r="C3537" t="s" s="11">
        <v>222</v>
      </c>
      <c r="D3537" t="s" s="11">
        <v>223</v>
      </c>
      <c r="E3537" t="s" s="11">
        <v>634</v>
      </c>
      <c r="F3537" t="s" s="28">
        <v>30</v>
      </c>
      <c r="G3537" t="s" s="11">
        <v>2651</v>
      </c>
      <c r="H3537" s="43">
        <v>0.21</v>
      </c>
      <c r="I3537" s="43">
        <v>3.4</v>
      </c>
      <c r="J3537" t="s" s="11">
        <v>17959</v>
      </c>
      <c r="K3537" t="s" s="11">
        <v>17960</v>
      </c>
      <c r="L3537" s="17">
        <f>HYPERLINK("http://www.scribelabs.ai", "www.scribelabs.ai")</f>
      </c>
      <c r="M3537" s="17">
        <f>HYPERLINK("https://my.pitchbook.com?c=490293-01", "View Company Online")</f>
      </c>
    </row>
    <row r="3538">
      <c r="A3538" t="s" s="10">
        <v>17962</v>
      </c>
      <c r="B3538" t="s" s="10">
        <v>17963</v>
      </c>
      <c r="C3538" t="s" s="10">
        <v>128</v>
      </c>
      <c r="D3538" t="s" s="10">
        <v>199</v>
      </c>
      <c r="E3538" t="s" s="10">
        <v>373</v>
      </c>
      <c r="F3538" s="27">
        <v>46023</v>
      </c>
      <c r="G3538" t="s" s="10">
        <v>607</v>
      </c>
      <c r="H3538" t="s" s="42">
        <v>30</v>
      </c>
      <c r="I3538" s="42">
        <v>3.38</v>
      </c>
      <c r="J3538" t="s" s="10">
        <v>17964</v>
      </c>
      <c r="K3538" t="s" s="10">
        <v>17965</v>
      </c>
      <c r="L3538" s="16">
        <f>HYPERLINK("http://www.avidoai.com", "www.avidoai.com")</f>
      </c>
      <c r="M3538" s="16">
        <f>HYPERLINK("https://my.pitchbook.com?c=1034904-97", "View Company Online")</f>
      </c>
    </row>
    <row r="3539">
      <c r="A3539" t="s" s="11">
        <v>17967</v>
      </c>
      <c r="B3539" t="s" s="11">
        <v>17968</v>
      </c>
      <c r="C3539" t="s" s="11">
        <v>27</v>
      </c>
      <c r="D3539" t="s" s="11">
        <v>28</v>
      </c>
      <c r="E3539" t="s" s="11">
        <v>2835</v>
      </c>
      <c r="F3539" s="28">
        <v>45778</v>
      </c>
      <c r="G3539" t="s" s="11">
        <v>607</v>
      </c>
      <c r="H3539" t="s" s="43">
        <v>30</v>
      </c>
      <c r="I3539" s="43">
        <v>3.38</v>
      </c>
      <c r="J3539" t="s" s="11">
        <v>17969</v>
      </c>
      <c r="K3539" t="s" s="11">
        <v>17970</v>
      </c>
      <c r="L3539" s="17">
        <f>HYPERLINK("http://www.casapay.com", "www.casapay.com")</f>
      </c>
      <c r="M3539" s="17">
        <f>HYPERLINK("https://my.pitchbook.com?c=541658-08", "View Company Online")</f>
      </c>
    </row>
    <row r="3540">
      <c r="A3540" t="s" s="10">
        <v>17972</v>
      </c>
      <c r="B3540" t="s" s="10">
        <v>17973</v>
      </c>
      <c r="C3540" t="s" s="10">
        <v>172</v>
      </c>
      <c r="D3540" t="s" s="10">
        <v>1454</v>
      </c>
      <c r="E3540" t="s" s="10">
        <v>373</v>
      </c>
      <c r="F3540" t="s" s="27">
        <v>30</v>
      </c>
      <c r="G3540" t="s" s="10">
        <v>607</v>
      </c>
      <c r="H3540" t="s" s="42">
        <v>30</v>
      </c>
      <c r="I3540" s="42">
        <v>3.35</v>
      </c>
      <c r="J3540" t="s" s="10">
        <v>17974</v>
      </c>
      <c r="K3540" t="s" s="10">
        <v>17975</v>
      </c>
      <c r="L3540" s="16">
        <f>HYPERLINK("http://www.metrics.finance", "www.metrics.finance")</f>
      </c>
      <c r="M3540" s="16">
        <f>HYPERLINK("https://my.pitchbook.com?c=1152922-51", "View Company Online")</f>
      </c>
    </row>
    <row r="3541">
      <c r="A3541" t="s" s="11">
        <v>17977</v>
      </c>
      <c r="B3541" t="s" s="11">
        <v>17978</v>
      </c>
      <c r="C3541" t="s" s="11">
        <v>164</v>
      </c>
      <c r="D3541" t="s" s="11">
        <v>206</v>
      </c>
      <c r="E3541" t="s" s="11">
        <v>137</v>
      </c>
      <c r="F3541" s="28">
        <v>44293</v>
      </c>
      <c r="G3541" t="s" s="11">
        <v>40</v>
      </c>
      <c r="H3541" t="s" s="43">
        <v>30</v>
      </c>
      <c r="I3541" s="43">
        <v>3.32</v>
      </c>
      <c r="J3541" t="s" s="11">
        <v>17979</v>
      </c>
      <c r="K3541" t="s" s="11">
        <v>17980</v>
      </c>
      <c r="L3541" s="17">
        <f>HYPERLINK("http://www.platform.kudosfinance.in", "www.platform.kudosfinance.in")</f>
      </c>
      <c r="M3541" s="17">
        <f>HYPERLINK("https://my.pitchbook.com?c=436705-21", "View Company Online")</f>
      </c>
    </row>
    <row r="3542">
      <c r="A3542" t="s" s="10">
        <v>17982</v>
      </c>
      <c r="B3542" t="s" s="10">
        <v>17983</v>
      </c>
      <c r="C3542" t="s" s="10">
        <v>46</v>
      </c>
      <c r="D3542" t="s" s="10">
        <v>915</v>
      </c>
      <c r="E3542" t="s" s="10">
        <v>17984</v>
      </c>
      <c r="F3542" s="27">
        <v>44894</v>
      </c>
      <c r="G3542" t="s" s="10">
        <v>40</v>
      </c>
      <c r="H3542" s="42">
        <v>0.41</v>
      </c>
      <c r="I3542" s="42">
        <v>3.31</v>
      </c>
      <c r="J3542" t="s" s="10">
        <v>17985</v>
      </c>
      <c r="K3542" t="s" s="10">
        <v>17986</v>
      </c>
      <c r="L3542" s="16">
        <f>HYPERLINK("http://www.fenestra.io", "www.fenestra.io")</f>
      </c>
      <c r="M3542" s="16">
        <f>HYPERLINK("https://my.pitchbook.com?c=227171-26", "View Company Online")</f>
      </c>
    </row>
    <row r="3543">
      <c r="A3543" t="s" s="11">
        <v>17988</v>
      </c>
      <c r="B3543" t="s" s="11">
        <v>17989</v>
      </c>
      <c r="C3543" t="s" s="11">
        <v>222</v>
      </c>
      <c r="D3543" t="s" s="11">
        <v>235</v>
      </c>
      <c r="E3543" t="s" s="11">
        <v>193</v>
      </c>
      <c r="F3543" s="28">
        <v>46181</v>
      </c>
      <c r="G3543" t="s" s="11">
        <v>40</v>
      </c>
      <c r="H3543" s="43">
        <v>23.18</v>
      </c>
      <c r="I3543" s="43">
        <v>3.3</v>
      </c>
      <c r="J3543" t="s" s="11">
        <v>17990</v>
      </c>
      <c r="K3543" t="s" s="11">
        <v>30</v>
      </c>
      <c r="L3543" s="17">
        <f>HYPERLINK("http://www.supervest.com", "www.supervest.com")</f>
      </c>
      <c r="M3543" s="17">
        <f>HYPERLINK("https://my.pitchbook.com?c=483640-21", "View Company Online")</f>
      </c>
    </row>
    <row r="3544">
      <c r="A3544" t="s" s="10">
        <v>17992</v>
      </c>
      <c r="B3544" t="s" s="10">
        <v>17993</v>
      </c>
      <c r="C3544" t="s" s="10">
        <v>164</v>
      </c>
      <c r="D3544" t="s" s="10">
        <v>206</v>
      </c>
      <c r="E3544" t="s" s="10">
        <v>253</v>
      </c>
      <c r="F3544" s="27">
        <v>44181</v>
      </c>
      <c r="G3544" t="s" s="10">
        <v>146</v>
      </c>
      <c r="H3544" s="42">
        <v>0.82</v>
      </c>
      <c r="I3544" s="42">
        <v>3.29</v>
      </c>
      <c r="J3544" t="s" s="10">
        <v>17994</v>
      </c>
      <c r="K3544" t="s" s="10">
        <v>17995</v>
      </c>
      <c r="L3544" s="16">
        <f>HYPERLINK("http://www.auracloud.com", "www.auracloud.com")</f>
      </c>
      <c r="M3544" s="16">
        <f>HYPERLINK("https://my.pitchbook.com?c=434352-25", "View Company Online")</f>
      </c>
    </row>
    <row r="3545">
      <c r="A3545" t="s" s="11">
        <v>17997</v>
      </c>
      <c r="B3545" t="s" s="11">
        <v>17998</v>
      </c>
      <c r="C3545" t="s" s="11">
        <v>222</v>
      </c>
      <c r="D3545" t="s" s="11">
        <v>223</v>
      </c>
      <c r="E3545" t="s" s="11">
        <v>373</v>
      </c>
      <c r="F3545" s="28">
        <v>44077</v>
      </c>
      <c r="G3545" t="s" s="11">
        <v>40</v>
      </c>
      <c r="H3545" s="43">
        <v>0.71</v>
      </c>
      <c r="I3545" s="43">
        <v>3.29</v>
      </c>
      <c r="J3545" t="s" s="11">
        <v>17999</v>
      </c>
      <c r="K3545" t="s" s="11">
        <v>18000</v>
      </c>
      <c r="L3545" s="17">
        <f>HYPERLINK("http://www.incolintelligence.com", "www.incolintelligence.com")</f>
      </c>
      <c r="M3545" s="17">
        <f>HYPERLINK("https://my.pitchbook.com?c=111561-04", "View Company Online")</f>
      </c>
    </row>
    <row r="3546">
      <c r="A3546" t="s" s="10">
        <v>18002</v>
      </c>
      <c r="B3546" t="s" s="10">
        <v>18003</v>
      </c>
      <c r="C3546" t="s" s="10">
        <v>27</v>
      </c>
      <c r="D3546" t="s" s="10">
        <v>28</v>
      </c>
      <c r="E3546" t="s" s="10">
        <v>15361</v>
      </c>
      <c r="F3546" s="27">
        <v>44591</v>
      </c>
      <c r="G3546" t="s" s="10">
        <v>18004</v>
      </c>
      <c r="H3546" s="42">
        <v>0.01</v>
      </c>
      <c r="I3546" s="42">
        <v>3.29</v>
      </c>
      <c r="J3546" t="s" s="10">
        <v>18005</v>
      </c>
      <c r="K3546" t="s" s="10">
        <v>30</v>
      </c>
      <c r="L3546" s="16">
        <f>HYPERLINK("http://linktrust-pay.com", "linktrust-pay.com")</f>
      </c>
      <c r="M3546" s="16">
        <f>HYPERLINK("https://my.pitchbook.com?c=494407-81", "View Company Online")</f>
      </c>
    </row>
    <row r="3547">
      <c r="A3547" t="s" s="11">
        <v>18007</v>
      </c>
      <c r="B3547" t="s" s="11">
        <v>18008</v>
      </c>
      <c r="C3547" t="s" s="11">
        <v>60</v>
      </c>
      <c r="D3547" t="s" s="11">
        <v>246</v>
      </c>
      <c r="E3547" t="s" s="11">
        <v>373</v>
      </c>
      <c r="F3547" s="28">
        <v>43586</v>
      </c>
      <c r="G3547" t="s" s="11">
        <v>607</v>
      </c>
      <c r="H3547" s="43">
        <v>0.07</v>
      </c>
      <c r="I3547" s="43">
        <v>3.29</v>
      </c>
      <c r="J3547" t="s" s="11">
        <v>18009</v>
      </c>
      <c r="K3547" t="s" s="11">
        <v>18010</v>
      </c>
      <c r="L3547" s="17">
        <f>HYPERLINK("http://www.tradeworks.io", "www.tradeworks.io")</f>
      </c>
      <c r="M3547" s="17">
        <f>HYPERLINK("https://my.pitchbook.com?c=91653-04", "View Company Online")</f>
      </c>
    </row>
    <row r="3548">
      <c r="A3548" t="s" s="10">
        <v>18012</v>
      </c>
      <c r="B3548" t="s" s="10">
        <v>18013</v>
      </c>
      <c r="C3548" t="s" s="10">
        <v>172</v>
      </c>
      <c r="D3548" t="s" s="10">
        <v>338</v>
      </c>
      <c r="E3548" t="s" s="10">
        <v>373</v>
      </c>
      <c r="F3548" s="27">
        <v>44377</v>
      </c>
      <c r="G3548" t="s" s="10">
        <v>607</v>
      </c>
      <c r="H3548" s="42">
        <v>0.1</v>
      </c>
      <c r="I3548" s="42">
        <v>3.28</v>
      </c>
      <c r="J3548" t="s" s="10">
        <v>18014</v>
      </c>
      <c r="K3548" t="s" s="10">
        <v>18015</v>
      </c>
      <c r="L3548" s="16">
        <f>HYPERLINK("http://www.finchat.tech", "www.finchat.tech")</f>
      </c>
      <c r="M3548" s="16">
        <f>HYPERLINK("https://my.pitchbook.com?c=181395-64", "View Company Online")</f>
      </c>
    </row>
    <row r="3549">
      <c r="A3549" t="s" s="11">
        <v>18017</v>
      </c>
      <c r="B3549" t="s" s="11">
        <v>18018</v>
      </c>
      <c r="C3549" t="s" s="11">
        <v>27</v>
      </c>
      <c r="D3549" t="s" s="11">
        <v>28</v>
      </c>
      <c r="E3549" t="s" s="11">
        <v>137</v>
      </c>
      <c r="F3549" s="28">
        <v>44774</v>
      </c>
      <c r="G3549" t="s" s="11">
        <v>146</v>
      </c>
      <c r="H3549" t="s" s="43">
        <v>30</v>
      </c>
      <c r="I3549" s="43">
        <v>3.28</v>
      </c>
      <c r="J3549" t="s" s="11">
        <v>18019</v>
      </c>
      <c r="K3549" t="s" s="11">
        <v>18020</v>
      </c>
      <c r="L3549" s="17">
        <f>HYPERLINK("http://www.wiseflow.ai", "www.wiseflow.ai")</f>
      </c>
      <c r="M3549" s="17">
        <f>HYPERLINK("https://my.pitchbook.com?c=482277-97", "View Company Online")</f>
      </c>
    </row>
    <row r="3550">
      <c r="A3550" t="s" s="10">
        <v>18022</v>
      </c>
      <c r="B3550" t="s" s="10">
        <v>18023</v>
      </c>
      <c r="C3550" t="s" s="10">
        <v>60</v>
      </c>
      <c r="D3550" t="s" s="10">
        <v>432</v>
      </c>
      <c r="E3550" t="s" s="10">
        <v>373</v>
      </c>
      <c r="F3550" t="s" s="27">
        <v>30</v>
      </c>
      <c r="G3550" t="s" s="10">
        <v>40</v>
      </c>
      <c r="H3550" t="s" s="42">
        <v>30</v>
      </c>
      <c r="I3550" s="42">
        <v>3.27</v>
      </c>
      <c r="J3550" t="s" s="10">
        <v>18024</v>
      </c>
      <c r="K3550" t="s" s="10">
        <v>18025</v>
      </c>
      <c r="L3550" s="16">
        <f>HYPERLINK("http://ammonite-ai.com", "ammonite-ai.com")</f>
      </c>
      <c r="M3550" s="16">
        <f>HYPERLINK("https://my.pitchbook.com?c=501165-19", "View Company Online")</f>
      </c>
    </row>
    <row r="3551">
      <c r="A3551" t="s" s="11">
        <v>18027</v>
      </c>
      <c r="B3551" t="s" s="11">
        <v>18028</v>
      </c>
      <c r="C3551" t="s" s="11">
        <v>27</v>
      </c>
      <c r="D3551" t="s" s="11">
        <v>28</v>
      </c>
      <c r="E3551" t="s" s="11">
        <v>270</v>
      </c>
      <c r="F3551" s="28">
        <v>44629</v>
      </c>
      <c r="G3551" t="s" s="11">
        <v>146</v>
      </c>
      <c r="H3551" s="43">
        <v>5.61</v>
      </c>
      <c r="I3551" s="43">
        <v>3.27</v>
      </c>
      <c r="J3551" t="s" s="11">
        <v>18029</v>
      </c>
      <c r="K3551" t="s" s="11">
        <v>18030</v>
      </c>
      <c r="L3551" s="17">
        <f>HYPERLINK("http://www.flowy.sk", "www.flowy.sk")</f>
      </c>
      <c r="M3551" s="17">
        <f>HYPERLINK("https://my.pitchbook.com?c=436402-90", "View Company Online")</f>
      </c>
    </row>
    <row r="3552">
      <c r="A3552" t="s" s="10">
        <v>18032</v>
      </c>
      <c r="B3552" t="s" s="10">
        <v>18033</v>
      </c>
      <c r="C3552" t="s" s="10">
        <v>60</v>
      </c>
      <c r="D3552" t="s" s="10">
        <v>246</v>
      </c>
      <c r="E3552" t="s" s="10">
        <v>193</v>
      </c>
      <c r="F3552" s="27">
        <v>45638</v>
      </c>
      <c r="G3552" t="s" s="10">
        <v>271</v>
      </c>
      <c r="H3552" s="42">
        <v>0.73</v>
      </c>
      <c r="I3552" s="42">
        <v>3.27</v>
      </c>
      <c r="J3552" t="s" s="10">
        <v>18034</v>
      </c>
      <c r="K3552" t="s" s="10">
        <v>18035</v>
      </c>
      <c r="L3552" s="16">
        <f>HYPERLINK("http://www.ideel.io", "www.ideel.io")</f>
      </c>
      <c r="M3552" s="16">
        <f>HYPERLINK("https://my.pitchbook.com?c=498201-67", "View Company Online")</f>
      </c>
    </row>
    <row r="3553">
      <c r="A3553" t="s" s="11">
        <v>18037</v>
      </c>
      <c r="B3553" t="s" s="11">
        <v>18038</v>
      </c>
      <c r="C3553" t="s" s="11">
        <v>222</v>
      </c>
      <c r="D3553" t="s" s="11">
        <v>252</v>
      </c>
      <c r="E3553" t="s" s="11">
        <v>7717</v>
      </c>
      <c r="F3553" s="28">
        <v>44197</v>
      </c>
      <c r="G3553" t="s" s="11">
        <v>607</v>
      </c>
      <c r="H3553" t="s" s="43">
        <v>30</v>
      </c>
      <c r="I3553" s="43">
        <v>3.25</v>
      </c>
      <c r="J3553" t="s" s="11">
        <v>18039</v>
      </c>
      <c r="K3553" t="s" s="11">
        <v>18040</v>
      </c>
      <c r="L3553" s="17">
        <f>HYPERLINK("http://www.primarynexus.com", "www.primarynexus.com")</f>
      </c>
      <c r="M3553" s="17">
        <f>HYPERLINK("https://my.pitchbook.com?c=470620-18", "View Company Online")</f>
      </c>
    </row>
    <row r="3554">
      <c r="A3554" t="s" s="10">
        <v>18042</v>
      </c>
      <c r="B3554" t="s" s="10">
        <v>18043</v>
      </c>
      <c r="C3554" t="s" s="10">
        <v>172</v>
      </c>
      <c r="D3554" t="s" s="10">
        <v>173</v>
      </c>
      <c r="E3554" t="s" s="10">
        <v>18044</v>
      </c>
      <c r="F3554" s="27">
        <v>45218</v>
      </c>
      <c r="G3554" t="s" s="10">
        <v>607</v>
      </c>
      <c r="H3554" t="s" s="42">
        <v>30</v>
      </c>
      <c r="I3554" s="42">
        <v>3.25</v>
      </c>
      <c r="J3554" t="s" s="10">
        <v>18045</v>
      </c>
      <c r="K3554" t="s" s="10">
        <v>18046</v>
      </c>
      <c r="L3554" s="16">
        <f>HYPERLINK("http://www.dronapay.com", "www.dronapay.com")</f>
      </c>
      <c r="M3554" s="16">
        <f>HYPERLINK("https://my.pitchbook.com?c=484303-33", "View Company Online")</f>
      </c>
    </row>
    <row r="3555">
      <c r="A3555" t="s" s="11">
        <v>18048</v>
      </c>
      <c r="B3555" t="s" s="11">
        <v>18049</v>
      </c>
      <c r="C3555" t="s" s="11">
        <v>114</v>
      </c>
      <c r="D3555" t="s" s="11">
        <v>852</v>
      </c>
      <c r="E3555" t="s" s="11">
        <v>18050</v>
      </c>
      <c r="F3555" s="28">
        <v>44959</v>
      </c>
      <c r="G3555" t="s" s="11">
        <v>146</v>
      </c>
      <c r="H3555" s="43">
        <v>1.16</v>
      </c>
      <c r="I3555" s="43">
        <v>3.24</v>
      </c>
      <c r="J3555" t="s" s="11">
        <v>18051</v>
      </c>
      <c r="K3555" t="s" s="11">
        <v>18052</v>
      </c>
      <c r="L3555" s="17">
        <f>HYPERLINK("http://www.meuagroforte.com.br", "www.meuagroforte.com.br")</f>
      </c>
      <c r="M3555" s="17">
        <f>HYPERLINK("https://my.pitchbook.com?c=470469-70", "View Company Online")</f>
      </c>
    </row>
    <row r="3556">
      <c r="A3556" t="s" s="10">
        <v>18054</v>
      </c>
      <c r="B3556" t="s" s="10">
        <v>18055</v>
      </c>
      <c r="C3556" t="s" s="10">
        <v>114</v>
      </c>
      <c r="D3556" t="s" s="10">
        <v>852</v>
      </c>
      <c r="E3556" t="s" s="10">
        <v>137</v>
      </c>
      <c r="F3556" s="27">
        <v>45786</v>
      </c>
      <c r="G3556" t="s" s="10">
        <v>40</v>
      </c>
      <c r="H3556" s="42">
        <v>32.96</v>
      </c>
      <c r="I3556" s="42">
        <v>3.22</v>
      </c>
      <c r="J3556" t="s" s="10">
        <v>18056</v>
      </c>
      <c r="K3556" t="s" s="10">
        <v>18057</v>
      </c>
      <c r="L3556" s="16">
        <f>HYPERLINK("http://www.getmejuice.com", "www.getmejuice.com")</f>
      </c>
      <c r="M3556" s="16">
        <f>HYPERLINK("https://my.pitchbook.com?c=510601-78", "View Company Online")</f>
      </c>
    </row>
    <row r="3557">
      <c r="A3557" t="s" s="11">
        <v>18059</v>
      </c>
      <c r="B3557" t="s" s="11">
        <v>18060</v>
      </c>
      <c r="C3557" t="s" s="11">
        <v>60</v>
      </c>
      <c r="D3557" t="s" s="11">
        <v>727</v>
      </c>
      <c r="E3557" t="s" s="11">
        <v>137</v>
      </c>
      <c r="F3557" s="28">
        <v>43565</v>
      </c>
      <c r="G3557" t="s" s="11">
        <v>146</v>
      </c>
      <c r="H3557" s="43">
        <v>1.12</v>
      </c>
      <c r="I3557" s="43">
        <v>3.2</v>
      </c>
      <c r="J3557" t="s" s="11">
        <v>18061</v>
      </c>
      <c r="K3557" t="s" s="11">
        <v>18062</v>
      </c>
      <c r="L3557" s="17">
        <f>HYPERLINK("http://www.gwenneg.bzh", "www.gwenneg.bzh")</f>
      </c>
      <c r="M3557" s="17">
        <f>HYPERLINK("https://my.pitchbook.com?c=179734-24", "View Company Online")</f>
      </c>
    </row>
    <row r="3558">
      <c r="A3558" t="s" s="10">
        <v>18064</v>
      </c>
      <c r="B3558" t="s" s="10">
        <v>18065</v>
      </c>
      <c r="C3558" t="s" s="10">
        <v>128</v>
      </c>
      <c r="D3558" t="s" s="10">
        <v>276</v>
      </c>
      <c r="E3558" t="s" s="10">
        <v>29</v>
      </c>
      <c r="F3558" s="27">
        <v>46139</v>
      </c>
      <c r="G3558" t="s" s="10">
        <v>391</v>
      </c>
      <c r="H3558" t="s" s="42">
        <v>30</v>
      </c>
      <c r="I3558" s="42">
        <v>3.2</v>
      </c>
      <c r="J3558" t="s" s="10">
        <v>18066</v>
      </c>
      <c r="K3558" t="s" s="10">
        <v>30</v>
      </c>
      <c r="L3558" s="16">
        <f>HYPERLINK("http://www.tillfinancial.com", "www.tillfinancial.com")</f>
      </c>
      <c r="M3558" s="16">
        <f>HYPERLINK("https://my.pitchbook.com?c=343423-00", "View Company Online")</f>
      </c>
    </row>
    <row r="3559">
      <c r="A3559" t="s" s="11">
        <v>18068</v>
      </c>
      <c r="B3559" t="s" s="11">
        <v>18069</v>
      </c>
      <c r="C3559" t="s" s="11">
        <v>60</v>
      </c>
      <c r="D3559" t="s" s="11">
        <v>246</v>
      </c>
      <c r="E3559" t="s" s="11">
        <v>1625</v>
      </c>
      <c r="F3559" s="28">
        <v>45915</v>
      </c>
      <c r="G3559" t="s" s="11">
        <v>40</v>
      </c>
      <c r="H3559" s="43">
        <v>0.98</v>
      </c>
      <c r="I3559" s="43">
        <v>3.18</v>
      </c>
      <c r="J3559" t="s" s="11">
        <v>18070</v>
      </c>
      <c r="K3559" t="s" s="11">
        <v>18071</v>
      </c>
      <c r="L3559" s="17">
        <f>HYPERLINK("http://www.mortgagemaster.com.sg", "www.mortgagemaster.com.sg")</f>
      </c>
      <c r="M3559" s="17">
        <f>HYPERLINK("https://my.pitchbook.com?c=465543-28", "View Company Online")</f>
      </c>
    </row>
    <row r="3560">
      <c r="A3560" t="s" s="10">
        <v>18073</v>
      </c>
      <c r="B3560" t="s" s="10">
        <v>18074</v>
      </c>
      <c r="C3560" t="s" s="10">
        <v>164</v>
      </c>
      <c r="D3560" t="s" s="10">
        <v>165</v>
      </c>
      <c r="E3560" t="s" s="10">
        <v>137</v>
      </c>
      <c r="F3560" s="27">
        <v>44197</v>
      </c>
      <c r="G3560" t="s" s="10">
        <v>4267</v>
      </c>
      <c r="H3560" s="42">
        <v>0.61</v>
      </c>
      <c r="I3560" s="42">
        <v>3.17</v>
      </c>
      <c r="J3560" t="s" s="10">
        <v>18075</v>
      </c>
      <c r="K3560" t="s" s="10">
        <v>30</v>
      </c>
      <c r="L3560" s="16">
        <f>HYPERLINK("http://www.nbanks.net", "www.nbanks.net")</f>
      </c>
      <c r="M3560" s="16">
        <f>HYPERLINK("https://my.pitchbook.com?c=464257-36", "View Company Online")</f>
      </c>
    </row>
    <row r="3561">
      <c r="A3561" t="s" s="11">
        <v>18077</v>
      </c>
      <c r="B3561" t="s" s="11">
        <v>18078</v>
      </c>
      <c r="C3561" t="s" s="11">
        <v>222</v>
      </c>
      <c r="D3561" t="s" s="11">
        <v>223</v>
      </c>
      <c r="E3561" t="s" s="11">
        <v>373</v>
      </c>
      <c r="F3561" s="28">
        <v>45509</v>
      </c>
      <c r="G3561" t="s" s="11">
        <v>40</v>
      </c>
      <c r="H3561" s="43">
        <v>3.4</v>
      </c>
      <c r="I3561" s="43">
        <v>3.16</v>
      </c>
      <c r="J3561" t="s" s="11">
        <v>18079</v>
      </c>
      <c r="K3561" t="s" s="11">
        <v>18080</v>
      </c>
      <c r="L3561" s="17">
        <f>HYPERLINK("http://www.ivmmarkets.com", "www.ivmmarkets.com")</f>
      </c>
      <c r="M3561" s="17">
        <f>HYPERLINK("https://my.pitchbook.com?c=436457-26", "View Company Online")</f>
      </c>
    </row>
    <row r="3562">
      <c r="A3562" t="s" s="10">
        <v>18082</v>
      </c>
      <c r="B3562" t="s" s="10">
        <v>18083</v>
      </c>
      <c r="C3562" t="s" s="10">
        <v>60</v>
      </c>
      <c r="D3562" t="s" s="10">
        <v>246</v>
      </c>
      <c r="E3562" t="s" s="10">
        <v>414</v>
      </c>
      <c r="F3562" t="s" s="27">
        <v>30</v>
      </c>
      <c r="G3562" t="s" s="10">
        <v>607</v>
      </c>
      <c r="H3562" t="s" s="42">
        <v>30</v>
      </c>
      <c r="I3562" s="42">
        <v>3.16</v>
      </c>
      <c r="J3562" t="s" s="10">
        <v>18084</v>
      </c>
      <c r="K3562" t="s" s="10">
        <v>18085</v>
      </c>
      <c r="L3562" s="16">
        <f>HYPERLINK("http://www.niveshi.com", "www.niveshi.com")</f>
      </c>
      <c r="M3562" s="16">
        <f>HYPERLINK("https://my.pitchbook.com?c=436759-66", "View Company Online")</f>
      </c>
    </row>
    <row r="3563">
      <c r="A3563" t="s" s="11">
        <v>18087</v>
      </c>
      <c r="B3563" t="s" s="11">
        <v>18088</v>
      </c>
      <c r="C3563" t="s" s="11">
        <v>60</v>
      </c>
      <c r="D3563" t="s" s="11">
        <v>432</v>
      </c>
      <c r="E3563" t="s" s="11">
        <v>6894</v>
      </c>
      <c r="F3563" s="28">
        <v>45778</v>
      </c>
      <c r="G3563" t="s" s="11">
        <v>607</v>
      </c>
      <c r="H3563" t="s" s="43">
        <v>30</v>
      </c>
      <c r="I3563" s="43">
        <v>3.15</v>
      </c>
      <c r="J3563" t="s" s="11">
        <v>18089</v>
      </c>
      <c r="K3563" t="s" s="11">
        <v>18090</v>
      </c>
      <c r="L3563" s="17">
        <f>HYPERLINK("http://www.candlestick.ai", "www.candlestick.ai")</f>
      </c>
      <c r="M3563" s="17">
        <f>HYPERLINK("https://my.pitchbook.com?c=489133-99", "View Company Online")</f>
      </c>
    </row>
    <row r="3564">
      <c r="A3564" t="s" s="10">
        <v>18092</v>
      </c>
      <c r="B3564" t="s" s="10">
        <v>18093</v>
      </c>
      <c r="C3564" t="s" s="10">
        <v>164</v>
      </c>
      <c r="D3564" t="s" s="10">
        <v>165</v>
      </c>
      <c r="E3564" t="s" s="10">
        <v>3320</v>
      </c>
      <c r="F3564" s="27">
        <v>44445</v>
      </c>
      <c r="G3564" t="s" s="10">
        <v>4267</v>
      </c>
      <c r="H3564" s="42">
        <v>1.22</v>
      </c>
      <c r="I3564" s="42">
        <v>3.13</v>
      </c>
      <c r="J3564" t="s" s="10">
        <v>18094</v>
      </c>
      <c r="K3564" t="s" s="10">
        <v>18095</v>
      </c>
      <c r="L3564" s="16">
        <f>HYPERLINK("http://www.neokred.tech", "www.neokred.tech")</f>
      </c>
      <c r="M3564" s="16">
        <f>HYPERLINK("https://my.pitchbook.com?c=467137-72", "View Company Online")</f>
      </c>
    </row>
    <row r="3565">
      <c r="A3565" t="s" s="11">
        <v>18097</v>
      </c>
      <c r="B3565" t="s" s="11">
        <v>18098</v>
      </c>
      <c r="C3565" t="s" s="11">
        <v>144</v>
      </c>
      <c r="D3565" t="s" s="11">
        <v>297</v>
      </c>
      <c r="E3565" t="s" s="11">
        <v>253</v>
      </c>
      <c r="F3565" s="28">
        <v>46006</v>
      </c>
      <c r="G3565" t="s" s="11">
        <v>40</v>
      </c>
      <c r="H3565" s="43">
        <v>0.22</v>
      </c>
      <c r="I3565" s="43">
        <v>3.12</v>
      </c>
      <c r="J3565" t="s" s="11">
        <v>18099</v>
      </c>
      <c r="K3565" t="s" s="11">
        <v>18100</v>
      </c>
      <c r="L3565" s="17">
        <f>HYPERLINK("http://www.mytriplea.com", "www.mytriplea.com")</f>
      </c>
      <c r="M3565" s="17">
        <f>HYPERLINK("https://my.pitchbook.com?c=118215-01", "View Company Online")</f>
      </c>
    </row>
    <row r="3566">
      <c r="A3566" t="s" s="10">
        <v>18102</v>
      </c>
      <c r="B3566" t="s" s="10">
        <v>18103</v>
      </c>
      <c r="C3566" t="s" s="10">
        <v>164</v>
      </c>
      <c r="D3566" t="s" s="10">
        <v>165</v>
      </c>
      <c r="E3566" t="s" s="10">
        <v>137</v>
      </c>
      <c r="F3566" t="s" s="27">
        <v>30</v>
      </c>
      <c r="G3566" t="s" s="10">
        <v>607</v>
      </c>
      <c r="H3566" t="s" s="42">
        <v>30</v>
      </c>
      <c r="I3566" s="42">
        <v>3.12</v>
      </c>
      <c r="J3566" t="s" s="10">
        <v>18104</v>
      </c>
      <c r="K3566" t="s" s="10">
        <v>18105</v>
      </c>
      <c r="L3566" s="16">
        <f>HYPERLINK("http://www.vitto.money", "www.vitto.money")</f>
      </c>
      <c r="M3566" s="16">
        <f>HYPERLINK("https://my.pitchbook.com?c=482514-85", "View Company Online")</f>
      </c>
    </row>
    <row r="3567">
      <c r="A3567" t="s" s="11">
        <v>18107</v>
      </c>
      <c r="B3567" t="s" s="11">
        <v>18108</v>
      </c>
      <c r="C3567" t="s" s="11">
        <v>114</v>
      </c>
      <c r="D3567" t="s" s="11">
        <v>136</v>
      </c>
      <c r="E3567" t="s" s="11">
        <v>137</v>
      </c>
      <c r="F3567" s="28">
        <v>45720</v>
      </c>
      <c r="G3567" t="s" s="11">
        <v>40</v>
      </c>
      <c r="H3567" s="43">
        <v>0.29</v>
      </c>
      <c r="I3567" s="43">
        <v>3.11</v>
      </c>
      <c r="J3567" t="s" s="11">
        <v>18109</v>
      </c>
      <c r="K3567" t="s" s="11">
        <v>18110</v>
      </c>
      <c r="L3567" s="17">
        <f>HYPERLINK("http://www.winwinner.be", "www.winwinner.be")</f>
      </c>
      <c r="M3567" s="17">
        <f>HYPERLINK("https://my.pitchbook.com?c=148190-41", "View Company Online")</f>
      </c>
    </row>
    <row r="3568">
      <c r="A3568" t="s" s="10">
        <v>18112</v>
      </c>
      <c r="B3568" t="s" s="10">
        <v>18113</v>
      </c>
      <c r="C3568" t="s" s="10">
        <v>60</v>
      </c>
      <c r="D3568" t="s" s="10">
        <v>727</v>
      </c>
      <c r="E3568" t="s" s="10">
        <v>270</v>
      </c>
      <c r="F3568" s="27">
        <v>45742</v>
      </c>
      <c r="G3568" t="s" s="10">
        <v>40</v>
      </c>
      <c r="H3568" s="42">
        <v>0.37</v>
      </c>
      <c r="I3568" s="42">
        <v>3.1</v>
      </c>
      <c r="J3568" t="s" s="10">
        <v>18114</v>
      </c>
      <c r="K3568" t="s" s="10">
        <v>18115</v>
      </c>
      <c r="L3568" s="16">
        <f>HYPERLINK("http://www.worthybonds.com", "www.worthybonds.com")</f>
      </c>
      <c r="M3568" s="16">
        <f>HYPERLINK("https://my.pitchbook.com?c=184431-34", "View Company Online")</f>
      </c>
    </row>
    <row r="3569">
      <c r="A3569" t="s" s="11">
        <v>18117</v>
      </c>
      <c r="B3569" t="s" s="11">
        <v>18118</v>
      </c>
      <c r="C3569" t="s" s="11">
        <v>60</v>
      </c>
      <c r="D3569" t="s" s="11">
        <v>727</v>
      </c>
      <c r="E3569" t="s" s="11">
        <v>2782</v>
      </c>
      <c r="F3569" t="s" s="28">
        <v>30</v>
      </c>
      <c r="G3569" t="s" s="11">
        <v>146</v>
      </c>
      <c r="H3569" t="s" s="43">
        <v>30</v>
      </c>
      <c r="I3569" s="43">
        <v>3.07</v>
      </c>
      <c r="J3569" t="s" s="11">
        <v>18119</v>
      </c>
      <c r="K3569" t="s" s="11">
        <v>18120</v>
      </c>
      <c r="L3569" s="17">
        <f>HYPERLINK("http://www.equito.app", "www.equito.app")</f>
      </c>
      <c r="M3569" s="17">
        <f>HYPERLINK("https://my.pitchbook.com?c=509694-94", "View Company Online")</f>
      </c>
    </row>
    <row r="3570">
      <c r="A3570" t="s" s="10">
        <v>18122</v>
      </c>
      <c r="B3570" t="s" s="10">
        <v>18123</v>
      </c>
      <c r="C3570" t="s" s="10">
        <v>60</v>
      </c>
      <c r="D3570" t="s" s="10">
        <v>432</v>
      </c>
      <c r="E3570" t="s" s="10">
        <v>253</v>
      </c>
      <c r="F3570" s="27">
        <v>44678</v>
      </c>
      <c r="G3570" t="s" s="10">
        <v>4267</v>
      </c>
      <c r="H3570" s="42">
        <v>0.39</v>
      </c>
      <c r="I3570" s="42">
        <v>3.06</v>
      </c>
      <c r="J3570" t="s" s="10">
        <v>18124</v>
      </c>
      <c r="K3570" t="s" s="10">
        <v>18125</v>
      </c>
      <c r="L3570" s="16">
        <f>HYPERLINK("http://www.actlogica.com", "www.actlogica.com")</f>
      </c>
      <c r="M3570" s="16">
        <f>HYPERLINK("https://my.pitchbook.com?c=495830-80", "View Company Online")</f>
      </c>
    </row>
    <row r="3571">
      <c r="A3571" t="s" s="11">
        <v>18127</v>
      </c>
      <c r="B3571" t="s" s="11">
        <v>18128</v>
      </c>
      <c r="C3571" t="s" s="11">
        <v>46</v>
      </c>
      <c r="D3571" t="s" s="11">
        <v>78</v>
      </c>
      <c r="E3571" t="s" s="11">
        <v>270</v>
      </c>
      <c r="F3571" s="28">
        <v>45833</v>
      </c>
      <c r="G3571" t="s" s="11">
        <v>607</v>
      </c>
      <c r="H3571" t="s" s="43">
        <v>30</v>
      </c>
      <c r="I3571" s="43">
        <v>3.03</v>
      </c>
      <c r="J3571" t="s" s="11">
        <v>18129</v>
      </c>
      <c r="K3571" t="s" s="11">
        <v>18130</v>
      </c>
      <c r="L3571" s="17">
        <f>HYPERLINK("http://www.getloula.com", "www.getloula.com")</f>
      </c>
      <c r="M3571" s="17">
        <f>HYPERLINK("https://my.pitchbook.com?c=588622-87", "View Company Online")</f>
      </c>
    </row>
    <row r="3572">
      <c r="A3572" t="s" s="10">
        <v>18132</v>
      </c>
      <c r="B3572" t="s" s="10">
        <v>18133</v>
      </c>
      <c r="C3572" t="s" s="10">
        <v>46</v>
      </c>
      <c r="D3572" t="s" s="10">
        <v>397</v>
      </c>
      <c r="E3572" t="s" s="10">
        <v>373</v>
      </c>
      <c r="F3572" s="27">
        <v>46227</v>
      </c>
      <c r="G3572" t="s" s="10">
        <v>4267</v>
      </c>
      <c r="H3572" s="42">
        <v>2.28</v>
      </c>
      <c r="I3572" s="42">
        <v>3.02</v>
      </c>
      <c r="J3572" t="s" s="10">
        <v>18134</v>
      </c>
      <c r="K3572" t="s" s="10">
        <v>18135</v>
      </c>
      <c r="L3572" s="16">
        <f>HYPERLINK("http://www.auditstage.com", "www.auditstage.com")</f>
      </c>
      <c r="M3572" s="16">
        <f>HYPERLINK("https://my.pitchbook.com?c=845841-97", "View Company Online")</f>
      </c>
    </row>
    <row r="3573">
      <c r="A3573" t="s" s="11">
        <v>18137</v>
      </c>
      <c r="B3573" t="s" s="11">
        <v>18138</v>
      </c>
      <c r="C3573" t="s" s="11">
        <v>164</v>
      </c>
      <c r="D3573" t="s" s="11">
        <v>165</v>
      </c>
      <c r="E3573" t="s" s="11">
        <v>253</v>
      </c>
      <c r="F3573" s="28">
        <v>46008</v>
      </c>
      <c r="G3573" t="s" s="11">
        <v>40</v>
      </c>
      <c r="H3573" s="43">
        <v>2.46</v>
      </c>
      <c r="I3573" s="43">
        <v>3.02</v>
      </c>
      <c r="J3573" t="s" s="11">
        <v>18139</v>
      </c>
      <c r="K3573" t="s" s="11">
        <v>18140</v>
      </c>
      <c r="L3573" s="17">
        <f>HYPERLINK("http://www.fundvis.org", "www.fundvis.org")</f>
      </c>
      <c r="M3573" s="17">
        <f>HYPERLINK("https://my.pitchbook.com?c=518849-92", "View Company Online")</f>
      </c>
    </row>
    <row r="3574">
      <c r="A3574" t="s" s="10">
        <v>18142</v>
      </c>
      <c r="B3574" t="s" s="10">
        <v>18143</v>
      </c>
      <c r="C3574" t="s" s="10">
        <v>46</v>
      </c>
      <c r="D3574" t="s" s="10">
        <v>47</v>
      </c>
      <c r="E3574" t="s" s="10">
        <v>137</v>
      </c>
      <c r="F3574" s="27">
        <v>46196</v>
      </c>
      <c r="G3574" t="s" s="10">
        <v>2051</v>
      </c>
      <c r="H3574" t="s" s="42">
        <v>30</v>
      </c>
      <c r="I3574" s="42">
        <v>3.02</v>
      </c>
      <c r="J3574" t="s" s="10">
        <v>18144</v>
      </c>
      <c r="K3574" t="s" s="10">
        <v>30</v>
      </c>
      <c r="L3574" s="16">
        <f>HYPERLINK("http://www.keese.io", "www.keese.io")</f>
      </c>
      <c r="M3574" s="16">
        <f>HYPERLINK("https://my.pitchbook.com?c=465343-48", "View Company Online")</f>
      </c>
    </row>
    <row r="3575">
      <c r="A3575" t="s" s="11">
        <v>18146</v>
      </c>
      <c r="B3575" t="s" s="11">
        <v>18147</v>
      </c>
      <c r="C3575" t="s" s="11">
        <v>46</v>
      </c>
      <c r="D3575" t="s" s="11">
        <v>47</v>
      </c>
      <c r="E3575" t="s" s="11">
        <v>253</v>
      </c>
      <c r="F3575" s="28">
        <v>44585</v>
      </c>
      <c r="G3575" t="s" s="11">
        <v>146</v>
      </c>
      <c r="H3575" s="43">
        <v>0.45</v>
      </c>
      <c r="I3575" s="43">
        <v>3.02</v>
      </c>
      <c r="J3575" t="s" s="11">
        <v>18148</v>
      </c>
      <c r="K3575" t="s" s="11">
        <v>18149</v>
      </c>
      <c r="L3575" s="17">
        <f>HYPERLINK("http://www.rubypayeur.com", "www.rubypayeur.com")</f>
      </c>
      <c r="M3575" s="17">
        <f>HYPERLINK("https://my.pitchbook.com?c=433280-62", "View Company Online")</f>
      </c>
    </row>
    <row r="3576">
      <c r="A3576" t="s" s="10">
        <v>18151</v>
      </c>
      <c r="B3576" t="s" s="10">
        <v>18152</v>
      </c>
      <c r="C3576" t="s" s="10">
        <v>114</v>
      </c>
      <c r="D3576" t="s" s="10">
        <v>136</v>
      </c>
      <c r="E3576" t="s" s="10">
        <v>2782</v>
      </c>
      <c r="F3576" s="27">
        <v>46063</v>
      </c>
      <c r="G3576" t="s" s="10">
        <v>391</v>
      </c>
      <c r="H3576" t="s" s="42">
        <v>30</v>
      </c>
      <c r="I3576" s="42">
        <v>3.01</v>
      </c>
      <c r="J3576" t="s" s="10">
        <v>18153</v>
      </c>
      <c r="K3576" t="s" s="10">
        <v>18154</v>
      </c>
      <c r="L3576" s="16">
        <f>HYPERLINK("http://www.landlordinvest.com", "www.landlordinvest.com")</f>
      </c>
      <c r="M3576" s="16">
        <f>HYPERLINK("https://my.pitchbook.com?c=134061-49", "View Company Online")</f>
      </c>
    </row>
    <row r="3577">
      <c r="A3577" t="s" s="11">
        <v>18156</v>
      </c>
      <c r="B3577" t="s" s="11">
        <v>18157</v>
      </c>
      <c r="C3577" t="s" s="11">
        <v>144</v>
      </c>
      <c r="D3577" t="s" s="11">
        <v>38</v>
      </c>
      <c r="E3577" t="s" s="11">
        <v>270</v>
      </c>
      <c r="F3577" s="28">
        <v>45091</v>
      </c>
      <c r="G3577" t="s" s="11">
        <v>4267</v>
      </c>
      <c r="H3577" t="s" s="43">
        <v>30</v>
      </c>
      <c r="I3577" s="43">
        <v>3</v>
      </c>
      <c r="J3577" t="s" s="11">
        <v>18158</v>
      </c>
      <c r="K3577" t="s" s="11">
        <v>18159</v>
      </c>
      <c r="L3577" s="17">
        <f>HYPERLINK("http://www.blackcopper.io", "www.blackcopper.io")</f>
      </c>
      <c r="M3577" s="17">
        <f>HYPERLINK("https://my.pitchbook.com?c=501106-51", "View Company Online")</f>
      </c>
    </row>
    <row r="3578">
      <c r="A3578" t="s" s="10">
        <v>18161</v>
      </c>
      <c r="B3578" t="s" s="10">
        <v>18162</v>
      </c>
      <c r="C3578" t="s" s="10">
        <v>222</v>
      </c>
      <c r="D3578" t="s" s="10">
        <v>235</v>
      </c>
      <c r="E3578" t="s" s="10">
        <v>137</v>
      </c>
      <c r="F3578" s="27">
        <v>46174</v>
      </c>
      <c r="G3578" t="s" s="10">
        <v>138</v>
      </c>
      <c r="H3578" s="42">
        <v>3</v>
      </c>
      <c r="I3578" s="42">
        <v>3</v>
      </c>
      <c r="J3578" t="s" s="10">
        <v>18163</v>
      </c>
      <c r="K3578" t="s" s="10">
        <v>18164</v>
      </c>
      <c r="L3578" s="16">
        <f>HYPERLINK("http://www.trybrass.com", "www.trybrass.com")</f>
      </c>
      <c r="M3578" s="16">
        <f>HYPERLINK("https://my.pitchbook.com?c=443072-71", "View Company Online")</f>
      </c>
    </row>
    <row r="3579">
      <c r="A3579" t="s" s="11">
        <v>18166</v>
      </c>
      <c r="B3579" t="s" s="11">
        <v>18167</v>
      </c>
      <c r="C3579" t="s" s="11">
        <v>27</v>
      </c>
      <c r="D3579" t="s" s="11">
        <v>28</v>
      </c>
      <c r="E3579" t="s" s="11">
        <v>137</v>
      </c>
      <c r="F3579" s="28">
        <v>43641</v>
      </c>
      <c r="G3579" t="s" s="11">
        <v>40</v>
      </c>
      <c r="H3579" s="43">
        <v>0.85</v>
      </c>
      <c r="I3579" s="43">
        <v>3</v>
      </c>
      <c r="J3579" t="s" s="11">
        <v>18168</v>
      </c>
      <c r="K3579" t="s" s="11">
        <v>18169</v>
      </c>
      <c r="L3579" s="17">
        <f>HYPERLINK("http://www.fts.ventures", "www.fts.ventures")</f>
      </c>
      <c r="M3579" s="17">
        <f>HYPERLINK("https://my.pitchbook.com?c=435311-83", "View Company Online")</f>
      </c>
    </row>
    <row r="3580">
      <c r="A3580" t="s" s="10">
        <v>18171</v>
      </c>
      <c r="B3580" t="s" s="10">
        <v>18172</v>
      </c>
      <c r="C3580" t="s" s="10">
        <v>128</v>
      </c>
      <c r="D3580" t="s" s="10">
        <v>199</v>
      </c>
      <c r="E3580" t="s" s="10">
        <v>16226</v>
      </c>
      <c r="F3580" s="27">
        <v>46231</v>
      </c>
      <c r="G3580" t="s" s="10">
        <v>4267</v>
      </c>
      <c r="H3580" s="42">
        <v>5.46</v>
      </c>
      <c r="I3580" s="42">
        <v>3</v>
      </c>
      <c r="J3580" t="s" s="10">
        <v>18173</v>
      </c>
      <c r="K3580" t="s" s="10">
        <v>18174</v>
      </c>
      <c r="L3580" s="16">
        <f>HYPERLINK("http://www.krillpay.com", "www.krillpay.com")</f>
      </c>
      <c r="M3580" s="16">
        <f>HYPERLINK("https://my.pitchbook.com?c=517024-54", "View Company Online")</f>
      </c>
    </row>
    <row r="3581">
      <c r="A3581" t="s" s="11">
        <v>18176</v>
      </c>
      <c r="B3581" t="s" s="11">
        <v>18177</v>
      </c>
      <c r="C3581" t="s" s="11">
        <v>114</v>
      </c>
      <c r="D3581" t="s" s="11">
        <v>870</v>
      </c>
      <c r="E3581" t="s" s="11">
        <v>18178</v>
      </c>
      <c r="F3581" s="28">
        <v>45791</v>
      </c>
      <c r="G3581" t="s" s="11">
        <v>31</v>
      </c>
      <c r="H3581" s="43">
        <v>10</v>
      </c>
      <c r="I3581" s="43">
        <v>3</v>
      </c>
      <c r="J3581" t="s" s="11">
        <v>18179</v>
      </c>
      <c r="K3581" t="s" s="11">
        <v>18180</v>
      </c>
      <c r="L3581" s="17">
        <f>HYPERLINK("http://www.liquify.digital", "www.liquify.digital")</f>
      </c>
      <c r="M3581" s="17">
        <f>HYPERLINK("https://my.pitchbook.com?c=521411-77", "View Company Online")</f>
      </c>
    </row>
    <row r="3582">
      <c r="A3582" t="s" s="10">
        <v>18182</v>
      </c>
      <c r="B3582" t="s" s="10">
        <v>18183</v>
      </c>
      <c r="C3582" t="s" s="10">
        <v>27</v>
      </c>
      <c r="D3582" t="s" s="10">
        <v>70</v>
      </c>
      <c r="E3582" t="s" s="10">
        <v>629</v>
      </c>
      <c r="F3582" s="27">
        <v>45839</v>
      </c>
      <c r="G3582" t="s" s="10">
        <v>146</v>
      </c>
      <c r="H3582" t="s" s="42">
        <v>30</v>
      </c>
      <c r="I3582" s="42">
        <v>3</v>
      </c>
      <c r="J3582" t="s" s="10">
        <v>18184</v>
      </c>
      <c r="K3582" t="s" s="10">
        <v>18185</v>
      </c>
      <c r="L3582" s="16">
        <f>HYPERLINK("http://magnolia.financial", "magnolia.financial")</f>
      </c>
      <c r="M3582" s="16">
        <f>HYPERLINK("https://my.pitchbook.com?c=708111-28", "View Company Online")</f>
      </c>
    </row>
    <row r="3583">
      <c r="A3583" t="s" s="11">
        <v>18187</v>
      </c>
      <c r="B3583" t="s" s="11">
        <v>18188</v>
      </c>
      <c r="C3583" t="s" s="11">
        <v>46</v>
      </c>
      <c r="D3583" t="s" s="11">
        <v>47</v>
      </c>
      <c r="E3583" t="s" s="11">
        <v>1964</v>
      </c>
      <c r="F3583" s="28">
        <v>44791</v>
      </c>
      <c r="G3583" t="s" s="11">
        <v>40</v>
      </c>
      <c r="H3583" t="s" s="43">
        <v>30</v>
      </c>
      <c r="I3583" s="43">
        <v>3</v>
      </c>
      <c r="J3583" t="s" s="11">
        <v>18189</v>
      </c>
      <c r="K3583" t="s" s="11">
        <v>18190</v>
      </c>
      <c r="L3583" s="17">
        <f>HYPERLINK("http://www.rebill.com", "www.rebill.com")</f>
      </c>
      <c r="M3583" s="17">
        <f>HYPERLINK("https://my.pitchbook.com?c=493372-18", "View Company Online")</f>
      </c>
    </row>
    <row r="3584">
      <c r="A3584" t="s" s="10">
        <v>18192</v>
      </c>
      <c r="B3584" t="s" s="10">
        <v>18193</v>
      </c>
      <c r="C3584" t="s" s="10">
        <v>128</v>
      </c>
      <c r="D3584" t="s" s="10">
        <v>276</v>
      </c>
      <c r="E3584" t="s" s="10">
        <v>5920</v>
      </c>
      <c r="F3584" s="27">
        <v>44977</v>
      </c>
      <c r="G3584" t="s" s="10">
        <v>4267</v>
      </c>
      <c r="H3584" t="s" s="42">
        <v>30</v>
      </c>
      <c r="I3584" s="42">
        <v>3</v>
      </c>
      <c r="J3584" t="s" s="10">
        <v>18194</v>
      </c>
      <c r="K3584" t="s" s="10">
        <v>18195</v>
      </c>
      <c r="L3584" s="16">
        <f>HYPERLINK("http://www.reeudo.com", "www.reeudo.com")</f>
      </c>
      <c r="M3584" s="16">
        <f>HYPERLINK("https://my.pitchbook.com?c=437684-14", "View Company Online")</f>
      </c>
    </row>
    <row r="3585">
      <c r="A3585" t="s" s="11">
        <v>18197</v>
      </c>
      <c r="B3585" t="s" s="11">
        <v>18198</v>
      </c>
      <c r="C3585" t="s" s="11">
        <v>60</v>
      </c>
      <c r="D3585" t="s" s="11">
        <v>192</v>
      </c>
      <c r="E3585" t="s" s="11">
        <v>373</v>
      </c>
      <c r="F3585" s="28">
        <v>45727</v>
      </c>
      <c r="G3585" t="s" s="11">
        <v>4267</v>
      </c>
      <c r="H3585" s="43">
        <v>2</v>
      </c>
      <c r="I3585" s="43">
        <v>3</v>
      </c>
      <c r="J3585" t="s" s="11">
        <v>18199</v>
      </c>
      <c r="K3585" t="s" s="11">
        <v>30</v>
      </c>
      <c r="L3585" s="17">
        <f>HYPERLINK("http://www.savvytrader.com", "www.savvytrader.com")</f>
      </c>
      <c r="M3585" s="17">
        <f>HYPERLINK("https://my.pitchbook.com?c=631448-02", "View Company Online")</f>
      </c>
    </row>
    <row r="3586">
      <c r="A3586" t="s" s="10">
        <v>18201</v>
      </c>
      <c r="B3586" t="s" s="10">
        <v>18202</v>
      </c>
      <c r="C3586" t="s" s="10">
        <v>164</v>
      </c>
      <c r="D3586" t="s" s="10">
        <v>165</v>
      </c>
      <c r="E3586" t="s" s="10">
        <v>373</v>
      </c>
      <c r="F3586" s="27">
        <v>45569</v>
      </c>
      <c r="G3586" t="s" s="10">
        <v>146</v>
      </c>
      <c r="H3586" t="s" s="42">
        <v>30</v>
      </c>
      <c r="I3586" s="42">
        <v>3</v>
      </c>
      <c r="J3586" t="s" s="10">
        <v>18203</v>
      </c>
      <c r="K3586" t="s" s="10">
        <v>18204</v>
      </c>
      <c r="L3586" s="16">
        <f>HYPERLINK("http://www.traduality.com", "www.traduality.com")</f>
      </c>
      <c r="M3586" s="16">
        <f>HYPERLINK("https://my.pitchbook.com?c=439165-81", "View Company Online")</f>
      </c>
    </row>
    <row r="3587">
      <c r="A3587" t="s" s="11">
        <v>18206</v>
      </c>
      <c r="B3587" t="s" s="11">
        <v>18207</v>
      </c>
      <c r="C3587" t="s" s="11">
        <v>46</v>
      </c>
      <c r="D3587" t="s" s="11">
        <v>47</v>
      </c>
      <c r="E3587" t="s" s="11">
        <v>193</v>
      </c>
      <c r="F3587" s="28">
        <v>46139</v>
      </c>
      <c r="G3587" t="s" s="11">
        <v>40</v>
      </c>
      <c r="H3587" s="43">
        <v>3</v>
      </c>
      <c r="I3587" s="43">
        <v>3</v>
      </c>
      <c r="J3587" t="s" s="11">
        <v>18208</v>
      </c>
      <c r="K3587" t="s" s="11">
        <v>18209</v>
      </c>
      <c r="L3587" s="17">
        <f>HYPERLINK("http://www.trusspayments.com", "www.trusspayments.com")</f>
      </c>
      <c r="M3587" s="17">
        <f>HYPERLINK("https://my.pitchbook.com?c=234325-72", "View Company Online")</f>
      </c>
    </row>
    <row r="3588">
      <c r="A3588" t="s" s="10">
        <v>18211</v>
      </c>
      <c r="B3588" t="s" s="10">
        <v>18212</v>
      </c>
      <c r="C3588" t="s" s="10">
        <v>164</v>
      </c>
      <c r="D3588" t="s" s="10">
        <v>206</v>
      </c>
      <c r="E3588" t="s" s="10">
        <v>373</v>
      </c>
      <c r="F3588" s="27">
        <v>45093</v>
      </c>
      <c r="G3588" t="s" s="10">
        <v>607</v>
      </c>
      <c r="H3588" s="42">
        <v>0.12</v>
      </c>
      <c r="I3588" s="42">
        <v>3</v>
      </c>
      <c r="J3588" t="s" s="10">
        <v>18213</v>
      </c>
      <c r="K3588" t="s" s="10">
        <v>18214</v>
      </c>
      <c r="L3588" s="16">
        <f>HYPERLINK("http://www.vector-cfo.com", "www.vector-cfo.com")</f>
      </c>
      <c r="M3588" s="16">
        <f>HYPERLINK("https://my.pitchbook.com?c=464235-67", "View Company Online")</f>
      </c>
    </row>
    <row r="3589">
      <c r="A3589" t="s" s="11">
        <v>18216</v>
      </c>
      <c r="B3589" t="s" s="11">
        <v>18217</v>
      </c>
      <c r="C3589" t="s" s="11">
        <v>60</v>
      </c>
      <c r="D3589" t="s" s="11">
        <v>192</v>
      </c>
      <c r="E3589" t="s" s="11">
        <v>634</v>
      </c>
      <c r="F3589" s="28">
        <v>43730</v>
      </c>
      <c r="G3589" t="s" s="11">
        <v>4267</v>
      </c>
      <c r="H3589" s="43">
        <v>0.71</v>
      </c>
      <c r="I3589" s="43">
        <v>2.99</v>
      </c>
      <c r="J3589" t="s" s="11">
        <v>18218</v>
      </c>
      <c r="K3589" t="s" s="11">
        <v>18219</v>
      </c>
      <c r="L3589" s="17">
        <f>HYPERLINK("http://www.tipigo.com", "www.tipigo.com")</f>
      </c>
      <c r="M3589" s="17">
        <f>HYPERLINK("https://my.pitchbook.com?c=169167-52", "View Company Online")</f>
      </c>
    </row>
    <row r="3590">
      <c r="A3590" t="s" s="10">
        <v>18221</v>
      </c>
      <c r="B3590" t="s" s="10">
        <v>18222</v>
      </c>
      <c r="C3590" t="s" s="10">
        <v>164</v>
      </c>
      <c r="D3590" t="s" s="10">
        <v>206</v>
      </c>
      <c r="E3590" t="s" s="10">
        <v>6317</v>
      </c>
      <c r="F3590" s="27">
        <v>44866</v>
      </c>
      <c r="G3590" t="s" s="10">
        <v>40</v>
      </c>
      <c r="H3590" s="42">
        <v>1.48</v>
      </c>
      <c r="I3590" s="42">
        <v>2.98</v>
      </c>
      <c r="J3590" t="s" s="10">
        <v>18223</v>
      </c>
      <c r="K3590" t="s" s="10">
        <v>30</v>
      </c>
      <c r="L3590" s="16">
        <f>HYPERLINK("http://www.sinqro.com", "www.sinqro.com")</f>
      </c>
      <c r="M3590" s="16">
        <f>HYPERLINK("https://my.pitchbook.com?c=490098-34", "View Company Online")</f>
      </c>
    </row>
    <row r="3591">
      <c r="A3591" t="s" s="11">
        <v>18225</v>
      </c>
      <c r="B3591" t="s" s="11">
        <v>18226</v>
      </c>
      <c r="C3591" t="s" s="11">
        <v>172</v>
      </c>
      <c r="D3591" t="s" s="11">
        <v>1454</v>
      </c>
      <c r="E3591" t="s" s="11">
        <v>253</v>
      </c>
      <c r="F3591" s="28">
        <v>44865</v>
      </c>
      <c r="G3591" t="s" s="11">
        <v>146</v>
      </c>
      <c r="H3591" s="43">
        <v>0.34</v>
      </c>
      <c r="I3591" s="43">
        <v>2.98</v>
      </c>
      <c r="J3591" t="s" s="11">
        <v>18227</v>
      </c>
      <c r="K3591" t="s" s="11">
        <v>18228</v>
      </c>
      <c r="L3591" s="17">
        <f>HYPERLINK("http://surveygauge.com", "surveygauge.com")</f>
      </c>
      <c r="M3591" s="17">
        <f>HYPERLINK("https://my.pitchbook.com?c=515683-45", "View Company Online")</f>
      </c>
    </row>
    <row r="3592">
      <c r="A3592" t="s" s="10">
        <v>18230</v>
      </c>
      <c r="B3592" t="s" s="10">
        <v>18231</v>
      </c>
      <c r="C3592" t="s" s="10">
        <v>128</v>
      </c>
      <c r="D3592" t="s" s="10">
        <v>276</v>
      </c>
      <c r="E3592" t="s" s="10">
        <v>29</v>
      </c>
      <c r="F3592" s="27">
        <v>44348</v>
      </c>
      <c r="G3592" t="s" s="10">
        <v>4267</v>
      </c>
      <c r="H3592" s="42">
        <v>1.13</v>
      </c>
      <c r="I3592" s="42">
        <v>2.97</v>
      </c>
      <c r="J3592" t="s" s="10">
        <v>18232</v>
      </c>
      <c r="K3592" t="s" s="10">
        <v>30</v>
      </c>
      <c r="L3592" s="16">
        <f>HYPERLINK("http://vitracash.com", "vitracash.com")</f>
      </c>
      <c r="M3592" s="16">
        <f>HYPERLINK("https://my.pitchbook.com?c=465481-45", "View Company Online")</f>
      </c>
    </row>
    <row r="3593">
      <c r="A3593" t="s" s="11">
        <v>18234</v>
      </c>
      <c r="B3593" t="s" s="11">
        <v>18235</v>
      </c>
      <c r="C3593" t="s" s="11">
        <v>46</v>
      </c>
      <c r="D3593" t="s" s="11">
        <v>915</v>
      </c>
      <c r="E3593" t="s" s="11">
        <v>373</v>
      </c>
      <c r="F3593" s="28">
        <v>44461</v>
      </c>
      <c r="G3593" t="s" s="11">
        <v>146</v>
      </c>
      <c r="H3593" s="43">
        <v>0.59</v>
      </c>
      <c r="I3593" s="43">
        <v>2.95</v>
      </c>
      <c r="J3593" t="s" s="11">
        <v>18236</v>
      </c>
      <c r="K3593" t="s" s="11">
        <v>18237</v>
      </c>
      <c r="L3593" s="17">
        <f>HYPERLINK("http://www.finadeck.com", "www.finadeck.com")</f>
      </c>
      <c r="M3593" s="17">
        <f>HYPERLINK("https://my.pitchbook.com?c=489209-23", "View Company Online")</f>
      </c>
    </row>
    <row r="3594">
      <c r="A3594" t="s" s="10">
        <v>18239</v>
      </c>
      <c r="B3594" t="s" s="10">
        <v>18240</v>
      </c>
      <c r="C3594" t="s" s="10">
        <v>60</v>
      </c>
      <c r="D3594" t="s" s="10">
        <v>246</v>
      </c>
      <c r="E3594" t="s" s="10">
        <v>16640</v>
      </c>
      <c r="F3594" t="s" s="27">
        <v>30</v>
      </c>
      <c r="G3594" t="s" s="10">
        <v>48</v>
      </c>
      <c r="H3594" t="s" s="42">
        <v>30</v>
      </c>
      <c r="I3594" s="42">
        <v>2.94</v>
      </c>
      <c r="J3594" t="s" s="10">
        <v>18241</v>
      </c>
      <c r="K3594" t="s" s="10">
        <v>18242</v>
      </c>
      <c r="L3594" s="16">
        <f>HYPERLINK("http://www.rachuneo.pl", "www.rachuneo.pl")</f>
      </c>
      <c r="M3594" s="16">
        <f>HYPERLINK("https://my.pitchbook.com?c=470758-60", "View Company Online")</f>
      </c>
    </row>
    <row r="3595">
      <c r="A3595" t="s" s="11">
        <v>18244</v>
      </c>
      <c r="B3595" t="s" s="11">
        <v>18245</v>
      </c>
      <c r="C3595" t="s" s="11">
        <v>60</v>
      </c>
      <c r="D3595" t="s" s="11">
        <v>246</v>
      </c>
      <c r="E3595" t="s" s="11">
        <v>367</v>
      </c>
      <c r="F3595" s="28">
        <v>44420</v>
      </c>
      <c r="G3595" t="s" s="11">
        <v>40</v>
      </c>
      <c r="H3595" s="43">
        <v>0.69</v>
      </c>
      <c r="I3595" s="43">
        <v>2.93</v>
      </c>
      <c r="J3595" t="s" s="11">
        <v>18246</v>
      </c>
      <c r="K3595" t="s" s="11">
        <v>18247</v>
      </c>
      <c r="L3595" s="17">
        <f>HYPERLINK("http://moneykarma.com", "moneykarma.com")</f>
      </c>
      <c r="M3595" s="17">
        <f>HYPERLINK("https://my.pitchbook.com?c=264682-63", "View Company Online")</f>
      </c>
    </row>
    <row r="3596">
      <c r="A3596" t="s" s="10">
        <v>18249</v>
      </c>
      <c r="B3596" t="s" s="10">
        <v>18250</v>
      </c>
      <c r="C3596" t="s" s="10">
        <v>114</v>
      </c>
      <c r="D3596" t="s" s="10">
        <v>136</v>
      </c>
      <c r="E3596" t="s" s="10">
        <v>270</v>
      </c>
      <c r="F3596" s="27">
        <v>45418</v>
      </c>
      <c r="G3596" t="s" s="10">
        <v>146</v>
      </c>
      <c r="H3596" s="42">
        <v>0.55</v>
      </c>
      <c r="I3596" s="42">
        <v>2.91</v>
      </c>
      <c r="J3596" t="s" s="10">
        <v>18251</v>
      </c>
      <c r="K3596" t="s" s="10">
        <v>18252</v>
      </c>
      <c r="L3596" s="16">
        <f>HYPERLINK("http://www.50fin.in", "www.50fin.in")</f>
      </c>
      <c r="M3596" s="16">
        <f>HYPERLINK("https://my.pitchbook.com?c=518844-88", "View Company Online")</f>
      </c>
    </row>
    <row r="3597">
      <c r="A3597" t="s" s="11">
        <v>18254</v>
      </c>
      <c r="B3597" t="s" s="11">
        <v>18255</v>
      </c>
      <c r="C3597" t="s" s="11">
        <v>114</v>
      </c>
      <c r="D3597" t="s" s="11">
        <v>136</v>
      </c>
      <c r="E3597" t="s" s="11">
        <v>270</v>
      </c>
      <c r="F3597" s="28">
        <v>43672</v>
      </c>
      <c r="G3597" t="s" s="11">
        <v>146</v>
      </c>
      <c r="H3597" s="43">
        <v>0.41</v>
      </c>
      <c r="I3597" s="43">
        <v>2.89</v>
      </c>
      <c r="J3597" t="s" s="11">
        <v>18256</v>
      </c>
      <c r="K3597" t="s" s="11">
        <v>18257</v>
      </c>
      <c r="L3597" s="17">
        <f>HYPERLINK("http://www.bigwininfotech.com", "www.bigwininfotech.com")</f>
      </c>
      <c r="M3597" s="17">
        <f>HYPERLINK("https://my.pitchbook.com?c=228471-49", "View Company Online")</f>
      </c>
    </row>
    <row r="3598">
      <c r="A3598" t="s" s="10">
        <v>18259</v>
      </c>
      <c r="B3598" t="s" s="10">
        <v>18260</v>
      </c>
      <c r="C3598" t="s" s="10">
        <v>114</v>
      </c>
      <c r="D3598" t="s" s="10">
        <v>852</v>
      </c>
      <c r="E3598" t="s" s="10">
        <v>373</v>
      </c>
      <c r="F3598" s="27">
        <v>45855</v>
      </c>
      <c r="G3598" t="s" s="10">
        <v>40</v>
      </c>
      <c r="H3598" s="42">
        <v>1.47</v>
      </c>
      <c r="I3598" s="42">
        <v>2.89</v>
      </c>
      <c r="J3598" t="s" s="10">
        <v>18261</v>
      </c>
      <c r="K3598" t="s" s="10">
        <v>18262</v>
      </c>
      <c r="L3598" s="16">
        <f>HYPERLINK("http://www.fundingbee.my", "www.fundingbee.my")</f>
      </c>
      <c r="M3598" s="16">
        <f>HYPERLINK("https://my.pitchbook.com?c=509774-23", "View Company Online")</f>
      </c>
    </row>
    <row r="3599">
      <c r="A3599" t="s" s="11">
        <v>18264</v>
      </c>
      <c r="B3599" t="s" s="11">
        <v>18265</v>
      </c>
      <c r="C3599" t="s" s="11">
        <v>27</v>
      </c>
      <c r="D3599" t="s" s="11">
        <v>28</v>
      </c>
      <c r="E3599" t="s" s="11">
        <v>158</v>
      </c>
      <c r="F3599" t="s" s="28">
        <v>30</v>
      </c>
      <c r="G3599" t="s" s="11">
        <v>48</v>
      </c>
      <c r="H3599" t="s" s="43">
        <v>30</v>
      </c>
      <c r="I3599" s="43">
        <v>2.86</v>
      </c>
      <c r="J3599" t="s" s="11">
        <v>18266</v>
      </c>
      <c r="K3599" t="s" s="11">
        <v>18267</v>
      </c>
      <c r="L3599" s="17">
        <f>HYPERLINK("http://www.digitalindiapayments.com", "www.digitalindiapayments.com")</f>
      </c>
      <c r="M3599" s="17">
        <f>HYPERLINK("https://my.pitchbook.com?c=315180-82", "View Company Online")</f>
      </c>
    </row>
    <row r="3600">
      <c r="A3600" t="s" s="10">
        <v>18269</v>
      </c>
      <c r="B3600" t="s" s="10">
        <v>18270</v>
      </c>
      <c r="C3600" t="s" s="10">
        <v>37</v>
      </c>
      <c r="D3600" t="s" s="10">
        <v>304</v>
      </c>
      <c r="E3600" t="s" s="10">
        <v>270</v>
      </c>
      <c r="F3600" s="27">
        <v>44397</v>
      </c>
      <c r="G3600" t="s" s="10">
        <v>146</v>
      </c>
      <c r="H3600" s="42">
        <v>0.44</v>
      </c>
      <c r="I3600" s="42">
        <v>2.86</v>
      </c>
      <c r="J3600" t="s" s="10">
        <v>18271</v>
      </c>
      <c r="K3600" t="s" s="10">
        <v>18272</v>
      </c>
      <c r="L3600" s="16">
        <f>HYPERLINK("http://www.galaxycard.in", "www.galaxycard.in")</f>
      </c>
      <c r="M3600" s="16">
        <f>HYPERLINK("https://my.pitchbook.com?c=233699-14", "View Company Online")</f>
      </c>
    </row>
    <row r="3601">
      <c r="A3601" t="s" s="11">
        <v>18274</v>
      </c>
      <c r="B3601" t="s" s="11">
        <v>18275</v>
      </c>
      <c r="C3601" t="s" s="11">
        <v>60</v>
      </c>
      <c r="D3601" t="s" s="11">
        <v>192</v>
      </c>
      <c r="E3601" t="s" s="11">
        <v>137</v>
      </c>
      <c r="F3601" t="s" s="28">
        <v>30</v>
      </c>
      <c r="G3601" t="s" s="11">
        <v>48</v>
      </c>
      <c r="H3601" t="s" s="43">
        <v>30</v>
      </c>
      <c r="I3601" s="43">
        <v>2.86</v>
      </c>
      <c r="J3601" t="s" s="11">
        <v>18276</v>
      </c>
      <c r="K3601" t="s" s="11">
        <v>18277</v>
      </c>
      <c r="L3601" s="17">
        <f>HYPERLINK("http://www.mercatorio.com.br", "www.mercatorio.com.br")</f>
      </c>
      <c r="M3601" s="17">
        <f>HYPERLINK("https://my.pitchbook.com?c=186676-75", "View Company Online")</f>
      </c>
    </row>
    <row r="3602">
      <c r="A3602" t="s" s="10">
        <v>18279</v>
      </c>
      <c r="B3602" t="s" s="10">
        <v>18280</v>
      </c>
      <c r="C3602" t="s" s="10">
        <v>114</v>
      </c>
      <c r="D3602" t="s" s="10">
        <v>870</v>
      </c>
      <c r="E3602" t="s" s="10">
        <v>6640</v>
      </c>
      <c r="F3602" s="27">
        <v>45078</v>
      </c>
      <c r="G3602" t="s" s="10">
        <v>607</v>
      </c>
      <c r="H3602" t="s" s="42">
        <v>30</v>
      </c>
      <c r="I3602" s="42">
        <v>2.85</v>
      </c>
      <c r="J3602" t="s" s="10">
        <v>18281</v>
      </c>
      <c r="K3602" t="s" s="10">
        <v>18282</v>
      </c>
      <c r="L3602" s="16">
        <f>HYPERLINK("http://www.agrifi.ai", "www.agrifi.ai")</f>
      </c>
      <c r="M3602" s="16">
        <f>HYPERLINK("https://my.pitchbook.com?c=436522-06", "View Company Online")</f>
      </c>
    </row>
    <row r="3603">
      <c r="A3603" t="s" s="11">
        <v>18284</v>
      </c>
      <c r="B3603" t="s" s="11">
        <v>18285</v>
      </c>
      <c r="C3603" t="s" s="11">
        <v>172</v>
      </c>
      <c r="D3603" t="s" s="11">
        <v>173</v>
      </c>
      <c r="E3603" t="s" s="11">
        <v>373</v>
      </c>
      <c r="F3603" s="28">
        <v>45364</v>
      </c>
      <c r="G3603" t="s" s="11">
        <v>4267</v>
      </c>
      <c r="H3603" s="43">
        <v>0.32</v>
      </c>
      <c r="I3603" s="43">
        <v>2.85</v>
      </c>
      <c r="J3603" t="s" s="11">
        <v>18286</v>
      </c>
      <c r="K3603" t="s" s="11">
        <v>15016</v>
      </c>
      <c r="L3603" s="17">
        <f>HYPERLINK("http://www.usecontinual.com", "www.usecontinual.com")</f>
      </c>
      <c r="M3603" s="17">
        <f>HYPERLINK("https://my.pitchbook.com?c=591053-05", "View Company Online")</f>
      </c>
    </row>
    <row r="3604">
      <c r="A3604" t="s" s="10">
        <v>18288</v>
      </c>
      <c r="B3604" t="s" s="10">
        <v>18289</v>
      </c>
      <c r="C3604" t="s" s="10">
        <v>37</v>
      </c>
      <c r="D3604" t="s" s="10">
        <v>38</v>
      </c>
      <c r="E3604" t="s" s="10">
        <v>62</v>
      </c>
      <c r="F3604" s="27">
        <v>45246</v>
      </c>
      <c r="G3604" t="s" s="10">
        <v>607</v>
      </c>
      <c r="H3604" t="s" s="42">
        <v>30</v>
      </c>
      <c r="I3604" s="42">
        <v>2.84</v>
      </c>
      <c r="J3604" t="s" s="10">
        <v>18290</v>
      </c>
      <c r="K3604" t="s" s="10">
        <v>18291</v>
      </c>
      <c r="L3604" s="16">
        <f>HYPERLINK("http://www.fazilcrypto.com", "www.fazilcrypto.com")</f>
      </c>
      <c r="M3604" s="16">
        <f>HYPERLINK("https://my.pitchbook.com?c=458214-94", "View Company Online")</f>
      </c>
    </row>
    <row r="3605">
      <c r="A3605" t="s" s="11">
        <v>18293</v>
      </c>
      <c r="B3605" t="s" s="11">
        <v>18294</v>
      </c>
      <c r="C3605" t="s" s="11">
        <v>222</v>
      </c>
      <c r="D3605" t="s" s="11">
        <v>235</v>
      </c>
      <c r="E3605" t="s" s="11">
        <v>1207</v>
      </c>
      <c r="F3605" s="28">
        <v>43514</v>
      </c>
      <c r="G3605" t="s" s="11">
        <v>40</v>
      </c>
      <c r="H3605" s="43">
        <v>0.16</v>
      </c>
      <c r="I3605" s="43">
        <v>2.84</v>
      </c>
      <c r="J3605" t="s" s="11">
        <v>18295</v>
      </c>
      <c r="K3605" t="s" s="11">
        <v>18296</v>
      </c>
      <c r="L3605" s="17">
        <f>HYPERLINK("http://www.grexaim.com", "www.grexaim.com")</f>
      </c>
      <c r="M3605" s="17">
        <f>HYPERLINK("https://my.pitchbook.com?c=121065-58", "View Company Online")</f>
      </c>
    </row>
    <row r="3606">
      <c r="A3606" t="s" s="10">
        <v>18298</v>
      </c>
      <c r="B3606" t="s" s="10">
        <v>18299</v>
      </c>
      <c r="C3606" t="s" s="10">
        <v>60</v>
      </c>
      <c r="D3606" t="s" s="10">
        <v>192</v>
      </c>
      <c r="E3606" t="s" s="10">
        <v>270</v>
      </c>
      <c r="F3606" s="27">
        <v>46205</v>
      </c>
      <c r="G3606" t="s" s="10">
        <v>391</v>
      </c>
      <c r="H3606" t="s" s="42">
        <v>30</v>
      </c>
      <c r="I3606" s="42">
        <v>2.83</v>
      </c>
      <c r="J3606" t="s" s="10">
        <v>18300</v>
      </c>
      <c r="K3606" t="s" s="10">
        <v>30</v>
      </c>
      <c r="L3606" s="16">
        <f>HYPERLINK("http://www.wealth-8.com", "www.wealth-8.com")</f>
      </c>
      <c r="M3606" s="16">
        <f>HYPERLINK("https://my.pitchbook.com?c=483083-74", "View Company Online")</f>
      </c>
    </row>
    <row r="3607">
      <c r="A3607" t="s" s="11">
        <v>18302</v>
      </c>
      <c r="B3607" t="s" s="11">
        <v>18303</v>
      </c>
      <c r="C3607" t="s" s="11">
        <v>60</v>
      </c>
      <c r="D3607" t="s" s="11">
        <v>432</v>
      </c>
      <c r="E3607" t="s" s="11">
        <v>137</v>
      </c>
      <c r="F3607" s="28">
        <v>43767</v>
      </c>
      <c r="G3607" t="s" s="11">
        <v>4267</v>
      </c>
      <c r="H3607" s="43">
        <v>0.8</v>
      </c>
      <c r="I3607" s="43">
        <v>2.8</v>
      </c>
      <c r="J3607" t="s" s="11">
        <v>18304</v>
      </c>
      <c r="K3607" t="s" s="11">
        <v>18305</v>
      </c>
      <c r="L3607" s="17">
        <f>HYPERLINK("http://www.finfolio.com", "www.finfolio.com")</f>
      </c>
      <c r="M3607" s="17">
        <f>HYPERLINK("https://my.pitchbook.com?c=84161-08", "View Company Online")</f>
      </c>
    </row>
    <row r="3608">
      <c r="A3608" t="s" s="10">
        <v>18307</v>
      </c>
      <c r="B3608" t="s" s="10">
        <v>18308</v>
      </c>
      <c r="C3608" t="s" s="10">
        <v>172</v>
      </c>
      <c r="D3608" t="s" s="10">
        <v>173</v>
      </c>
      <c r="E3608" t="s" s="10">
        <v>373</v>
      </c>
      <c r="F3608" s="27">
        <v>45645</v>
      </c>
      <c r="G3608" t="s" s="10">
        <v>146</v>
      </c>
      <c r="H3608" s="42">
        <v>0.57</v>
      </c>
      <c r="I3608" s="42">
        <v>2.8</v>
      </c>
      <c r="J3608" t="s" s="10">
        <v>18309</v>
      </c>
      <c r="K3608" t="s" s="10">
        <v>18310</v>
      </c>
      <c r="L3608" s="16">
        <f>HYPERLINK("http://kloutit.com/en", "kloutit.com/en")</f>
      </c>
      <c r="M3608" s="16">
        <f>HYPERLINK("https://my.pitchbook.com?c=641290-51", "View Company Online")</f>
      </c>
    </row>
    <row r="3609">
      <c r="A3609" t="s" s="11">
        <v>18312</v>
      </c>
      <c r="B3609" t="s" s="11">
        <v>18313</v>
      </c>
      <c r="C3609" t="s" s="11">
        <v>60</v>
      </c>
      <c r="D3609" t="s" s="11">
        <v>727</v>
      </c>
      <c r="E3609" t="s" s="11">
        <v>253</v>
      </c>
      <c r="F3609" s="28">
        <v>45679</v>
      </c>
      <c r="G3609" t="s" s="11">
        <v>40</v>
      </c>
      <c r="H3609" t="s" s="43">
        <v>30</v>
      </c>
      <c r="I3609" s="43">
        <v>2.8</v>
      </c>
      <c r="J3609" t="s" s="11">
        <v>18314</v>
      </c>
      <c r="K3609" t="s" s="11">
        <v>18315</v>
      </c>
      <c r="L3609" s="17">
        <f>HYPERLINK("http://www.spare8.com", "www.spare8.com")</f>
      </c>
      <c r="M3609" s="17">
        <f>HYPERLINK("https://my.pitchbook.com?c=467661-16", "View Company Online")</f>
      </c>
    </row>
    <row r="3610">
      <c r="A3610" t="s" s="10">
        <v>18317</v>
      </c>
      <c r="B3610" t="s" s="10">
        <v>18318</v>
      </c>
      <c r="C3610" t="s" s="10">
        <v>60</v>
      </c>
      <c r="D3610" t="s" s="10">
        <v>246</v>
      </c>
      <c r="E3610" t="s" s="10">
        <v>137</v>
      </c>
      <c r="F3610" s="27">
        <v>46143</v>
      </c>
      <c r="G3610" t="s" s="10">
        <v>48</v>
      </c>
      <c r="H3610" t="s" s="42">
        <v>30</v>
      </c>
      <c r="I3610" s="42">
        <v>2.8</v>
      </c>
      <c r="J3610" t="s" s="10">
        <v>18319</v>
      </c>
      <c r="K3610" t="s" s="10">
        <v>18320</v>
      </c>
      <c r="L3610" s="16">
        <f>HYPERLINK("http://www.switchme.in", "www.switchme.in")</f>
      </c>
      <c r="M3610" s="16">
        <f>HYPERLINK("https://my.pitchbook.com?c=126952-21", "View Company Online")</f>
      </c>
    </row>
    <row r="3611">
      <c r="A3611" t="s" s="11">
        <v>18322</v>
      </c>
      <c r="B3611" t="s" s="11">
        <v>18323</v>
      </c>
      <c r="C3611" t="s" s="11">
        <v>60</v>
      </c>
      <c r="D3611" t="s" s="11">
        <v>192</v>
      </c>
      <c r="E3611" t="s" s="11">
        <v>253</v>
      </c>
      <c r="F3611" s="28">
        <v>45273</v>
      </c>
      <c r="G3611" t="s" s="11">
        <v>48</v>
      </c>
      <c r="H3611" t="s" s="43">
        <v>30</v>
      </c>
      <c r="I3611" s="43">
        <v>2.78</v>
      </c>
      <c r="J3611" t="s" s="11">
        <v>18324</v>
      </c>
      <c r="K3611" t="s" s="11">
        <v>18325</v>
      </c>
      <c r="L3611" s="17">
        <f>HYPERLINK("http://www.cakeequity.com", "www.cakeequity.com")</f>
      </c>
      <c r="M3611" s="17">
        <f>HYPERLINK("https://my.pitchbook.com?c=463095-91", "View Company Online")</f>
      </c>
    </row>
    <row r="3612">
      <c r="A3612" t="s" s="10">
        <v>18327</v>
      </c>
      <c r="B3612" t="s" s="10">
        <v>18328</v>
      </c>
      <c r="C3612" t="s" s="10">
        <v>164</v>
      </c>
      <c r="D3612" t="s" s="10">
        <v>206</v>
      </c>
      <c r="E3612" t="s" s="10">
        <v>373</v>
      </c>
      <c r="F3612" s="27">
        <v>45833</v>
      </c>
      <c r="G3612" t="s" s="10">
        <v>607</v>
      </c>
      <c r="H3612" t="s" s="42">
        <v>30</v>
      </c>
      <c r="I3612" s="42">
        <v>2.78</v>
      </c>
      <c r="J3612" t="s" s="10">
        <v>18329</v>
      </c>
      <c r="K3612" t="s" s="10">
        <v>18330</v>
      </c>
      <c r="L3612" s="16">
        <f>HYPERLINK("http://www.e-doconline.co.uk", "www.e-doconline.co.uk")</f>
      </c>
      <c r="M3612" s="16">
        <f>HYPERLINK("https://my.pitchbook.com?c=517263-04", "View Company Online")</f>
      </c>
    </row>
    <row r="3613">
      <c r="A3613" t="s" s="11">
        <v>18332</v>
      </c>
      <c r="B3613" t="s" s="11">
        <v>18333</v>
      </c>
      <c r="C3613" t="s" s="11">
        <v>114</v>
      </c>
      <c r="D3613" t="s" s="11">
        <v>136</v>
      </c>
      <c r="E3613" t="s" s="11">
        <v>193</v>
      </c>
      <c r="F3613" s="28">
        <v>44294</v>
      </c>
      <c r="G3613" t="s" s="11">
        <v>4267</v>
      </c>
      <c r="H3613" s="43">
        <v>0.69</v>
      </c>
      <c r="I3613" s="43">
        <v>2.77</v>
      </c>
      <c r="J3613" t="s" s="11">
        <v>18334</v>
      </c>
      <c r="K3613" t="s" s="11">
        <v>18335</v>
      </c>
      <c r="L3613" s="17">
        <f>HYPERLINK("http://www.findeed.in", "www.findeed.in")</f>
      </c>
      <c r="M3613" s="17">
        <f>HYPERLINK("https://my.pitchbook.com?c=464168-44", "View Company Online")</f>
      </c>
    </row>
    <row r="3614">
      <c r="A3614" t="s" s="10">
        <v>18337</v>
      </c>
      <c r="B3614" t="s" s="10">
        <v>18338</v>
      </c>
      <c r="C3614" t="s" s="10">
        <v>222</v>
      </c>
      <c r="D3614" t="s" s="10">
        <v>235</v>
      </c>
      <c r="E3614" t="s" s="10">
        <v>137</v>
      </c>
      <c r="F3614" t="s" s="27">
        <v>30</v>
      </c>
      <c r="G3614" t="s" s="10">
        <v>146</v>
      </c>
      <c r="H3614" t="s" s="42">
        <v>30</v>
      </c>
      <c r="I3614" s="42">
        <v>2.74</v>
      </c>
      <c r="J3614" t="s" s="10">
        <v>18339</v>
      </c>
      <c r="K3614" t="s" s="10">
        <v>18340</v>
      </c>
      <c r="L3614" s="16">
        <f>HYPERLINK("http://www.in4startups.com", "www.in4startups.com")</f>
      </c>
      <c r="M3614" s="16">
        <f>HYPERLINK("https://my.pitchbook.com?c=496441-09", "View Company Online")</f>
      </c>
    </row>
    <row r="3615">
      <c r="A3615" t="s" s="11">
        <v>18342</v>
      </c>
      <c r="B3615" t="s" s="11">
        <v>18343</v>
      </c>
      <c r="C3615" t="s" s="11">
        <v>37</v>
      </c>
      <c r="D3615" t="s" s="11">
        <v>304</v>
      </c>
      <c r="E3615" t="s" s="11">
        <v>967</v>
      </c>
      <c r="F3615" s="28">
        <v>45108</v>
      </c>
      <c r="G3615" t="s" s="11">
        <v>146</v>
      </c>
      <c r="H3615" t="s" s="43">
        <v>30</v>
      </c>
      <c r="I3615" s="43">
        <v>2.74</v>
      </c>
      <c r="J3615" t="s" s="11">
        <v>18344</v>
      </c>
      <c r="K3615" t="s" s="11">
        <v>18345</v>
      </c>
      <c r="L3615" s="17">
        <f>HYPERLINK("http://www.paywithsplit.co", "www.paywithsplit.co")</f>
      </c>
      <c r="M3615" s="17">
        <f>HYPERLINK("https://my.pitchbook.com?c=268503-76", "View Company Online")</f>
      </c>
    </row>
    <row r="3616">
      <c r="A3616" t="s" s="10">
        <v>18347</v>
      </c>
      <c r="B3616" t="s" s="10">
        <v>18348</v>
      </c>
      <c r="C3616" t="s" s="10">
        <v>60</v>
      </c>
      <c r="D3616" t="s" s="10">
        <v>432</v>
      </c>
      <c r="E3616" t="s" s="10">
        <v>3320</v>
      </c>
      <c r="F3616" t="s" s="27">
        <v>30</v>
      </c>
      <c r="G3616" t="s" s="10">
        <v>40</v>
      </c>
      <c r="H3616" t="s" s="42">
        <v>30</v>
      </c>
      <c r="I3616" s="42">
        <v>2.73</v>
      </c>
      <c r="J3616" t="s" s="10">
        <v>18349</v>
      </c>
      <c r="K3616" t="s" s="10">
        <v>18350</v>
      </c>
      <c r="L3616" s="16">
        <f>HYPERLINK("http://www.insorce.com", "www.insorce.com")</f>
      </c>
      <c r="M3616" s="16">
        <f>HYPERLINK("https://my.pitchbook.com?c=144564-04", "View Company Online")</f>
      </c>
    </row>
    <row r="3617">
      <c r="A3617" t="s" s="11">
        <v>18352</v>
      </c>
      <c r="B3617" t="s" s="11">
        <v>18353</v>
      </c>
      <c r="C3617" t="s" s="11">
        <v>46</v>
      </c>
      <c r="D3617" t="s" s="11">
        <v>47</v>
      </c>
      <c r="E3617" t="s" s="11">
        <v>193</v>
      </c>
      <c r="F3617" s="28">
        <v>45020</v>
      </c>
      <c r="G3617" t="s" s="11">
        <v>40</v>
      </c>
      <c r="H3617" s="43">
        <v>0.28</v>
      </c>
      <c r="I3617" s="43">
        <v>2.71</v>
      </c>
      <c r="J3617" t="s" s="11">
        <v>18354</v>
      </c>
      <c r="K3617" t="s" s="11">
        <v>18355</v>
      </c>
      <c r="L3617" s="17">
        <f>HYPERLINK("http://www.finmo.co.uk", "www.finmo.co.uk")</f>
      </c>
      <c r="M3617" s="17">
        <f>HYPERLINK("https://my.pitchbook.com?c=232248-43", "View Company Online")</f>
      </c>
    </row>
    <row r="3618">
      <c r="A3618" t="s" s="10">
        <v>18357</v>
      </c>
      <c r="B3618" t="s" s="10">
        <v>18358</v>
      </c>
      <c r="C3618" t="s" s="10">
        <v>46</v>
      </c>
      <c r="D3618" t="s" s="10">
        <v>915</v>
      </c>
      <c r="E3618" t="s" s="10">
        <v>916</v>
      </c>
      <c r="F3618" s="27">
        <v>46120</v>
      </c>
      <c r="G3618" t="s" s="10">
        <v>146</v>
      </c>
      <c r="H3618" s="42">
        <v>1.96</v>
      </c>
      <c r="I3618" s="42">
        <v>2.7</v>
      </c>
      <c r="J3618" t="s" s="10">
        <v>18359</v>
      </c>
      <c r="K3618" t="s" s="10">
        <v>18360</v>
      </c>
      <c r="L3618" s="16">
        <f>HYPERLINK("http://asksobi.com", "asksobi.com")</f>
      </c>
      <c r="M3618" s="16">
        <f>HYPERLINK("https://my.pitchbook.com?c=467808-04", "View Company Online")</f>
      </c>
    </row>
    <row r="3619">
      <c r="A3619" t="s" s="11">
        <v>18362</v>
      </c>
      <c r="B3619" t="s" s="11">
        <v>18363</v>
      </c>
      <c r="C3619" t="s" s="11">
        <v>60</v>
      </c>
      <c r="D3619" t="s" s="11">
        <v>246</v>
      </c>
      <c r="E3619" t="s" s="11">
        <v>253</v>
      </c>
      <c r="F3619" t="s" s="28">
        <v>30</v>
      </c>
      <c r="G3619" t="s" s="11">
        <v>48</v>
      </c>
      <c r="H3619" t="s" s="43">
        <v>30</v>
      </c>
      <c r="I3619" s="43">
        <v>2.64</v>
      </c>
      <c r="J3619" t="s" s="11">
        <v>18364</v>
      </c>
      <c r="K3619" t="s" s="11">
        <v>18365</v>
      </c>
      <c r="L3619" s="17">
        <f>HYPERLINK("http://www.maxmywealth.com", "www.maxmywealth.com")</f>
      </c>
      <c r="M3619" s="17">
        <f>HYPERLINK("https://my.pitchbook.com?c=181912-96", "View Company Online")</f>
      </c>
    </row>
    <row r="3620">
      <c r="A3620" t="s" s="10">
        <v>18367</v>
      </c>
      <c r="B3620" t="s" s="10">
        <v>18368</v>
      </c>
      <c r="C3620" t="s" s="10">
        <v>128</v>
      </c>
      <c r="D3620" t="s" s="10">
        <v>129</v>
      </c>
      <c r="E3620" t="s" s="10">
        <v>18369</v>
      </c>
      <c r="F3620" s="27">
        <v>43719</v>
      </c>
      <c r="G3620" t="s" s="10">
        <v>40</v>
      </c>
      <c r="H3620" t="s" s="42">
        <v>30</v>
      </c>
      <c r="I3620" s="42">
        <v>2.64</v>
      </c>
      <c r="J3620" t="s" s="10">
        <v>18370</v>
      </c>
      <c r="K3620" t="s" s="10">
        <v>18371</v>
      </c>
      <c r="L3620" s="16">
        <f>HYPERLINK("http://www.snapnsavepromote.co.za", "www.snapnsavepromote.co.za")</f>
      </c>
      <c r="M3620" s="16">
        <f>HYPERLINK("https://my.pitchbook.com?c=121404-97", "View Company Online")</f>
      </c>
    </row>
    <row r="3621">
      <c r="A3621" t="s" s="11">
        <v>18373</v>
      </c>
      <c r="B3621" t="s" s="11">
        <v>18374</v>
      </c>
      <c r="C3621" t="s" s="11">
        <v>222</v>
      </c>
      <c r="D3621" t="s" s="11">
        <v>223</v>
      </c>
      <c r="E3621" t="s" s="11">
        <v>373</v>
      </c>
      <c r="F3621" s="28">
        <v>45531</v>
      </c>
      <c r="G3621" t="s" s="11">
        <v>607</v>
      </c>
      <c r="H3621" s="43">
        <v>0.05</v>
      </c>
      <c r="I3621" s="43">
        <v>2.62</v>
      </c>
      <c r="J3621" t="s" s="11">
        <v>18375</v>
      </c>
      <c r="K3621" t="s" s="11">
        <v>18376</v>
      </c>
      <c r="L3621" s="17">
        <f>HYPERLINK("http://edger.finance", "edger.finance")</f>
      </c>
      <c r="M3621" s="17">
        <f>HYPERLINK("https://my.pitchbook.com?c=523319-59", "View Company Online")</f>
      </c>
    </row>
    <row r="3622">
      <c r="A3622" t="s" s="10">
        <v>18378</v>
      </c>
      <c r="B3622" t="s" s="10">
        <v>18379</v>
      </c>
      <c r="C3622" t="s" s="10">
        <v>114</v>
      </c>
      <c r="D3622" t="s" s="10">
        <v>136</v>
      </c>
      <c r="E3622" t="s" s="10">
        <v>511</v>
      </c>
      <c r="F3622" s="27">
        <v>45336</v>
      </c>
      <c r="G3622" t="s" s="10">
        <v>40</v>
      </c>
      <c r="H3622" s="42">
        <v>6.02</v>
      </c>
      <c r="I3622" s="42">
        <v>2.61</v>
      </c>
      <c r="J3622" t="s" s="10">
        <v>18380</v>
      </c>
      <c r="K3622" t="s" s="10">
        <v>18381</v>
      </c>
      <c r="L3622" s="16">
        <f>HYPERLINK("http://www.ascendcap.in", "www.ascendcap.in")</f>
      </c>
      <c r="M3622" s="16">
        <f>HYPERLINK("https://my.pitchbook.com?c=572239-99", "View Company Online")</f>
      </c>
    </row>
    <row r="3623">
      <c r="A3623" t="s" s="11">
        <v>18383</v>
      </c>
      <c r="B3623" t="s" s="11">
        <v>18384</v>
      </c>
      <c r="C3623" t="s" s="11">
        <v>27</v>
      </c>
      <c r="D3623" t="s" s="11">
        <v>28</v>
      </c>
      <c r="E3623" t="s" s="11">
        <v>253</v>
      </c>
      <c r="F3623" s="28">
        <v>44733</v>
      </c>
      <c r="G3623" t="s" s="11">
        <v>40</v>
      </c>
      <c r="H3623" t="s" s="43">
        <v>30</v>
      </c>
      <c r="I3623" s="43">
        <v>2.61</v>
      </c>
      <c r="J3623" t="s" s="11">
        <v>18385</v>
      </c>
      <c r="K3623" t="s" s="11">
        <v>18386</v>
      </c>
      <c r="L3623" s="17">
        <f>HYPERLINK("http://www.growishpay.com", "www.growishpay.com")</f>
      </c>
      <c r="M3623" s="17">
        <f>HYPERLINK("https://my.pitchbook.com?c=85114-45", "View Company Online")</f>
      </c>
    </row>
    <row r="3624">
      <c r="A3624" t="s" s="10">
        <v>18388</v>
      </c>
      <c r="B3624" t="s" s="10">
        <v>18389</v>
      </c>
      <c r="C3624" t="s" s="10">
        <v>27</v>
      </c>
      <c r="D3624" t="s" s="10">
        <v>28</v>
      </c>
      <c r="E3624" t="s" s="10">
        <v>158</v>
      </c>
      <c r="F3624" s="27">
        <v>45992</v>
      </c>
      <c r="G3624" t="s" s="10">
        <v>48</v>
      </c>
      <c r="H3624" t="s" s="42">
        <v>30</v>
      </c>
      <c r="I3624" s="42">
        <v>2.61</v>
      </c>
      <c r="J3624" t="s" s="10">
        <v>18390</v>
      </c>
      <c r="K3624" t="s" s="10">
        <v>18391</v>
      </c>
      <c r="L3624" s="16">
        <f>HYPERLINK("http://www.kashing.co.uk", "www.kashing.co.uk")</f>
      </c>
      <c r="M3624" s="16">
        <f>HYPERLINK("https://my.pitchbook.com?c=170092-09", "View Company Online")</f>
      </c>
    </row>
    <row r="3625">
      <c r="A3625" t="s" s="11">
        <v>18393</v>
      </c>
      <c r="B3625" t="s" s="11">
        <v>18394</v>
      </c>
      <c r="C3625" t="s" s="11">
        <v>144</v>
      </c>
      <c r="D3625" t="s" s="11">
        <v>38</v>
      </c>
      <c r="E3625" t="s" s="11">
        <v>193</v>
      </c>
      <c r="F3625" s="28">
        <v>45819</v>
      </c>
      <c r="G3625" t="s" s="11">
        <v>607</v>
      </c>
      <c r="H3625" s="43">
        <v>0.1</v>
      </c>
      <c r="I3625" s="43">
        <v>2.6</v>
      </c>
      <c r="J3625" t="s" s="11">
        <v>18395</v>
      </c>
      <c r="K3625" t="s" s="11">
        <v>18396</v>
      </c>
      <c r="L3625" s="17">
        <f>HYPERLINK("http://www.gosolo.net", "www.gosolo.net")</f>
      </c>
      <c r="M3625" s="17">
        <f>HYPERLINK("https://my.pitchbook.com?c=494570-35", "View Company Online")</f>
      </c>
    </row>
    <row r="3626">
      <c r="A3626" t="s" s="10">
        <v>18398</v>
      </c>
      <c r="B3626" t="s" s="10">
        <v>18399</v>
      </c>
      <c r="C3626" t="s" s="10">
        <v>27</v>
      </c>
      <c r="D3626" t="s" s="10">
        <v>28</v>
      </c>
      <c r="E3626" t="s" s="10">
        <v>253</v>
      </c>
      <c r="F3626" t="s" s="27">
        <v>30</v>
      </c>
      <c r="G3626" t="s" s="10">
        <v>48</v>
      </c>
      <c r="H3626" t="s" s="42">
        <v>30</v>
      </c>
      <c r="I3626" s="42">
        <v>2.59</v>
      </c>
      <c r="J3626" t="s" s="10">
        <v>18400</v>
      </c>
      <c r="K3626" t="s" s="10">
        <v>18401</v>
      </c>
      <c r="L3626" s="16">
        <f>HYPERLINK("http://www.upya.io", "www.upya.io")</f>
      </c>
      <c r="M3626" s="16">
        <f>HYPERLINK("https://my.pitchbook.com?c=471675-97", "View Company Online")</f>
      </c>
    </row>
    <row r="3627">
      <c r="A3627" t="s" s="11">
        <v>18403</v>
      </c>
      <c r="B3627" t="s" s="11">
        <v>18404</v>
      </c>
      <c r="C3627" t="s" s="11">
        <v>164</v>
      </c>
      <c r="D3627" t="s" s="11">
        <v>206</v>
      </c>
      <c r="E3627" t="s" s="11">
        <v>259</v>
      </c>
      <c r="F3627" s="28">
        <v>44333</v>
      </c>
      <c r="G3627" t="s" s="11">
        <v>4267</v>
      </c>
      <c r="H3627" s="43">
        <v>0.43</v>
      </c>
      <c r="I3627" s="43">
        <v>2.55</v>
      </c>
      <c r="J3627" t="s" s="11">
        <v>18405</v>
      </c>
      <c r="K3627" t="s" s="11">
        <v>18406</v>
      </c>
      <c r="L3627" s="17">
        <f>HYPERLINK("http://www.loyalize.ai", "www.loyalize.ai")</f>
      </c>
      <c r="M3627" s="17">
        <f>HYPERLINK("https://my.pitchbook.com?c=433250-29", "View Company Online")</f>
      </c>
    </row>
    <row r="3628">
      <c r="A3628" t="s" s="10">
        <v>18408</v>
      </c>
      <c r="B3628" t="s" s="10">
        <v>18409</v>
      </c>
      <c r="C3628" t="s" s="10">
        <v>46</v>
      </c>
      <c r="D3628" t="s" s="10">
        <v>47</v>
      </c>
      <c r="E3628" t="s" s="10">
        <v>193</v>
      </c>
      <c r="F3628" s="27">
        <v>43745</v>
      </c>
      <c r="G3628" t="s" s="10">
        <v>138</v>
      </c>
      <c r="H3628" t="s" s="42">
        <v>30</v>
      </c>
      <c r="I3628" s="42">
        <v>2.54</v>
      </c>
      <c r="J3628" t="s" s="10">
        <v>18410</v>
      </c>
      <c r="K3628" t="s" s="10">
        <v>18411</v>
      </c>
      <c r="L3628" s="16">
        <f>HYPERLINK("http://www.dr-bill.ca", "www.dr-bill.ca")</f>
      </c>
      <c r="M3628" s="16">
        <f>HYPERLINK("https://my.pitchbook.com?c=113239-27", "View Company Online")</f>
      </c>
    </row>
    <row r="3629">
      <c r="A3629" t="s" s="11">
        <v>18413</v>
      </c>
      <c r="B3629" t="s" s="11">
        <v>18414</v>
      </c>
      <c r="C3629" t="s" s="11">
        <v>27</v>
      </c>
      <c r="D3629" t="s" s="11">
        <v>122</v>
      </c>
      <c r="E3629" t="s" s="11">
        <v>193</v>
      </c>
      <c r="F3629" s="28">
        <v>46023</v>
      </c>
      <c r="G3629" t="s" s="11">
        <v>40</v>
      </c>
      <c r="H3629" t="s" s="43">
        <v>30</v>
      </c>
      <c r="I3629" s="43">
        <v>2.54</v>
      </c>
      <c r="J3629" t="s" s="11">
        <v>18415</v>
      </c>
      <c r="K3629" t="s" s="11">
        <v>18416</v>
      </c>
      <c r="L3629" s="17">
        <f>HYPERLINK("http://www.myeasytransfer.com", "www.myeasytransfer.com")</f>
      </c>
      <c r="M3629" s="17">
        <f>HYPERLINK("https://my.pitchbook.com?c=521493-40", "View Company Online")</f>
      </c>
    </row>
    <row r="3630">
      <c r="A3630" t="s" s="10">
        <v>18418</v>
      </c>
      <c r="B3630" t="s" s="10">
        <v>18419</v>
      </c>
      <c r="C3630" t="s" s="10">
        <v>27</v>
      </c>
      <c r="D3630" t="s" s="10">
        <v>122</v>
      </c>
      <c r="E3630" t="s" s="10">
        <v>1859</v>
      </c>
      <c r="F3630" s="27">
        <v>45524</v>
      </c>
      <c r="G3630" t="s" s="10">
        <v>146</v>
      </c>
      <c r="H3630" s="42">
        <v>1.34</v>
      </c>
      <c r="I3630" s="42">
        <v>2.54</v>
      </c>
      <c r="J3630" t="s" s="10">
        <v>18420</v>
      </c>
      <c r="K3630" t="s" s="10">
        <v>18421</v>
      </c>
      <c r="L3630" s="16">
        <f>HYPERLINK("http://remitaid.co.jp", "remitaid.co.jp")</f>
      </c>
      <c r="M3630" s="16">
        <f>HYPERLINK("https://my.pitchbook.com?c=507245-05", "View Company Online")</f>
      </c>
    </row>
    <row r="3631">
      <c r="A3631" t="s" s="11">
        <v>18423</v>
      </c>
      <c r="B3631" t="s" s="11">
        <v>18424</v>
      </c>
      <c r="C3631" t="s" s="11">
        <v>128</v>
      </c>
      <c r="D3631" t="s" s="11">
        <v>129</v>
      </c>
      <c r="E3631" t="s" s="11">
        <v>158</v>
      </c>
      <c r="F3631" s="28">
        <v>44879</v>
      </c>
      <c r="G3631" t="s" s="11">
        <v>4267</v>
      </c>
      <c r="H3631" s="43">
        <v>0.54</v>
      </c>
      <c r="I3631" s="43">
        <v>2.53</v>
      </c>
      <c r="J3631" t="s" s="11">
        <v>18425</v>
      </c>
      <c r="K3631" t="s" s="11">
        <v>18426</v>
      </c>
      <c r="L3631" s="17">
        <f>HYPERLINK("http://www.boodil.com", "www.boodil.com")</f>
      </c>
      <c r="M3631" s="17">
        <f>HYPERLINK("https://my.pitchbook.com?c=513214-93", "View Company Online")</f>
      </c>
    </row>
    <row r="3632">
      <c r="A3632" t="s" s="10">
        <v>18428</v>
      </c>
      <c r="B3632" t="s" s="10">
        <v>18429</v>
      </c>
      <c r="C3632" t="s" s="10">
        <v>144</v>
      </c>
      <c r="D3632" t="s" s="10">
        <v>297</v>
      </c>
      <c r="E3632" t="s" s="10">
        <v>253</v>
      </c>
      <c r="F3632" s="27">
        <v>46100</v>
      </c>
      <c r="G3632" t="s" s="10">
        <v>4427</v>
      </c>
      <c r="H3632" t="s" s="42">
        <v>30</v>
      </c>
      <c r="I3632" s="42">
        <v>2.53</v>
      </c>
      <c r="J3632" t="s" s="10">
        <v>18430</v>
      </c>
      <c r="K3632" t="s" s="10">
        <v>30</v>
      </c>
      <c r="L3632" s="16">
        <f>HYPERLINK("http://www.lemon.co", "www.lemon.co")</f>
      </c>
      <c r="M3632" s="16">
        <f>HYPERLINK("https://my.pitchbook.com?c=522865-99", "View Company Online")</f>
      </c>
    </row>
    <row r="3633">
      <c r="A3633" t="s" s="11">
        <v>18432</v>
      </c>
      <c r="B3633" t="s" s="11">
        <v>18433</v>
      </c>
      <c r="C3633" t="s" s="11">
        <v>164</v>
      </c>
      <c r="D3633" t="s" s="11">
        <v>165</v>
      </c>
      <c r="E3633" t="s" s="11">
        <v>185</v>
      </c>
      <c r="F3633" s="28">
        <v>45079</v>
      </c>
      <c r="G3633" t="s" s="11">
        <v>40</v>
      </c>
      <c r="H3633" s="43">
        <v>0.95</v>
      </c>
      <c r="I3633" s="43">
        <v>2.52</v>
      </c>
      <c r="J3633" t="s" s="11">
        <v>18434</v>
      </c>
      <c r="K3633" t="s" s="11">
        <v>18435</v>
      </c>
      <c r="L3633" s="17">
        <f>HYPERLINK("http://www.lunaconnect.io", "www.lunaconnect.io")</f>
      </c>
      <c r="M3633" s="17">
        <f>HYPERLINK("https://my.pitchbook.com?c=231465-43", "View Company Online")</f>
      </c>
    </row>
    <row r="3634">
      <c r="A3634" t="s" s="10">
        <v>18437</v>
      </c>
      <c r="B3634" t="s" s="10">
        <v>18438</v>
      </c>
      <c r="C3634" t="s" s="10">
        <v>46</v>
      </c>
      <c r="D3634" t="s" s="10">
        <v>915</v>
      </c>
      <c r="E3634" t="s" s="10">
        <v>634</v>
      </c>
      <c r="F3634" s="27">
        <v>45702</v>
      </c>
      <c r="G3634" t="s" s="10">
        <v>146</v>
      </c>
      <c r="H3634" s="42">
        <v>0.04</v>
      </c>
      <c r="I3634" s="42">
        <v>2.51</v>
      </c>
      <c r="J3634" t="s" s="10">
        <v>18439</v>
      </c>
      <c r="K3634" t="s" s="10">
        <v>18440</v>
      </c>
      <c r="L3634" s="16">
        <f>HYPERLINK("http://www.finsmart.ai", "www.finsmart.ai")</f>
      </c>
      <c r="M3634" s="16">
        <f>HYPERLINK("https://my.pitchbook.com?c=512164-63", "View Company Online")</f>
      </c>
    </row>
    <row r="3635">
      <c r="A3635" t="s" s="11">
        <v>18442</v>
      </c>
      <c r="B3635" t="s" s="11">
        <v>18443</v>
      </c>
      <c r="C3635" t="s" s="11">
        <v>114</v>
      </c>
      <c r="D3635" t="s" s="11">
        <v>870</v>
      </c>
      <c r="E3635" t="s" s="11">
        <v>3433</v>
      </c>
      <c r="F3635" t="s" s="28">
        <v>30</v>
      </c>
      <c r="G3635" t="s" s="11">
        <v>48</v>
      </c>
      <c r="H3635" t="s" s="43">
        <v>30</v>
      </c>
      <c r="I3635" s="43">
        <v>2.51</v>
      </c>
      <c r="J3635" t="s" s="11">
        <v>18444</v>
      </c>
      <c r="K3635" t="s" s="11">
        <v>18445</v>
      </c>
      <c r="L3635" s="17">
        <f>HYPERLINK("http://kashin.app", "kashin.app")</f>
      </c>
      <c r="M3635" s="17">
        <f>HYPERLINK("https://my.pitchbook.com?c=489278-98", "View Company Online")</f>
      </c>
    </row>
    <row r="3636">
      <c r="A3636" t="s" s="10">
        <v>18447</v>
      </c>
      <c r="B3636" t="s" s="10">
        <v>18448</v>
      </c>
      <c r="C3636" t="s" s="10">
        <v>172</v>
      </c>
      <c r="D3636" t="s" s="10">
        <v>338</v>
      </c>
      <c r="E3636" t="s" s="10">
        <v>373</v>
      </c>
      <c r="F3636" s="27">
        <v>45717</v>
      </c>
      <c r="G3636" t="s" s="10">
        <v>146</v>
      </c>
      <c r="H3636" t="s" s="42">
        <v>30</v>
      </c>
      <c r="I3636" s="42">
        <v>2.5</v>
      </c>
      <c r="J3636" t="s" s="10">
        <v>18449</v>
      </c>
      <c r="K3636" t="s" s="10">
        <v>18450</v>
      </c>
      <c r="L3636" s="16">
        <f>HYPERLINK("http://www.10clear.com", "www.10clear.com")</f>
      </c>
      <c r="M3636" s="16">
        <f>HYPERLINK("https://my.pitchbook.com?c=606983-05", "View Company Online")</f>
      </c>
    </row>
    <row r="3637">
      <c r="A3637" t="s" s="11">
        <v>18452</v>
      </c>
      <c r="B3637" t="s" s="11">
        <v>18453</v>
      </c>
      <c r="C3637" t="s" s="11">
        <v>144</v>
      </c>
      <c r="D3637" t="s" s="11">
        <v>297</v>
      </c>
      <c r="E3637" t="s" s="11">
        <v>18454</v>
      </c>
      <c r="F3637" s="28">
        <v>44937</v>
      </c>
      <c r="G3637" t="s" s="11">
        <v>146</v>
      </c>
      <c r="H3637" t="s" s="43">
        <v>30</v>
      </c>
      <c r="I3637" s="43">
        <v>2.5</v>
      </c>
      <c r="J3637" t="s" s="11">
        <v>18455</v>
      </c>
      <c r="K3637" t="s" s="11">
        <v>18456</v>
      </c>
      <c r="L3637" s="17">
        <f>HYPERLINK("http://www.actyv.ai", "www.actyv.ai")</f>
      </c>
      <c r="M3637" s="17">
        <f>HYPERLINK("https://my.pitchbook.com?c=490849-75", "View Company Online")</f>
      </c>
    </row>
    <row r="3638">
      <c r="A3638" t="s" s="10">
        <v>18458</v>
      </c>
      <c r="B3638" t="s" s="10">
        <v>18459</v>
      </c>
      <c r="C3638" t="s" s="10">
        <v>37</v>
      </c>
      <c r="D3638" t="s" s="10">
        <v>304</v>
      </c>
      <c r="E3638" t="s" s="10">
        <v>623</v>
      </c>
      <c r="F3638" s="27">
        <v>43698</v>
      </c>
      <c r="G3638" t="s" s="10">
        <v>607</v>
      </c>
      <c r="H3638" s="42">
        <v>0.13</v>
      </c>
      <c r="I3638" s="42">
        <v>2.5</v>
      </c>
      <c r="J3638" t="s" s="10">
        <v>18460</v>
      </c>
      <c r="K3638" t="s" s="10">
        <v>18461</v>
      </c>
      <c r="L3638" s="16">
        <f>HYPERLINK("http://www.apurata.com", "www.apurata.com")</f>
      </c>
      <c r="M3638" s="16">
        <f>HYPERLINK("https://my.pitchbook.com?c=221983-12", "View Company Online")</f>
      </c>
    </row>
    <row r="3639">
      <c r="A3639" t="s" s="11">
        <v>18463</v>
      </c>
      <c r="B3639" t="s" s="11">
        <v>18464</v>
      </c>
      <c r="C3639" t="s" s="11">
        <v>114</v>
      </c>
      <c r="D3639" t="s" s="11">
        <v>852</v>
      </c>
      <c r="E3639" t="s" s="11">
        <v>270</v>
      </c>
      <c r="F3639" t="s" s="28">
        <v>30</v>
      </c>
      <c r="G3639" t="s" s="11">
        <v>31</v>
      </c>
      <c r="H3639" t="s" s="43">
        <v>30</v>
      </c>
      <c r="I3639" s="43">
        <v>2.5</v>
      </c>
      <c r="J3639" t="s" s="11">
        <v>18465</v>
      </c>
      <c r="K3639" t="s" s="11">
        <v>18466</v>
      </c>
      <c r="L3639" s="17">
        <f>HYPERLINK("http://www.asaak.com", "www.asaak.com")</f>
      </c>
      <c r="M3639" s="17">
        <f>HYPERLINK("https://my.pitchbook.com?c=224405-38", "View Company Online")</f>
      </c>
    </row>
    <row r="3640">
      <c r="A3640" t="s" s="10">
        <v>18468</v>
      </c>
      <c r="B3640" t="s" s="10">
        <v>18469</v>
      </c>
      <c r="C3640" t="s" s="10">
        <v>114</v>
      </c>
      <c r="D3640" t="s" s="10">
        <v>1386</v>
      </c>
      <c r="E3640" t="s" s="10">
        <v>373</v>
      </c>
      <c r="F3640" t="s" s="27">
        <v>30</v>
      </c>
      <c r="G3640" t="s" s="10">
        <v>4267</v>
      </c>
      <c r="H3640" t="s" s="42">
        <v>30</v>
      </c>
      <c r="I3640" s="42">
        <v>2.5</v>
      </c>
      <c r="J3640" t="s" s="10">
        <v>18470</v>
      </c>
      <c r="K3640" t="s" s="10">
        <v>18471</v>
      </c>
      <c r="L3640" s="16">
        <f>HYPERLINK("http://www.creditchek.africa", "www.creditchek.africa")</f>
      </c>
      <c r="M3640" s="16">
        <f>HYPERLINK("https://my.pitchbook.com?c=491048-56", "View Company Online")</f>
      </c>
    </row>
    <row r="3641">
      <c r="A3641" t="s" s="11">
        <v>18473</v>
      </c>
      <c r="B3641" t="s" s="11">
        <v>18474</v>
      </c>
      <c r="C3641" t="s" s="11">
        <v>164</v>
      </c>
      <c r="D3641" t="s" s="11">
        <v>206</v>
      </c>
      <c r="E3641" t="s" s="11">
        <v>253</v>
      </c>
      <c r="F3641" s="28">
        <v>44317</v>
      </c>
      <c r="G3641" t="s" s="11">
        <v>4267</v>
      </c>
      <c r="H3641" s="43">
        <v>1</v>
      </c>
      <c r="I3641" s="43">
        <v>2.5</v>
      </c>
      <c r="J3641" t="s" s="11">
        <v>18475</v>
      </c>
      <c r="K3641" t="s" s="11">
        <v>18476</v>
      </c>
      <c r="L3641" s="17">
        <f>HYPERLINK("http://ensibuuko.com", "ensibuuko.com")</f>
      </c>
      <c r="M3641" s="17">
        <f>HYPERLINK("https://my.pitchbook.com?c=115382-62", "View Company Online")</f>
      </c>
    </row>
    <row r="3642">
      <c r="A3642" t="s" s="10">
        <v>18478</v>
      </c>
      <c r="B3642" t="s" s="10">
        <v>18479</v>
      </c>
      <c r="C3642" t="s" s="10">
        <v>60</v>
      </c>
      <c r="D3642" t="s" s="10">
        <v>246</v>
      </c>
      <c r="E3642" t="s" s="10">
        <v>4087</v>
      </c>
      <c r="F3642" s="27">
        <v>45426</v>
      </c>
      <c r="G3642" t="s" s="10">
        <v>146</v>
      </c>
      <c r="H3642" s="42">
        <v>1</v>
      </c>
      <c r="I3642" s="42">
        <v>2.5</v>
      </c>
      <c r="J3642" t="s" s="10">
        <v>18480</v>
      </c>
      <c r="K3642" t="s" s="10">
        <v>18481</v>
      </c>
      <c r="L3642" s="16">
        <f>HYPERLINK("http://www.getincredible.com", "www.getincredible.com")</f>
      </c>
      <c r="M3642" s="16">
        <f>HYPERLINK("https://my.pitchbook.com?c=129937-78", "View Company Online")</f>
      </c>
    </row>
    <row r="3643">
      <c r="A3643" t="s" s="11">
        <v>18483</v>
      </c>
      <c r="B3643" t="s" s="11">
        <v>18484</v>
      </c>
      <c r="C3643" t="s" s="11">
        <v>37</v>
      </c>
      <c r="D3643" t="s" s="11">
        <v>304</v>
      </c>
      <c r="E3643" t="s" s="11">
        <v>18485</v>
      </c>
      <c r="F3643" s="28">
        <v>45608</v>
      </c>
      <c r="G3643" t="s" s="11">
        <v>4267</v>
      </c>
      <c r="H3643" s="43">
        <v>0.57</v>
      </c>
      <c r="I3643" s="43">
        <v>2.5</v>
      </c>
      <c r="J3643" t="s" s="11">
        <v>18486</v>
      </c>
      <c r="K3643" t="s" s="11">
        <v>18487</v>
      </c>
      <c r="L3643" s="17">
        <f>HYPERLINK("http://www.med.holdings", "www.med.holdings")</f>
      </c>
      <c r="M3643" s="17">
        <f>HYPERLINK("https://my.pitchbook.com?c=495934-12", "View Company Online")</f>
      </c>
    </row>
    <row r="3644">
      <c r="A3644" t="s" s="10">
        <v>18489</v>
      </c>
      <c r="B3644" t="s" s="10">
        <v>18490</v>
      </c>
      <c r="C3644" t="s" s="10">
        <v>114</v>
      </c>
      <c r="D3644" t="s" s="10">
        <v>1386</v>
      </c>
      <c r="E3644" t="s" s="10">
        <v>2293</v>
      </c>
      <c r="F3644" s="27">
        <v>45992</v>
      </c>
      <c r="G3644" t="s" s="10">
        <v>146</v>
      </c>
      <c r="H3644" t="s" s="42">
        <v>30</v>
      </c>
      <c r="I3644" s="42">
        <v>2.5</v>
      </c>
      <c r="J3644" t="s" s="10">
        <v>18491</v>
      </c>
      <c r="K3644" t="s" s="10">
        <v>18492</v>
      </c>
      <c r="L3644" s="16">
        <f>HYPERLINK("http://www.merble.ai", "www.merble.ai")</f>
      </c>
      <c r="M3644" s="16">
        <f>HYPERLINK("https://my.pitchbook.com?c=895368-34", "View Company Online")</f>
      </c>
    </row>
    <row r="3645">
      <c r="A3645" t="s" s="11">
        <v>18494</v>
      </c>
      <c r="B3645" t="s" s="11">
        <v>18495</v>
      </c>
      <c r="C3645" t="s" s="11">
        <v>60</v>
      </c>
      <c r="D3645" t="s" s="11">
        <v>246</v>
      </c>
      <c r="E3645" t="s" s="11">
        <v>29</v>
      </c>
      <c r="F3645" s="28">
        <v>45321</v>
      </c>
      <c r="G3645" t="s" s="11">
        <v>607</v>
      </c>
      <c r="H3645" t="s" s="43">
        <v>30</v>
      </c>
      <c r="I3645" s="43">
        <v>2.5</v>
      </c>
      <c r="J3645" t="s" s="11">
        <v>18496</v>
      </c>
      <c r="K3645" t="s" s="11">
        <v>18497</v>
      </c>
      <c r="L3645" s="17">
        <f>HYPERLINK("http://www.pocketfinance.com", "www.pocketfinance.com")</f>
      </c>
      <c r="M3645" s="17">
        <f>HYPERLINK("https://my.pitchbook.com?c=466856-11", "View Company Online")</f>
      </c>
    </row>
    <row r="3646">
      <c r="A3646" t="s" s="10">
        <v>18499</v>
      </c>
      <c r="B3646" t="s" s="10">
        <v>18500</v>
      </c>
      <c r="C3646" t="s" s="10">
        <v>27</v>
      </c>
      <c r="D3646" t="s" s="10">
        <v>70</v>
      </c>
      <c r="E3646" t="s" s="10">
        <v>253</v>
      </c>
      <c r="F3646" s="27">
        <v>43602</v>
      </c>
      <c r="G3646" t="s" s="10">
        <v>40</v>
      </c>
      <c r="H3646" s="42">
        <v>0.84</v>
      </c>
      <c r="I3646" s="42">
        <v>2.5</v>
      </c>
      <c r="J3646" t="s" s="10">
        <v>18501</v>
      </c>
      <c r="K3646" t="s" s="10">
        <v>18502</v>
      </c>
      <c r="L3646" s="16">
        <f>HYPERLINK("http://www.splitgrid.com", "www.splitgrid.com")</f>
      </c>
      <c r="M3646" s="16">
        <f>HYPERLINK("https://my.pitchbook.com?c=267672-43", "View Company Online")</f>
      </c>
    </row>
    <row r="3647">
      <c r="A3647" t="s" s="11">
        <v>18504</v>
      </c>
      <c r="B3647" t="s" s="11">
        <v>18505</v>
      </c>
      <c r="C3647" t="s" s="11">
        <v>128</v>
      </c>
      <c r="D3647" t="s" s="11">
        <v>129</v>
      </c>
      <c r="E3647" t="s" s="11">
        <v>200</v>
      </c>
      <c r="F3647" t="s" s="28">
        <v>30</v>
      </c>
      <c r="G3647" t="s" s="11">
        <v>40</v>
      </c>
      <c r="H3647" t="s" s="43">
        <v>30</v>
      </c>
      <c r="I3647" s="43">
        <v>2.5</v>
      </c>
      <c r="J3647" t="s" s="11">
        <v>18506</v>
      </c>
      <c r="K3647" t="s" s="11">
        <v>18507</v>
      </c>
      <c r="L3647" s="17">
        <f>HYPERLINK("http://www.suregifts.com.ng", "www.suregifts.com.ng")</f>
      </c>
      <c r="M3647" s="17">
        <f>HYPERLINK("https://my.pitchbook.com?c=232665-22", "View Company Online")</f>
      </c>
    </row>
    <row r="3648">
      <c r="A3648" t="s" s="10">
        <v>18509</v>
      </c>
      <c r="B3648" t="s" s="10">
        <v>18510</v>
      </c>
      <c r="C3648" t="s" s="10">
        <v>114</v>
      </c>
      <c r="D3648" t="s" s="10">
        <v>870</v>
      </c>
      <c r="E3648" t="s" s="10">
        <v>18511</v>
      </c>
      <c r="F3648" t="s" s="27">
        <v>30</v>
      </c>
      <c r="G3648" t="s" s="10">
        <v>607</v>
      </c>
      <c r="H3648" t="s" s="42">
        <v>30</v>
      </c>
      <c r="I3648" s="42">
        <v>2.5</v>
      </c>
      <c r="J3648" t="s" s="10">
        <v>18512</v>
      </c>
      <c r="K3648" t="s" s="10">
        <v>18513</v>
      </c>
      <c r="L3648" s="16">
        <f>HYPERLINK("http://www.thriveagric.com", "www.thriveagric.com")</f>
      </c>
      <c r="M3648" s="16">
        <f>HYPERLINK("https://my.pitchbook.com?c=182914-39", "View Company Online")</f>
      </c>
    </row>
    <row r="3649">
      <c r="A3649" t="s" s="11">
        <v>18515</v>
      </c>
      <c r="B3649" t="s" s="11">
        <v>18516</v>
      </c>
      <c r="C3649" t="s" s="11">
        <v>128</v>
      </c>
      <c r="D3649" t="s" s="11">
        <v>276</v>
      </c>
      <c r="E3649" t="s" s="11">
        <v>270</v>
      </c>
      <c r="F3649" t="s" s="28">
        <v>30</v>
      </c>
      <c r="G3649" t="s" s="11">
        <v>391</v>
      </c>
      <c r="H3649" t="s" s="43">
        <v>30</v>
      </c>
      <c r="I3649" s="43">
        <v>2.48</v>
      </c>
      <c r="J3649" t="s" s="11">
        <v>18517</v>
      </c>
      <c r="K3649" t="s" s="11">
        <v>18518</v>
      </c>
      <c r="L3649" s="17">
        <f>HYPERLINK("http://www.bigpayme.com", "www.bigpayme.com")</f>
      </c>
      <c r="M3649" s="17">
        <f>HYPERLINK("https://my.pitchbook.com?c=143995-78", "View Company Online")</f>
      </c>
    </row>
    <row r="3650">
      <c r="A3650" t="s" s="10">
        <v>18520</v>
      </c>
      <c r="B3650" t="s" s="10">
        <v>18521</v>
      </c>
      <c r="C3650" t="s" s="10">
        <v>172</v>
      </c>
      <c r="D3650" t="s" s="10">
        <v>173</v>
      </c>
      <c r="E3650" t="s" s="10">
        <v>414</v>
      </c>
      <c r="F3650" s="27">
        <v>45968</v>
      </c>
      <c r="G3650" t="s" s="10">
        <v>4267</v>
      </c>
      <c r="H3650" s="42">
        <v>0.12</v>
      </c>
      <c r="I3650" s="42">
        <v>2.48</v>
      </c>
      <c r="J3650" t="s" s="10">
        <v>18522</v>
      </c>
      <c r="K3650" t="s" s="10">
        <v>18523</v>
      </c>
      <c r="L3650" s="16">
        <f>HYPERLINK("http://www.insightai.in", "www.insightai.in")</f>
      </c>
      <c r="M3650" s="16">
        <f>HYPERLINK("https://my.pitchbook.com?c=864767-26", "View Company Online")</f>
      </c>
    </row>
    <row r="3651">
      <c r="A3651" t="s" s="11">
        <v>18525</v>
      </c>
      <c r="B3651" t="s" s="11">
        <v>18526</v>
      </c>
      <c r="C3651" t="s" s="11">
        <v>222</v>
      </c>
      <c r="D3651" t="s" s="11">
        <v>223</v>
      </c>
      <c r="E3651" t="s" s="11">
        <v>1277</v>
      </c>
      <c r="F3651" s="28">
        <v>44835</v>
      </c>
      <c r="G3651" t="s" s="11">
        <v>4267</v>
      </c>
      <c r="H3651" s="43">
        <v>1</v>
      </c>
      <c r="I3651" s="43">
        <v>2.47</v>
      </c>
      <c r="J3651" t="s" s="11">
        <v>18527</v>
      </c>
      <c r="K3651" t="s" s="11">
        <v>18528</v>
      </c>
      <c r="L3651" s="17">
        <f>HYPERLINK("http://www.udu.co", "www.udu.co")</f>
      </c>
      <c r="M3651" s="17">
        <f>HYPERLINK("https://my.pitchbook.com?c=222683-95", "View Company Online")</f>
      </c>
    </row>
    <row r="3652">
      <c r="A3652" t="s" s="10">
        <v>18530</v>
      </c>
      <c r="B3652" t="s" s="10">
        <v>18531</v>
      </c>
      <c r="C3652" t="s" s="10">
        <v>27</v>
      </c>
      <c r="D3652" t="s" s="10">
        <v>28</v>
      </c>
      <c r="E3652" t="s" s="10">
        <v>493</v>
      </c>
      <c r="F3652" s="27">
        <v>45366</v>
      </c>
      <c r="G3652" t="s" s="10">
        <v>40</v>
      </c>
      <c r="H3652" s="42">
        <v>0.11</v>
      </c>
      <c r="I3652" s="42">
        <v>2.46</v>
      </c>
      <c r="J3652" t="s" s="10">
        <v>18532</v>
      </c>
      <c r="K3652" t="s" s="10">
        <v>18533</v>
      </c>
      <c r="L3652" s="16">
        <f>HYPERLINK("http://www.proppos.com", "www.proppos.com")</f>
      </c>
      <c r="M3652" s="16">
        <f>HYPERLINK("https://my.pitchbook.com?c=453362-41", "View Company Online")</f>
      </c>
    </row>
    <row r="3653">
      <c r="A3653" t="s" s="11">
        <v>18535</v>
      </c>
      <c r="B3653" t="s" s="11">
        <v>18536</v>
      </c>
      <c r="C3653" t="s" s="11">
        <v>46</v>
      </c>
      <c r="D3653" t="s" s="11">
        <v>47</v>
      </c>
      <c r="E3653" t="s" s="11">
        <v>193</v>
      </c>
      <c r="F3653" s="28">
        <v>45692</v>
      </c>
      <c r="G3653" t="s" s="11">
        <v>40</v>
      </c>
      <c r="H3653" s="43">
        <v>0.36</v>
      </c>
      <c r="I3653" s="43">
        <v>2.43</v>
      </c>
      <c r="J3653" t="s" s="11">
        <v>18537</v>
      </c>
      <c r="K3653" t="s" s="11">
        <v>18538</v>
      </c>
      <c r="L3653" s="17">
        <f>HYPERLINK("http://www.ezio.app", "www.ezio.app")</f>
      </c>
      <c r="M3653" s="17">
        <f>HYPERLINK("https://my.pitchbook.com?c=515328-58", "View Company Online")</f>
      </c>
    </row>
    <row r="3654">
      <c r="A3654" t="s" s="10">
        <v>18540</v>
      </c>
      <c r="B3654" t="s" s="10">
        <v>18541</v>
      </c>
      <c r="C3654" t="s" s="10">
        <v>60</v>
      </c>
      <c r="D3654" t="s" s="10">
        <v>192</v>
      </c>
      <c r="E3654" t="s" s="10">
        <v>2741</v>
      </c>
      <c r="F3654" s="27">
        <v>44438</v>
      </c>
      <c r="G3654" t="s" s="10">
        <v>4267</v>
      </c>
      <c r="H3654" s="42">
        <v>0.44</v>
      </c>
      <c r="I3654" s="42">
        <v>2.43</v>
      </c>
      <c r="J3654" t="s" s="10">
        <v>18542</v>
      </c>
      <c r="K3654" t="s" s="10">
        <v>18543</v>
      </c>
      <c r="L3654" s="16">
        <f>HYPERLINK("http://wealth42.com", "wealth42.com")</f>
      </c>
      <c r="M3654" s="16">
        <f>HYPERLINK("https://my.pitchbook.com?c=399166-75", "View Company Online")</f>
      </c>
    </row>
    <row r="3655">
      <c r="A3655" t="s" s="11">
        <v>18545</v>
      </c>
      <c r="B3655" t="s" s="11">
        <v>18546</v>
      </c>
      <c r="C3655" t="s" s="11">
        <v>60</v>
      </c>
      <c r="D3655" t="s" s="11">
        <v>432</v>
      </c>
      <c r="E3655" t="s" s="11">
        <v>253</v>
      </c>
      <c r="F3655" s="28">
        <v>44659</v>
      </c>
      <c r="G3655" t="s" s="11">
        <v>4267</v>
      </c>
      <c r="H3655" s="43">
        <v>0.39</v>
      </c>
      <c r="I3655" s="43">
        <v>2.42</v>
      </c>
      <c r="J3655" t="s" s="11">
        <v>18547</v>
      </c>
      <c r="K3655" t="s" s="11">
        <v>18548</v>
      </c>
      <c r="L3655" s="17">
        <f>HYPERLINK("http://www.beyondirr.com", "www.beyondirr.com")</f>
      </c>
      <c r="M3655" s="17">
        <f>HYPERLINK("https://my.pitchbook.com?c=494823-07", "View Company Online")</f>
      </c>
    </row>
    <row r="3656">
      <c r="A3656" t="s" s="10">
        <v>18550</v>
      </c>
      <c r="B3656" t="s" s="10">
        <v>18551</v>
      </c>
      <c r="C3656" t="s" s="10">
        <v>60</v>
      </c>
      <c r="D3656" t="s" s="10">
        <v>192</v>
      </c>
      <c r="E3656" t="s" s="10">
        <v>373</v>
      </c>
      <c r="F3656" s="27">
        <v>45581</v>
      </c>
      <c r="G3656" t="s" s="10">
        <v>607</v>
      </c>
      <c r="H3656" t="s" s="42">
        <v>30</v>
      </c>
      <c r="I3656" s="42">
        <v>2.4</v>
      </c>
      <c r="J3656" t="s" s="10">
        <v>18552</v>
      </c>
      <c r="K3656" t="s" s="10">
        <v>18553</v>
      </c>
      <c r="L3656" s="16">
        <f>HYPERLINK("http://www.tradomate.one", "www.tradomate.one")</f>
      </c>
      <c r="M3656" s="16">
        <f>HYPERLINK("https://my.pitchbook.com?c=608994-19", "View Company Online")</f>
      </c>
    </row>
    <row r="3657">
      <c r="A3657" t="s" s="11">
        <v>18555</v>
      </c>
      <c r="B3657" t="s" s="11">
        <v>18556</v>
      </c>
      <c r="C3657" t="s" s="11">
        <v>46</v>
      </c>
      <c r="D3657" t="s" s="11">
        <v>78</v>
      </c>
      <c r="E3657" t="s" s="11">
        <v>9259</v>
      </c>
      <c r="F3657" s="28">
        <v>44927</v>
      </c>
      <c r="G3657" t="s" s="11">
        <v>146</v>
      </c>
      <c r="H3657" t="s" s="43">
        <v>30</v>
      </c>
      <c r="I3657" s="43">
        <v>2.4</v>
      </c>
      <c r="J3657" t="s" s="11">
        <v>18557</v>
      </c>
      <c r="K3657" t="s" s="11">
        <v>18558</v>
      </c>
      <c r="L3657" s="17">
        <f>HYPERLINK("http://tryzuberi.framer.website", "tryzuberi.framer.website")</f>
      </c>
      <c r="M3657" s="17">
        <f>HYPERLINK("https://my.pitchbook.com?c=459969-49", "View Company Online")</f>
      </c>
    </row>
    <row r="3658">
      <c r="A3658" t="s" s="10">
        <v>18560</v>
      </c>
      <c r="B3658" t="s" s="10">
        <v>18561</v>
      </c>
      <c r="C3658" t="s" s="10">
        <v>46</v>
      </c>
      <c r="D3658" t="s" s="10">
        <v>47</v>
      </c>
      <c r="E3658" t="s" s="10">
        <v>1054</v>
      </c>
      <c r="F3658" s="27">
        <v>45180</v>
      </c>
      <c r="G3658" t="s" s="10">
        <v>48</v>
      </c>
      <c r="H3658" s="42">
        <v>0.08</v>
      </c>
      <c r="I3658" s="42">
        <v>2.39</v>
      </c>
      <c r="J3658" t="s" s="10">
        <v>18562</v>
      </c>
      <c r="K3658" t="s" s="10">
        <v>18563</v>
      </c>
      <c r="L3658" s="16">
        <f>HYPERLINK("http://www.costpocket.com", "www.costpocket.com")</f>
      </c>
      <c r="M3658" s="16">
        <f>HYPERLINK("https://my.pitchbook.com?c=227444-50", "View Company Online")</f>
      </c>
    </row>
    <row r="3659">
      <c r="A3659" t="s" s="11">
        <v>18565</v>
      </c>
      <c r="B3659" t="s" s="11">
        <v>18566</v>
      </c>
      <c r="C3659" t="s" s="11">
        <v>60</v>
      </c>
      <c r="D3659" t="s" s="11">
        <v>192</v>
      </c>
      <c r="E3659" t="s" s="11">
        <v>253</v>
      </c>
      <c r="F3659" t="s" s="28">
        <v>30</v>
      </c>
      <c r="G3659" t="s" s="11">
        <v>607</v>
      </c>
      <c r="H3659" t="s" s="43">
        <v>30</v>
      </c>
      <c r="I3659" s="43">
        <v>2.38</v>
      </c>
      <c r="J3659" t="s" s="11">
        <v>18567</v>
      </c>
      <c r="K3659" t="s" s="11">
        <v>18568</v>
      </c>
      <c r="L3659" s="17">
        <f>HYPERLINK("http://www.trylevel2.com", "www.trylevel2.com")</f>
      </c>
      <c r="M3659" s="17">
        <f>HYPERLINK("https://my.pitchbook.com?c=515101-42", "View Company Online")</f>
      </c>
    </row>
    <row r="3660">
      <c r="A3660" t="s" s="10">
        <v>18570</v>
      </c>
      <c r="B3660" t="s" s="10">
        <v>18571</v>
      </c>
      <c r="C3660" t="s" s="10">
        <v>114</v>
      </c>
      <c r="D3660" t="s" s="10">
        <v>852</v>
      </c>
      <c r="E3660" t="s" s="10">
        <v>137</v>
      </c>
      <c r="F3660" s="27">
        <v>45302</v>
      </c>
      <c r="G3660" t="s" s="10">
        <v>4267</v>
      </c>
      <c r="H3660" s="42">
        <v>0.48</v>
      </c>
      <c r="I3660" s="42">
        <v>2.38</v>
      </c>
      <c r="J3660" t="s" s="10">
        <v>18572</v>
      </c>
      <c r="K3660" t="s" s="10">
        <v>18573</v>
      </c>
      <c r="L3660" s="16">
        <f>HYPERLINK("http://www.salt-finance.com", "www.salt-finance.com")</f>
      </c>
      <c r="M3660" s="16">
        <f>HYPERLINK("https://my.pitchbook.com?c=498052-63", "View Company Online")</f>
      </c>
    </row>
    <row r="3661">
      <c r="A3661" t="s" s="11">
        <v>18575</v>
      </c>
      <c r="B3661" t="s" s="11">
        <v>18576</v>
      </c>
      <c r="C3661" t="s" s="11">
        <v>144</v>
      </c>
      <c r="D3661" t="s" s="11">
        <v>297</v>
      </c>
      <c r="E3661" t="s" s="11">
        <v>259</v>
      </c>
      <c r="F3661" s="28">
        <v>46024</v>
      </c>
      <c r="G3661" t="s" s="11">
        <v>40</v>
      </c>
      <c r="H3661" s="43">
        <v>0.83</v>
      </c>
      <c r="I3661" s="43">
        <v>2.37</v>
      </c>
      <c r="J3661" t="s" s="11">
        <v>18577</v>
      </c>
      <c r="K3661" t="s" s="11">
        <v>18578</v>
      </c>
      <c r="L3661" s="17">
        <f>HYPERLINK("http://www.cashy.pl", "www.cashy.pl")</f>
      </c>
      <c r="M3661" s="17">
        <f>HYPERLINK("https://my.pitchbook.com?c=339861-34", "View Company Online")</f>
      </c>
    </row>
    <row r="3662">
      <c r="A3662" t="s" s="10">
        <v>18580</v>
      </c>
      <c r="B3662" t="s" s="10">
        <v>18581</v>
      </c>
      <c r="C3662" t="s" s="10">
        <v>164</v>
      </c>
      <c r="D3662" t="s" s="10">
        <v>206</v>
      </c>
      <c r="E3662" t="s" s="10">
        <v>137</v>
      </c>
      <c r="F3662" s="27">
        <v>45566</v>
      </c>
      <c r="G3662" t="s" s="10">
        <v>607</v>
      </c>
      <c r="H3662" t="s" s="42">
        <v>30</v>
      </c>
      <c r="I3662" s="42">
        <v>2.37</v>
      </c>
      <c r="J3662" t="s" s="10">
        <v>18582</v>
      </c>
      <c r="K3662" t="s" s="10">
        <v>18583</v>
      </c>
      <c r="L3662" s="16">
        <f>HYPERLINK("http://www.enablebanking.com", "www.enablebanking.com")</f>
      </c>
      <c r="M3662" s="16">
        <f>HYPERLINK("https://my.pitchbook.com?c=438904-09", "View Company Online")</f>
      </c>
    </row>
    <row r="3663">
      <c r="A3663" t="s" s="11">
        <v>18585</v>
      </c>
      <c r="B3663" t="s" s="11">
        <v>18586</v>
      </c>
      <c r="C3663" t="s" s="11">
        <v>46</v>
      </c>
      <c r="D3663" t="s" s="11">
        <v>47</v>
      </c>
      <c r="E3663" t="s" s="11">
        <v>137</v>
      </c>
      <c r="F3663" s="28">
        <v>46097</v>
      </c>
      <c r="G3663" t="s" s="11">
        <v>607</v>
      </c>
      <c r="H3663" t="s" s="43">
        <v>30</v>
      </c>
      <c r="I3663" s="43">
        <v>2.36</v>
      </c>
      <c r="J3663" t="s" s="11">
        <v>18587</v>
      </c>
      <c r="K3663" t="s" s="11">
        <v>18588</v>
      </c>
      <c r="L3663" s="17">
        <f>HYPERLINK("http://www.getinterface.tech", "www.getinterface.tech")</f>
      </c>
      <c r="M3663" s="17">
        <f>HYPERLINK("https://my.pitchbook.com?c=741912-22", "View Company Online")</f>
      </c>
    </row>
    <row r="3664">
      <c r="A3664" t="s" s="10">
        <v>18590</v>
      </c>
      <c r="B3664" t="s" s="10">
        <v>18591</v>
      </c>
      <c r="C3664" t="s" s="10">
        <v>114</v>
      </c>
      <c r="D3664" t="s" s="10">
        <v>136</v>
      </c>
      <c r="E3664" t="s" s="10">
        <v>270</v>
      </c>
      <c r="F3664" t="s" s="27">
        <v>30</v>
      </c>
      <c r="G3664" t="s" s="10">
        <v>48</v>
      </c>
      <c r="H3664" t="s" s="42">
        <v>30</v>
      </c>
      <c r="I3664" s="42">
        <v>2.36</v>
      </c>
      <c r="J3664" t="s" s="10">
        <v>18592</v>
      </c>
      <c r="K3664" t="s" s="10">
        <v>18593</v>
      </c>
      <c r="L3664" s="16">
        <f>HYPERLINK("http://www.symplifi.finance", "www.symplifi.finance")</f>
      </c>
      <c r="M3664" s="16">
        <f>HYPERLINK("https://my.pitchbook.com?c=464454-10", "View Company Online")</f>
      </c>
    </row>
    <row r="3665">
      <c r="A3665" t="s" s="11">
        <v>18595</v>
      </c>
      <c r="B3665" t="s" s="11">
        <v>18596</v>
      </c>
      <c r="C3665" t="s" s="11">
        <v>222</v>
      </c>
      <c r="D3665" t="s" s="11">
        <v>235</v>
      </c>
      <c r="E3665" t="s" s="11">
        <v>253</v>
      </c>
      <c r="F3665" s="28">
        <v>46023</v>
      </c>
      <c r="G3665" t="s" s="11">
        <v>146</v>
      </c>
      <c r="H3665" t="s" s="43">
        <v>30</v>
      </c>
      <c r="I3665" s="43">
        <v>2.35</v>
      </c>
      <c r="J3665" t="s" s="11">
        <v>18597</v>
      </c>
      <c r="K3665" t="s" s="11">
        <v>18598</v>
      </c>
      <c r="L3665" s="17">
        <f>HYPERLINK("http://www.incentiv.finance", "www.incentiv.finance")</f>
      </c>
      <c r="M3665" s="17">
        <f>HYPERLINK("https://my.pitchbook.com?c=523420-48", "View Company Online")</f>
      </c>
    </row>
    <row r="3666">
      <c r="A3666" t="s" s="10">
        <v>18600</v>
      </c>
      <c r="B3666" t="s" s="10">
        <v>18601</v>
      </c>
      <c r="C3666" t="s" s="10">
        <v>46</v>
      </c>
      <c r="D3666" t="s" s="10">
        <v>397</v>
      </c>
      <c r="E3666" t="s" s="10">
        <v>629</v>
      </c>
      <c r="F3666" s="27">
        <v>45785</v>
      </c>
      <c r="G3666" t="s" s="10">
        <v>146</v>
      </c>
      <c r="H3666" s="42">
        <v>2.14</v>
      </c>
      <c r="I3666" s="42">
        <v>2.33</v>
      </c>
      <c r="J3666" t="s" s="10">
        <v>18602</v>
      </c>
      <c r="K3666" t="s" s="10">
        <v>18603</v>
      </c>
      <c r="L3666" s="16">
        <f>HYPERLINK("http://www.xbooks.it", "www.xbooks.it")</f>
      </c>
      <c r="M3666" s="16">
        <f>HYPERLINK("https://my.pitchbook.com?c=520993-63", "View Company Online")</f>
      </c>
    </row>
    <row r="3667">
      <c r="A3667" t="s" s="11">
        <v>18605</v>
      </c>
      <c r="B3667" t="s" s="11">
        <v>18606</v>
      </c>
      <c r="C3667" t="s" s="11">
        <v>128</v>
      </c>
      <c r="D3667" t="s" s="11">
        <v>276</v>
      </c>
      <c r="E3667" t="s" s="11">
        <v>270</v>
      </c>
      <c r="F3667" s="28">
        <v>44896</v>
      </c>
      <c r="G3667" t="s" s="11">
        <v>146</v>
      </c>
      <c r="H3667" s="43">
        <v>2.04</v>
      </c>
      <c r="I3667" s="43">
        <v>2.32</v>
      </c>
      <c r="J3667" t="s" s="11">
        <v>18607</v>
      </c>
      <c r="K3667" t="s" s="11">
        <v>18608</v>
      </c>
      <c r="L3667" s="17">
        <f>HYPERLINK("http://www.somosaurapay.com", "www.somosaurapay.com")</f>
      </c>
      <c r="M3667" s="17">
        <f>HYPERLINK("https://my.pitchbook.com?c=491535-55", "View Company Online")</f>
      </c>
    </row>
    <row r="3668">
      <c r="A3668" t="s" s="10">
        <v>18610</v>
      </c>
      <c r="B3668" t="s" s="10">
        <v>18611</v>
      </c>
      <c r="C3668" t="s" s="10">
        <v>46</v>
      </c>
      <c r="D3668" t="s" s="10">
        <v>915</v>
      </c>
      <c r="E3668" t="s" s="10">
        <v>373</v>
      </c>
      <c r="F3668" s="27">
        <v>44621</v>
      </c>
      <c r="G3668" t="s" s="10">
        <v>146</v>
      </c>
      <c r="H3668" s="42">
        <v>0.34</v>
      </c>
      <c r="I3668" s="42">
        <v>2.32</v>
      </c>
      <c r="J3668" t="s" s="10">
        <v>18612</v>
      </c>
      <c r="K3668" t="s" s="10">
        <v>18613</v>
      </c>
      <c r="L3668" s="16">
        <f>HYPERLINK("http://www.cashplannr.com", "www.cashplannr.com")</f>
      </c>
      <c r="M3668" s="16">
        <f>HYPERLINK("https://my.pitchbook.com?c=494093-26", "View Company Online")</f>
      </c>
    </row>
    <row r="3669">
      <c r="A3669" t="s" s="11">
        <v>18615</v>
      </c>
      <c r="B3669" t="s" s="11">
        <v>18616</v>
      </c>
      <c r="C3669" t="s" s="11">
        <v>164</v>
      </c>
      <c r="D3669" t="s" s="11">
        <v>206</v>
      </c>
      <c r="E3669" t="s" s="11">
        <v>158</v>
      </c>
      <c r="F3669" s="28">
        <v>44846</v>
      </c>
      <c r="G3669" t="s" s="11">
        <v>40</v>
      </c>
      <c r="H3669" t="s" s="43">
        <v>30</v>
      </c>
      <c r="I3669" s="43">
        <v>2.32</v>
      </c>
      <c r="J3669" t="s" s="11">
        <v>18617</v>
      </c>
      <c r="K3669" t="s" s="11">
        <v>18618</v>
      </c>
      <c r="L3669" s="17">
        <f>HYPERLINK("http://www.credi2.com", "www.credi2.com")</f>
      </c>
      <c r="M3669" s="17">
        <f>HYPERLINK("https://my.pitchbook.com?c=168620-41", "View Company Online")</f>
      </c>
    </row>
    <row r="3670">
      <c r="A3670" t="s" s="10">
        <v>18620</v>
      </c>
      <c r="B3670" t="s" s="10">
        <v>18621</v>
      </c>
      <c r="C3670" t="s" s="10">
        <v>60</v>
      </c>
      <c r="D3670" t="s" s="10">
        <v>246</v>
      </c>
      <c r="E3670" t="s" s="10">
        <v>3911</v>
      </c>
      <c r="F3670" s="27">
        <v>45690</v>
      </c>
      <c r="G3670" t="s" s="10">
        <v>31</v>
      </c>
      <c r="H3670" s="42">
        <v>1.18</v>
      </c>
      <c r="I3670" s="42">
        <v>2.32</v>
      </c>
      <c r="J3670" t="s" s="10">
        <v>18622</v>
      </c>
      <c r="K3670" t="s" s="10">
        <v>18623</v>
      </c>
      <c r="L3670" s="16">
        <f>HYPERLINK("http://www.fairfieldmarketplace.com", "www.fairfieldmarketplace.com")</f>
      </c>
      <c r="M3670" s="16">
        <f>HYPERLINK("https://my.pitchbook.com?c=434631-88", "View Company Online")</f>
      </c>
    </row>
    <row r="3671">
      <c r="A3671" t="s" s="11">
        <v>18625</v>
      </c>
      <c r="B3671" t="s" s="11">
        <v>18626</v>
      </c>
      <c r="C3671" t="s" s="11">
        <v>164</v>
      </c>
      <c r="D3671" t="s" s="11">
        <v>206</v>
      </c>
      <c r="E3671" t="s" s="11">
        <v>414</v>
      </c>
      <c r="F3671" s="28">
        <v>45463</v>
      </c>
      <c r="G3671" t="s" s="11">
        <v>4267</v>
      </c>
      <c r="H3671" s="43">
        <v>0.55</v>
      </c>
      <c r="I3671" s="43">
        <v>2.31</v>
      </c>
      <c r="J3671" t="s" s="11">
        <v>18627</v>
      </c>
      <c r="K3671" t="s" s="11">
        <v>18628</v>
      </c>
      <c r="L3671" s="17">
        <f>HYPERLINK("http://www.finheroasia.com", "www.finheroasia.com")</f>
      </c>
      <c r="M3671" s="17">
        <f>HYPERLINK("https://my.pitchbook.com?c=509781-88", "View Company Online")</f>
      </c>
    </row>
    <row r="3672">
      <c r="A3672" t="s" s="10">
        <v>18630</v>
      </c>
      <c r="B3672" t="s" s="10">
        <v>18631</v>
      </c>
      <c r="C3672" t="s" s="10">
        <v>60</v>
      </c>
      <c r="D3672" t="s" s="10">
        <v>246</v>
      </c>
      <c r="E3672" t="s" s="10">
        <v>193</v>
      </c>
      <c r="F3672" s="27">
        <v>45239</v>
      </c>
      <c r="G3672" t="s" s="10">
        <v>607</v>
      </c>
      <c r="H3672" t="s" s="42">
        <v>30</v>
      </c>
      <c r="I3672" s="42">
        <v>2.31</v>
      </c>
      <c r="J3672" t="s" s="10">
        <v>18632</v>
      </c>
      <c r="K3672" t="s" s="10">
        <v>18633</v>
      </c>
      <c r="L3672" s="16">
        <f>HYPERLINK("http://www.usepod.com", "www.usepod.com")</f>
      </c>
      <c r="M3672" s="16">
        <f>HYPERLINK("https://my.pitchbook.com?c=230489-56", "View Company Online")</f>
      </c>
    </row>
    <row r="3673">
      <c r="A3673" t="s" s="11">
        <v>18635</v>
      </c>
      <c r="B3673" t="s" s="11">
        <v>18636</v>
      </c>
      <c r="C3673" t="s" s="11">
        <v>144</v>
      </c>
      <c r="D3673" t="s" s="11">
        <v>38</v>
      </c>
      <c r="E3673" t="s" s="11">
        <v>270</v>
      </c>
      <c r="F3673" s="28">
        <v>44509</v>
      </c>
      <c r="G3673" t="s" s="11">
        <v>4267</v>
      </c>
      <c r="H3673" s="43">
        <v>0.37</v>
      </c>
      <c r="I3673" s="43">
        <v>2.31</v>
      </c>
      <c r="J3673" t="s" s="11">
        <v>18637</v>
      </c>
      <c r="K3673" t="s" s="11">
        <v>18638</v>
      </c>
      <c r="L3673" s="17">
        <f>HYPERLINK("http://www.zenpaysolutions.com", "www.zenpaysolutions.com")</f>
      </c>
      <c r="M3673" s="17">
        <f>HYPERLINK("https://my.pitchbook.com?c=483629-86", "View Company Online")</f>
      </c>
    </row>
    <row r="3674">
      <c r="A3674" t="s" s="10">
        <v>18640</v>
      </c>
      <c r="B3674" t="s" s="10">
        <v>18641</v>
      </c>
      <c r="C3674" t="s" s="10">
        <v>46</v>
      </c>
      <c r="D3674" t="s" s="10">
        <v>78</v>
      </c>
      <c r="E3674" t="s" s="10">
        <v>152</v>
      </c>
      <c r="F3674" s="27">
        <v>45232</v>
      </c>
      <c r="G3674" t="s" s="10">
        <v>40</v>
      </c>
      <c r="H3674" s="42">
        <v>20</v>
      </c>
      <c r="I3674" s="42">
        <v>2.3</v>
      </c>
      <c r="J3674" t="s" s="10">
        <v>18642</v>
      </c>
      <c r="K3674" t="s" s="10">
        <v>18643</v>
      </c>
      <c r="L3674" s="16">
        <f>HYPERLINK("http://www.payrollintegrations.com", "www.payrollintegrations.com")</f>
      </c>
      <c r="M3674" s="16">
        <f>HYPERLINK("https://my.pitchbook.com?c=489278-62", "View Company Online")</f>
      </c>
    </row>
    <row r="3675">
      <c r="A3675" t="s" s="11">
        <v>18645</v>
      </c>
      <c r="B3675" t="s" s="11">
        <v>18646</v>
      </c>
      <c r="C3675" t="s" s="11">
        <v>27</v>
      </c>
      <c r="D3675" t="s" s="11">
        <v>28</v>
      </c>
      <c r="E3675" t="s" s="11">
        <v>18647</v>
      </c>
      <c r="F3675" s="28">
        <v>46079</v>
      </c>
      <c r="G3675" t="s" s="11">
        <v>40</v>
      </c>
      <c r="H3675" s="43">
        <v>9</v>
      </c>
      <c r="I3675" s="43">
        <v>2.29</v>
      </c>
      <c r="J3675" t="s" s="11">
        <v>18648</v>
      </c>
      <c r="K3675" t="s" s="11">
        <v>18649</v>
      </c>
      <c r="L3675" s="17">
        <f>HYPERLINK("http://www.confidolegal.com", "www.confidolegal.com")</f>
      </c>
      <c r="M3675" s="17">
        <f>HYPERLINK("https://my.pitchbook.com?c=91429-66", "View Company Online")</f>
      </c>
    </row>
    <row r="3676">
      <c r="A3676" t="s" s="10">
        <v>18651</v>
      </c>
      <c r="B3676" t="s" s="10">
        <v>18652</v>
      </c>
      <c r="C3676" t="s" s="10">
        <v>27</v>
      </c>
      <c r="D3676" t="s" s="10">
        <v>28</v>
      </c>
      <c r="E3676" t="s" s="10">
        <v>253</v>
      </c>
      <c r="F3676" t="s" s="27">
        <v>30</v>
      </c>
      <c r="G3676" t="s" s="10">
        <v>48</v>
      </c>
      <c r="H3676" t="s" s="42">
        <v>30</v>
      </c>
      <c r="I3676" s="42">
        <v>2.29</v>
      </c>
      <c r="J3676" t="s" s="10">
        <v>18653</v>
      </c>
      <c r="K3676" t="s" s="10">
        <v>18654</v>
      </c>
      <c r="L3676" s="16">
        <f>HYPERLINK("http://www.waytobill.com", "www.waytobill.com")</f>
      </c>
      <c r="M3676" s="16">
        <f>HYPERLINK("https://my.pitchbook.com?c=491637-97", "View Company Online")</f>
      </c>
    </row>
    <row r="3677">
      <c r="A3677" t="s" s="11">
        <v>18656</v>
      </c>
      <c r="B3677" t="s" s="11">
        <v>18657</v>
      </c>
      <c r="C3677" t="s" s="11">
        <v>144</v>
      </c>
      <c r="D3677" t="s" s="11">
        <v>297</v>
      </c>
      <c r="E3677" t="s" s="11">
        <v>2678</v>
      </c>
      <c r="F3677" s="28">
        <v>44109</v>
      </c>
      <c r="G3677" t="s" s="11">
        <v>271</v>
      </c>
      <c r="H3677" s="43">
        <v>0.21</v>
      </c>
      <c r="I3677" s="43">
        <v>2.29</v>
      </c>
      <c r="J3677" t="s" s="11">
        <v>18658</v>
      </c>
      <c r="K3677" t="s" s="11">
        <v>18659</v>
      </c>
      <c r="L3677" s="17">
        <f>HYPERLINK("http://www.whitehallfinance.com", "www.whitehallfinance.com")</f>
      </c>
      <c r="M3677" s="17">
        <f>HYPERLINK("https://my.pitchbook.com?c=303049-90", "View Company Online")</f>
      </c>
    </row>
    <row r="3678">
      <c r="A3678" t="s" s="10">
        <v>18661</v>
      </c>
      <c r="B3678" t="s" s="10">
        <v>18662</v>
      </c>
      <c r="C3678" t="s" s="10">
        <v>114</v>
      </c>
      <c r="D3678" t="s" s="10">
        <v>136</v>
      </c>
      <c r="E3678" t="s" s="10">
        <v>137</v>
      </c>
      <c r="F3678" t="s" s="27">
        <v>30</v>
      </c>
      <c r="G3678" t="s" s="10">
        <v>48</v>
      </c>
      <c r="H3678" t="s" s="42">
        <v>30</v>
      </c>
      <c r="I3678" s="42">
        <v>2.28</v>
      </c>
      <c r="J3678" t="s" s="10">
        <v>18663</v>
      </c>
      <c r="K3678" t="s" s="10">
        <v>18664</v>
      </c>
      <c r="L3678" s="16">
        <f>HYPERLINK("http://www.lendenclub.com", "www.lendenclub.com")</f>
      </c>
      <c r="M3678" s="16">
        <f>HYPERLINK("https://my.pitchbook.com?c=157034-98", "View Company Online")</f>
      </c>
    </row>
    <row r="3679">
      <c r="A3679" t="s" s="11">
        <v>18666</v>
      </c>
      <c r="B3679" t="s" s="11">
        <v>18667</v>
      </c>
      <c r="C3679" t="s" s="11">
        <v>27</v>
      </c>
      <c r="D3679" t="s" s="11">
        <v>28</v>
      </c>
      <c r="E3679" t="s" s="11">
        <v>3138</v>
      </c>
      <c r="F3679" s="28">
        <v>44743</v>
      </c>
      <c r="G3679" t="s" s="11">
        <v>4267</v>
      </c>
      <c r="H3679" s="43">
        <v>0.32</v>
      </c>
      <c r="I3679" s="43">
        <v>2.28</v>
      </c>
      <c r="J3679" t="s" s="11">
        <v>18668</v>
      </c>
      <c r="K3679" t="s" s="11">
        <v>18669</v>
      </c>
      <c r="L3679" s="17">
        <f>HYPERLINK("http://www.xpresslane.in", "www.xpresslane.in")</f>
      </c>
      <c r="M3679" s="17">
        <f>HYPERLINK("https://my.pitchbook.com?c=471793-87", "View Company Online")</f>
      </c>
    </row>
    <row r="3680">
      <c r="A3680" t="s" s="10">
        <v>18671</v>
      </c>
      <c r="B3680" t="s" s="10">
        <v>18672</v>
      </c>
      <c r="C3680" t="s" s="10">
        <v>60</v>
      </c>
      <c r="D3680" t="s" s="10">
        <v>246</v>
      </c>
      <c r="E3680" t="s" s="10">
        <v>116</v>
      </c>
      <c r="F3680" s="27">
        <v>45870</v>
      </c>
      <c r="G3680" t="s" s="10">
        <v>40</v>
      </c>
      <c r="H3680" t="s" s="42">
        <v>30</v>
      </c>
      <c r="I3680" s="42">
        <v>2.27</v>
      </c>
      <c r="J3680" t="s" s="10">
        <v>18673</v>
      </c>
      <c r="K3680" t="s" s="10">
        <v>18674</v>
      </c>
      <c r="L3680" s="16">
        <f>HYPERLINK("http://www.fintelite.ai", "www.fintelite.ai")</f>
      </c>
      <c r="M3680" s="16">
        <f>HYPERLINK("https://my.pitchbook.com?c=483696-01", "View Company Online")</f>
      </c>
    </row>
    <row r="3681">
      <c r="A3681" t="s" s="11">
        <v>18676</v>
      </c>
      <c r="B3681" t="s" s="11">
        <v>18677</v>
      </c>
      <c r="C3681" t="s" s="11">
        <v>27</v>
      </c>
      <c r="D3681" t="s" s="11">
        <v>28</v>
      </c>
      <c r="E3681" t="s" s="11">
        <v>137</v>
      </c>
      <c r="F3681" s="28">
        <v>44642</v>
      </c>
      <c r="G3681" t="s" s="11">
        <v>4267</v>
      </c>
      <c r="H3681" s="43">
        <v>0.27</v>
      </c>
      <c r="I3681" s="43">
        <v>2.27</v>
      </c>
      <c r="J3681" t="s" s="11">
        <v>18678</v>
      </c>
      <c r="K3681" t="s" s="11">
        <v>18679</v>
      </c>
      <c r="L3681" s="17">
        <f>HYPERLINK("http://www.fintellity.com", "www.fintellity.com")</f>
      </c>
      <c r="M3681" s="17">
        <f>HYPERLINK("https://my.pitchbook.com?c=521645-14", "View Company Online")</f>
      </c>
    </row>
    <row r="3682">
      <c r="A3682" t="s" s="10">
        <v>18681</v>
      </c>
      <c r="B3682" t="s" s="10">
        <v>18682</v>
      </c>
      <c r="C3682" t="s" s="10">
        <v>27</v>
      </c>
      <c r="D3682" t="s" s="10">
        <v>28</v>
      </c>
      <c r="E3682" t="s" s="10">
        <v>403</v>
      </c>
      <c r="F3682" s="27">
        <v>44576</v>
      </c>
      <c r="G3682" t="s" s="10">
        <v>4267</v>
      </c>
      <c r="H3682" t="s" s="42">
        <v>30</v>
      </c>
      <c r="I3682" s="42">
        <v>2.27</v>
      </c>
      <c r="J3682" t="s" s="10">
        <v>18683</v>
      </c>
      <c r="K3682" t="s" s="10">
        <v>18684</v>
      </c>
      <c r="L3682" s="16">
        <f>HYPERLINK("http://www.gonnaorder.com", "www.gonnaorder.com")</f>
      </c>
      <c r="M3682" s="16">
        <f>HYPERLINK("https://my.pitchbook.com?c=510736-42", "View Company Online")</f>
      </c>
    </row>
    <row r="3683">
      <c r="A3683" t="s" s="11">
        <v>18686</v>
      </c>
      <c r="B3683" t="s" s="11">
        <v>18687</v>
      </c>
      <c r="C3683" t="s" s="11">
        <v>114</v>
      </c>
      <c r="D3683" t="s" s="11">
        <v>852</v>
      </c>
      <c r="E3683" t="s" s="11">
        <v>108</v>
      </c>
      <c r="F3683" s="28">
        <v>45991</v>
      </c>
      <c r="G3683" t="s" s="11">
        <v>2651</v>
      </c>
      <c r="H3683" s="43">
        <v>0.07</v>
      </c>
      <c r="I3683" s="43">
        <v>2.27</v>
      </c>
      <c r="J3683" t="s" s="11">
        <v>18688</v>
      </c>
      <c r="K3683" t="s" s="11">
        <v>18689</v>
      </c>
      <c r="L3683" s="17">
        <f>HYPERLINK("http://www.getyourlia.com", "www.getyourlia.com")</f>
      </c>
      <c r="M3683" s="17">
        <f>HYPERLINK("https://my.pitchbook.com?c=589829-50", "View Company Online")</f>
      </c>
    </row>
    <row r="3684">
      <c r="A3684" t="s" s="10">
        <v>18691</v>
      </c>
      <c r="B3684" t="s" s="10">
        <v>18692</v>
      </c>
      <c r="C3684" t="s" s="10">
        <v>114</v>
      </c>
      <c r="D3684" t="s" s="10">
        <v>870</v>
      </c>
      <c r="E3684" t="s" s="10">
        <v>18693</v>
      </c>
      <c r="F3684" s="27">
        <v>45245</v>
      </c>
      <c r="G3684" t="s" s="10">
        <v>48</v>
      </c>
      <c r="H3684" t="s" s="42">
        <v>30</v>
      </c>
      <c r="I3684" s="42">
        <v>2.25</v>
      </c>
      <c r="J3684" t="s" s="10">
        <v>18694</v>
      </c>
      <c r="K3684" t="s" s="10">
        <v>18695</v>
      </c>
      <c r="L3684" s="16">
        <f>HYPERLINK("http://www.aggois.com", "www.aggois.com")</f>
      </c>
      <c r="M3684" s="16">
        <f>HYPERLINK("https://my.pitchbook.com?c=471388-42", "View Company Online")</f>
      </c>
    </row>
    <row r="3685">
      <c r="A3685" t="s" s="11">
        <v>18697</v>
      </c>
      <c r="B3685" t="s" s="11">
        <v>18698</v>
      </c>
      <c r="C3685" t="s" s="11">
        <v>164</v>
      </c>
      <c r="D3685" t="s" s="11">
        <v>206</v>
      </c>
      <c r="E3685" t="s" s="11">
        <v>253</v>
      </c>
      <c r="F3685" s="28">
        <v>45323</v>
      </c>
      <c r="G3685" t="s" s="11">
        <v>4267</v>
      </c>
      <c r="H3685" s="43">
        <v>0.3</v>
      </c>
      <c r="I3685" s="43">
        <v>2.24</v>
      </c>
      <c r="J3685" t="s" s="11">
        <v>18699</v>
      </c>
      <c r="K3685" t="s" s="11">
        <v>18700</v>
      </c>
      <c r="L3685" s="17">
        <f>HYPERLINK("http://www.finstack.in", "www.finstack.in")</f>
      </c>
      <c r="M3685" s="17">
        <f>HYPERLINK("https://my.pitchbook.com?c=518316-40", "View Company Online")</f>
      </c>
    </row>
    <row r="3686">
      <c r="A3686" t="s" s="10">
        <v>18702</v>
      </c>
      <c r="B3686" t="s" s="10">
        <v>18703</v>
      </c>
      <c r="C3686" t="s" s="10">
        <v>27</v>
      </c>
      <c r="D3686" t="s" s="10">
        <v>28</v>
      </c>
      <c r="E3686" t="s" s="10">
        <v>253</v>
      </c>
      <c r="F3686" s="27">
        <v>44756</v>
      </c>
      <c r="G3686" t="s" s="10">
        <v>607</v>
      </c>
      <c r="H3686" t="s" s="42">
        <v>30</v>
      </c>
      <c r="I3686" s="42">
        <v>2.22</v>
      </c>
      <c r="J3686" t="s" s="10">
        <v>18704</v>
      </c>
      <c r="K3686" t="s" s="10">
        <v>18705</v>
      </c>
      <c r="L3686" s="16">
        <f>HYPERLINK("http://www.reveniu.com", "www.reveniu.com")</f>
      </c>
      <c r="M3686" s="16">
        <f>HYPERLINK("https://my.pitchbook.com?c=472434-94", "View Company Online")</f>
      </c>
    </row>
    <row r="3687">
      <c r="A3687" t="s" s="11">
        <v>18707</v>
      </c>
      <c r="B3687" t="s" s="11">
        <v>18708</v>
      </c>
      <c r="C3687" t="s" s="11">
        <v>60</v>
      </c>
      <c r="D3687" t="s" s="11">
        <v>61</v>
      </c>
      <c r="E3687" t="s" s="11">
        <v>270</v>
      </c>
      <c r="F3687" s="28">
        <v>44650</v>
      </c>
      <c r="G3687" t="s" s="11">
        <v>4267</v>
      </c>
      <c r="H3687" s="43">
        <v>0.38</v>
      </c>
      <c r="I3687" s="43">
        <v>2.22</v>
      </c>
      <c r="J3687" t="s" s="11">
        <v>18709</v>
      </c>
      <c r="K3687" t="s" s="11">
        <v>18710</v>
      </c>
      <c r="L3687" s="17">
        <f>HYPERLINK("http://www.zeed.ai", "www.zeed.ai")</f>
      </c>
      <c r="M3687" s="17">
        <f>HYPERLINK("https://my.pitchbook.com?c=500989-33", "View Company Online")</f>
      </c>
    </row>
    <row r="3688">
      <c r="A3688" t="s" s="10">
        <v>18712</v>
      </c>
      <c r="B3688" t="s" s="10">
        <v>18713</v>
      </c>
      <c r="C3688" t="s" s="10">
        <v>37</v>
      </c>
      <c r="D3688" t="s" s="10">
        <v>304</v>
      </c>
      <c r="E3688" t="s" s="10">
        <v>5072</v>
      </c>
      <c r="F3688" t="s" s="27">
        <v>30</v>
      </c>
      <c r="G3688" t="s" s="10">
        <v>146</v>
      </c>
      <c r="H3688" t="s" s="42">
        <v>30</v>
      </c>
      <c r="I3688" s="42">
        <v>2.21</v>
      </c>
      <c r="J3688" t="s" s="10">
        <v>18714</v>
      </c>
      <c r="K3688" t="s" s="10">
        <v>18715</v>
      </c>
      <c r="L3688" s="16">
        <f>HYPERLINK("http://www.layup.co.za", "www.layup.co.za")</f>
      </c>
      <c r="M3688" s="16">
        <f>HYPERLINK("https://my.pitchbook.com?c=231467-77", "View Company Online")</f>
      </c>
    </row>
    <row r="3689">
      <c r="A3689" t="s" s="11">
        <v>18717</v>
      </c>
      <c r="B3689" t="s" s="11">
        <v>18718</v>
      </c>
      <c r="C3689" t="s" s="11">
        <v>60</v>
      </c>
      <c r="D3689" t="s" s="11">
        <v>246</v>
      </c>
      <c r="E3689" t="s" s="11">
        <v>373</v>
      </c>
      <c r="F3689" s="28">
        <v>45166</v>
      </c>
      <c r="G3689" t="s" s="11">
        <v>607</v>
      </c>
      <c r="H3689" t="s" s="43">
        <v>30</v>
      </c>
      <c r="I3689" s="43">
        <v>2.2</v>
      </c>
      <c r="J3689" t="s" s="11">
        <v>18719</v>
      </c>
      <c r="K3689" t="s" s="11">
        <v>18720</v>
      </c>
      <c r="L3689" s="17">
        <f>HYPERLINK("http://www.fitbux.com", "www.fitbux.com")</f>
      </c>
      <c r="M3689" s="17">
        <f>HYPERLINK("https://my.pitchbook.com?c=484554-16", "View Company Online")</f>
      </c>
    </row>
    <row r="3690">
      <c r="A3690" t="s" s="10">
        <v>18722</v>
      </c>
      <c r="B3690" t="s" s="10">
        <v>18723</v>
      </c>
      <c r="C3690" t="s" s="10">
        <v>46</v>
      </c>
      <c r="D3690" t="s" s="10">
        <v>47</v>
      </c>
      <c r="E3690" t="s" s="10">
        <v>253</v>
      </c>
      <c r="F3690" s="27">
        <v>44372</v>
      </c>
      <c r="G3690" t="s" s="10">
        <v>40</v>
      </c>
      <c r="H3690" t="s" s="42">
        <v>30</v>
      </c>
      <c r="I3690" s="42">
        <v>2.2</v>
      </c>
      <c r="J3690" t="s" s="10">
        <v>18724</v>
      </c>
      <c r="K3690" t="s" s="10">
        <v>18725</v>
      </c>
      <c r="L3690" s="16">
        <f>HYPERLINK("http://www.plane.com", "www.plane.com")</f>
      </c>
      <c r="M3690" s="16">
        <f>HYPERLINK("https://my.pitchbook.com?c=130162-24", "View Company Online")</f>
      </c>
    </row>
    <row r="3691">
      <c r="A3691" t="s" s="11">
        <v>18727</v>
      </c>
      <c r="B3691" t="s" s="11">
        <v>18728</v>
      </c>
      <c r="C3691" t="s" s="11">
        <v>164</v>
      </c>
      <c r="D3691" t="s" s="11">
        <v>206</v>
      </c>
      <c r="E3691" t="s" s="11">
        <v>137</v>
      </c>
      <c r="F3691" s="28">
        <v>45108</v>
      </c>
      <c r="G3691" t="s" s="11">
        <v>146</v>
      </c>
      <c r="H3691" s="43">
        <v>1.08</v>
      </c>
      <c r="I3691" s="43">
        <v>2.2</v>
      </c>
      <c r="J3691" t="s" s="11">
        <v>18729</v>
      </c>
      <c r="K3691" t="s" s="11">
        <v>15700</v>
      </c>
      <c r="L3691" s="17">
        <f>HYPERLINK("http://www.pledger.fr", "www.pledger.fr")</f>
      </c>
      <c r="M3691" s="17">
        <f>HYPERLINK("https://my.pitchbook.com?c=530538-40", "View Company Online")</f>
      </c>
    </row>
    <row r="3692">
      <c r="A3692" t="s" s="10">
        <v>18731</v>
      </c>
      <c r="B3692" t="s" s="10">
        <v>18732</v>
      </c>
      <c r="C3692" t="s" s="10">
        <v>128</v>
      </c>
      <c r="D3692" t="s" s="10">
        <v>276</v>
      </c>
      <c r="E3692" t="s" s="10">
        <v>102</v>
      </c>
      <c r="F3692" s="27">
        <v>43131</v>
      </c>
      <c r="G3692" t="s" s="10">
        <v>2651</v>
      </c>
      <c r="H3692" s="42">
        <v>0.03</v>
      </c>
      <c r="I3692" s="42">
        <v>2.17</v>
      </c>
      <c r="J3692" t="s" s="10">
        <v>18733</v>
      </c>
      <c r="K3692" t="s" s="10">
        <v>18734</v>
      </c>
      <c r="L3692" s="16">
        <f>HYPERLINK("http://www.bridgtheapp.com", "www.bridgtheapp.com")</f>
      </c>
      <c r="M3692" s="16">
        <f>HYPERLINK("https://my.pitchbook.com?c=156180-52", "View Company Online")</f>
      </c>
    </row>
    <row r="3693">
      <c r="A3693" t="s" s="11">
        <v>18736</v>
      </c>
      <c r="B3693" t="s" s="11">
        <v>18737</v>
      </c>
      <c r="C3693" t="s" s="11">
        <v>46</v>
      </c>
      <c r="D3693" t="s" s="11">
        <v>397</v>
      </c>
      <c r="E3693" t="s" s="11">
        <v>253</v>
      </c>
      <c r="F3693" s="28">
        <v>45292</v>
      </c>
      <c r="G3693" t="s" s="11">
        <v>4267</v>
      </c>
      <c r="H3693" t="s" s="43">
        <v>30</v>
      </c>
      <c r="I3693" s="43">
        <v>2.17</v>
      </c>
      <c r="J3693" t="s" s="11">
        <v>18738</v>
      </c>
      <c r="K3693" t="s" s="11">
        <v>18739</v>
      </c>
      <c r="L3693" s="17">
        <f>HYPERLINK("http://www.contalink.com", "www.contalink.com")</f>
      </c>
      <c r="M3693" s="17">
        <f>HYPERLINK("https://my.pitchbook.com?c=384721-30", "View Company Online")</f>
      </c>
    </row>
    <row r="3694">
      <c r="A3694" t="s" s="10">
        <v>18741</v>
      </c>
      <c r="B3694" t="s" s="10">
        <v>18742</v>
      </c>
      <c r="C3694" t="s" s="10">
        <v>114</v>
      </c>
      <c r="D3694" t="s" s="10">
        <v>136</v>
      </c>
      <c r="E3694" t="s" s="10">
        <v>414</v>
      </c>
      <c r="F3694" t="s" s="27">
        <v>30</v>
      </c>
      <c r="G3694" t="s" s="10">
        <v>40</v>
      </c>
      <c r="H3694" s="42">
        <v>15</v>
      </c>
      <c r="I3694" s="42">
        <v>2.17</v>
      </c>
      <c r="J3694" t="s" s="10">
        <v>18743</v>
      </c>
      <c r="K3694" t="s" s="10">
        <v>18744</v>
      </c>
      <c r="L3694" s="16">
        <f>HYPERLINK("http://www.eshandi.com", "www.eshandi.com")</f>
      </c>
      <c r="M3694" s="16">
        <f>HYPERLINK("https://my.pitchbook.com?c=458066-44", "View Company Online")</f>
      </c>
    </row>
    <row r="3695">
      <c r="A3695" t="s" s="11">
        <v>18746</v>
      </c>
      <c r="B3695" t="s" s="11">
        <v>18747</v>
      </c>
      <c r="C3695" t="s" s="11">
        <v>114</v>
      </c>
      <c r="D3695" t="s" s="11">
        <v>852</v>
      </c>
      <c r="E3695" t="s" s="11">
        <v>137</v>
      </c>
      <c r="F3695" s="28">
        <v>44774</v>
      </c>
      <c r="G3695" t="s" s="11">
        <v>4267</v>
      </c>
      <c r="H3695" t="s" s="43">
        <v>30</v>
      </c>
      <c r="I3695" s="43">
        <v>2.17</v>
      </c>
      <c r="J3695" t="s" s="11">
        <v>18748</v>
      </c>
      <c r="K3695" t="s" s="11">
        <v>18749</v>
      </c>
      <c r="L3695" s="17">
        <f>HYPERLINK("http://www.nu-credits.com", "www.nu-credits.com")</f>
      </c>
      <c r="M3695" s="17">
        <f>HYPERLINK("https://my.pitchbook.com?c=438149-08", "View Company Online")</f>
      </c>
    </row>
    <row r="3696">
      <c r="A3696" t="s" s="10">
        <v>18751</v>
      </c>
      <c r="B3696" t="s" s="10">
        <v>18752</v>
      </c>
      <c r="C3696" t="s" s="10">
        <v>46</v>
      </c>
      <c r="D3696" t="s" s="10">
        <v>47</v>
      </c>
      <c r="E3696" t="s" s="10">
        <v>414</v>
      </c>
      <c r="F3696" s="27">
        <v>45859</v>
      </c>
      <c r="G3696" t="s" s="10">
        <v>146</v>
      </c>
      <c r="H3696" s="42">
        <v>0.58</v>
      </c>
      <c r="I3696" s="42">
        <v>2.16</v>
      </c>
      <c r="J3696" t="s" s="10">
        <v>18753</v>
      </c>
      <c r="K3696" t="s" s="10">
        <v>18754</v>
      </c>
      <c r="L3696" s="16">
        <f>HYPERLINK("http://www.aircap.tech", "www.aircap.tech")</f>
      </c>
      <c r="M3696" s="16">
        <f>HYPERLINK("https://my.pitchbook.com?c=719455-69", "View Company Online")</f>
      </c>
    </row>
    <row r="3697">
      <c r="A3697" t="s" s="11">
        <v>18756</v>
      </c>
      <c r="B3697" t="s" s="11">
        <v>18757</v>
      </c>
      <c r="C3697" t="s" s="11">
        <v>27</v>
      </c>
      <c r="D3697" t="s" s="11">
        <v>28</v>
      </c>
      <c r="E3697" t="s" s="11">
        <v>1207</v>
      </c>
      <c r="F3697" s="28">
        <v>43173</v>
      </c>
      <c r="G3697" t="s" s="11">
        <v>146</v>
      </c>
      <c r="H3697" s="43">
        <v>0.44</v>
      </c>
      <c r="I3697" s="43">
        <v>2.16</v>
      </c>
      <c r="J3697" t="s" s="11">
        <v>18758</v>
      </c>
      <c r="K3697" t="s" s="11">
        <v>18759</v>
      </c>
      <c r="L3697" s="17">
        <f>HYPERLINK("http://www.lendismart.com", "www.lendismart.com")</f>
      </c>
      <c r="M3697" s="17">
        <f>HYPERLINK("https://my.pitchbook.com?c=228568-06", "View Company Online")</f>
      </c>
    </row>
    <row r="3698">
      <c r="A3698" t="s" s="10">
        <v>18761</v>
      </c>
      <c r="B3698" t="s" s="10">
        <v>18762</v>
      </c>
      <c r="C3698" t="s" s="10">
        <v>114</v>
      </c>
      <c r="D3698" t="s" s="10">
        <v>870</v>
      </c>
      <c r="E3698" t="s" s="10">
        <v>193</v>
      </c>
      <c r="F3698" s="27">
        <v>44902</v>
      </c>
      <c r="G3698" t="s" s="10">
        <v>4267</v>
      </c>
      <c r="H3698" s="42">
        <v>3.05</v>
      </c>
      <c r="I3698" s="42">
        <v>2.16</v>
      </c>
      <c r="J3698" t="s" s="10">
        <v>18763</v>
      </c>
      <c r="K3698" t="s" s="10">
        <v>18764</v>
      </c>
      <c r="L3698" s="16">
        <f>HYPERLINK("http://www.yellowmetal.co", "www.yellowmetal.co")</f>
      </c>
      <c r="M3698" s="16">
        <f>HYPERLINK("https://my.pitchbook.com?c=493401-07", "View Company Online")</f>
      </c>
    </row>
    <row r="3699">
      <c r="A3699" t="s" s="11">
        <v>18766</v>
      </c>
      <c r="B3699" t="s" s="11">
        <v>18767</v>
      </c>
      <c r="C3699" t="s" s="11">
        <v>164</v>
      </c>
      <c r="D3699" t="s" s="11">
        <v>206</v>
      </c>
      <c r="E3699" t="s" s="11">
        <v>137</v>
      </c>
      <c r="F3699" t="s" s="28">
        <v>30</v>
      </c>
      <c r="G3699" t="s" s="11">
        <v>607</v>
      </c>
      <c r="H3699" t="s" s="43">
        <v>30</v>
      </c>
      <c r="I3699" s="43">
        <v>2.15</v>
      </c>
      <c r="J3699" t="s" s="11">
        <v>18768</v>
      </c>
      <c r="K3699" t="s" s="11">
        <v>18769</v>
      </c>
      <c r="L3699" s="17">
        <f>HYPERLINK("http://www.confirmu.com", "www.confirmu.com")</f>
      </c>
      <c r="M3699" s="17">
        <f>HYPERLINK("https://my.pitchbook.com?c=287645-77", "View Company Online")</f>
      </c>
    </row>
    <row r="3700">
      <c r="A3700" t="s" s="10">
        <v>18771</v>
      </c>
      <c r="B3700" t="s" s="10">
        <v>18772</v>
      </c>
      <c r="C3700" t="s" s="10">
        <v>60</v>
      </c>
      <c r="D3700" t="s" s="10">
        <v>192</v>
      </c>
      <c r="E3700" t="s" s="10">
        <v>137</v>
      </c>
      <c r="F3700" s="27">
        <v>45701</v>
      </c>
      <c r="G3700" t="s" s="10">
        <v>4267</v>
      </c>
      <c r="H3700" s="42">
        <v>0.33</v>
      </c>
      <c r="I3700" s="42">
        <v>2.15</v>
      </c>
      <c r="J3700" t="s" s="10">
        <v>18773</v>
      </c>
      <c r="K3700" t="s" s="10">
        <v>18774</v>
      </c>
      <c r="L3700" s="16">
        <f>HYPERLINK("http://www.moneysquirrel.uk", "www.moneysquirrel.uk")</f>
      </c>
      <c r="M3700" s="16">
        <f>HYPERLINK("https://my.pitchbook.com?c=749280-79", "View Company Online")</f>
      </c>
    </row>
    <row r="3701">
      <c r="A3701" t="s" s="11">
        <v>18776</v>
      </c>
      <c r="B3701" t="s" s="11">
        <v>18777</v>
      </c>
      <c r="C3701" t="s" s="11">
        <v>222</v>
      </c>
      <c r="D3701" t="s" s="11">
        <v>235</v>
      </c>
      <c r="E3701" t="s" s="11">
        <v>373</v>
      </c>
      <c r="F3701" s="28">
        <v>45912</v>
      </c>
      <c r="G3701" t="s" s="11">
        <v>607</v>
      </c>
      <c r="H3701" s="43">
        <v>0.12</v>
      </c>
      <c r="I3701" s="43">
        <v>2.15</v>
      </c>
      <c r="J3701" t="s" s="11">
        <v>18778</v>
      </c>
      <c r="K3701" t="s" s="11">
        <v>18779</v>
      </c>
      <c r="L3701" s="17">
        <f>HYPERLINK("http://www.startgram.it", "www.startgram.it")</f>
      </c>
      <c r="M3701" s="17">
        <f>HYPERLINK("https://my.pitchbook.com?c=500959-45", "View Company Online")</f>
      </c>
    </row>
    <row r="3702">
      <c r="A3702" t="s" s="10">
        <v>18781</v>
      </c>
      <c r="B3702" t="s" s="10">
        <v>18782</v>
      </c>
      <c r="C3702" t="s" s="10">
        <v>46</v>
      </c>
      <c r="D3702" t="s" s="10">
        <v>397</v>
      </c>
      <c r="E3702" t="s" s="10">
        <v>13786</v>
      </c>
      <c r="F3702" s="27">
        <v>45079</v>
      </c>
      <c r="G3702" t="s" s="10">
        <v>40</v>
      </c>
      <c r="H3702" t="s" s="42">
        <v>30</v>
      </c>
      <c r="I3702" s="42">
        <v>2.15</v>
      </c>
      <c r="J3702" t="s" s="10">
        <v>18783</v>
      </c>
      <c r="K3702" t="s" s="10">
        <v>30</v>
      </c>
      <c r="L3702" s="16">
        <f>HYPERLINK("http://www.gettaxhub.com", "www.gettaxhub.com")</f>
      </c>
      <c r="M3702" s="16">
        <f>HYPERLINK("https://my.pitchbook.com?c=152054-56", "View Company Online")</f>
      </c>
    </row>
    <row r="3703">
      <c r="A3703" t="s" s="11">
        <v>18785</v>
      </c>
      <c r="B3703" t="s" s="11">
        <v>18786</v>
      </c>
      <c r="C3703" t="s" s="11">
        <v>37</v>
      </c>
      <c r="D3703" t="s" s="11">
        <v>304</v>
      </c>
      <c r="E3703" t="s" s="11">
        <v>137</v>
      </c>
      <c r="F3703" s="28">
        <v>45078</v>
      </c>
      <c r="G3703" t="s" s="11">
        <v>48</v>
      </c>
      <c r="H3703" s="43">
        <v>0.12</v>
      </c>
      <c r="I3703" s="43">
        <v>2.14</v>
      </c>
      <c r="J3703" t="s" s="11">
        <v>18787</v>
      </c>
      <c r="K3703" t="s" s="11">
        <v>18788</v>
      </c>
      <c r="L3703" s="17">
        <f>HYPERLINK("http://www.atratopago.com", "www.atratopago.com")</f>
      </c>
      <c r="M3703" s="17">
        <f>HYPERLINK("https://my.pitchbook.com?c=433400-68", "View Company Online")</f>
      </c>
    </row>
    <row r="3704">
      <c r="A3704" t="s" s="10">
        <v>18790</v>
      </c>
      <c r="B3704" t="s" s="10">
        <v>18791</v>
      </c>
      <c r="C3704" t="s" s="10">
        <v>60</v>
      </c>
      <c r="D3704" t="s" s="10">
        <v>61</v>
      </c>
      <c r="E3704" t="s" s="10">
        <v>270</v>
      </c>
      <c r="F3704" t="s" s="27">
        <v>30</v>
      </c>
      <c r="G3704" t="s" s="10">
        <v>48</v>
      </c>
      <c r="H3704" t="s" s="42">
        <v>30</v>
      </c>
      <c r="I3704" s="42">
        <v>2.14</v>
      </c>
      <c r="J3704" t="s" s="10">
        <v>18792</v>
      </c>
      <c r="K3704" t="s" s="10">
        <v>18793</v>
      </c>
      <c r="L3704" s="16">
        <f>HYPERLINK("http://investbamboo.com", "investbamboo.com")</f>
      </c>
      <c r="M3704" s="16">
        <f>HYPERLINK("https://my.pitchbook.com?c=279644-23", "View Company Online")</f>
      </c>
    </row>
    <row r="3705">
      <c r="A3705" t="s" s="11">
        <v>18795</v>
      </c>
      <c r="B3705" t="s" s="11">
        <v>18796</v>
      </c>
      <c r="C3705" t="s" s="11">
        <v>144</v>
      </c>
      <c r="D3705" t="s" s="11">
        <v>38</v>
      </c>
      <c r="E3705" t="s" s="11">
        <v>158</v>
      </c>
      <c r="F3705" s="28">
        <v>45362</v>
      </c>
      <c r="G3705" t="s" s="11">
        <v>40</v>
      </c>
      <c r="H3705" s="43">
        <v>40.71</v>
      </c>
      <c r="I3705" s="43">
        <v>2.14</v>
      </c>
      <c r="J3705" t="s" s="11">
        <v>18797</v>
      </c>
      <c r="K3705" t="s" s="11">
        <v>18798</v>
      </c>
      <c r="L3705" s="17">
        <f>HYPERLINK("http://www.contasimples.com", "www.contasimples.com")</f>
      </c>
      <c r="M3705" s="17">
        <f>HYPERLINK("https://my.pitchbook.com?c=437630-32", "View Company Online")</f>
      </c>
    </row>
    <row r="3706">
      <c r="A3706" t="s" s="10">
        <v>18800</v>
      </c>
      <c r="B3706" t="s" s="10">
        <v>18801</v>
      </c>
      <c r="C3706" t="s" s="10">
        <v>27</v>
      </c>
      <c r="D3706" t="s" s="10">
        <v>28</v>
      </c>
      <c r="E3706" t="s" s="10">
        <v>1859</v>
      </c>
      <c r="F3706" s="27">
        <v>46207</v>
      </c>
      <c r="G3706" t="s" s="10">
        <v>2051</v>
      </c>
      <c r="H3706" t="s" s="42">
        <v>30</v>
      </c>
      <c r="I3706" s="42">
        <v>2.14</v>
      </c>
      <c r="J3706" t="s" s="10">
        <v>18802</v>
      </c>
      <c r="K3706" t="s" s="10">
        <v>30</v>
      </c>
      <c r="L3706" s="16">
        <f>HYPERLINK("http://www.cradlefinance.com", "www.cradlefinance.com")</f>
      </c>
      <c r="M3706" s="16">
        <f>HYPERLINK("https://my.pitchbook.com?c=439518-61", "View Company Online")</f>
      </c>
    </row>
    <row r="3707">
      <c r="A3707" t="s" s="11">
        <v>18804</v>
      </c>
      <c r="B3707" t="s" s="11">
        <v>18805</v>
      </c>
      <c r="C3707" t="s" s="11">
        <v>37</v>
      </c>
      <c r="D3707" t="s" s="11">
        <v>304</v>
      </c>
      <c r="E3707" t="s" s="11">
        <v>623</v>
      </c>
      <c r="F3707" t="s" s="28">
        <v>30</v>
      </c>
      <c r="G3707" t="s" s="11">
        <v>31</v>
      </c>
      <c r="H3707" s="43">
        <v>5</v>
      </c>
      <c r="I3707" s="43">
        <v>2.14</v>
      </c>
      <c r="J3707" t="s" s="11">
        <v>18806</v>
      </c>
      <c r="K3707" t="s" s="11">
        <v>18807</v>
      </c>
      <c r="L3707" s="17">
        <f>HYPERLINK("http://www.credpal.com", "www.credpal.com")</f>
      </c>
      <c r="M3707" s="17">
        <f>HYPERLINK("https://my.pitchbook.com?c=226814-23", "View Company Online")</f>
      </c>
    </row>
    <row r="3708">
      <c r="A3708" t="s" s="10">
        <v>18809</v>
      </c>
      <c r="B3708" t="s" s="10">
        <v>18810</v>
      </c>
      <c r="C3708" t="s" s="10">
        <v>114</v>
      </c>
      <c r="D3708" t="s" s="10">
        <v>870</v>
      </c>
      <c r="E3708" t="s" s="10">
        <v>137</v>
      </c>
      <c r="F3708" s="27">
        <v>45512</v>
      </c>
      <c r="G3708" t="s" s="10">
        <v>40</v>
      </c>
      <c r="H3708" s="42">
        <v>11.05</v>
      </c>
      <c r="I3708" s="42">
        <v>2.14</v>
      </c>
      <c r="J3708" t="s" s="10">
        <v>18811</v>
      </c>
      <c r="K3708" t="s" s="10">
        <v>18812</v>
      </c>
      <c r="L3708" s="16">
        <f>HYPERLINK("http://www.facio.com.br", "www.facio.com.br")</f>
      </c>
      <c r="M3708" s="16">
        <f>HYPERLINK("https://my.pitchbook.com?c=277799-95", "View Company Online")</f>
      </c>
    </row>
    <row r="3709">
      <c r="A3709" t="s" s="11">
        <v>18814</v>
      </c>
      <c r="B3709" t="s" s="11">
        <v>18815</v>
      </c>
      <c r="C3709" t="s" s="11">
        <v>164</v>
      </c>
      <c r="D3709" t="s" s="11">
        <v>206</v>
      </c>
      <c r="E3709" t="s" s="11">
        <v>253</v>
      </c>
      <c r="F3709" s="28">
        <v>46148</v>
      </c>
      <c r="G3709" t="s" s="11">
        <v>4427</v>
      </c>
      <c r="H3709" t="s" s="43">
        <v>30</v>
      </c>
      <c r="I3709" s="43">
        <v>2.14</v>
      </c>
      <c r="J3709" t="s" s="11">
        <v>18816</v>
      </c>
      <c r="K3709" t="s" s="11">
        <v>30</v>
      </c>
      <c r="L3709" s="17">
        <f>HYPERLINK("http://www.grow.kanda.co.uk", "www.grow.kanda.co.uk")</f>
      </c>
      <c r="M3709" s="17">
        <f>HYPERLINK("https://my.pitchbook.com?c=433408-96", "View Company Online")</f>
      </c>
    </row>
    <row r="3710">
      <c r="A3710" t="s" s="10">
        <v>18818</v>
      </c>
      <c r="B3710" t="s" s="10">
        <v>18819</v>
      </c>
      <c r="C3710" t="s" s="10">
        <v>60</v>
      </c>
      <c r="D3710" t="s" s="10">
        <v>192</v>
      </c>
      <c r="E3710" t="s" s="10">
        <v>253</v>
      </c>
      <c r="F3710" t="s" s="27">
        <v>30</v>
      </c>
      <c r="G3710" t="s" s="10">
        <v>48</v>
      </c>
      <c r="H3710" t="s" s="42">
        <v>30</v>
      </c>
      <c r="I3710" s="42">
        <v>2.14</v>
      </c>
      <c r="J3710" t="s" s="10">
        <v>18820</v>
      </c>
      <c r="K3710" t="s" s="10">
        <v>18821</v>
      </c>
      <c r="L3710" s="16">
        <f>HYPERLINK("http://www.letter.co", "www.letter.co")</f>
      </c>
      <c r="M3710" s="16">
        <f>HYPERLINK("https://my.pitchbook.com?c=439507-99", "View Company Online")</f>
      </c>
    </row>
    <row r="3711">
      <c r="A3711" t="s" s="11">
        <v>18823</v>
      </c>
      <c r="B3711" t="s" s="11">
        <v>18824</v>
      </c>
      <c r="C3711" t="s" s="11">
        <v>27</v>
      </c>
      <c r="D3711" t="s" s="11">
        <v>28</v>
      </c>
      <c r="E3711" t="s" s="11">
        <v>951</v>
      </c>
      <c r="F3711" s="28">
        <v>44774</v>
      </c>
      <c r="G3711" t="s" s="11">
        <v>40</v>
      </c>
      <c r="H3711" s="43">
        <v>2.48</v>
      </c>
      <c r="I3711" s="43">
        <v>2.14</v>
      </c>
      <c r="J3711" t="s" s="11">
        <v>18825</v>
      </c>
      <c r="K3711" t="s" s="11">
        <v>18826</v>
      </c>
      <c r="L3711" s="17">
        <f>HYPERLINK("http://www.getsafepay.pk", "www.getsafepay.pk")</f>
      </c>
      <c r="M3711" s="17">
        <f>HYPERLINK("https://my.pitchbook.com?c=438307-30", "View Company Online")</f>
      </c>
    </row>
    <row r="3712">
      <c r="A3712" t="s" s="10">
        <v>18828</v>
      </c>
      <c r="B3712" t="s" s="10">
        <v>18829</v>
      </c>
      <c r="C3712" t="s" s="10">
        <v>128</v>
      </c>
      <c r="D3712" t="s" s="10">
        <v>199</v>
      </c>
      <c r="E3712" t="s" s="10">
        <v>1065</v>
      </c>
      <c r="F3712" s="27">
        <v>44927</v>
      </c>
      <c r="G3712" t="s" s="10">
        <v>607</v>
      </c>
      <c r="H3712" s="42">
        <v>0.5</v>
      </c>
      <c r="I3712" s="42">
        <v>2.14</v>
      </c>
      <c r="J3712" t="s" s="10">
        <v>18830</v>
      </c>
      <c r="K3712" t="s" s="10">
        <v>18831</v>
      </c>
      <c r="L3712" s="16">
        <f>HYPERLINK("http://www.springinafrica.com", "www.springinafrica.com")</f>
      </c>
      <c r="M3712" s="16">
        <f>HYPERLINK("https://my.pitchbook.com?c=303408-73", "View Company Online")</f>
      </c>
    </row>
    <row r="3713">
      <c r="A3713" t="s" s="11">
        <v>18833</v>
      </c>
      <c r="B3713" t="s" s="11">
        <v>18834</v>
      </c>
      <c r="C3713" t="s" s="11">
        <v>164</v>
      </c>
      <c r="D3713" t="s" s="11">
        <v>206</v>
      </c>
      <c r="E3713" t="s" s="11">
        <v>493</v>
      </c>
      <c r="F3713" t="s" s="28">
        <v>30</v>
      </c>
      <c r="G3713" t="s" s="11">
        <v>48</v>
      </c>
      <c r="H3713" t="s" s="43">
        <v>30</v>
      </c>
      <c r="I3713" s="43">
        <v>2.14</v>
      </c>
      <c r="J3713" t="s" s="11">
        <v>18835</v>
      </c>
      <c r="K3713" t="s" s="11">
        <v>18836</v>
      </c>
      <c r="L3713" s="17">
        <f>HYPERLINK("http://www.tasker.ai", "www.tasker.ai")</f>
      </c>
      <c r="M3713" s="17">
        <f>HYPERLINK("https://my.pitchbook.com?c=279989-56", "View Company Online")</f>
      </c>
    </row>
    <row r="3714">
      <c r="A3714" t="s" s="10">
        <v>18838</v>
      </c>
      <c r="B3714" t="s" s="10">
        <v>18839</v>
      </c>
      <c r="C3714" t="s" s="10">
        <v>114</v>
      </c>
      <c r="D3714" t="s" s="10">
        <v>870</v>
      </c>
      <c r="E3714" t="s" s="10">
        <v>253</v>
      </c>
      <c r="F3714" s="27">
        <v>46142</v>
      </c>
      <c r="G3714" t="s" s="10">
        <v>48</v>
      </c>
      <c r="H3714" t="s" s="42">
        <v>30</v>
      </c>
      <c r="I3714" s="42">
        <v>2.14</v>
      </c>
      <c r="J3714" t="s" s="10">
        <v>18840</v>
      </c>
      <c r="K3714" t="s" s="10">
        <v>18841</v>
      </c>
      <c r="L3714" s="16">
        <f>HYPERLINK("http://www.verde.agr.br", "www.verde.agr.br")</f>
      </c>
      <c r="M3714" s="16">
        <f>HYPERLINK("https://my.pitchbook.com?c=489048-94", "View Company Online")</f>
      </c>
    </row>
    <row r="3715">
      <c r="A3715" t="s" s="11">
        <v>18843</v>
      </c>
      <c r="B3715" t="s" s="11">
        <v>18844</v>
      </c>
      <c r="C3715" t="s" s="11">
        <v>27</v>
      </c>
      <c r="D3715" t="s" s="11">
        <v>122</v>
      </c>
      <c r="E3715" t="s" s="11">
        <v>10966</v>
      </c>
      <c r="F3715" s="28">
        <v>45581</v>
      </c>
      <c r="G3715" t="s" s="11">
        <v>2651</v>
      </c>
      <c r="H3715" s="43">
        <v>0.1</v>
      </c>
      <c r="I3715" s="43">
        <v>2.14</v>
      </c>
      <c r="J3715" t="s" s="11">
        <v>18845</v>
      </c>
      <c r="K3715" t="s" s="11">
        <v>18846</v>
      </c>
      <c r="L3715" s="17">
        <f>HYPERLINK("http://verto.co", "verto.co")</f>
      </c>
      <c r="M3715" s="17">
        <f>HYPERLINK("https://my.pitchbook.com?c=267106-78", "View Company Online")</f>
      </c>
    </row>
    <row r="3716">
      <c r="A3716" t="s" s="10">
        <v>18848</v>
      </c>
      <c r="B3716" t="s" s="10">
        <v>18849</v>
      </c>
      <c r="C3716" t="s" s="10">
        <v>164</v>
      </c>
      <c r="D3716" t="s" s="10">
        <v>165</v>
      </c>
      <c r="E3716" t="s" s="10">
        <v>5117</v>
      </c>
      <c r="F3716" t="s" s="27">
        <v>30</v>
      </c>
      <c r="G3716" t="s" s="10">
        <v>48</v>
      </c>
      <c r="H3716" t="s" s="42">
        <v>30</v>
      </c>
      <c r="I3716" s="42">
        <v>2.13</v>
      </c>
      <c r="J3716" t="s" s="10">
        <v>18850</v>
      </c>
      <c r="K3716" t="s" s="10">
        <v>18851</v>
      </c>
      <c r="L3716" s="16">
        <f>HYPERLINK("http://www.collekto.in", "www.collekto.in")</f>
      </c>
      <c r="M3716" s="16">
        <f>HYPERLINK("https://my.pitchbook.com?c=509638-06", "View Company Online")</f>
      </c>
    </row>
    <row r="3717">
      <c r="A3717" t="s" s="11">
        <v>18853</v>
      </c>
      <c r="B3717" t="s" s="11">
        <v>18854</v>
      </c>
      <c r="C3717" t="s" s="11">
        <v>164</v>
      </c>
      <c r="D3717" t="s" s="11">
        <v>165</v>
      </c>
      <c r="E3717" t="s" s="11">
        <v>253</v>
      </c>
      <c r="F3717" s="28">
        <v>45658</v>
      </c>
      <c r="G3717" t="s" s="11">
        <v>607</v>
      </c>
      <c r="H3717" t="s" s="43">
        <v>30</v>
      </c>
      <c r="I3717" s="43">
        <v>2.12</v>
      </c>
      <c r="J3717" t="s" s="11">
        <v>18855</v>
      </c>
      <c r="K3717" t="s" s="11">
        <v>18856</v>
      </c>
      <c r="L3717" s="17">
        <f>HYPERLINK("http://www.castler.com", "www.castler.com")</f>
      </c>
      <c r="M3717" s="17">
        <f>HYPERLINK("https://my.pitchbook.com?c=454288-24", "View Company Online")</f>
      </c>
    </row>
    <row r="3718">
      <c r="A3718" t="s" s="10">
        <v>18858</v>
      </c>
      <c r="B3718" t="s" s="10">
        <v>18859</v>
      </c>
      <c r="C3718" t="s" s="10">
        <v>60</v>
      </c>
      <c r="D3718" t="s" s="10">
        <v>432</v>
      </c>
      <c r="E3718" t="s" s="10">
        <v>137</v>
      </c>
      <c r="F3718" s="27">
        <v>43914</v>
      </c>
      <c r="G3718" t="s" s="10">
        <v>4267</v>
      </c>
      <c r="H3718" s="42">
        <v>0.88</v>
      </c>
      <c r="I3718" s="42">
        <v>2.12</v>
      </c>
      <c r="J3718" t="s" s="10">
        <v>18860</v>
      </c>
      <c r="K3718" t="s" s="10">
        <v>18861</v>
      </c>
      <c r="L3718" s="16">
        <f>HYPERLINK("http://www.finkey.fr", "www.finkey.fr")</f>
      </c>
      <c r="M3718" s="16">
        <f>HYPERLINK("https://my.pitchbook.com?c=515667-97", "View Company Online")</f>
      </c>
    </row>
    <row r="3719">
      <c r="A3719" t="s" s="11">
        <v>18863</v>
      </c>
      <c r="B3719" t="s" s="11">
        <v>18864</v>
      </c>
      <c r="C3719" t="s" s="11">
        <v>60</v>
      </c>
      <c r="D3719" t="s" s="11">
        <v>727</v>
      </c>
      <c r="E3719" t="s" s="11">
        <v>1032</v>
      </c>
      <c r="F3719" s="28">
        <v>45281</v>
      </c>
      <c r="G3719" t="s" s="11">
        <v>607</v>
      </c>
      <c r="H3719" s="43">
        <v>0.12</v>
      </c>
      <c r="I3719" s="43">
        <v>2.12</v>
      </c>
      <c r="J3719" t="s" s="11">
        <v>18865</v>
      </c>
      <c r="K3719" t="s" s="11">
        <v>18866</v>
      </c>
      <c r="L3719" s="17">
        <f>HYPERLINK("http://www.keble.co", "www.keble.co")</f>
      </c>
      <c r="M3719" s="17">
        <f>HYPERLINK("https://my.pitchbook.com?c=509128-84", "View Company Online")</f>
      </c>
    </row>
    <row r="3720">
      <c r="A3720" t="s" s="10">
        <v>18868</v>
      </c>
      <c r="B3720" t="s" s="10">
        <v>18869</v>
      </c>
      <c r="C3720" t="s" s="10">
        <v>60</v>
      </c>
      <c r="D3720" t="s" s="10">
        <v>727</v>
      </c>
      <c r="E3720" t="s" s="10">
        <v>1032</v>
      </c>
      <c r="F3720" t="s" s="27">
        <v>30</v>
      </c>
      <c r="G3720" t="s" s="10">
        <v>146</v>
      </c>
      <c r="H3720" s="42">
        <v>1</v>
      </c>
      <c r="I3720" s="42">
        <v>2.09</v>
      </c>
      <c r="J3720" t="s" s="10">
        <v>18870</v>
      </c>
      <c r="K3720" t="s" s="10">
        <v>18871</v>
      </c>
      <c r="L3720" s="16">
        <f>HYPERLINK("http://www.bhivealts.com", "www.bhivealts.com")</f>
      </c>
      <c r="M3720" s="16">
        <f>HYPERLINK("https://my.pitchbook.com?c=500021-65", "View Company Online")</f>
      </c>
    </row>
    <row r="3721">
      <c r="A3721" t="s" s="11">
        <v>18873</v>
      </c>
      <c r="B3721" t="s" s="11">
        <v>18874</v>
      </c>
      <c r="C3721" t="s" s="11">
        <v>46</v>
      </c>
      <c r="D3721" t="s" s="11">
        <v>915</v>
      </c>
      <c r="E3721" t="s" s="11">
        <v>6920</v>
      </c>
      <c r="F3721" s="28">
        <v>43680</v>
      </c>
      <c r="G3721" t="s" s="11">
        <v>146</v>
      </c>
      <c r="H3721" s="43">
        <v>0.25</v>
      </c>
      <c r="I3721" s="43">
        <v>2.08</v>
      </c>
      <c r="J3721" t="s" s="11">
        <v>18875</v>
      </c>
      <c r="K3721" t="s" s="11">
        <v>18876</v>
      </c>
      <c r="L3721" s="17">
        <f>HYPERLINK("http://quarterone.replit.app", "quarterone.replit.app")</f>
      </c>
      <c r="M3721" s="17">
        <f>HYPERLINK("https://my.pitchbook.com?c=268231-69", "View Company Online")</f>
      </c>
    </row>
    <row r="3722">
      <c r="A3722" t="s" s="10">
        <v>18878</v>
      </c>
      <c r="B3722" t="s" s="10">
        <v>18879</v>
      </c>
      <c r="C3722" t="s" s="10">
        <v>172</v>
      </c>
      <c r="D3722" t="s" s="10">
        <v>338</v>
      </c>
      <c r="E3722" t="s" s="10">
        <v>253</v>
      </c>
      <c r="F3722" t="s" s="27">
        <v>30</v>
      </c>
      <c r="G3722" t="s" s="10">
        <v>607</v>
      </c>
      <c r="H3722" t="s" s="42">
        <v>30</v>
      </c>
      <c r="I3722" s="42">
        <v>2.08</v>
      </c>
      <c r="J3722" t="s" s="10">
        <v>18880</v>
      </c>
      <c r="K3722" t="s" s="10">
        <v>18881</v>
      </c>
      <c r="L3722" s="16">
        <f>HYPERLINK("http://www.getsilt.com", "www.getsilt.com")</f>
      </c>
      <c r="M3722" s="16">
        <f>HYPERLINK("https://my.pitchbook.com?c=495511-84", "View Company Online")</f>
      </c>
    </row>
    <row r="3723">
      <c r="A3723" t="s" s="11">
        <v>18883</v>
      </c>
      <c r="B3723" t="s" s="11">
        <v>18884</v>
      </c>
      <c r="C3723" t="s" s="11">
        <v>37</v>
      </c>
      <c r="D3723" t="s" s="11">
        <v>38</v>
      </c>
      <c r="E3723" t="s" s="11">
        <v>158</v>
      </c>
      <c r="F3723" s="28">
        <v>44561</v>
      </c>
      <c r="G3723" t="s" s="11">
        <v>4267</v>
      </c>
      <c r="H3723" s="43">
        <v>0.25</v>
      </c>
      <c r="I3723" s="43">
        <v>2.07</v>
      </c>
      <c r="J3723" t="s" s="11">
        <v>18885</v>
      </c>
      <c r="K3723" t="s" s="11">
        <v>18886</v>
      </c>
      <c r="L3723" s="17">
        <f>HYPERLINK("http://tellerone.com", "tellerone.com")</f>
      </c>
      <c r="M3723" s="17">
        <f>HYPERLINK("https://my.pitchbook.com?c=472207-06", "View Company Online")</f>
      </c>
    </row>
    <row r="3724">
      <c r="A3724" t="s" s="10">
        <v>18888</v>
      </c>
      <c r="B3724" t="s" s="10">
        <v>18889</v>
      </c>
      <c r="C3724" t="s" s="10">
        <v>128</v>
      </c>
      <c r="D3724" t="s" s="10">
        <v>129</v>
      </c>
      <c r="E3724" t="s" s="10">
        <v>270</v>
      </c>
      <c r="F3724" s="27">
        <v>45194</v>
      </c>
      <c r="G3724" t="s" s="10">
        <v>40</v>
      </c>
      <c r="H3724" t="s" s="42">
        <v>30</v>
      </c>
      <c r="I3724" s="42">
        <v>2.06</v>
      </c>
      <c r="J3724" t="s" s="10">
        <v>18890</v>
      </c>
      <c r="K3724" t="s" s="10">
        <v>18891</v>
      </c>
      <c r="L3724" s="16">
        <f>HYPERLINK("http://www.kobisport.eu", "www.kobisport.eu")</f>
      </c>
      <c r="M3724" s="16">
        <f>HYPERLINK("https://my.pitchbook.com?c=460253-44", "View Company Online")</f>
      </c>
    </row>
    <row r="3725">
      <c r="A3725" t="s" s="11">
        <v>18893</v>
      </c>
      <c r="B3725" t="s" s="11">
        <v>18894</v>
      </c>
      <c r="C3725" t="s" s="11">
        <v>60</v>
      </c>
      <c r="D3725" t="s" s="11">
        <v>246</v>
      </c>
      <c r="E3725" t="s" s="11">
        <v>116</v>
      </c>
      <c r="F3725" t="s" s="28">
        <v>30</v>
      </c>
      <c r="G3725" t="s" s="11">
        <v>607</v>
      </c>
      <c r="H3725" t="s" s="43">
        <v>30</v>
      </c>
      <c r="I3725" s="43">
        <v>2.06</v>
      </c>
      <c r="J3725" t="s" s="11">
        <v>18895</v>
      </c>
      <c r="K3725" t="s" s="11">
        <v>18896</v>
      </c>
      <c r="L3725" s="17">
        <f>HYPERLINK("http://www.stackwealth.in", "www.stackwealth.in")</f>
      </c>
      <c r="M3725" s="17">
        <f>HYPERLINK("https://my.pitchbook.com?c=438223-51", "View Company Online")</f>
      </c>
    </row>
    <row r="3726">
      <c r="A3726" t="s" s="10">
        <v>18898</v>
      </c>
      <c r="B3726" t="s" s="10">
        <v>18899</v>
      </c>
      <c r="C3726" t="s" s="10">
        <v>172</v>
      </c>
      <c r="D3726" t="s" s="10">
        <v>173</v>
      </c>
      <c r="E3726" t="s" s="10">
        <v>634</v>
      </c>
      <c r="F3726" s="27">
        <v>45901</v>
      </c>
      <c r="G3726" t="s" s="10">
        <v>607</v>
      </c>
      <c r="H3726" t="s" s="42">
        <v>30</v>
      </c>
      <c r="I3726" s="42">
        <v>2.05</v>
      </c>
      <c r="J3726" t="s" s="10">
        <v>18900</v>
      </c>
      <c r="K3726" t="s" s="10">
        <v>18901</v>
      </c>
      <c r="L3726" s="16">
        <f>HYPERLINK("http://www.complycube.com", "www.complycube.com")</f>
      </c>
      <c r="M3726" s="16">
        <f>HYPERLINK("https://my.pitchbook.com?c=466683-58", "View Company Online")</f>
      </c>
    </row>
    <row r="3727">
      <c r="A3727" t="s" s="11">
        <v>18903</v>
      </c>
      <c r="B3727" t="s" s="11">
        <v>18904</v>
      </c>
      <c r="C3727" t="s" s="11">
        <v>172</v>
      </c>
      <c r="D3727" t="s" s="11">
        <v>173</v>
      </c>
      <c r="E3727" t="s" s="11">
        <v>1685</v>
      </c>
      <c r="F3727" s="28">
        <v>45217</v>
      </c>
      <c r="G3727" t="s" s="11">
        <v>607</v>
      </c>
      <c r="H3727" t="s" s="43">
        <v>30</v>
      </c>
      <c r="I3727" s="43">
        <v>2.05</v>
      </c>
      <c r="J3727" t="s" s="11">
        <v>18905</v>
      </c>
      <c r="K3727" t="s" s="11">
        <v>18906</v>
      </c>
      <c r="L3727" s="17">
        <f>HYPERLINK("http://www.schwarzthal.tech", "www.schwarzthal.tech")</f>
      </c>
      <c r="M3727" s="17">
        <f>HYPERLINK("https://my.pitchbook.com?c=464221-45", "View Company Online")</f>
      </c>
    </row>
    <row r="3728">
      <c r="A3728" t="s" s="10">
        <v>18908</v>
      </c>
      <c r="B3728" t="s" s="10">
        <v>18909</v>
      </c>
      <c r="C3728" t="s" s="10">
        <v>60</v>
      </c>
      <c r="D3728" t="s" s="10">
        <v>192</v>
      </c>
      <c r="E3728" t="s" s="10">
        <v>96</v>
      </c>
      <c r="F3728" s="27">
        <v>44699</v>
      </c>
      <c r="G3728" t="s" s="10">
        <v>271</v>
      </c>
      <c r="H3728" s="42">
        <v>0.3</v>
      </c>
      <c r="I3728" s="42">
        <v>2.05</v>
      </c>
      <c r="J3728" t="s" s="10">
        <v>18910</v>
      </c>
      <c r="K3728" t="s" s="10">
        <v>18911</v>
      </c>
      <c r="L3728" s="16">
        <f>HYPERLINK("http://www.strabo.app", "www.strabo.app")</f>
      </c>
      <c r="M3728" s="16">
        <f>HYPERLINK("https://my.pitchbook.com?c=483356-62", "View Company Online")</f>
      </c>
    </row>
    <row r="3729">
      <c r="A3729" t="s" s="11">
        <v>18913</v>
      </c>
      <c r="B3729" t="s" s="11">
        <v>18914</v>
      </c>
      <c r="C3729" t="s" s="11">
        <v>60</v>
      </c>
      <c r="D3729" t="s" s="11">
        <v>192</v>
      </c>
      <c r="E3729" t="s" s="11">
        <v>193</v>
      </c>
      <c r="F3729" s="28">
        <v>45420</v>
      </c>
      <c r="G3729" t="s" s="11">
        <v>31</v>
      </c>
      <c r="H3729" t="s" s="43">
        <v>30</v>
      </c>
      <c r="I3729" s="43">
        <v>2.05</v>
      </c>
      <c r="J3729" t="s" s="11">
        <v>18915</v>
      </c>
      <c r="K3729" t="s" s="11">
        <v>30</v>
      </c>
      <c r="L3729" s="17">
        <f>HYPERLINK("http://www.vumi.io", "www.vumi.io")</f>
      </c>
      <c r="M3729" s="17">
        <f>HYPERLINK("https://my.pitchbook.com?c=515985-85", "View Company Online")</f>
      </c>
    </row>
    <row r="3730">
      <c r="A3730" t="s" s="10">
        <v>18917</v>
      </c>
      <c r="B3730" t="s" s="10">
        <v>18918</v>
      </c>
      <c r="C3730" t="s" s="10">
        <v>60</v>
      </c>
      <c r="D3730" t="s" s="10">
        <v>727</v>
      </c>
      <c r="E3730" t="s" s="10">
        <v>2782</v>
      </c>
      <c r="F3730" s="27">
        <v>45658</v>
      </c>
      <c r="G3730" t="s" s="10">
        <v>146</v>
      </c>
      <c r="H3730" s="42">
        <v>1.1</v>
      </c>
      <c r="I3730" s="42">
        <v>2.04</v>
      </c>
      <c r="J3730" t="s" s="10">
        <v>18919</v>
      </c>
      <c r="K3730" t="s" s="10">
        <v>18920</v>
      </c>
      <c r="L3730" s="16">
        <f>HYPERLINK("http://www.betterinvest.club", "www.betterinvest.club")</f>
      </c>
      <c r="M3730" s="16">
        <f>HYPERLINK("https://my.pitchbook.com?c=500837-23", "View Company Online")</f>
      </c>
    </row>
    <row r="3731">
      <c r="A3731" t="s" s="11">
        <v>18922</v>
      </c>
      <c r="B3731" t="s" s="11">
        <v>18923</v>
      </c>
      <c r="C3731" t="s" s="11">
        <v>46</v>
      </c>
      <c r="D3731" t="s" s="11">
        <v>47</v>
      </c>
      <c r="E3731" t="s" s="11">
        <v>253</v>
      </c>
      <c r="F3731" s="28">
        <v>45383</v>
      </c>
      <c r="G3731" t="s" s="11">
        <v>40</v>
      </c>
      <c r="H3731" s="43">
        <v>22.5</v>
      </c>
      <c r="I3731" s="43">
        <v>2.03</v>
      </c>
      <c r="J3731" t="s" s="11">
        <v>18924</v>
      </c>
      <c r="K3731" t="s" s="11">
        <v>18925</v>
      </c>
      <c r="L3731" s="17">
        <f>HYPERLINK("http://www.bizplay.co.kr", "www.bizplay.co.kr")</f>
      </c>
      <c r="M3731" s="17">
        <f>HYPERLINK("https://my.pitchbook.com?c=469350-82", "View Company Online")</f>
      </c>
    </row>
    <row r="3732">
      <c r="A3732" t="s" s="10">
        <v>18927</v>
      </c>
      <c r="B3732" t="s" s="10">
        <v>18928</v>
      </c>
      <c r="C3732" t="s" s="10">
        <v>114</v>
      </c>
      <c r="D3732" t="s" s="10">
        <v>136</v>
      </c>
      <c r="E3732" t="s" s="10">
        <v>2146</v>
      </c>
      <c r="F3732" s="27">
        <v>44228</v>
      </c>
      <c r="G3732" t="s" s="10">
        <v>40</v>
      </c>
      <c r="H3732" t="s" s="42">
        <v>30</v>
      </c>
      <c r="I3732" s="42">
        <v>2.03</v>
      </c>
      <c r="J3732" t="s" s="10">
        <v>18929</v>
      </c>
      <c r="K3732" t="s" s="10">
        <v>18930</v>
      </c>
      <c r="L3732" s="16">
        <f>HYPERLINK("http://www.app.healthfin.in", "www.app.healthfin.in")</f>
      </c>
      <c r="M3732" s="16">
        <f>HYPERLINK("https://my.pitchbook.com?c=184800-61", "View Company Online")</f>
      </c>
    </row>
    <row r="3733">
      <c r="A3733" t="s" s="11">
        <v>18932</v>
      </c>
      <c r="B3733" t="s" s="11">
        <v>18933</v>
      </c>
      <c r="C3733" t="s" s="11">
        <v>114</v>
      </c>
      <c r="D3733" t="s" s="11">
        <v>136</v>
      </c>
      <c r="E3733" t="s" s="11">
        <v>1207</v>
      </c>
      <c r="F3733" s="28">
        <v>45992</v>
      </c>
      <c r="G3733" t="s" s="11">
        <v>48</v>
      </c>
      <c r="H3733" t="s" s="43">
        <v>30</v>
      </c>
      <c r="I3733" s="43">
        <v>2.03</v>
      </c>
      <c r="J3733" t="s" s="11">
        <v>18934</v>
      </c>
      <c r="K3733" t="s" s="11">
        <v>18935</v>
      </c>
      <c r="L3733" s="17">
        <f>HYPERLINK("http://www.i2ifunding.com", "www.i2ifunding.com")</f>
      </c>
      <c r="M3733" s="17">
        <f>HYPERLINK("https://my.pitchbook.com?c=159457-33", "View Company Online")</f>
      </c>
    </row>
    <row r="3734">
      <c r="A3734" t="s" s="10">
        <v>18937</v>
      </c>
      <c r="B3734" t="s" s="10">
        <v>18938</v>
      </c>
      <c r="C3734" t="s" s="10">
        <v>46</v>
      </c>
      <c r="D3734" t="s" s="10">
        <v>915</v>
      </c>
      <c r="E3734" t="s" s="10">
        <v>373</v>
      </c>
      <c r="F3734" s="27">
        <v>45931</v>
      </c>
      <c r="G3734" t="s" s="10">
        <v>607</v>
      </c>
      <c r="H3734" t="s" s="42">
        <v>30</v>
      </c>
      <c r="I3734" s="42">
        <v>2.03</v>
      </c>
      <c r="J3734" t="s" s="10">
        <v>18939</v>
      </c>
      <c r="K3734" t="s" s="10">
        <v>18940</v>
      </c>
      <c r="L3734" s="16">
        <f>HYPERLINK("http://lp.zaimo.ai", "lp.zaimo.ai")</f>
      </c>
      <c r="M3734" s="16">
        <f>HYPERLINK("https://my.pitchbook.com?c=608977-81", "View Company Online")</f>
      </c>
    </row>
    <row r="3735">
      <c r="A3735" t="s" s="11">
        <v>18942</v>
      </c>
      <c r="B3735" t="s" s="11">
        <v>18943</v>
      </c>
      <c r="C3735" t="s" s="11">
        <v>114</v>
      </c>
      <c r="D3735" t="s" s="11">
        <v>115</v>
      </c>
      <c r="E3735" t="s" s="11">
        <v>3433</v>
      </c>
      <c r="F3735" s="28">
        <v>45474</v>
      </c>
      <c r="G3735" t="s" s="11">
        <v>146</v>
      </c>
      <c r="H3735" t="s" s="43">
        <v>30</v>
      </c>
      <c r="I3735" s="43">
        <v>2</v>
      </c>
      <c r="J3735" t="s" s="11">
        <v>18944</v>
      </c>
      <c r="K3735" t="s" s="11">
        <v>18945</v>
      </c>
      <c r="L3735" s="17">
        <f>HYPERLINK("http://www.approva.co", "www.approva.co")</f>
      </c>
      <c r="M3735" s="17">
        <f>HYPERLINK("https://my.pitchbook.com?c=527751-82", "View Company Online")</f>
      </c>
    </row>
    <row r="3736">
      <c r="A3736" t="s" s="10">
        <v>18947</v>
      </c>
      <c r="B3736" t="s" s="10">
        <v>18948</v>
      </c>
      <c r="C3736" t="s" s="10">
        <v>46</v>
      </c>
      <c r="D3736" t="s" s="10">
        <v>78</v>
      </c>
      <c r="E3736" t="s" s="10">
        <v>137</v>
      </c>
      <c r="F3736" t="s" s="27">
        <v>30</v>
      </c>
      <c r="G3736" t="s" s="10">
        <v>48</v>
      </c>
      <c r="H3736" t="s" s="42">
        <v>30</v>
      </c>
      <c r="I3736" s="42">
        <v>2</v>
      </c>
      <c r="J3736" t="s" s="10">
        <v>18949</v>
      </c>
      <c r="K3736" t="s" s="10">
        <v>18950</v>
      </c>
      <c r="L3736" s="16">
        <f>HYPERLINK("http://www.bnine.com", "www.bnine.com")</f>
      </c>
      <c r="M3736" s="16">
        <f>HYPERLINK("https://my.pitchbook.com?c=437744-35", "View Company Online")</f>
      </c>
    </row>
    <row r="3737">
      <c r="A3737" t="s" s="11">
        <v>18952</v>
      </c>
      <c r="B3737" t="s" s="11">
        <v>18953</v>
      </c>
      <c r="C3737" t="s" s="11">
        <v>114</v>
      </c>
      <c r="D3737" t="s" s="11">
        <v>870</v>
      </c>
      <c r="E3737" t="s" s="11">
        <v>137</v>
      </c>
      <c r="F3737" s="28">
        <v>45695</v>
      </c>
      <c r="G3737" t="s" s="11">
        <v>40</v>
      </c>
      <c r="H3737" s="43">
        <v>3</v>
      </c>
      <c r="I3737" s="43">
        <v>2</v>
      </c>
      <c r="J3737" t="s" s="11">
        <v>18954</v>
      </c>
      <c r="K3737" t="s" s="11">
        <v>18955</v>
      </c>
      <c r="L3737" s="17">
        <f>HYPERLINK("http://www.banca.me", "www.banca.me")</f>
      </c>
      <c r="M3737" s="17">
        <f>HYPERLINK("https://my.pitchbook.com?c=493648-57", "View Company Online")</f>
      </c>
    </row>
    <row r="3738">
      <c r="A3738" t="s" s="10">
        <v>18957</v>
      </c>
      <c r="B3738" t="s" s="10">
        <v>18958</v>
      </c>
      <c r="C3738" t="s" s="10">
        <v>60</v>
      </c>
      <c r="D3738" t="s" s="10">
        <v>727</v>
      </c>
      <c r="E3738" t="s" s="10">
        <v>2411</v>
      </c>
      <c r="F3738" s="27">
        <v>45510</v>
      </c>
      <c r="G3738" t="s" s="10">
        <v>40</v>
      </c>
      <c r="H3738" s="42">
        <v>1.75</v>
      </c>
      <c r="I3738" s="42">
        <v>2</v>
      </c>
      <c r="J3738" t="s" s="10">
        <v>18959</v>
      </c>
      <c r="K3738" t="s" s="10">
        <v>18960</v>
      </c>
      <c r="L3738" s="16">
        <f>HYPERLINK("http://www.climatize.earth", "www.climatize.earth")</f>
      </c>
      <c r="M3738" s="16">
        <f>HYPERLINK("https://my.pitchbook.com?c=490692-43", "View Company Online")</f>
      </c>
    </row>
    <row r="3739">
      <c r="A3739" t="s" s="11">
        <v>18962</v>
      </c>
      <c r="B3739" t="s" s="11">
        <v>18963</v>
      </c>
      <c r="C3739" t="s" s="11">
        <v>60</v>
      </c>
      <c r="D3739" t="s" s="11">
        <v>192</v>
      </c>
      <c r="E3739" t="s" s="11">
        <v>253</v>
      </c>
      <c r="F3739" s="28">
        <v>45108</v>
      </c>
      <c r="G3739" t="s" s="11">
        <v>146</v>
      </c>
      <c r="H3739" t="s" s="43">
        <v>30</v>
      </c>
      <c r="I3739" s="43">
        <v>2</v>
      </c>
      <c r="J3739" t="s" s="11">
        <v>18964</v>
      </c>
      <c r="K3739" t="s" s="11">
        <v>18965</v>
      </c>
      <c r="L3739" s="17">
        <f>HYPERLINK("http://www.yourcollegecash.com", "www.yourcollegecash.com")</f>
      </c>
      <c r="M3739" s="17">
        <f>HYPERLINK("https://my.pitchbook.com?c=437819-05", "View Company Online")</f>
      </c>
    </row>
    <row r="3740">
      <c r="A3740" t="s" s="10">
        <v>18967</v>
      </c>
      <c r="B3740" t="s" s="10">
        <v>18968</v>
      </c>
      <c r="C3740" t="s" s="10">
        <v>114</v>
      </c>
      <c r="D3740" t="s" s="10">
        <v>852</v>
      </c>
      <c r="E3740" t="s" s="10">
        <v>373</v>
      </c>
      <c r="F3740" s="27">
        <v>46205</v>
      </c>
      <c r="G3740" t="s" s="10">
        <v>4267</v>
      </c>
      <c r="H3740" t="s" s="42">
        <v>30</v>
      </c>
      <c r="I3740" s="42">
        <v>2</v>
      </c>
      <c r="J3740" t="s" s="10">
        <v>18969</v>
      </c>
      <c r="K3740" t="s" s="10">
        <v>18970</v>
      </c>
      <c r="L3740" s="16">
        <f>HYPERLINK("http://www.cyphrai.com", "www.cyphrai.com")</f>
      </c>
      <c r="M3740" s="16">
        <f>HYPERLINK("https://my.pitchbook.com?c=534578-14", "View Company Online")</f>
      </c>
    </row>
    <row r="3741">
      <c r="A3741" t="s" s="11">
        <v>18972</v>
      </c>
      <c r="B3741" t="s" s="11">
        <v>18973</v>
      </c>
      <c r="C3741" t="s" s="11">
        <v>114</v>
      </c>
      <c r="D3741" t="s" s="11">
        <v>136</v>
      </c>
      <c r="E3741" t="s" s="11">
        <v>137</v>
      </c>
      <c r="F3741" s="28">
        <v>44652</v>
      </c>
      <c r="G3741" t="s" s="11">
        <v>607</v>
      </c>
      <c r="H3741" t="s" s="43">
        <v>30</v>
      </c>
      <c r="I3741" s="43">
        <v>2</v>
      </c>
      <c r="J3741" t="s" s="11">
        <v>18974</v>
      </c>
      <c r="K3741" t="s" s="11">
        <v>18975</v>
      </c>
      <c r="L3741" s="17">
        <f>HYPERLINK("http://www.defynance.com", "www.defynance.com")</f>
      </c>
      <c r="M3741" s="17">
        <f>HYPERLINK("https://my.pitchbook.com?c=442271-35", "View Company Online")</f>
      </c>
    </row>
    <row r="3742">
      <c r="A3742" t="s" s="10">
        <v>18977</v>
      </c>
      <c r="B3742" t="s" s="10">
        <v>18978</v>
      </c>
      <c r="C3742" t="s" s="10">
        <v>27</v>
      </c>
      <c r="D3742" t="s" s="10">
        <v>28</v>
      </c>
      <c r="E3742" t="s" s="10">
        <v>137</v>
      </c>
      <c r="F3742" s="27">
        <v>44562</v>
      </c>
      <c r="G3742" t="s" s="10">
        <v>146</v>
      </c>
      <c r="H3742" s="42">
        <v>0.13</v>
      </c>
      <c r="I3742" s="42">
        <v>2</v>
      </c>
      <c r="J3742" t="s" s="10">
        <v>18979</v>
      </c>
      <c r="K3742" t="s" s="10">
        <v>8364</v>
      </c>
      <c r="L3742" s="16">
        <f>HYPERLINK("http://www.fincra.com", "www.fincra.com")</f>
      </c>
      <c r="M3742" s="16">
        <f>HYPERLINK("https://my.pitchbook.com?c=496421-38", "View Company Online")</f>
      </c>
    </row>
    <row r="3743">
      <c r="A3743" t="s" s="11">
        <v>18981</v>
      </c>
      <c r="B3743" t="s" s="11">
        <v>18982</v>
      </c>
      <c r="C3743" t="s" s="11">
        <v>37</v>
      </c>
      <c r="D3743" t="s" s="11">
        <v>304</v>
      </c>
      <c r="E3743" t="s" s="11">
        <v>137</v>
      </c>
      <c r="F3743" t="s" s="28">
        <v>30</v>
      </c>
      <c r="G3743" t="s" s="11">
        <v>607</v>
      </c>
      <c r="H3743" t="s" s="43">
        <v>30</v>
      </c>
      <c r="I3743" s="43">
        <v>2</v>
      </c>
      <c r="J3743" t="s" s="11">
        <v>18983</v>
      </c>
      <c r="K3743" t="s" s="11">
        <v>18984</v>
      </c>
      <c r="L3743" s="17">
        <f>HYPERLINK("http://www.freshcredit.com", "www.freshcredit.com")</f>
      </c>
      <c r="M3743" s="17">
        <f>HYPERLINK("https://my.pitchbook.com?c=589964-68", "View Company Online")</f>
      </c>
    </row>
    <row r="3744">
      <c r="A3744" t="s" s="10">
        <v>18986</v>
      </c>
      <c r="B3744" t="s" s="10">
        <v>18987</v>
      </c>
      <c r="C3744" t="s" s="10">
        <v>27</v>
      </c>
      <c r="D3744" t="s" s="10">
        <v>28</v>
      </c>
      <c r="E3744" t="s" s="10">
        <v>253</v>
      </c>
      <c r="F3744" s="27">
        <v>45204</v>
      </c>
      <c r="G3744" t="s" s="10">
        <v>607</v>
      </c>
      <c r="H3744" s="42">
        <v>0.12</v>
      </c>
      <c r="I3744" s="42">
        <v>2</v>
      </c>
      <c r="J3744" t="s" s="10">
        <v>18988</v>
      </c>
      <c r="K3744" t="s" s="10">
        <v>18989</v>
      </c>
      <c r="L3744" s="16">
        <f>HYPERLINK("http://www.graph.finance", "www.graph.finance")</f>
      </c>
      <c r="M3744" s="16">
        <f>HYPERLINK("https://my.pitchbook.com?c=537351-49", "View Company Online")</f>
      </c>
    </row>
    <row r="3745">
      <c r="A3745" t="s" s="11">
        <v>18991</v>
      </c>
      <c r="B3745" t="s" s="11">
        <v>18992</v>
      </c>
      <c r="C3745" t="s" s="11">
        <v>128</v>
      </c>
      <c r="D3745" t="s" s="11">
        <v>199</v>
      </c>
      <c r="E3745" t="s" s="11">
        <v>200</v>
      </c>
      <c r="F3745" s="28">
        <v>46181</v>
      </c>
      <c r="G3745" t="s" s="11">
        <v>2051</v>
      </c>
      <c r="H3745" t="s" s="43">
        <v>30</v>
      </c>
      <c r="I3745" s="43">
        <v>2</v>
      </c>
      <c r="J3745" t="s" s="11">
        <v>18993</v>
      </c>
      <c r="K3745" t="s" s="11">
        <v>30</v>
      </c>
      <c r="L3745" s="17">
        <f>HYPERLINK("http://www.kassa.co", "www.kassa.co")</f>
      </c>
      <c r="M3745" s="17">
        <f>HYPERLINK("https://my.pitchbook.com?c=437957-65", "View Company Online")</f>
      </c>
    </row>
    <row r="3746">
      <c r="A3746" t="s" s="10">
        <v>18995</v>
      </c>
      <c r="B3746" t="s" s="10">
        <v>18996</v>
      </c>
      <c r="C3746" t="s" s="10">
        <v>46</v>
      </c>
      <c r="D3746" t="s" s="10">
        <v>47</v>
      </c>
      <c r="E3746" t="s" s="10">
        <v>253</v>
      </c>
      <c r="F3746" s="27">
        <v>46113</v>
      </c>
      <c r="G3746" t="s" s="10">
        <v>48</v>
      </c>
      <c r="H3746" t="s" s="42">
        <v>30</v>
      </c>
      <c r="I3746" s="42">
        <v>2</v>
      </c>
      <c r="J3746" t="s" s="10">
        <v>18997</v>
      </c>
      <c r="K3746" t="s" s="10">
        <v>18998</v>
      </c>
      <c r="L3746" s="16">
        <f>HYPERLINK("http://www.kolaybi.com", "www.kolaybi.com")</f>
      </c>
      <c r="M3746" s="16">
        <f>HYPERLINK("https://my.pitchbook.com?c=234917-56", "View Company Online")</f>
      </c>
    </row>
    <row r="3747">
      <c r="A3747" t="s" s="11">
        <v>19000</v>
      </c>
      <c r="B3747" t="s" s="11">
        <v>19001</v>
      </c>
      <c r="C3747" t="s" s="11">
        <v>164</v>
      </c>
      <c r="D3747" t="s" s="11">
        <v>165</v>
      </c>
      <c r="E3747" t="s" s="11">
        <v>373</v>
      </c>
      <c r="F3747" s="28">
        <v>44958</v>
      </c>
      <c r="G3747" t="s" s="11">
        <v>4267</v>
      </c>
      <c r="H3747" s="43">
        <v>7.5</v>
      </c>
      <c r="I3747" s="43">
        <v>2</v>
      </c>
      <c r="J3747" t="s" s="11">
        <v>19002</v>
      </c>
      <c r="K3747" t="s" s="11">
        <v>19003</v>
      </c>
      <c r="L3747" s="17">
        <f>HYPERLINK("http://www.kwara.com", "www.kwara.com")</f>
      </c>
      <c r="M3747" s="17">
        <f>HYPERLINK("https://my.pitchbook.com?c=279520-30", "View Company Online")</f>
      </c>
    </row>
    <row r="3748">
      <c r="A3748" t="s" s="10">
        <v>19005</v>
      </c>
      <c r="B3748" t="s" s="10">
        <v>19006</v>
      </c>
      <c r="C3748" t="s" s="10">
        <v>164</v>
      </c>
      <c r="D3748" t="s" s="10">
        <v>165</v>
      </c>
      <c r="E3748" t="s" s="10">
        <v>253</v>
      </c>
      <c r="F3748" s="27">
        <v>44650</v>
      </c>
      <c r="G3748" t="s" s="10">
        <v>607</v>
      </c>
      <c r="H3748" s="42">
        <v>0.5</v>
      </c>
      <c r="I3748" s="42">
        <v>2</v>
      </c>
      <c r="J3748" t="s" s="10">
        <v>19007</v>
      </c>
      <c r="K3748" t="s" s="10">
        <v>19008</v>
      </c>
      <c r="L3748" s="16">
        <f>HYPERLINK("http://www.lenco.co", "www.lenco.co")</f>
      </c>
      <c r="M3748" s="16">
        <f>HYPERLINK("https://my.pitchbook.com?c=467033-95", "View Company Online")</f>
      </c>
    </row>
    <row r="3749">
      <c r="A3749" t="s" s="11">
        <v>19010</v>
      </c>
      <c r="B3749" t="s" s="11">
        <v>19011</v>
      </c>
      <c r="C3749" t="s" s="11">
        <v>222</v>
      </c>
      <c r="D3749" t="s" s="11">
        <v>223</v>
      </c>
      <c r="E3749" t="s" s="11">
        <v>18044</v>
      </c>
      <c r="F3749" s="28">
        <v>45078</v>
      </c>
      <c r="G3749" t="s" s="11">
        <v>607</v>
      </c>
      <c r="H3749" t="s" s="43">
        <v>30</v>
      </c>
      <c r="I3749" s="43">
        <v>2</v>
      </c>
      <c r="J3749" t="s" s="11">
        <v>19012</v>
      </c>
      <c r="K3749" t="s" s="11">
        <v>19013</v>
      </c>
      <c r="L3749" s="17">
        <f>HYPERLINK("http://www.listfunding.com", "www.listfunding.com")</f>
      </c>
      <c r="M3749" s="17">
        <f>HYPERLINK("https://my.pitchbook.com?c=308003-05", "View Company Online")</f>
      </c>
    </row>
    <row r="3750">
      <c r="A3750" t="s" s="10">
        <v>19015</v>
      </c>
      <c r="B3750" t="s" s="10">
        <v>19016</v>
      </c>
      <c r="C3750" t="s" s="10">
        <v>114</v>
      </c>
      <c r="D3750" t="s" s="10">
        <v>852</v>
      </c>
      <c r="E3750" t="s" s="10">
        <v>253</v>
      </c>
      <c r="F3750" s="27">
        <v>45229</v>
      </c>
      <c r="G3750" t="s" s="10">
        <v>4267</v>
      </c>
      <c r="H3750" s="42">
        <v>0.25</v>
      </c>
      <c r="I3750" s="42">
        <v>2</v>
      </c>
      <c r="J3750" t="s" s="10">
        <v>19017</v>
      </c>
      <c r="K3750" t="s" s="10">
        <v>30</v>
      </c>
      <c r="L3750" s="16">
        <f>HYPERLINK("http://www.getloot.com", "www.getloot.com")</f>
      </c>
      <c r="M3750" s="16">
        <f>HYPERLINK("https://my.pitchbook.com?c=539223-85", "View Company Online")</f>
      </c>
    </row>
    <row r="3751">
      <c r="A3751" t="s" s="11">
        <v>19019</v>
      </c>
      <c r="B3751" t="s" s="11">
        <v>19020</v>
      </c>
      <c r="C3751" t="s" s="11">
        <v>60</v>
      </c>
      <c r="D3751" t="s" s="11">
        <v>420</v>
      </c>
      <c r="E3751" t="s" s="11">
        <v>253</v>
      </c>
      <c r="F3751" s="28">
        <v>45917</v>
      </c>
      <c r="G3751" t="s" s="11">
        <v>4267</v>
      </c>
      <c r="H3751" s="43">
        <v>3.3</v>
      </c>
      <c r="I3751" s="43">
        <v>2</v>
      </c>
      <c r="J3751" t="s" s="11">
        <v>19021</v>
      </c>
      <c r="K3751" t="s" s="11">
        <v>19022</v>
      </c>
      <c r="L3751" s="17">
        <f>HYPERLINK("http://www.mynestimate.com", "www.mynestimate.com")</f>
      </c>
      <c r="M3751" s="17">
        <f>HYPERLINK("https://my.pitchbook.com?c=514975-60", "View Company Online")</f>
      </c>
    </row>
    <row r="3752">
      <c r="A3752" t="s" s="10">
        <v>19024</v>
      </c>
      <c r="B3752" t="s" s="10">
        <v>19025</v>
      </c>
      <c r="C3752" t="s" s="10">
        <v>222</v>
      </c>
      <c r="D3752" t="s" s="10">
        <v>223</v>
      </c>
      <c r="E3752" t="s" s="10">
        <v>373</v>
      </c>
      <c r="F3752" s="27">
        <v>46023</v>
      </c>
      <c r="G3752" t="s" s="10">
        <v>4267</v>
      </c>
      <c r="H3752" s="42">
        <v>0.03</v>
      </c>
      <c r="I3752" s="42">
        <v>2</v>
      </c>
      <c r="J3752" t="s" s="10">
        <v>19026</v>
      </c>
      <c r="K3752" t="s" s="10">
        <v>19027</v>
      </c>
      <c r="L3752" s="16">
        <f>HYPERLINK("http://www.o11.ai", "www.o11.ai")</f>
      </c>
      <c r="M3752" s="16">
        <f>HYPERLINK("https://my.pitchbook.com?c=1173280-06", "View Company Online")</f>
      </c>
    </row>
    <row r="3753">
      <c r="A3753" t="s" s="11">
        <v>19029</v>
      </c>
      <c r="B3753" t="s" s="11">
        <v>19030</v>
      </c>
      <c r="C3753" t="s" s="11">
        <v>60</v>
      </c>
      <c r="D3753" t="s" s="11">
        <v>61</v>
      </c>
      <c r="E3753" t="s" s="11">
        <v>193</v>
      </c>
      <c r="F3753" s="28">
        <v>44936</v>
      </c>
      <c r="G3753" t="s" s="11">
        <v>607</v>
      </c>
      <c r="H3753" s="43">
        <v>0.12</v>
      </c>
      <c r="I3753" s="43">
        <v>2</v>
      </c>
      <c r="J3753" t="s" s="11">
        <v>19031</v>
      </c>
      <c r="K3753" t="s" s="11">
        <v>19032</v>
      </c>
      <c r="L3753" s="17">
        <f>HYPERLINK("http://www.siguelaola.com", "www.siguelaola.com")</f>
      </c>
      <c r="M3753" s="17">
        <f>HYPERLINK("https://my.pitchbook.com?c=521415-01", "View Company Online")</f>
      </c>
    </row>
    <row r="3754">
      <c r="A3754" t="s" s="10">
        <v>19034</v>
      </c>
      <c r="B3754" t="s" s="10">
        <v>19035</v>
      </c>
      <c r="C3754" t="s" s="10">
        <v>60</v>
      </c>
      <c r="D3754" t="s" s="10">
        <v>246</v>
      </c>
      <c r="E3754" t="s" s="10">
        <v>116</v>
      </c>
      <c r="F3754" s="27">
        <v>43374</v>
      </c>
      <c r="G3754" t="s" s="10">
        <v>2651</v>
      </c>
      <c r="H3754" s="42">
        <v>0.01</v>
      </c>
      <c r="I3754" s="42">
        <v>2</v>
      </c>
      <c r="J3754" t="s" s="10">
        <v>19036</v>
      </c>
      <c r="K3754" t="s" s="10">
        <v>19037</v>
      </c>
      <c r="L3754" s="16">
        <f>HYPERLINK("http://www.planto.hk", "www.planto.hk")</f>
      </c>
      <c r="M3754" s="16">
        <f>HYPERLINK("https://my.pitchbook.com?c=251484-04", "View Company Online")</f>
      </c>
    </row>
    <row r="3755">
      <c r="A3755" t="s" s="11">
        <v>19039</v>
      </c>
      <c r="B3755" t="s" s="11">
        <v>19040</v>
      </c>
      <c r="C3755" t="s" s="11">
        <v>27</v>
      </c>
      <c r="D3755" t="s" s="11">
        <v>70</v>
      </c>
      <c r="E3755" t="s" s="11">
        <v>1859</v>
      </c>
      <c r="F3755" s="28">
        <v>46023</v>
      </c>
      <c r="G3755" t="s" s="11">
        <v>607</v>
      </c>
      <c r="H3755" t="s" s="43">
        <v>30</v>
      </c>
      <c r="I3755" s="43">
        <v>2</v>
      </c>
      <c r="J3755" t="s" s="11">
        <v>19041</v>
      </c>
      <c r="K3755" t="s" s="11">
        <v>19042</v>
      </c>
      <c r="L3755" s="17">
        <f>HYPERLINK("http://www.somosradar.com", "www.somosradar.com")</f>
      </c>
      <c r="M3755" s="17">
        <f>HYPERLINK("https://my.pitchbook.com?c=510414-13", "View Company Online")</f>
      </c>
    </row>
    <row r="3756">
      <c r="A3756" t="s" s="10">
        <v>19044</v>
      </c>
      <c r="B3756" t="s" s="10">
        <v>19045</v>
      </c>
      <c r="C3756" t="s" s="10">
        <v>128</v>
      </c>
      <c r="D3756" t="s" s="10">
        <v>276</v>
      </c>
      <c r="E3756" t="s" s="10">
        <v>270</v>
      </c>
      <c r="F3756" s="27">
        <v>45460</v>
      </c>
      <c r="G3756" t="s" s="10">
        <v>146</v>
      </c>
      <c r="H3756" t="s" s="42">
        <v>30</v>
      </c>
      <c r="I3756" s="42">
        <v>2</v>
      </c>
      <c r="J3756" t="s" s="10">
        <v>19046</v>
      </c>
      <c r="K3756" t="s" s="10">
        <v>19047</v>
      </c>
      <c r="L3756" s="16">
        <f>HYPERLINK("http://withradius.com", "withradius.com")</f>
      </c>
      <c r="M3756" s="16">
        <f>HYPERLINK("https://my.pitchbook.com?c=510634-90", "View Company Online")</f>
      </c>
    </row>
    <row r="3757">
      <c r="A3757" t="s" s="11">
        <v>19049</v>
      </c>
      <c r="B3757" t="s" s="11">
        <v>19050</v>
      </c>
      <c r="C3757" t="s" s="11">
        <v>27</v>
      </c>
      <c r="D3757" t="s" s="11">
        <v>28</v>
      </c>
      <c r="E3757" t="s" s="11">
        <v>270</v>
      </c>
      <c r="F3757" t="s" s="28">
        <v>30</v>
      </c>
      <c r="G3757" t="s" s="11">
        <v>48</v>
      </c>
      <c r="H3757" t="s" s="43">
        <v>30</v>
      </c>
      <c r="I3757" s="43">
        <v>2</v>
      </c>
      <c r="J3757" t="s" s="11">
        <v>19051</v>
      </c>
      <c r="K3757" t="s" s="11">
        <v>19052</v>
      </c>
      <c r="L3757" s="17">
        <f>HYPERLINK("http://www.raseediapp.com", "www.raseediapp.com")</f>
      </c>
      <c r="M3757" s="17">
        <f>HYPERLINK("https://my.pitchbook.com?c=264513-16", "View Company Online")</f>
      </c>
    </row>
    <row r="3758">
      <c r="A3758" t="s" s="10">
        <v>19054</v>
      </c>
      <c r="B3758" t="s" s="10">
        <v>19055</v>
      </c>
      <c r="C3758" t="s" s="10">
        <v>46</v>
      </c>
      <c r="D3758" t="s" s="10">
        <v>397</v>
      </c>
      <c r="E3758" t="s" s="10">
        <v>9889</v>
      </c>
      <c r="F3758" s="27">
        <v>45552</v>
      </c>
      <c r="G3758" t="s" s="10">
        <v>4267</v>
      </c>
      <c r="H3758" s="42">
        <v>1.1</v>
      </c>
      <c r="I3758" s="42">
        <v>2</v>
      </c>
      <c r="J3758" t="s" s="10">
        <v>19056</v>
      </c>
      <c r="K3758" t="s" s="10">
        <v>19057</v>
      </c>
      <c r="L3758" s="16">
        <f>HYPERLINK("http://www.regfyl.com", "www.regfyl.com")</f>
      </c>
      <c r="M3758" s="16">
        <f>HYPERLINK("https://my.pitchbook.com?c=594084-16", "View Company Online")</f>
      </c>
    </row>
    <row r="3759">
      <c r="A3759" t="s" s="11">
        <v>19059</v>
      </c>
      <c r="B3759" t="s" s="11">
        <v>19060</v>
      </c>
      <c r="C3759" t="s" s="11">
        <v>37</v>
      </c>
      <c r="D3759" t="s" s="11">
        <v>38</v>
      </c>
      <c r="E3759" t="s" s="11">
        <v>193</v>
      </c>
      <c r="F3759" s="28">
        <v>43754</v>
      </c>
      <c r="G3759" t="s" s="11">
        <v>4267</v>
      </c>
      <c r="H3759" s="43">
        <v>1</v>
      </c>
      <c r="I3759" s="43">
        <v>2</v>
      </c>
      <c r="J3759" t="s" s="11">
        <v>19061</v>
      </c>
      <c r="K3759" t="s" s="11">
        <v>19062</v>
      </c>
      <c r="L3759" s="17">
        <f>HYPERLINK("http://www.hellosimba.com", "www.hellosimba.com")</f>
      </c>
      <c r="M3759" s="17">
        <f>HYPERLINK("https://my.pitchbook.com?c=437758-93", "View Company Online")</f>
      </c>
    </row>
    <row r="3760">
      <c r="A3760" t="s" s="10">
        <v>19064</v>
      </c>
      <c r="B3760" t="s" s="10">
        <v>19065</v>
      </c>
      <c r="C3760" t="s" s="10">
        <v>60</v>
      </c>
      <c r="D3760" t="s" s="10">
        <v>727</v>
      </c>
      <c r="E3760" t="s" s="10">
        <v>1552</v>
      </c>
      <c r="F3760" s="27">
        <v>46112</v>
      </c>
      <c r="G3760" t="s" s="10">
        <v>4427</v>
      </c>
      <c r="H3760" t="s" s="42">
        <v>30</v>
      </c>
      <c r="I3760" s="42">
        <v>2</v>
      </c>
      <c r="J3760" t="s" s="10">
        <v>19066</v>
      </c>
      <c r="K3760" t="s" s="10">
        <v>30</v>
      </c>
      <c r="L3760" s="16">
        <f>HYPERLINK("http://www.sparkchange.io", "www.sparkchange.io")</f>
      </c>
      <c r="M3760" s="16">
        <f>HYPERLINK("https://my.pitchbook.com?c=265171-87", "View Company Online")</f>
      </c>
    </row>
    <row r="3761">
      <c r="A3761" t="s" s="11">
        <v>19068</v>
      </c>
      <c r="B3761" t="s" s="11">
        <v>19069</v>
      </c>
      <c r="C3761" t="s" s="11">
        <v>172</v>
      </c>
      <c r="D3761" t="s" s="11">
        <v>1454</v>
      </c>
      <c r="E3761" t="s" s="11">
        <v>493</v>
      </c>
      <c r="F3761" t="s" s="28">
        <v>30</v>
      </c>
      <c r="G3761" t="s" s="11">
        <v>48</v>
      </c>
      <c r="H3761" t="s" s="43">
        <v>30</v>
      </c>
      <c r="I3761" s="43">
        <v>2</v>
      </c>
      <c r="J3761" t="s" s="11">
        <v>19070</v>
      </c>
      <c r="K3761" t="s" s="11">
        <v>19071</v>
      </c>
      <c r="L3761" s="17">
        <f>HYPERLINK("http://www.usesummit.com", "www.usesummit.com")</f>
      </c>
      <c r="M3761" s="17">
        <f>HYPERLINK("https://my.pitchbook.com?c=433134-10", "View Company Online")</f>
      </c>
    </row>
    <row r="3762">
      <c r="A3762" t="s" s="10">
        <v>19073</v>
      </c>
      <c r="B3762" t="s" s="10">
        <v>19074</v>
      </c>
      <c r="C3762" t="s" s="10">
        <v>60</v>
      </c>
      <c r="D3762" t="s" s="10">
        <v>727</v>
      </c>
      <c r="E3762" t="s" s="10">
        <v>137</v>
      </c>
      <c r="F3762" s="27">
        <v>45796</v>
      </c>
      <c r="G3762" t="s" s="10">
        <v>138</v>
      </c>
      <c r="H3762" t="s" s="42">
        <v>30</v>
      </c>
      <c r="I3762" s="42">
        <v>2</v>
      </c>
      <c r="J3762" t="s" s="10">
        <v>19075</v>
      </c>
      <c r="K3762" t="s" s="10">
        <v>19076</v>
      </c>
      <c r="L3762" s="16">
        <f>HYPERLINK("http://www.vevolution.com", "www.vevolution.com")</f>
      </c>
      <c r="M3762" s="16">
        <f>HYPERLINK("https://my.pitchbook.com?c=232272-28", "View Company Online")</f>
      </c>
    </row>
    <row r="3763">
      <c r="A3763" t="s" s="11">
        <v>19078</v>
      </c>
      <c r="B3763" t="s" s="11">
        <v>19079</v>
      </c>
      <c r="C3763" t="s" s="11">
        <v>128</v>
      </c>
      <c r="D3763" t="s" s="11">
        <v>276</v>
      </c>
      <c r="E3763" t="s" s="11">
        <v>1859</v>
      </c>
      <c r="F3763" s="28">
        <v>45614</v>
      </c>
      <c r="G3763" t="s" s="11">
        <v>146</v>
      </c>
      <c r="H3763" s="43">
        <v>0.23</v>
      </c>
      <c r="I3763" s="43">
        <v>2</v>
      </c>
      <c r="J3763" t="s" s="11">
        <v>19080</v>
      </c>
      <c r="K3763" t="s" s="11">
        <v>19081</v>
      </c>
      <c r="L3763" s="17">
        <f>HYPERLINK("http://www.vitalswap.com", "www.vitalswap.com")</f>
      </c>
      <c r="M3763" s="17">
        <f>HYPERLINK("https://my.pitchbook.com?c=593434-27", "View Company Online")</f>
      </c>
    </row>
    <row r="3764">
      <c r="A3764" t="s" s="10">
        <v>19083</v>
      </c>
      <c r="B3764" t="s" s="10">
        <v>19084</v>
      </c>
      <c r="C3764" t="s" s="10">
        <v>27</v>
      </c>
      <c r="D3764" t="s" s="10">
        <v>28</v>
      </c>
      <c r="E3764" t="s" s="10">
        <v>193</v>
      </c>
      <c r="F3764" s="27">
        <v>45519</v>
      </c>
      <c r="G3764" t="s" s="10">
        <v>146</v>
      </c>
      <c r="H3764" s="42">
        <v>0.48</v>
      </c>
      <c r="I3764" s="42">
        <v>2</v>
      </c>
      <c r="J3764" t="s" s="10">
        <v>19085</v>
      </c>
      <c r="K3764" t="s" s="10">
        <v>19086</v>
      </c>
      <c r="L3764" s="16">
        <f>HYPERLINK("http://www.wallid.co", "www.wallid.co")</f>
      </c>
      <c r="M3764" s="16">
        <f>HYPERLINK("https://my.pitchbook.com?c=596794-42", "View Company Online")</f>
      </c>
    </row>
    <row r="3765">
      <c r="A3765" t="s" s="11">
        <v>19088</v>
      </c>
      <c r="B3765" t="s" s="11">
        <v>19089</v>
      </c>
      <c r="C3765" t="s" s="11">
        <v>144</v>
      </c>
      <c r="D3765" t="s" s="11">
        <v>297</v>
      </c>
      <c r="E3765" t="s" s="11">
        <v>7007</v>
      </c>
      <c r="F3765" t="s" s="28">
        <v>30</v>
      </c>
      <c r="G3765" t="s" s="11">
        <v>48</v>
      </c>
      <c r="H3765" t="s" s="43">
        <v>30</v>
      </c>
      <c r="I3765" s="43">
        <v>1.99</v>
      </c>
      <c r="J3765" t="s" s="11">
        <v>19090</v>
      </c>
      <c r="K3765" t="s" s="11">
        <v>19091</v>
      </c>
      <c r="L3765" s="17">
        <f>HYPERLINK("http://www.hent.com.br", "www.hent.com.br")</f>
      </c>
      <c r="M3765" s="17">
        <f>HYPERLINK("https://my.pitchbook.com?c=436019-86", "View Company Online")</f>
      </c>
    </row>
    <row r="3766">
      <c r="A3766" t="s" s="10">
        <v>19093</v>
      </c>
      <c r="B3766" t="s" s="10">
        <v>19094</v>
      </c>
      <c r="C3766" t="s" s="10">
        <v>222</v>
      </c>
      <c r="D3766" t="s" s="10">
        <v>223</v>
      </c>
      <c r="E3766" t="s" s="10">
        <v>373</v>
      </c>
      <c r="F3766" s="27">
        <v>46008</v>
      </c>
      <c r="G3766" t="s" s="10">
        <v>4267</v>
      </c>
      <c r="H3766" s="42">
        <v>0.4</v>
      </c>
      <c r="I3766" s="42">
        <v>1.98</v>
      </c>
      <c r="J3766" t="s" s="10">
        <v>19095</v>
      </c>
      <c r="K3766" t="s" s="10">
        <v>19096</v>
      </c>
      <c r="L3766" s="16">
        <f>HYPERLINK("http://www.datasyncdq.com", "www.datasyncdq.com")</f>
      </c>
      <c r="M3766" s="16">
        <f>HYPERLINK("https://my.pitchbook.com?c=818651-53", "View Company Online")</f>
      </c>
    </row>
    <row r="3767">
      <c r="A3767" t="s" s="11">
        <v>19098</v>
      </c>
      <c r="B3767" t="s" s="11">
        <v>19099</v>
      </c>
      <c r="C3767" t="s" s="11">
        <v>114</v>
      </c>
      <c r="D3767" t="s" s="11">
        <v>852</v>
      </c>
      <c r="E3767" t="s" s="11">
        <v>137</v>
      </c>
      <c r="F3767" s="28">
        <v>45473</v>
      </c>
      <c r="G3767" t="s" s="11">
        <v>48</v>
      </c>
      <c r="H3767" t="s" s="43">
        <v>30</v>
      </c>
      <c r="I3767" s="43">
        <v>1.96</v>
      </c>
      <c r="J3767" t="s" s="11">
        <v>19100</v>
      </c>
      <c r="K3767" t="s" s="11">
        <v>19101</v>
      </c>
      <c r="L3767" s="17">
        <f>HYPERLINK("http://www.krab.in", "www.krab.in")</f>
      </c>
      <c r="M3767" s="17">
        <f>HYPERLINK("https://my.pitchbook.com?c=463303-72", "View Company Online")</f>
      </c>
    </row>
    <row r="3768">
      <c r="A3768" t="s" s="10">
        <v>19103</v>
      </c>
      <c r="B3768" t="s" s="10">
        <v>19104</v>
      </c>
      <c r="C3768" t="s" s="10">
        <v>27</v>
      </c>
      <c r="D3768" t="s" s="10">
        <v>70</v>
      </c>
      <c r="E3768" t="s" s="10">
        <v>19105</v>
      </c>
      <c r="F3768" s="27">
        <v>45750</v>
      </c>
      <c r="G3768" t="s" s="10">
        <v>40</v>
      </c>
      <c r="H3768" t="s" s="42">
        <v>30</v>
      </c>
      <c r="I3768" s="42">
        <v>1.93</v>
      </c>
      <c r="J3768" t="s" s="10">
        <v>19106</v>
      </c>
      <c r="K3768" t="s" s="10">
        <v>19107</v>
      </c>
      <c r="L3768" s="16">
        <f>HYPERLINK("http://www.bekampi.com", "www.bekampi.com")</f>
      </c>
      <c r="M3768" s="16">
        <f>HYPERLINK("https://my.pitchbook.com?c=112959-37", "View Company Online")</f>
      </c>
    </row>
    <row r="3769">
      <c r="A3769" t="s" s="11">
        <v>19109</v>
      </c>
      <c r="B3769" t="s" s="11">
        <v>19110</v>
      </c>
      <c r="C3769" t="s" s="11">
        <v>222</v>
      </c>
      <c r="D3769" t="s" s="11">
        <v>223</v>
      </c>
      <c r="E3769" t="s" s="11">
        <v>253</v>
      </c>
      <c r="F3769" s="28">
        <v>45644</v>
      </c>
      <c r="G3769" t="s" s="11">
        <v>5274</v>
      </c>
      <c r="H3769" s="43">
        <v>0.61</v>
      </c>
      <c r="I3769" s="43">
        <v>1.93</v>
      </c>
      <c r="J3769" t="s" s="11">
        <v>19111</v>
      </c>
      <c r="K3769" t="s" s="11">
        <v>19112</v>
      </c>
      <c r="L3769" s="17">
        <f>HYPERLINK("http://www.vertx-iq.com", "www.vertx-iq.com")</f>
      </c>
      <c r="M3769" s="17">
        <f>HYPERLINK("https://my.pitchbook.com?c=720829-54", "View Company Online")</f>
      </c>
    </row>
    <row r="3770">
      <c r="A3770" t="s" s="10">
        <v>19114</v>
      </c>
      <c r="B3770" t="s" s="10">
        <v>19115</v>
      </c>
      <c r="C3770" t="s" s="10">
        <v>60</v>
      </c>
      <c r="D3770" t="s" s="10">
        <v>727</v>
      </c>
      <c r="E3770" t="s" s="10">
        <v>4013</v>
      </c>
      <c r="F3770" s="27">
        <v>44649</v>
      </c>
      <c r="G3770" t="s" s="10">
        <v>146</v>
      </c>
      <c r="H3770" s="42">
        <v>0.31</v>
      </c>
      <c r="I3770" s="42">
        <v>1.92</v>
      </c>
      <c r="J3770" t="s" s="10">
        <v>19116</v>
      </c>
      <c r="K3770" t="s" s="10">
        <v>19117</v>
      </c>
      <c r="L3770" s="16">
        <f>HYPERLINK("http://www.pyse.in", "www.pyse.in")</f>
      </c>
      <c r="M3770" s="16">
        <f>HYPERLINK("https://my.pitchbook.com?c=462021-49", "View Company Online")</f>
      </c>
    </row>
    <row r="3771">
      <c r="A3771" t="s" s="11">
        <v>19119</v>
      </c>
      <c r="B3771" t="s" s="11">
        <v>19120</v>
      </c>
      <c r="C3771" t="s" s="11">
        <v>46</v>
      </c>
      <c r="D3771" t="s" s="11">
        <v>47</v>
      </c>
      <c r="E3771" t="s" s="11">
        <v>193</v>
      </c>
      <c r="F3771" s="28">
        <v>44467</v>
      </c>
      <c r="G3771" t="s" s="11">
        <v>4267</v>
      </c>
      <c r="H3771" s="43">
        <v>2.3</v>
      </c>
      <c r="I3771" s="43">
        <v>1.91</v>
      </c>
      <c r="J3771" t="s" s="11">
        <v>19121</v>
      </c>
      <c r="K3771" t="s" s="11">
        <v>19122</v>
      </c>
      <c r="L3771" s="17">
        <f>HYPERLINK("http://www.cashbook.in", "www.cashbook.in")</f>
      </c>
      <c r="M3771" s="17">
        <f>HYPERLINK("https://my.pitchbook.com?c=463302-55", "View Company Online")</f>
      </c>
    </row>
    <row r="3772">
      <c r="A3772" t="s" s="10">
        <v>19124</v>
      </c>
      <c r="B3772" t="s" s="10">
        <v>19125</v>
      </c>
      <c r="C3772" t="s" s="10">
        <v>164</v>
      </c>
      <c r="D3772" t="s" s="10">
        <v>206</v>
      </c>
      <c r="E3772" t="s" s="10">
        <v>137</v>
      </c>
      <c r="F3772" s="27">
        <v>45705</v>
      </c>
      <c r="G3772" t="s" s="10">
        <v>607</v>
      </c>
      <c r="H3772" s="42">
        <v>0.01</v>
      </c>
      <c r="I3772" s="42">
        <v>1.91</v>
      </c>
      <c r="J3772" t="s" s="10">
        <v>19126</v>
      </c>
      <c r="K3772" t="s" s="10">
        <v>19127</v>
      </c>
      <c r="L3772" s="16">
        <f>HYPERLINK("http://www.debitodireto.com", "www.debitodireto.com")</f>
      </c>
      <c r="M3772" s="16">
        <f>HYPERLINK("https://my.pitchbook.com?c=443108-80", "View Company Online")</f>
      </c>
    </row>
    <row r="3773">
      <c r="A3773" t="s" s="11">
        <v>19129</v>
      </c>
      <c r="B3773" t="s" s="11">
        <v>19130</v>
      </c>
      <c r="C3773" t="s" s="11">
        <v>60</v>
      </c>
      <c r="D3773" t="s" s="11">
        <v>246</v>
      </c>
      <c r="E3773" t="s" s="11">
        <v>4075</v>
      </c>
      <c r="F3773" s="28">
        <v>45359</v>
      </c>
      <c r="G3773" t="s" s="11">
        <v>4267</v>
      </c>
      <c r="H3773" s="43">
        <v>0.32</v>
      </c>
      <c r="I3773" s="43">
        <v>1.91</v>
      </c>
      <c r="J3773" t="s" s="11">
        <v>19131</v>
      </c>
      <c r="K3773" t="s" s="11">
        <v>19132</v>
      </c>
      <c r="L3773" s="17">
        <f>HYPERLINK("http://www.financielle.com", "www.financielle.com")</f>
      </c>
      <c r="M3773" s="17">
        <f>HYPERLINK("https://my.pitchbook.com?c=495767-35", "View Company Online")</f>
      </c>
    </row>
    <row r="3774">
      <c r="A3774" t="s" s="10">
        <v>19134</v>
      </c>
      <c r="B3774" t="s" s="10">
        <v>19135</v>
      </c>
      <c r="C3774" t="s" s="10">
        <v>222</v>
      </c>
      <c r="D3774" t="s" s="10">
        <v>235</v>
      </c>
      <c r="E3774" t="s" s="10">
        <v>373</v>
      </c>
      <c r="F3774" s="27">
        <v>45727</v>
      </c>
      <c r="G3774" t="s" s="10">
        <v>146</v>
      </c>
      <c r="H3774" s="42">
        <v>0.42</v>
      </c>
      <c r="I3774" s="42">
        <v>1.9</v>
      </c>
      <c r="J3774" t="s" s="10">
        <v>19136</v>
      </c>
      <c r="K3774" t="s" s="10">
        <v>17416</v>
      </c>
      <c r="L3774" s="16">
        <f>HYPERLINK("http://www.fundin.ai", "www.fundin.ai")</f>
      </c>
      <c r="M3774" s="16">
        <f>HYPERLINK("https://my.pitchbook.com?c=769740-40", "View Company Online")</f>
      </c>
    </row>
    <row r="3775">
      <c r="A3775" t="s" s="11">
        <v>19138</v>
      </c>
      <c r="B3775" t="s" s="11">
        <v>19139</v>
      </c>
      <c r="C3775" t="s" s="11">
        <v>60</v>
      </c>
      <c r="D3775" t="s" s="11">
        <v>246</v>
      </c>
      <c r="E3775" t="s" s="11">
        <v>193</v>
      </c>
      <c r="F3775" s="28">
        <v>45658</v>
      </c>
      <c r="G3775" t="s" s="11">
        <v>146</v>
      </c>
      <c r="H3775" s="43">
        <v>0.38</v>
      </c>
      <c r="I3775" s="43">
        <v>1.9</v>
      </c>
      <c r="J3775" t="s" s="11">
        <v>19140</v>
      </c>
      <c r="K3775" t="s" s="11">
        <v>30</v>
      </c>
      <c r="L3775" s="17">
        <f>HYPERLINK("http://www.littlebirdie.co.uk", "www.littlebirdie.co.uk")</f>
      </c>
      <c r="M3775" s="17">
        <f>HYPERLINK("https://my.pitchbook.com?c=522973-45", "View Company Online")</f>
      </c>
    </row>
    <row r="3776">
      <c r="A3776" t="s" s="10">
        <v>19142</v>
      </c>
      <c r="B3776" t="s" s="10">
        <v>19143</v>
      </c>
      <c r="C3776" t="s" s="10">
        <v>27</v>
      </c>
      <c r="D3776" t="s" s="10">
        <v>28</v>
      </c>
      <c r="E3776" t="s" s="10">
        <v>19144</v>
      </c>
      <c r="F3776" t="s" s="27">
        <v>30</v>
      </c>
      <c r="G3776" t="s" s="10">
        <v>146</v>
      </c>
      <c r="H3776" t="s" s="42">
        <v>30</v>
      </c>
      <c r="I3776" s="42">
        <v>1.9</v>
      </c>
      <c r="J3776" t="s" s="10">
        <v>19145</v>
      </c>
      <c r="K3776" t="s" s="10">
        <v>19146</v>
      </c>
      <c r="L3776" s="16">
        <f>HYPERLINK("http://www.onevision.kz", "www.onevision.kz")</f>
      </c>
      <c r="M3776" s="16">
        <f>HYPERLINK("https://my.pitchbook.com?c=496765-45", "View Company Online")</f>
      </c>
    </row>
    <row r="3777">
      <c r="A3777" t="s" s="11">
        <v>19148</v>
      </c>
      <c r="B3777" t="s" s="11">
        <v>19149</v>
      </c>
      <c r="C3777" t="s" s="11">
        <v>27</v>
      </c>
      <c r="D3777" t="s" s="11">
        <v>70</v>
      </c>
      <c r="E3777" t="s" s="11">
        <v>270</v>
      </c>
      <c r="F3777" s="28">
        <v>45856</v>
      </c>
      <c r="G3777" t="s" s="11">
        <v>4267</v>
      </c>
      <c r="H3777" s="43">
        <v>0.79</v>
      </c>
      <c r="I3777" s="43">
        <v>1.9</v>
      </c>
      <c r="J3777" t="s" s="11">
        <v>19150</v>
      </c>
      <c r="K3777" t="s" s="11">
        <v>19151</v>
      </c>
      <c r="L3777" s="17">
        <f>HYPERLINK("http://www.tapready.io", "www.tapready.io")</f>
      </c>
      <c r="M3777" s="17">
        <f>HYPERLINK("https://my.pitchbook.com?c=608007-97", "View Company Online")</f>
      </c>
    </row>
    <row r="3778">
      <c r="A3778" t="s" s="10">
        <v>19153</v>
      </c>
      <c r="B3778" t="s" s="10">
        <v>19154</v>
      </c>
      <c r="C3778" t="s" s="10">
        <v>46</v>
      </c>
      <c r="D3778" t="s" s="10">
        <v>47</v>
      </c>
      <c r="E3778" t="s" s="10">
        <v>373</v>
      </c>
      <c r="F3778" s="27">
        <v>45994</v>
      </c>
      <c r="G3778" t="s" s="10">
        <v>40</v>
      </c>
      <c r="H3778" s="42">
        <v>7.82</v>
      </c>
      <c r="I3778" s="42">
        <v>1.88</v>
      </c>
      <c r="J3778" t="s" s="10">
        <v>19155</v>
      </c>
      <c r="K3778" t="s" s="10">
        <v>19156</v>
      </c>
      <c r="L3778" s="16">
        <f>HYPERLINK("http://www.fintainium.com", "www.fintainium.com")</f>
      </c>
      <c r="M3778" s="16">
        <f>HYPERLINK("https://my.pitchbook.com?c=277638-49", "View Company Online")</f>
      </c>
    </row>
    <row r="3779">
      <c r="A3779" t="s" s="11">
        <v>19158</v>
      </c>
      <c r="B3779" t="s" s="11">
        <v>19159</v>
      </c>
      <c r="C3779" t="s" s="11">
        <v>164</v>
      </c>
      <c r="D3779" t="s" s="11">
        <v>206</v>
      </c>
      <c r="E3779" t="s" s="11">
        <v>193</v>
      </c>
      <c r="F3779" s="28">
        <v>45992</v>
      </c>
      <c r="G3779" t="s" s="11">
        <v>40</v>
      </c>
      <c r="H3779" s="43">
        <v>15</v>
      </c>
      <c r="I3779" s="43">
        <v>1.88</v>
      </c>
      <c r="J3779" t="s" s="11">
        <v>19160</v>
      </c>
      <c r="K3779" t="s" s="11">
        <v>19161</v>
      </c>
      <c r="L3779" s="17">
        <f>HYPERLINK("http://www.finvu.in", "www.finvu.in")</f>
      </c>
      <c r="M3779" s="17">
        <f>HYPERLINK("https://my.pitchbook.com?c=301039-39", "View Company Online")</f>
      </c>
    </row>
    <row r="3780">
      <c r="A3780" t="s" s="10">
        <v>19163</v>
      </c>
      <c r="B3780" t="s" s="10">
        <v>19164</v>
      </c>
      <c r="C3780" t="s" s="10">
        <v>27</v>
      </c>
      <c r="D3780" t="s" s="10">
        <v>28</v>
      </c>
      <c r="E3780" t="s" s="10">
        <v>859</v>
      </c>
      <c r="F3780" s="27">
        <v>45930</v>
      </c>
      <c r="G3780" t="s" s="10">
        <v>40</v>
      </c>
      <c r="H3780" s="42">
        <v>21.5</v>
      </c>
      <c r="I3780" s="42">
        <v>1.88</v>
      </c>
      <c r="J3780" t="s" s="10">
        <v>19165</v>
      </c>
      <c r="K3780" t="s" s="10">
        <v>19166</v>
      </c>
      <c r="L3780" s="16">
        <f>HYPERLINK("http://www.xmoney.com", "www.xmoney.com")</f>
      </c>
      <c r="M3780" s="16">
        <f>HYPERLINK("https://my.pitchbook.com?c=234233-38", "View Company Online")</f>
      </c>
    </row>
    <row r="3781">
      <c r="A3781" t="s" s="11">
        <v>19168</v>
      </c>
      <c r="B3781" t="s" s="11">
        <v>19169</v>
      </c>
      <c r="C3781" t="s" s="11">
        <v>164</v>
      </c>
      <c r="D3781" t="s" s="11">
        <v>165</v>
      </c>
      <c r="E3781" t="s" s="11">
        <v>137</v>
      </c>
      <c r="F3781" s="28">
        <v>44650</v>
      </c>
      <c r="G3781" t="s" s="11">
        <v>146</v>
      </c>
      <c r="H3781" s="43">
        <v>0.11</v>
      </c>
      <c r="I3781" s="43">
        <v>1.87</v>
      </c>
      <c r="J3781" t="s" s="11">
        <v>19170</v>
      </c>
      <c r="K3781" t="s" s="11">
        <v>19171</v>
      </c>
      <c r="L3781" s="17">
        <f>HYPERLINK("http://www.ninjalender.net", "www.ninjalender.net")</f>
      </c>
      <c r="M3781" s="17">
        <f>HYPERLINK("https://my.pitchbook.com?c=268792-48", "View Company Online")</f>
      </c>
    </row>
    <row r="3782">
      <c r="A3782" t="s" s="10">
        <v>19173</v>
      </c>
      <c r="B3782" t="s" s="10">
        <v>19174</v>
      </c>
      <c r="C3782" t="s" s="10">
        <v>60</v>
      </c>
      <c r="D3782" t="s" s="10">
        <v>246</v>
      </c>
      <c r="E3782" t="s" s="10">
        <v>137</v>
      </c>
      <c r="F3782" s="27">
        <v>45655</v>
      </c>
      <c r="G3782" t="s" s="10">
        <v>146</v>
      </c>
      <c r="H3782" s="42">
        <v>1.26</v>
      </c>
      <c r="I3782" s="42">
        <v>1.87</v>
      </c>
      <c r="J3782" t="s" s="10">
        <v>19175</v>
      </c>
      <c r="K3782" t="s" s="10">
        <v>19176</v>
      </c>
      <c r="L3782" s="16">
        <f>HYPERLINK("http://www.ottofinance.io", "www.ottofinance.io")</f>
      </c>
      <c r="M3782" s="16">
        <f>HYPERLINK("https://my.pitchbook.com?c=466518-34", "View Company Online")</f>
      </c>
    </row>
    <row r="3783">
      <c r="A3783" t="s" s="11">
        <v>19178</v>
      </c>
      <c r="B3783" t="s" s="11">
        <v>19179</v>
      </c>
      <c r="C3783" t="s" s="11">
        <v>222</v>
      </c>
      <c r="D3783" t="s" s="11">
        <v>223</v>
      </c>
      <c r="E3783" t="s" s="11">
        <v>15151</v>
      </c>
      <c r="F3783" s="28">
        <v>44547</v>
      </c>
      <c r="G3783" t="s" s="11">
        <v>607</v>
      </c>
      <c r="H3783" t="s" s="43">
        <v>30</v>
      </c>
      <c r="I3783" s="43">
        <v>1.85</v>
      </c>
      <c r="J3783" t="s" s="11">
        <v>19180</v>
      </c>
      <c r="K3783" t="s" s="11">
        <v>19181</v>
      </c>
      <c r="L3783" s="17">
        <f>HYPERLINK("http://floodlightglobal.com", "floodlightglobal.com")</f>
      </c>
      <c r="M3783" s="17">
        <f>HYPERLINK("https://my.pitchbook.com?c=438928-57", "View Company Online")</f>
      </c>
    </row>
    <row r="3784">
      <c r="A3784" t="s" s="10">
        <v>19183</v>
      </c>
      <c r="B3784" t="s" s="10">
        <v>19184</v>
      </c>
      <c r="C3784" t="s" s="10">
        <v>164</v>
      </c>
      <c r="D3784" t="s" s="10">
        <v>206</v>
      </c>
      <c r="E3784" t="s" s="10">
        <v>3138</v>
      </c>
      <c r="F3784" s="27">
        <v>45155</v>
      </c>
      <c r="G3784" t="s" s="10">
        <v>4267</v>
      </c>
      <c r="H3784" s="42">
        <v>0.17</v>
      </c>
      <c r="I3784" s="42">
        <v>1.84</v>
      </c>
      <c r="J3784" t="s" s="10">
        <v>19185</v>
      </c>
      <c r="K3784" t="s" s="10">
        <v>19186</v>
      </c>
      <c r="L3784" s="16">
        <f>HYPERLINK("http://www.bizpay.co.in", "www.bizpay.co.in")</f>
      </c>
      <c r="M3784" s="16">
        <f>HYPERLINK("https://my.pitchbook.com?c=533489-41", "View Company Online")</f>
      </c>
    </row>
    <row r="3785">
      <c r="A3785" t="s" s="11">
        <v>19188</v>
      </c>
      <c r="B3785" t="s" s="11">
        <v>19189</v>
      </c>
      <c r="C3785" t="s" s="11">
        <v>46</v>
      </c>
      <c r="D3785" t="s" s="11">
        <v>47</v>
      </c>
      <c r="E3785" t="s" s="11">
        <v>253</v>
      </c>
      <c r="F3785" s="28">
        <v>44875</v>
      </c>
      <c r="G3785" t="s" s="11">
        <v>146</v>
      </c>
      <c r="H3785" s="43">
        <v>0.09</v>
      </c>
      <c r="I3785" s="43">
        <v>1.82</v>
      </c>
      <c r="J3785" t="s" s="11">
        <v>19190</v>
      </c>
      <c r="K3785" t="s" s="11">
        <v>19191</v>
      </c>
      <c r="L3785" s="17">
        <f>HYPERLINK("http://www.kosh.ai", "www.kosh.ai")</f>
      </c>
      <c r="M3785" s="17">
        <f>HYPERLINK("https://my.pitchbook.com?c=507388-51", "View Company Online")</f>
      </c>
    </row>
    <row r="3786">
      <c r="A3786" t="s" s="10">
        <v>19193</v>
      </c>
      <c r="B3786" t="s" s="10">
        <v>19194</v>
      </c>
      <c r="C3786" t="s" s="10">
        <v>37</v>
      </c>
      <c r="D3786" t="s" s="10">
        <v>38</v>
      </c>
      <c r="E3786" t="s" s="10">
        <v>193</v>
      </c>
      <c r="F3786" s="27">
        <v>45931</v>
      </c>
      <c r="G3786" t="s" s="10">
        <v>40</v>
      </c>
      <c r="H3786" s="42">
        <v>12</v>
      </c>
      <c r="I3786" s="42">
        <v>1.81</v>
      </c>
      <c r="J3786" t="s" s="10">
        <v>19195</v>
      </c>
      <c r="K3786" t="s" s="10">
        <v>19196</v>
      </c>
      <c r="L3786" s="16">
        <f>HYPERLINK("http://www.paysika.co", "www.paysika.co")</f>
      </c>
      <c r="M3786" s="16">
        <f>HYPERLINK("https://my.pitchbook.com?c=465884-38", "View Company Online")</f>
      </c>
    </row>
    <row r="3787">
      <c r="A3787" t="s" s="11">
        <v>19198</v>
      </c>
      <c r="B3787" t="s" s="11">
        <v>19199</v>
      </c>
      <c r="C3787" t="s" s="11">
        <v>27</v>
      </c>
      <c r="D3787" t="s" s="11">
        <v>28</v>
      </c>
      <c r="E3787" t="s" s="11">
        <v>759</v>
      </c>
      <c r="F3787" s="28">
        <v>46170</v>
      </c>
      <c r="G3787" t="s" s="11">
        <v>2051</v>
      </c>
      <c r="H3787" t="s" s="43">
        <v>30</v>
      </c>
      <c r="I3787" s="43">
        <v>1.81</v>
      </c>
      <c r="J3787" t="s" s="11">
        <v>19200</v>
      </c>
      <c r="K3787" t="s" s="11">
        <v>30</v>
      </c>
      <c r="L3787" s="17">
        <f>HYPERLINK("http://www.switchpayments.com", "www.switchpayments.com")</f>
      </c>
      <c r="M3787" s="17">
        <f>HYPERLINK("https://my.pitchbook.com?c=187983-91", "View Company Online")</f>
      </c>
    </row>
    <row r="3788">
      <c r="A3788" t="s" s="10">
        <v>19202</v>
      </c>
      <c r="B3788" t="s" s="10">
        <v>19203</v>
      </c>
      <c r="C3788" t="s" s="10">
        <v>60</v>
      </c>
      <c r="D3788" t="s" s="10">
        <v>246</v>
      </c>
      <c r="E3788" t="s" s="10">
        <v>253</v>
      </c>
      <c r="F3788" s="27">
        <v>45006</v>
      </c>
      <c r="G3788" t="s" s="10">
        <v>4267</v>
      </c>
      <c r="H3788" t="s" s="42">
        <v>30</v>
      </c>
      <c r="I3788" s="42">
        <v>1.8</v>
      </c>
      <c r="J3788" t="s" s="10">
        <v>19204</v>
      </c>
      <c r="K3788" t="s" s="10">
        <v>19205</v>
      </c>
      <c r="L3788" s="16">
        <f>HYPERLINK("http://www.indiaclan.com", "www.indiaclan.com")</f>
      </c>
      <c r="M3788" s="16">
        <f>HYPERLINK("https://my.pitchbook.com?c=497389-78", "View Company Online")</f>
      </c>
    </row>
    <row r="3789">
      <c r="A3789" t="s" s="11">
        <v>19207</v>
      </c>
      <c r="B3789" t="s" s="11">
        <v>19208</v>
      </c>
      <c r="C3789" t="s" s="11">
        <v>114</v>
      </c>
      <c r="D3789" t="s" s="11">
        <v>115</v>
      </c>
      <c r="E3789" t="s" s="11">
        <v>7007</v>
      </c>
      <c r="F3789" s="28">
        <v>44455</v>
      </c>
      <c r="G3789" t="s" s="11">
        <v>146</v>
      </c>
      <c r="H3789" s="43">
        <v>117.91</v>
      </c>
      <c r="I3789" s="43">
        <v>1.8</v>
      </c>
      <c r="J3789" t="s" s="11">
        <v>19209</v>
      </c>
      <c r="K3789" t="s" s="11">
        <v>19210</v>
      </c>
      <c r="L3789" s="17">
        <f>HYPERLINK("http://www.propertybridges.com", "www.propertybridges.com")</f>
      </c>
      <c r="M3789" s="17">
        <f>HYPERLINK("https://my.pitchbook.com?c=277233-22", "View Company Online")</f>
      </c>
    </row>
    <row r="3790">
      <c r="A3790" t="s" s="10">
        <v>19212</v>
      </c>
      <c r="B3790" t="s" s="10">
        <v>19213</v>
      </c>
      <c r="C3790" t="s" s="10">
        <v>60</v>
      </c>
      <c r="D3790" t="s" s="10">
        <v>727</v>
      </c>
      <c r="E3790" t="s" s="10">
        <v>270</v>
      </c>
      <c r="F3790" s="27">
        <v>44761</v>
      </c>
      <c r="G3790" t="s" s="10">
        <v>146</v>
      </c>
      <c r="H3790" s="42">
        <v>4.8</v>
      </c>
      <c r="I3790" s="42">
        <v>1.79</v>
      </c>
      <c r="J3790" t="s" s="10">
        <v>19214</v>
      </c>
      <c r="K3790" t="s" s="10">
        <v>19215</v>
      </c>
      <c r="L3790" s="16">
        <f>HYPERLINK("http://www.anfin.vn", "www.anfin.vn")</f>
      </c>
      <c r="M3790" s="16">
        <f>HYPERLINK("https://my.pitchbook.com?c=483089-32", "View Company Online")</f>
      </c>
    </row>
    <row r="3791">
      <c r="A3791" t="s" s="11">
        <v>19217</v>
      </c>
      <c r="B3791" t="s" s="11">
        <v>19218</v>
      </c>
      <c r="C3791" t="s" s="11">
        <v>128</v>
      </c>
      <c r="D3791" t="s" s="11">
        <v>199</v>
      </c>
      <c r="E3791" t="s" s="11">
        <v>193</v>
      </c>
      <c r="F3791" s="28">
        <v>46084</v>
      </c>
      <c r="G3791" t="s" s="11">
        <v>40</v>
      </c>
      <c r="H3791" s="43">
        <v>70</v>
      </c>
      <c r="I3791" s="43">
        <v>1.79</v>
      </c>
      <c r="J3791" t="s" s="11">
        <v>19219</v>
      </c>
      <c r="K3791" t="s" s="11">
        <v>19220</v>
      </c>
      <c r="L3791" s="17">
        <f>HYPERLINK("http://www.arqfinance.com", "www.arqfinance.com")</f>
      </c>
      <c r="M3791" s="17">
        <f>HYPERLINK("https://my.pitchbook.com?c=471504-07", "View Company Online")</f>
      </c>
    </row>
    <row r="3792">
      <c r="A3792" t="s" s="10">
        <v>19222</v>
      </c>
      <c r="B3792" t="s" s="10">
        <v>19223</v>
      </c>
      <c r="C3792" t="s" s="10">
        <v>27</v>
      </c>
      <c r="D3792" t="s" s="10">
        <v>28</v>
      </c>
      <c r="E3792" t="s" s="10">
        <v>19224</v>
      </c>
      <c r="F3792" s="27">
        <v>44440</v>
      </c>
      <c r="G3792" t="s" s="10">
        <v>607</v>
      </c>
      <c r="H3792" t="s" s="42">
        <v>30</v>
      </c>
      <c r="I3792" s="42">
        <v>1.79</v>
      </c>
      <c r="J3792" t="s" s="10">
        <v>19225</v>
      </c>
      <c r="K3792" t="s" s="10">
        <v>19226</v>
      </c>
      <c r="L3792" s="16">
        <f>HYPERLINK("http://www.avocadopos.com", "www.avocadopos.com")</f>
      </c>
      <c r="M3792" s="16">
        <f>HYPERLINK("https://my.pitchbook.com?c=463303-18", "View Company Online")</f>
      </c>
    </row>
    <row r="3793">
      <c r="A3793" t="s" s="11">
        <v>19228</v>
      </c>
      <c r="B3793" t="s" s="11">
        <v>19229</v>
      </c>
      <c r="C3793" t="s" s="11">
        <v>60</v>
      </c>
      <c r="D3793" t="s" s="11">
        <v>61</v>
      </c>
      <c r="E3793" t="s" s="11">
        <v>270</v>
      </c>
      <c r="F3793" t="s" s="28">
        <v>30</v>
      </c>
      <c r="G3793" t="s" s="11">
        <v>48</v>
      </c>
      <c r="H3793" t="s" s="43">
        <v>30</v>
      </c>
      <c r="I3793" s="43">
        <v>1.79</v>
      </c>
      <c r="J3793" t="s" s="11">
        <v>19230</v>
      </c>
      <c r="K3793" t="s" s="11">
        <v>19231</v>
      </c>
      <c r="L3793" s="17">
        <f>HYPERLINK("http://www.getbaraka.com", "www.getbaraka.com")</f>
      </c>
      <c r="M3793" s="17">
        <f>HYPERLINK("https://my.pitchbook.com?c=454378-15", "View Company Online")</f>
      </c>
    </row>
    <row r="3794">
      <c r="A3794" t="s" s="10">
        <v>19233</v>
      </c>
      <c r="B3794" t="s" s="10">
        <v>19234</v>
      </c>
      <c r="C3794" t="s" s="10">
        <v>60</v>
      </c>
      <c r="D3794" t="s" s="10">
        <v>246</v>
      </c>
      <c r="E3794" t="s" s="10">
        <v>3433</v>
      </c>
      <c r="F3794" s="27">
        <v>44044</v>
      </c>
      <c r="G3794" t="s" s="10">
        <v>146</v>
      </c>
      <c r="H3794" t="s" s="42">
        <v>30</v>
      </c>
      <c r="I3794" s="42">
        <v>1.79</v>
      </c>
      <c r="J3794" t="s" s="10">
        <v>19235</v>
      </c>
      <c r="K3794" t="s" s="10">
        <v>19236</v>
      </c>
      <c r="L3794" s="16">
        <f>HYPERLINK("http://www.breezeful.com", "www.breezeful.com")</f>
      </c>
      <c r="M3794" s="16">
        <f>HYPERLINK("https://my.pitchbook.com?c=433403-20", "View Company Online")</f>
      </c>
    </row>
    <row r="3795">
      <c r="A3795" t="s" s="11">
        <v>19238</v>
      </c>
      <c r="B3795" t="s" s="11">
        <v>19239</v>
      </c>
      <c r="C3795" t="s" s="11">
        <v>27</v>
      </c>
      <c r="D3795" t="s" s="11">
        <v>28</v>
      </c>
      <c r="E3795" t="s" s="11">
        <v>193</v>
      </c>
      <c r="F3795" s="28">
        <v>44306</v>
      </c>
      <c r="G3795" t="s" s="11">
        <v>146</v>
      </c>
      <c r="H3795" t="s" s="43">
        <v>30</v>
      </c>
      <c r="I3795" s="43">
        <v>1.79</v>
      </c>
      <c r="J3795" t="s" s="11">
        <v>19240</v>
      </c>
      <c r="K3795" t="s" s="11">
        <v>19241</v>
      </c>
      <c r="L3795" s="17">
        <f>HYPERLINK("http://www.broad.app", "www.broad.app")</f>
      </c>
      <c r="M3795" s="17">
        <f>HYPERLINK("https://my.pitchbook.com?c=463252-69", "View Company Online")</f>
      </c>
    </row>
    <row r="3796">
      <c r="A3796" t="s" s="10">
        <v>19243</v>
      </c>
      <c r="B3796" t="s" s="10">
        <v>19244</v>
      </c>
      <c r="C3796" t="s" s="10">
        <v>46</v>
      </c>
      <c r="D3796" t="s" s="10">
        <v>47</v>
      </c>
      <c r="E3796" t="s" s="10">
        <v>253</v>
      </c>
      <c r="F3796" s="27">
        <v>44597</v>
      </c>
      <c r="G3796" t="s" s="10">
        <v>40</v>
      </c>
      <c r="H3796" t="s" s="42">
        <v>30</v>
      </c>
      <c r="I3796" s="42">
        <v>1.79</v>
      </c>
      <c r="J3796" t="s" s="10">
        <v>19245</v>
      </c>
      <c r="K3796" t="s" s="10">
        <v>19246</v>
      </c>
      <c r="L3796" s="16">
        <f>HYPERLINK("http://www.chipax.com", "www.chipax.com")</f>
      </c>
      <c r="M3796" s="16">
        <f>HYPERLINK("https://my.pitchbook.com?c=399616-12", "View Company Online")</f>
      </c>
    </row>
    <row r="3797">
      <c r="A3797" t="s" s="11">
        <v>19248</v>
      </c>
      <c r="B3797" t="s" s="11">
        <v>19249</v>
      </c>
      <c r="C3797" t="s" s="11">
        <v>144</v>
      </c>
      <c r="D3797" t="s" s="11">
        <v>297</v>
      </c>
      <c r="E3797" t="s" s="11">
        <v>137</v>
      </c>
      <c r="F3797" s="28">
        <v>46023</v>
      </c>
      <c r="G3797" t="s" s="11">
        <v>4267</v>
      </c>
      <c r="H3797" t="s" s="43">
        <v>30</v>
      </c>
      <c r="I3797" s="43">
        <v>1.79</v>
      </c>
      <c r="J3797" t="s" s="11">
        <v>19250</v>
      </c>
      <c r="K3797" t="s" s="11">
        <v>19251</v>
      </c>
      <c r="L3797" s="17">
        <f>HYPERLINK("http://www.erad.co", "www.erad.co")</f>
      </c>
      <c r="M3797" s="17">
        <f>HYPERLINK("https://my.pitchbook.com?c=501573-88", "View Company Online")</f>
      </c>
    </row>
    <row r="3798">
      <c r="A3798" t="s" s="10">
        <v>19253</v>
      </c>
      <c r="B3798" t="s" s="10">
        <v>19254</v>
      </c>
      <c r="C3798" t="s" s="10">
        <v>164</v>
      </c>
      <c r="D3798" t="s" s="10">
        <v>206</v>
      </c>
      <c r="E3798" t="s" s="10">
        <v>253</v>
      </c>
      <c r="F3798" s="27">
        <v>45407</v>
      </c>
      <c r="G3798" t="s" s="10">
        <v>146</v>
      </c>
      <c r="H3798" s="42">
        <v>7</v>
      </c>
      <c r="I3798" s="42">
        <v>1.79</v>
      </c>
      <c r="J3798" t="s" s="10">
        <v>19255</v>
      </c>
      <c r="K3798" t="s" s="10">
        <v>19256</v>
      </c>
      <c r="L3798" s="16">
        <f>HYPERLINK("http://www.fintoc.com", "www.fintoc.com")</f>
      </c>
      <c r="M3798" s="16">
        <f>HYPERLINK("https://my.pitchbook.com?c=458997-94", "View Company Online")</f>
      </c>
    </row>
    <row r="3799">
      <c r="A3799" t="s" s="11">
        <v>19258</v>
      </c>
      <c r="B3799" t="s" s="11">
        <v>19259</v>
      </c>
      <c r="C3799" t="s" s="11">
        <v>60</v>
      </c>
      <c r="D3799" t="s" s="11">
        <v>192</v>
      </c>
      <c r="E3799" t="s" s="11">
        <v>253</v>
      </c>
      <c r="F3799" s="28">
        <v>45874</v>
      </c>
      <c r="G3799" t="s" s="11">
        <v>607</v>
      </c>
      <c r="H3799" t="s" s="43">
        <v>30</v>
      </c>
      <c r="I3799" s="43">
        <v>1.79</v>
      </c>
      <c r="J3799" t="s" s="11">
        <v>19260</v>
      </c>
      <c r="K3799" t="s" s="11">
        <v>19261</v>
      </c>
      <c r="L3799" s="17">
        <f>HYPERLINK("http://front.page", "front.page")</f>
      </c>
      <c r="M3799" s="17">
        <f>HYPERLINK("https://my.pitchbook.com?c=481361-68", "View Company Online")</f>
      </c>
    </row>
    <row r="3800">
      <c r="A3800" t="s" s="10">
        <v>19263</v>
      </c>
      <c r="B3800" t="s" s="10">
        <v>19264</v>
      </c>
      <c r="C3800" t="s" s="10">
        <v>37</v>
      </c>
      <c r="D3800" t="s" s="10">
        <v>304</v>
      </c>
      <c r="E3800" t="s" s="10">
        <v>2741</v>
      </c>
      <c r="F3800" s="27">
        <v>45170</v>
      </c>
      <c r="G3800" t="s" s="10">
        <v>607</v>
      </c>
      <c r="H3800" t="s" s="42">
        <v>30</v>
      </c>
      <c r="I3800" s="42">
        <v>1.79</v>
      </c>
      <c r="J3800" t="s" s="10">
        <v>19265</v>
      </c>
      <c r="K3800" t="s" s="10">
        <v>19266</v>
      </c>
      <c r="L3800" s="16">
        <f>HYPERLINK("http://www.joingerald.com", "www.joingerald.com")</f>
      </c>
      <c r="M3800" s="16">
        <f>HYPERLINK("https://my.pitchbook.com?c=265375-45", "View Company Online")</f>
      </c>
    </row>
    <row r="3801">
      <c r="A3801" t="s" s="11">
        <v>19268</v>
      </c>
      <c r="B3801" t="s" s="11">
        <v>19269</v>
      </c>
      <c r="C3801" t="s" s="11">
        <v>46</v>
      </c>
      <c r="D3801" t="s" s="11">
        <v>397</v>
      </c>
      <c r="E3801" t="s" s="11">
        <v>193</v>
      </c>
      <c r="F3801" s="28">
        <v>44581</v>
      </c>
      <c r="G3801" t="s" s="11">
        <v>607</v>
      </c>
      <c r="H3801" t="s" s="43">
        <v>30</v>
      </c>
      <c r="I3801" s="43">
        <v>1.79</v>
      </c>
      <c r="J3801" t="s" s="11">
        <v>19270</v>
      </c>
      <c r="K3801" t="s" s="11">
        <v>19271</v>
      </c>
      <c r="L3801" s="17">
        <f>HYPERLINK("http://www.gimbooks.com", "www.gimbooks.com")</f>
      </c>
      <c r="M3801" s="17">
        <f>HYPERLINK("https://my.pitchbook.com?c=463034-35", "View Company Online")</f>
      </c>
    </row>
    <row r="3802">
      <c r="A3802" t="s" s="10">
        <v>19273</v>
      </c>
      <c r="B3802" t="s" s="10">
        <v>19274</v>
      </c>
      <c r="C3802" t="s" s="10">
        <v>60</v>
      </c>
      <c r="D3802" t="s" s="10">
        <v>61</v>
      </c>
      <c r="E3802" t="s" s="10">
        <v>193</v>
      </c>
      <c r="F3802" s="27">
        <v>44656</v>
      </c>
      <c r="G3802" t="s" s="10">
        <v>146</v>
      </c>
      <c r="H3802" s="42">
        <v>15.5</v>
      </c>
      <c r="I3802" s="42">
        <v>1.79</v>
      </c>
      <c r="J3802" t="s" s="10">
        <v>19275</v>
      </c>
      <c r="K3802" t="s" s="10">
        <v>19276</v>
      </c>
      <c r="L3802" s="16">
        <f>HYPERLINK("http://www.heygotrade.com", "www.heygotrade.com")</f>
      </c>
      <c r="M3802" s="16">
        <f>HYPERLINK("https://my.pitchbook.com?c=279563-05", "View Company Online")</f>
      </c>
    </row>
    <row r="3803">
      <c r="A3803" t="s" s="11">
        <v>19278</v>
      </c>
      <c r="B3803" t="s" s="11">
        <v>19279</v>
      </c>
      <c r="C3803" t="s" s="11">
        <v>60</v>
      </c>
      <c r="D3803" t="s" s="11">
        <v>61</v>
      </c>
      <c r="E3803" t="s" s="11">
        <v>12122</v>
      </c>
      <c r="F3803" s="28">
        <v>45870</v>
      </c>
      <c r="G3803" t="s" s="11">
        <v>607</v>
      </c>
      <c r="H3803" t="s" s="43">
        <v>30</v>
      </c>
      <c r="I3803" s="43">
        <v>1.79</v>
      </c>
      <c r="J3803" t="s" s="11">
        <v>19280</v>
      </c>
      <c r="K3803" t="s" s="11">
        <v>19281</v>
      </c>
      <c r="L3803" s="17">
        <f>HYPERLINK("http://hapi.trade", "hapi.trade")</f>
      </c>
      <c r="M3803" s="17">
        <f>HYPERLINK("https://my.pitchbook.com?c=459360-28", "View Company Online")</f>
      </c>
    </row>
    <row r="3804">
      <c r="A3804" t="s" s="10">
        <v>19283</v>
      </c>
      <c r="B3804" t="s" s="10">
        <v>19284</v>
      </c>
      <c r="C3804" t="s" s="10">
        <v>60</v>
      </c>
      <c r="D3804" t="s" s="10">
        <v>192</v>
      </c>
      <c r="E3804" t="s" s="10">
        <v>634</v>
      </c>
      <c r="F3804" s="27">
        <v>44440</v>
      </c>
      <c r="G3804" t="s" s="10">
        <v>146</v>
      </c>
      <c r="H3804" s="42">
        <v>1</v>
      </c>
      <c r="I3804" s="42">
        <v>1.79</v>
      </c>
      <c r="J3804" t="s" s="10">
        <v>19285</v>
      </c>
      <c r="K3804" t="s" s="10">
        <v>19286</v>
      </c>
      <c r="L3804" s="16">
        <f>HYPERLINK("http://www.hudson-labs.com", "www.hudson-labs.com")</f>
      </c>
      <c r="M3804" s="16">
        <f>HYPERLINK("https://my.pitchbook.com?c=470073-07", "View Company Online")</f>
      </c>
    </row>
    <row r="3805">
      <c r="A3805" t="s" s="11">
        <v>19288</v>
      </c>
      <c r="B3805" t="s" s="11">
        <v>19289</v>
      </c>
      <c r="C3805" t="s" s="11">
        <v>114</v>
      </c>
      <c r="D3805" t="s" s="11">
        <v>1386</v>
      </c>
      <c r="E3805" t="s" s="11">
        <v>373</v>
      </c>
      <c r="F3805" s="28">
        <v>46076</v>
      </c>
      <c r="G3805" t="s" s="11">
        <v>40</v>
      </c>
      <c r="H3805" s="43">
        <v>13.5</v>
      </c>
      <c r="I3805" s="43">
        <v>1.79</v>
      </c>
      <c r="J3805" t="s" s="11">
        <v>19290</v>
      </c>
      <c r="K3805" t="s" s="11">
        <v>19291</v>
      </c>
      <c r="L3805" s="17">
        <f>HYPERLINK("http://www.hypercore.ai", "www.hypercore.ai")</f>
      </c>
      <c r="M3805" s="17">
        <f>HYPERLINK("https://my.pitchbook.com?c=481235-86", "View Company Online")</f>
      </c>
    </row>
    <row r="3806">
      <c r="A3806" t="s" s="10">
        <v>19293</v>
      </c>
      <c r="B3806" t="s" s="10">
        <v>19294</v>
      </c>
      <c r="C3806" t="s" s="10">
        <v>128</v>
      </c>
      <c r="D3806" t="s" s="10">
        <v>276</v>
      </c>
      <c r="E3806" t="s" s="10">
        <v>5072</v>
      </c>
      <c r="F3806" t="s" s="27">
        <v>30</v>
      </c>
      <c r="G3806" t="s" s="10">
        <v>48</v>
      </c>
      <c r="H3806" t="s" s="42">
        <v>30</v>
      </c>
      <c r="I3806" s="42">
        <v>1.79</v>
      </c>
      <c r="J3806" t="s" s="10">
        <v>19295</v>
      </c>
      <c r="K3806" t="s" s="10">
        <v>19296</v>
      </c>
      <c r="L3806" s="16">
        <f>HYPERLINK("http://www.instakin.com", "www.instakin.com")</f>
      </c>
      <c r="M3806" s="16">
        <f>HYPERLINK("https://my.pitchbook.com?c=434848-96", "View Company Online")</f>
      </c>
    </row>
    <row r="3807">
      <c r="A3807" t="s" s="11">
        <v>19298</v>
      </c>
      <c r="B3807" t="s" s="11">
        <v>19299</v>
      </c>
      <c r="C3807" t="s" s="11">
        <v>27</v>
      </c>
      <c r="D3807" t="s" s="11">
        <v>28</v>
      </c>
      <c r="E3807" t="s" s="11">
        <v>270</v>
      </c>
      <c r="F3807" s="28">
        <v>44264</v>
      </c>
      <c r="G3807" t="s" s="11">
        <v>4267</v>
      </c>
      <c r="H3807" s="43">
        <v>8.75</v>
      </c>
      <c r="I3807" s="43">
        <v>1.79</v>
      </c>
      <c r="J3807" t="s" s="11">
        <v>19300</v>
      </c>
      <c r="K3807" t="s" s="11">
        <v>19301</v>
      </c>
      <c r="L3807" s="17">
        <f>HYPERLINK("http://www.kodo.com", "www.kodo.com")</f>
      </c>
      <c r="M3807" s="17">
        <f>HYPERLINK("https://my.pitchbook.com?c=463133-17", "View Company Online")</f>
      </c>
    </row>
    <row r="3808">
      <c r="A3808" t="s" s="10">
        <v>19303</v>
      </c>
      <c r="B3808" t="s" s="10">
        <v>19304</v>
      </c>
      <c r="C3808" t="s" s="10">
        <v>60</v>
      </c>
      <c r="D3808" t="s" s="10">
        <v>246</v>
      </c>
      <c r="E3808" t="s" s="10">
        <v>373</v>
      </c>
      <c r="F3808" s="27">
        <v>44669</v>
      </c>
      <c r="G3808" t="s" s="10">
        <v>4267</v>
      </c>
      <c r="H3808" s="42">
        <v>2.1</v>
      </c>
      <c r="I3808" s="42">
        <v>1.79</v>
      </c>
      <c r="J3808" t="s" s="10">
        <v>19305</v>
      </c>
      <c r="K3808" t="s" s="10">
        <v>19306</v>
      </c>
      <c r="L3808" s="16">
        <f>HYPERLINK("http://koshex.com", "koshex.com")</f>
      </c>
      <c r="M3808" s="16">
        <f>HYPERLINK("https://my.pitchbook.com?c=481353-94", "View Company Online")</f>
      </c>
    </row>
    <row r="3809">
      <c r="A3809" t="s" s="11">
        <v>19308</v>
      </c>
      <c r="B3809" t="s" s="11">
        <v>19309</v>
      </c>
      <c r="C3809" t="s" s="11">
        <v>114</v>
      </c>
      <c r="D3809" t="s" s="11">
        <v>115</v>
      </c>
      <c r="E3809" t="s" s="11">
        <v>2581</v>
      </c>
      <c r="F3809" s="28">
        <v>44935</v>
      </c>
      <c r="G3809" t="s" s="11">
        <v>146</v>
      </c>
      <c r="H3809" s="43">
        <v>4.64</v>
      </c>
      <c r="I3809" s="43">
        <v>1.79</v>
      </c>
      <c r="J3809" t="s" s="11">
        <v>19310</v>
      </c>
      <c r="K3809" t="s" s="11">
        <v>19311</v>
      </c>
      <c r="L3809" s="17">
        <f>HYPERLINK("http://www.kredi.mx", "www.kredi.mx")</f>
      </c>
      <c r="M3809" s="17">
        <f>HYPERLINK("https://my.pitchbook.com?c=459006-40", "View Company Online")</f>
      </c>
    </row>
    <row r="3810">
      <c r="A3810" t="s" s="10">
        <v>19313</v>
      </c>
      <c r="B3810" t="s" s="10">
        <v>19314</v>
      </c>
      <c r="C3810" t="s" s="10">
        <v>27</v>
      </c>
      <c r="D3810" t="s" s="10">
        <v>122</v>
      </c>
      <c r="E3810" t="s" s="10">
        <v>414</v>
      </c>
      <c r="F3810" s="27">
        <v>44453</v>
      </c>
      <c r="G3810" t="s" s="10">
        <v>4267</v>
      </c>
      <c r="H3810" s="42">
        <v>0.03</v>
      </c>
      <c r="I3810" s="42">
        <v>1.79</v>
      </c>
      <c r="J3810" t="s" s="10">
        <v>19315</v>
      </c>
      <c r="K3810" t="s" s="10">
        <v>19316</v>
      </c>
      <c r="L3810" s="16">
        <f>HYPERLINK("http://www.levro.com", "www.levro.com")</f>
      </c>
      <c r="M3810" s="16">
        <f>HYPERLINK("https://my.pitchbook.com?c=483347-53", "View Company Online")</f>
      </c>
    </row>
    <row r="3811">
      <c r="A3811" t="s" s="11">
        <v>19318</v>
      </c>
      <c r="B3811" t="s" s="11">
        <v>19319</v>
      </c>
      <c r="C3811" t="s" s="11">
        <v>222</v>
      </c>
      <c r="D3811" t="s" s="11">
        <v>223</v>
      </c>
      <c r="E3811" t="s" s="11">
        <v>2210</v>
      </c>
      <c r="F3811" s="28">
        <v>44805</v>
      </c>
      <c r="G3811" t="s" s="11">
        <v>146</v>
      </c>
      <c r="H3811" t="s" s="43">
        <v>30</v>
      </c>
      <c r="I3811" s="43">
        <v>1.79</v>
      </c>
      <c r="J3811" t="s" s="11">
        <v>19320</v>
      </c>
      <c r="K3811" t="s" s="11">
        <v>19321</v>
      </c>
      <c r="L3811" s="17">
        <f>HYPERLINK("http://www.marketfeed.com", "www.marketfeed.com")</f>
      </c>
      <c r="M3811" s="17">
        <f>HYPERLINK("https://my.pitchbook.com?c=482533-93", "View Company Online")</f>
      </c>
    </row>
    <row r="3812">
      <c r="A3812" t="s" s="10">
        <v>19323</v>
      </c>
      <c r="B3812" t="s" s="10">
        <v>19324</v>
      </c>
      <c r="C3812" t="s" s="10">
        <v>144</v>
      </c>
      <c r="D3812" t="s" s="10">
        <v>297</v>
      </c>
      <c r="E3812" t="s" s="10">
        <v>116</v>
      </c>
      <c r="F3812" s="27">
        <v>45743</v>
      </c>
      <c r="G3812" t="s" s="10">
        <v>40</v>
      </c>
      <c r="H3812" s="42">
        <v>35</v>
      </c>
      <c r="I3812" s="42">
        <v>1.79</v>
      </c>
      <c r="J3812" t="s" s="10">
        <v>19325</v>
      </c>
      <c r="K3812" t="s" s="10">
        <v>19326</v>
      </c>
      <c r="L3812" s="16">
        <f>HYPERLINK("http://www.mendel.com", "www.mendel.com")</f>
      </c>
      <c r="M3812" s="16">
        <f>HYPERLINK("https://my.pitchbook.com?c=463323-61", "View Company Online")</f>
      </c>
    </row>
    <row r="3813">
      <c r="A3813" t="s" s="11">
        <v>19328</v>
      </c>
      <c r="B3813" t="s" s="11">
        <v>19329</v>
      </c>
      <c r="C3813" t="s" s="11">
        <v>37</v>
      </c>
      <c r="D3813" t="s" s="11">
        <v>304</v>
      </c>
      <c r="E3813" t="s" s="11">
        <v>13084</v>
      </c>
      <c r="F3813" s="28">
        <v>44532</v>
      </c>
      <c r="G3813" t="s" s="11">
        <v>4267</v>
      </c>
      <c r="H3813" s="43">
        <v>1</v>
      </c>
      <c r="I3813" s="43">
        <v>1.79</v>
      </c>
      <c r="J3813" t="s" s="11">
        <v>19330</v>
      </c>
      <c r="K3813" t="s" s="11">
        <v>19331</v>
      </c>
      <c r="L3813" s="17">
        <f>HYPERLINK("http://www.monto.mx", "www.monto.mx")</f>
      </c>
      <c r="M3813" s="17">
        <f>HYPERLINK("https://my.pitchbook.com?c=489072-43", "View Company Online")</f>
      </c>
    </row>
    <row r="3814">
      <c r="A3814" t="s" s="10">
        <v>19333</v>
      </c>
      <c r="B3814" t="s" s="10">
        <v>19334</v>
      </c>
      <c r="C3814" t="s" s="10">
        <v>27</v>
      </c>
      <c r="D3814" t="s" s="10">
        <v>28</v>
      </c>
      <c r="E3814" t="s" s="10">
        <v>253</v>
      </c>
      <c r="F3814" t="s" s="27">
        <v>30</v>
      </c>
      <c r="G3814" t="s" s="10">
        <v>48</v>
      </c>
      <c r="H3814" t="s" s="42">
        <v>30</v>
      </c>
      <c r="I3814" s="42">
        <v>1.79</v>
      </c>
      <c r="J3814" t="s" s="10">
        <v>19335</v>
      </c>
      <c r="K3814" t="s" s="10">
        <v>19336</v>
      </c>
      <c r="L3814" s="16">
        <f>HYPERLINK("http://www.nextpay.ph", "www.nextpay.ph")</f>
      </c>
      <c r="M3814" s="16">
        <f>HYPERLINK("https://my.pitchbook.com?c=463127-14", "View Company Online")</f>
      </c>
    </row>
    <row r="3815">
      <c r="A3815" t="s" s="11">
        <v>19338</v>
      </c>
      <c r="B3815" t="s" s="11">
        <v>19339</v>
      </c>
      <c r="C3815" t="s" s="11">
        <v>46</v>
      </c>
      <c r="D3815" t="s" s="11">
        <v>78</v>
      </c>
      <c r="E3815" t="s" s="11">
        <v>253</v>
      </c>
      <c r="F3815" s="28">
        <v>46044</v>
      </c>
      <c r="G3815" t="s" s="11">
        <v>40</v>
      </c>
      <c r="H3815" s="43">
        <v>20</v>
      </c>
      <c r="I3815" s="43">
        <v>1.79</v>
      </c>
      <c r="J3815" t="s" s="11">
        <v>19340</v>
      </c>
      <c r="K3815" t="s" s="11">
        <v>19341</v>
      </c>
      <c r="L3815" s="17">
        <f>HYPERLINK("http://www.nowpay.com", "www.nowpay.com")</f>
      </c>
      <c r="M3815" s="17">
        <f>HYPERLINK("https://my.pitchbook.com?c=268287-31", "View Company Online")</f>
      </c>
    </row>
    <row r="3816">
      <c r="A3816" t="s" s="10">
        <v>19343</v>
      </c>
      <c r="B3816" t="s" s="10">
        <v>19344</v>
      </c>
      <c r="C3816" t="s" s="10">
        <v>128</v>
      </c>
      <c r="D3816" t="s" s="10">
        <v>129</v>
      </c>
      <c r="E3816" t="s" s="10">
        <v>19345</v>
      </c>
      <c r="F3816" s="27">
        <v>45569</v>
      </c>
      <c r="G3816" t="s" s="10">
        <v>146</v>
      </c>
      <c r="H3816" s="42">
        <v>1.88</v>
      </c>
      <c r="I3816" s="42">
        <v>1.79</v>
      </c>
      <c r="J3816" t="s" s="10">
        <v>19346</v>
      </c>
      <c r="K3816" t="s" s="10">
        <v>19347</v>
      </c>
      <c r="L3816" s="16">
        <f>HYPERLINK("http://www.tryperdiem.com", "www.tryperdiem.com")</f>
      </c>
      <c r="M3816" s="16">
        <f>HYPERLINK("https://my.pitchbook.com?c=459551-98", "View Company Online")</f>
      </c>
    </row>
    <row r="3817">
      <c r="A3817" t="s" s="11">
        <v>19349</v>
      </c>
      <c r="B3817" t="s" s="11">
        <v>19350</v>
      </c>
      <c r="C3817" t="s" s="11">
        <v>27</v>
      </c>
      <c r="D3817" t="s" s="11">
        <v>28</v>
      </c>
      <c r="E3817" t="s" s="11">
        <v>3320</v>
      </c>
      <c r="F3817" s="28">
        <v>44530</v>
      </c>
      <c r="G3817" t="s" s="11">
        <v>4267</v>
      </c>
      <c r="H3817" s="43">
        <v>0.12</v>
      </c>
      <c r="I3817" s="43">
        <v>1.79</v>
      </c>
      <c r="J3817" t="s" s="11">
        <v>19351</v>
      </c>
      <c r="K3817" t="s" s="11">
        <v>19352</v>
      </c>
      <c r="L3817" s="17">
        <f>HYPERLINK("http://www.pideaky.com", "www.pideaky.com")</f>
      </c>
      <c r="M3817" s="17">
        <f>HYPERLINK("https://my.pitchbook.com?c=489072-34", "View Company Online")</f>
      </c>
    </row>
    <row r="3818">
      <c r="A3818" t="s" s="10">
        <v>19354</v>
      </c>
      <c r="B3818" t="s" s="10">
        <v>19355</v>
      </c>
      <c r="C3818" t="s" s="10">
        <v>27</v>
      </c>
      <c r="D3818" t="s" s="10">
        <v>70</v>
      </c>
      <c r="E3818" t="s" s="10">
        <v>137</v>
      </c>
      <c r="F3818" s="27">
        <v>44904</v>
      </c>
      <c r="G3818" t="s" s="10">
        <v>4267</v>
      </c>
      <c r="H3818" s="42">
        <v>3.58</v>
      </c>
      <c r="I3818" s="42">
        <v>1.79</v>
      </c>
      <c r="J3818" t="s" s="10">
        <v>19356</v>
      </c>
      <c r="K3818" t="s" s="10">
        <v>19357</v>
      </c>
      <c r="L3818" s="16">
        <f>HYPERLINK("http://www.portao3.com.br", "www.portao3.com.br")</f>
      </c>
      <c r="M3818" s="16">
        <f>HYPERLINK("https://my.pitchbook.com?c=489056-23", "View Company Online")</f>
      </c>
    </row>
    <row r="3819">
      <c r="A3819" t="s" s="11">
        <v>19359</v>
      </c>
      <c r="B3819" t="s" s="11">
        <v>19360</v>
      </c>
      <c r="C3819" t="s" s="11">
        <v>144</v>
      </c>
      <c r="D3819" t="s" s="11">
        <v>38</v>
      </c>
      <c r="E3819" t="s" s="11">
        <v>270</v>
      </c>
      <c r="F3819" s="28">
        <v>44447</v>
      </c>
      <c r="G3819" t="s" s="11">
        <v>4267</v>
      </c>
      <c r="H3819" s="43">
        <v>3.8</v>
      </c>
      <c r="I3819" s="43">
        <v>1.79</v>
      </c>
      <c r="J3819" t="s" s="11">
        <v>19361</v>
      </c>
      <c r="K3819" t="s" s="11">
        <v>19362</v>
      </c>
      <c r="L3819" s="17">
        <f>HYPERLINK("http://www.getprospa.com", "www.getprospa.com")</f>
      </c>
      <c r="M3819" s="17">
        <f>HYPERLINK("https://my.pitchbook.com?c=433624-87", "View Company Online")</f>
      </c>
    </row>
    <row r="3820">
      <c r="A3820" t="s" s="10">
        <v>19364</v>
      </c>
      <c r="B3820" t="s" s="10">
        <v>19365</v>
      </c>
      <c r="C3820" t="s" s="10">
        <v>222</v>
      </c>
      <c r="D3820" t="s" s="10">
        <v>235</v>
      </c>
      <c r="E3820" t="s" s="10">
        <v>137</v>
      </c>
      <c r="F3820" s="27">
        <v>44789</v>
      </c>
      <c r="G3820" t="s" s="10">
        <v>146</v>
      </c>
      <c r="H3820" s="42">
        <v>11</v>
      </c>
      <c r="I3820" s="42">
        <v>1.79</v>
      </c>
      <c r="J3820" t="s" s="10">
        <v>19366</v>
      </c>
      <c r="K3820" t="s" s="10">
        <v>19367</v>
      </c>
      <c r="L3820" s="16">
        <f>HYPERLINK("http://www.quotabook.com", "www.quotabook.com")</f>
      </c>
      <c r="M3820" s="16">
        <f>HYPERLINK("https://my.pitchbook.com?c=432506-89", "View Company Online")</f>
      </c>
    </row>
    <row r="3821">
      <c r="A3821" t="s" s="11">
        <v>19369</v>
      </c>
      <c r="B3821" t="s" s="11">
        <v>19370</v>
      </c>
      <c r="C3821" t="s" s="11">
        <v>46</v>
      </c>
      <c r="D3821" t="s" s="11">
        <v>78</v>
      </c>
      <c r="E3821" t="s" s="11">
        <v>19371</v>
      </c>
      <c r="F3821" t="s" s="28">
        <v>30</v>
      </c>
      <c r="G3821" t="s" s="11">
        <v>48</v>
      </c>
      <c r="H3821" t="s" s="43">
        <v>30</v>
      </c>
      <c r="I3821" s="43">
        <v>1.79</v>
      </c>
      <c r="J3821" t="s" s="11">
        <v>19372</v>
      </c>
      <c r="K3821" t="s" s="11">
        <v>19373</v>
      </c>
      <c r="L3821" s="17">
        <f>HYPERLINK("http://www.saladafrica.com", "www.saladafrica.com")</f>
      </c>
      <c r="M3821" s="17">
        <f>HYPERLINK("https://my.pitchbook.com?c=518996-35", "View Company Online")</f>
      </c>
    </row>
    <row r="3822">
      <c r="A3822" t="s" s="10">
        <v>19375</v>
      </c>
      <c r="B3822" t="s" s="10">
        <v>19376</v>
      </c>
      <c r="C3822" t="s" s="10">
        <v>46</v>
      </c>
      <c r="D3822" t="s" s="10">
        <v>47</v>
      </c>
      <c r="E3822" t="s" s="10">
        <v>19377</v>
      </c>
      <c r="F3822" s="27">
        <v>44593</v>
      </c>
      <c r="G3822" t="s" s="10">
        <v>146</v>
      </c>
      <c r="H3822" t="s" s="42">
        <v>30</v>
      </c>
      <c r="I3822" s="42">
        <v>1.79</v>
      </c>
      <c r="J3822" t="s" s="10">
        <v>19378</v>
      </c>
      <c r="K3822" t="s" s="10">
        <v>19379</v>
      </c>
      <c r="L3822" s="16">
        <f>HYPERLINK("http://sendreality.com", "sendreality.com")</f>
      </c>
      <c r="M3822" s="16">
        <f>HYPERLINK("https://my.pitchbook.com?c=231272-65", "View Company Online")</f>
      </c>
    </row>
    <row r="3823">
      <c r="A3823" t="s" s="11">
        <v>19381</v>
      </c>
      <c r="B3823" t="s" s="11">
        <v>19382</v>
      </c>
      <c r="C3823" t="s" s="11">
        <v>128</v>
      </c>
      <c r="D3823" t="s" s="11">
        <v>129</v>
      </c>
      <c r="E3823" t="s" s="11">
        <v>137</v>
      </c>
      <c r="F3823" s="28">
        <v>44593</v>
      </c>
      <c r="G3823" t="s" s="11">
        <v>146</v>
      </c>
      <c r="H3823" t="s" s="43">
        <v>30</v>
      </c>
      <c r="I3823" s="43">
        <v>1.79</v>
      </c>
      <c r="J3823" t="s" s="11">
        <v>19383</v>
      </c>
      <c r="K3823" t="s" s="11">
        <v>19384</v>
      </c>
      <c r="L3823" s="17">
        <f>HYPERLINK("http://www.sequincard.com", "www.sequincard.com")</f>
      </c>
      <c r="M3823" s="17">
        <f>HYPERLINK("https://my.pitchbook.com?c=481433-68", "View Company Online")</f>
      </c>
    </row>
    <row r="3824">
      <c r="A3824" t="s" s="10">
        <v>19386</v>
      </c>
      <c r="B3824" t="s" s="10">
        <v>19387</v>
      </c>
      <c r="C3824" t="s" s="10">
        <v>60</v>
      </c>
      <c r="D3824" t="s" s="10">
        <v>192</v>
      </c>
      <c r="E3824" t="s" s="10">
        <v>137</v>
      </c>
      <c r="F3824" s="27">
        <v>45292</v>
      </c>
      <c r="G3824" t="s" s="10">
        <v>607</v>
      </c>
      <c r="H3824" t="s" s="42">
        <v>30</v>
      </c>
      <c r="I3824" s="42">
        <v>1.79</v>
      </c>
      <c r="J3824" t="s" s="10">
        <v>19388</v>
      </c>
      <c r="K3824" t="s" s="10">
        <v>19389</v>
      </c>
      <c r="L3824" s="16">
        <f>HYPERLINK("http://www.stockunlock.com", "www.stockunlock.com")</f>
      </c>
      <c r="M3824" s="16">
        <f>HYPERLINK("https://my.pitchbook.com?c=493352-29", "View Company Online")</f>
      </c>
    </row>
    <row r="3825">
      <c r="A3825" t="s" s="11">
        <v>19391</v>
      </c>
      <c r="B3825" t="s" s="11">
        <v>19392</v>
      </c>
      <c r="C3825" t="s" s="11">
        <v>60</v>
      </c>
      <c r="D3825" t="s" s="11">
        <v>432</v>
      </c>
      <c r="E3825" t="s" s="11">
        <v>137</v>
      </c>
      <c r="F3825" s="28">
        <v>46113</v>
      </c>
      <c r="G3825" t="s" s="11">
        <v>146</v>
      </c>
      <c r="H3825" t="s" s="43">
        <v>30</v>
      </c>
      <c r="I3825" s="43">
        <v>1.79</v>
      </c>
      <c r="J3825" t="s" s="11">
        <v>19393</v>
      </c>
      <c r="K3825" t="s" s="11">
        <v>19394</v>
      </c>
      <c r="L3825" s="17">
        <f>HYPERLINK("http://www.superadvisor.ai", "www.superadvisor.ai")</f>
      </c>
      <c r="M3825" s="17">
        <f>HYPERLINK("https://my.pitchbook.com?c=489961-90", "View Company Online")</f>
      </c>
    </row>
    <row r="3826">
      <c r="A3826" t="s" s="10">
        <v>19396</v>
      </c>
      <c r="B3826" t="s" s="10">
        <v>19397</v>
      </c>
      <c r="C3826" t="s" s="10">
        <v>46</v>
      </c>
      <c r="D3826" t="s" s="10">
        <v>47</v>
      </c>
      <c r="E3826" t="s" s="10">
        <v>1038</v>
      </c>
      <c r="F3826" s="27">
        <v>45744</v>
      </c>
      <c r="G3826" t="s" s="10">
        <v>40</v>
      </c>
      <c r="H3826" s="42">
        <v>39.12</v>
      </c>
      <c r="I3826" s="42">
        <v>1.79</v>
      </c>
      <c r="J3826" t="s" s="10">
        <v>19398</v>
      </c>
      <c r="K3826" t="s" s="10">
        <v>19399</v>
      </c>
      <c r="L3826" s="16">
        <f>HYPERLINK("http://www.trytoku.com", "www.trytoku.com")</f>
      </c>
      <c r="M3826" s="16">
        <f>HYPERLINK("https://my.pitchbook.com?c=481669-57", "View Company Online")</f>
      </c>
    </row>
    <row r="3827">
      <c r="A3827" t="s" s="11">
        <v>19401</v>
      </c>
      <c r="B3827" t="s" s="11">
        <v>19402</v>
      </c>
      <c r="C3827" t="s" s="11">
        <v>27</v>
      </c>
      <c r="D3827" t="s" s="11">
        <v>28</v>
      </c>
      <c r="E3827" t="s" s="11">
        <v>193</v>
      </c>
      <c r="F3827" s="28">
        <v>44655</v>
      </c>
      <c r="G3827" t="s" s="11">
        <v>146</v>
      </c>
      <c r="H3827" s="43">
        <v>46</v>
      </c>
      <c r="I3827" s="43">
        <v>1.79</v>
      </c>
      <c r="J3827" t="s" s="11">
        <v>19403</v>
      </c>
      <c r="K3827" t="s" s="11">
        <v>19404</v>
      </c>
      <c r="L3827" s="17">
        <f>HYPERLINK("http://www.treinta.co", "www.treinta.co")</f>
      </c>
      <c r="M3827" s="17">
        <f>HYPERLINK("https://my.pitchbook.com?c=459143-20", "View Company Online")</f>
      </c>
    </row>
    <row r="3828">
      <c r="A3828" t="s" s="10">
        <v>19406</v>
      </c>
      <c r="B3828" t="s" s="10">
        <v>19407</v>
      </c>
      <c r="C3828" t="s" s="10">
        <v>46</v>
      </c>
      <c r="D3828" t="s" s="10">
        <v>915</v>
      </c>
      <c r="E3828" t="s" s="10">
        <v>373</v>
      </c>
      <c r="F3828" s="27">
        <v>45819</v>
      </c>
      <c r="G3828" t="s" s="10">
        <v>40</v>
      </c>
      <c r="H3828" s="42">
        <v>60.82</v>
      </c>
      <c r="I3828" s="42">
        <v>1.78</v>
      </c>
      <c r="J3828" t="s" s="10">
        <v>19408</v>
      </c>
      <c r="K3828" t="s" s="10">
        <v>19409</v>
      </c>
      <c r="L3828" s="16">
        <f>HYPERLINK("http://www.abacum.ai", "www.abacum.ai")</f>
      </c>
      <c r="M3828" s="16">
        <f>HYPERLINK("https://my.pitchbook.com?c=442509-31", "View Company Online")</f>
      </c>
    </row>
    <row r="3829">
      <c r="A3829" t="s" s="11">
        <v>19411</v>
      </c>
      <c r="B3829" t="s" s="11">
        <v>19412</v>
      </c>
      <c r="C3829" t="s" s="11">
        <v>46</v>
      </c>
      <c r="D3829" t="s" s="11">
        <v>78</v>
      </c>
      <c r="E3829" t="s" s="11">
        <v>137</v>
      </c>
      <c r="F3829" s="28">
        <v>45244</v>
      </c>
      <c r="G3829" t="s" s="11">
        <v>607</v>
      </c>
      <c r="H3829" s="43">
        <v>0.2</v>
      </c>
      <c r="I3829" s="43">
        <v>1.78</v>
      </c>
      <c r="J3829" t="s" s="11">
        <v>19413</v>
      </c>
      <c r="K3829" t="s" s="11">
        <v>19414</v>
      </c>
      <c r="L3829" s="17">
        <f>HYPERLINK("http://www.floatpays.com", "www.floatpays.com")</f>
      </c>
      <c r="M3829" s="17">
        <f>HYPERLINK("https://my.pitchbook.com?c=467851-87", "View Company Online")</f>
      </c>
    </row>
    <row r="3830">
      <c r="A3830" t="s" s="10">
        <v>19416</v>
      </c>
      <c r="B3830" t="s" s="10">
        <v>19417</v>
      </c>
      <c r="C3830" t="s" s="10">
        <v>60</v>
      </c>
      <c r="D3830" t="s" s="10">
        <v>246</v>
      </c>
      <c r="E3830" t="s" s="10">
        <v>137</v>
      </c>
      <c r="F3830" s="27">
        <v>45744</v>
      </c>
      <c r="G3830" t="s" s="10">
        <v>146</v>
      </c>
      <c r="H3830" t="s" s="42">
        <v>30</v>
      </c>
      <c r="I3830" s="42">
        <v>1.78</v>
      </c>
      <c r="J3830" t="s" s="10">
        <v>19418</v>
      </c>
      <c r="K3830" t="s" s="10">
        <v>19419</v>
      </c>
      <c r="L3830" s="16">
        <f>HYPERLINK("http://www.mejorcdt.com", "www.mejorcdt.com")</f>
      </c>
      <c r="M3830" s="16">
        <f>HYPERLINK("https://my.pitchbook.com?c=489050-92", "View Company Online")</f>
      </c>
    </row>
    <row r="3831">
      <c r="A3831" t="s" s="11">
        <v>19421</v>
      </c>
      <c r="B3831" t="s" s="11">
        <v>19422</v>
      </c>
      <c r="C3831" t="s" s="11">
        <v>27</v>
      </c>
      <c r="D3831" t="s" s="11">
        <v>28</v>
      </c>
      <c r="E3831" t="s" s="11">
        <v>1859</v>
      </c>
      <c r="F3831" s="28">
        <v>45874</v>
      </c>
      <c r="G3831" t="s" s="11">
        <v>607</v>
      </c>
      <c r="H3831" t="s" s="43">
        <v>30</v>
      </c>
      <c r="I3831" s="43">
        <v>1.78</v>
      </c>
      <c r="J3831" t="s" s="11">
        <v>19423</v>
      </c>
      <c r="K3831" t="s" s="11">
        <v>19424</v>
      </c>
      <c r="L3831" s="17">
        <f>HYPERLINK("http://www.startbutton.africa", "www.startbutton.africa")</f>
      </c>
      <c r="M3831" s="17">
        <f>HYPERLINK("https://my.pitchbook.com?c=597747-43", "View Company Online")</f>
      </c>
    </row>
    <row r="3832">
      <c r="A3832" t="s" s="10">
        <v>19426</v>
      </c>
      <c r="B3832" t="s" s="10">
        <v>19427</v>
      </c>
      <c r="C3832" t="s" s="10">
        <v>27</v>
      </c>
      <c r="D3832" t="s" s="10">
        <v>28</v>
      </c>
      <c r="E3832" t="s" s="10">
        <v>19428</v>
      </c>
      <c r="F3832" s="27">
        <v>45383</v>
      </c>
      <c r="G3832" t="s" s="10">
        <v>4267</v>
      </c>
      <c r="H3832" t="s" s="42">
        <v>30</v>
      </c>
      <c r="I3832" s="42">
        <v>1.76</v>
      </c>
      <c r="J3832" t="s" s="10">
        <v>19429</v>
      </c>
      <c r="K3832" t="s" s="10">
        <v>19430</v>
      </c>
      <c r="L3832" s="16">
        <f>HYPERLINK("http://www.nmible.com", "www.nmible.com")</f>
      </c>
      <c r="M3832" s="16">
        <f>HYPERLINK("https://my.pitchbook.com?c=493015-96", "View Company Online")</f>
      </c>
    </row>
    <row r="3833">
      <c r="A3833" t="s" s="11">
        <v>19432</v>
      </c>
      <c r="B3833" t="s" s="11">
        <v>19433</v>
      </c>
      <c r="C3833" t="s" s="11">
        <v>60</v>
      </c>
      <c r="D3833" t="s" s="11">
        <v>246</v>
      </c>
      <c r="E3833" t="s" s="11">
        <v>414</v>
      </c>
      <c r="F3833" s="28">
        <v>45877</v>
      </c>
      <c r="G3833" t="s" s="11">
        <v>4267</v>
      </c>
      <c r="H3833" s="43">
        <v>0.17</v>
      </c>
      <c r="I3833" s="43">
        <v>1.75</v>
      </c>
      <c r="J3833" t="s" s="11">
        <v>19434</v>
      </c>
      <c r="K3833" t="s" s="11">
        <v>19435</v>
      </c>
      <c r="L3833" s="17">
        <f>HYPERLINK("http://finanjo.com", "finanjo.com")</f>
      </c>
      <c r="M3833" s="17">
        <f>HYPERLINK("https://my.pitchbook.com?c=1159470-19", "View Company Online")</f>
      </c>
    </row>
    <row r="3834">
      <c r="A3834" t="s" s="10">
        <v>19437</v>
      </c>
      <c r="B3834" t="s" s="10">
        <v>19438</v>
      </c>
      <c r="C3834" t="s" s="10">
        <v>222</v>
      </c>
      <c r="D3834" t="s" s="10">
        <v>223</v>
      </c>
      <c r="E3834" t="s" s="10">
        <v>414</v>
      </c>
      <c r="F3834" s="27">
        <v>45749</v>
      </c>
      <c r="G3834" t="s" s="10">
        <v>146</v>
      </c>
      <c r="H3834" s="42">
        <v>0.6</v>
      </c>
      <c r="I3834" s="42">
        <v>1.74</v>
      </c>
      <c r="J3834" t="s" s="10">
        <v>19439</v>
      </c>
      <c r="K3834" t="s" s="10">
        <v>19440</v>
      </c>
      <c r="L3834" s="16">
        <f>HYPERLINK("http://www.evertrace.ai", "www.evertrace.ai")</f>
      </c>
      <c r="M3834" s="16">
        <f>HYPERLINK("https://my.pitchbook.com?c=589617-82", "View Company Online")</f>
      </c>
    </row>
    <row r="3835">
      <c r="A3835" t="s" s="11">
        <v>19442</v>
      </c>
      <c r="B3835" t="s" s="11">
        <v>19443</v>
      </c>
      <c r="C3835" t="s" s="11">
        <v>164</v>
      </c>
      <c r="D3835" t="s" s="11">
        <v>206</v>
      </c>
      <c r="E3835" t="s" s="11">
        <v>2184</v>
      </c>
      <c r="F3835" s="28">
        <v>45862</v>
      </c>
      <c r="G3835" t="s" s="11">
        <v>607</v>
      </c>
      <c r="H3835" t="s" s="43">
        <v>30</v>
      </c>
      <c r="I3835" s="43">
        <v>1.74</v>
      </c>
      <c r="J3835" t="s" s="11">
        <v>19444</v>
      </c>
      <c r="K3835" t="s" s="11">
        <v>19445</v>
      </c>
      <c r="L3835" s="17">
        <f>HYPERLINK("http://www.wirebee.com", "www.wirebee.com")</f>
      </c>
      <c r="M3835" s="17">
        <f>HYPERLINK("https://my.pitchbook.com?c=495777-70", "View Company Online")</f>
      </c>
    </row>
    <row r="3836">
      <c r="A3836" t="s" s="10">
        <v>19447</v>
      </c>
      <c r="B3836" t="s" s="10">
        <v>19448</v>
      </c>
      <c r="C3836" t="s" s="10">
        <v>114</v>
      </c>
      <c r="D3836" t="s" s="10">
        <v>136</v>
      </c>
      <c r="E3836" t="s" s="10">
        <v>373</v>
      </c>
      <c r="F3836" s="27">
        <v>44927</v>
      </c>
      <c r="G3836" t="s" s="10">
        <v>607</v>
      </c>
      <c r="H3836" t="s" s="42">
        <v>30</v>
      </c>
      <c r="I3836" s="42">
        <v>1.73</v>
      </c>
      <c r="J3836" t="s" s="10">
        <v>19449</v>
      </c>
      <c r="K3836" t="s" s="10">
        <v>19450</v>
      </c>
      <c r="L3836" s="16">
        <f>HYPERLINK("http://www.icanpe.com", "www.icanpe.com")</f>
      </c>
      <c r="M3836" s="16">
        <f>HYPERLINK("https://my.pitchbook.com?c=469688-68", "View Company Online")</f>
      </c>
    </row>
    <row r="3837">
      <c r="A3837" t="s" s="11">
        <v>19452</v>
      </c>
      <c r="B3837" t="s" s="11">
        <v>19453</v>
      </c>
      <c r="C3837" t="s" s="11">
        <v>128</v>
      </c>
      <c r="D3837" t="s" s="11">
        <v>276</v>
      </c>
      <c r="E3837" t="s" s="11">
        <v>270</v>
      </c>
      <c r="F3837" s="28">
        <v>45021</v>
      </c>
      <c r="G3837" t="s" s="11">
        <v>4267</v>
      </c>
      <c r="H3837" s="43">
        <v>3.22</v>
      </c>
      <c r="I3837" s="43">
        <v>1.72</v>
      </c>
      <c r="J3837" t="s" s="11">
        <v>19454</v>
      </c>
      <c r="K3837" t="s" s="11">
        <v>19455</v>
      </c>
      <c r="L3837" s="17">
        <f>HYPERLINK("http://www.ymo.africa", "www.ymo.africa")</f>
      </c>
      <c r="M3837" s="17">
        <f>HYPERLINK("https://my.pitchbook.com?c=433030-60", "View Company Online")</f>
      </c>
    </row>
    <row r="3838">
      <c r="A3838" t="s" s="10">
        <v>19457</v>
      </c>
      <c r="B3838" t="s" s="10">
        <v>19458</v>
      </c>
      <c r="C3838" t="s" s="10">
        <v>144</v>
      </c>
      <c r="D3838" t="s" s="10">
        <v>297</v>
      </c>
      <c r="E3838" t="s" s="10">
        <v>270</v>
      </c>
      <c r="F3838" s="27">
        <v>44880</v>
      </c>
      <c r="G3838" t="s" s="10">
        <v>40</v>
      </c>
      <c r="H3838" t="s" s="42">
        <v>30</v>
      </c>
      <c r="I3838" s="42">
        <v>1.71</v>
      </c>
      <c r="J3838" t="s" s="10">
        <v>19459</v>
      </c>
      <c r="K3838" t="s" s="10">
        <v>19460</v>
      </c>
      <c r="L3838" s="16">
        <f>HYPERLINK("http://www.buypower.ng", "www.buypower.ng")</f>
      </c>
      <c r="M3838" s="16">
        <f>HYPERLINK("https://my.pitchbook.com?c=178466-77", "View Company Online")</f>
      </c>
    </row>
    <row r="3839">
      <c r="A3839" t="s" s="11">
        <v>19462</v>
      </c>
      <c r="B3839" t="s" s="11">
        <v>19463</v>
      </c>
      <c r="C3839" t="s" s="11">
        <v>60</v>
      </c>
      <c r="D3839" t="s" s="11">
        <v>192</v>
      </c>
      <c r="E3839" t="s" s="11">
        <v>270</v>
      </c>
      <c r="F3839" s="28">
        <v>44238</v>
      </c>
      <c r="G3839" t="s" s="11">
        <v>146</v>
      </c>
      <c r="H3839" s="43">
        <v>3.46</v>
      </c>
      <c r="I3839" s="43">
        <v>1.71</v>
      </c>
      <c r="J3839" t="s" s="11">
        <v>19464</v>
      </c>
      <c r="K3839" t="s" s="11">
        <v>19465</v>
      </c>
      <c r="L3839" s="17">
        <f>HYPERLINK("http://www.cowrywise.com", "www.cowrywise.com")</f>
      </c>
      <c r="M3839" s="17">
        <f>HYPERLINK("https://my.pitchbook.com?c=231214-69", "View Company Online")</f>
      </c>
    </row>
    <row r="3840">
      <c r="A3840" t="s" s="10">
        <v>19467</v>
      </c>
      <c r="B3840" t="s" s="10">
        <v>19468</v>
      </c>
      <c r="C3840" t="s" s="10">
        <v>114</v>
      </c>
      <c r="D3840" t="s" s="10">
        <v>115</v>
      </c>
      <c r="E3840" t="s" s="10">
        <v>1032</v>
      </c>
      <c r="F3840" s="27">
        <v>43627</v>
      </c>
      <c r="G3840" t="s" s="10">
        <v>4267</v>
      </c>
      <c r="H3840" s="42">
        <v>2.7</v>
      </c>
      <c r="I3840" s="42">
        <v>1.71</v>
      </c>
      <c r="J3840" t="s" s="10">
        <v>19469</v>
      </c>
      <c r="K3840" t="s" s="10">
        <v>19470</v>
      </c>
      <c r="L3840" s="16">
        <f>HYPERLINK("http://www.hypcloud.de", "www.hypcloud.de")</f>
      </c>
      <c r="M3840" s="16">
        <f>HYPERLINK("https://my.pitchbook.com?c=232152-58", "View Company Online")</f>
      </c>
    </row>
    <row r="3841">
      <c r="A3841" t="s" s="11">
        <v>19472</v>
      </c>
      <c r="B3841" t="s" s="11">
        <v>19473</v>
      </c>
      <c r="C3841" t="s" s="11">
        <v>114</v>
      </c>
      <c r="D3841" t="s" s="11">
        <v>136</v>
      </c>
      <c r="E3841" t="s" s="11">
        <v>6894</v>
      </c>
      <c r="F3841" s="28">
        <v>45809</v>
      </c>
      <c r="G3841" t="s" s="11">
        <v>40</v>
      </c>
      <c r="H3841" s="43">
        <v>40</v>
      </c>
      <c r="I3841" s="43">
        <v>1.71</v>
      </c>
      <c r="J3841" t="s" s="11">
        <v>19474</v>
      </c>
      <c r="K3841" t="s" s="11">
        <v>19475</v>
      </c>
      <c r="L3841" s="17">
        <f>HYPERLINK("http://www.legalist.com", "www.legalist.com")</f>
      </c>
      <c r="M3841" s="17">
        <f>HYPERLINK("https://my.pitchbook.com?c=162909-28", "View Company Online")</f>
      </c>
    </row>
    <row r="3842">
      <c r="A3842" t="s" s="10">
        <v>19477</v>
      </c>
      <c r="B3842" t="s" s="10">
        <v>19478</v>
      </c>
      <c r="C3842" t="s" s="10">
        <v>37</v>
      </c>
      <c r="D3842" t="s" s="10">
        <v>304</v>
      </c>
      <c r="E3842" t="s" s="10">
        <v>193</v>
      </c>
      <c r="F3842" s="27">
        <v>46141</v>
      </c>
      <c r="G3842" t="s" s="10">
        <v>2051</v>
      </c>
      <c r="H3842" t="s" s="42">
        <v>30</v>
      </c>
      <c r="I3842" s="42">
        <v>1.71</v>
      </c>
      <c r="J3842" t="s" s="10">
        <v>19479</v>
      </c>
      <c r="K3842" t="s" s="10">
        <v>30</v>
      </c>
      <c r="L3842" s="16">
        <f>HYPERLINK("http://www.redcarpetup.com", "www.redcarpetup.com")</f>
      </c>
      <c r="M3842" s="16">
        <f>HYPERLINK("https://my.pitchbook.com?c=124665-40", "View Company Online")</f>
      </c>
    </row>
    <row r="3843">
      <c r="A3843" t="s" s="11">
        <v>19481</v>
      </c>
      <c r="B3843" t="s" s="11">
        <v>19482</v>
      </c>
      <c r="C3843" t="s" s="11">
        <v>128</v>
      </c>
      <c r="D3843" t="s" s="11">
        <v>199</v>
      </c>
      <c r="E3843" t="s" s="11">
        <v>19483</v>
      </c>
      <c r="F3843" s="28">
        <v>46084</v>
      </c>
      <c r="G3843" t="s" s="11">
        <v>40</v>
      </c>
      <c r="H3843" t="s" s="43">
        <v>30</v>
      </c>
      <c r="I3843" s="43">
        <v>1.71</v>
      </c>
      <c r="J3843" t="s" s="11">
        <v>19484</v>
      </c>
      <c r="K3843" t="s" s="11">
        <v>19485</v>
      </c>
      <c r="L3843" s="17">
        <f>HYPERLINK("http://tpaga.co", "tpaga.co")</f>
      </c>
      <c r="M3843" s="17">
        <f>HYPERLINK("https://my.pitchbook.com?c=172718-74", "View Company Online")</f>
      </c>
    </row>
    <row r="3844">
      <c r="A3844" t="s" s="10">
        <v>19487</v>
      </c>
      <c r="B3844" t="s" s="10">
        <v>19488</v>
      </c>
      <c r="C3844" t="s" s="10">
        <v>60</v>
      </c>
      <c r="D3844" t="s" s="10">
        <v>246</v>
      </c>
      <c r="E3844" t="s" s="10">
        <v>137</v>
      </c>
      <c r="F3844" s="27">
        <v>44748</v>
      </c>
      <c r="G3844" t="s" s="10">
        <v>48</v>
      </c>
      <c r="H3844" t="s" s="42">
        <v>30</v>
      </c>
      <c r="I3844" s="42">
        <v>1.71</v>
      </c>
      <c r="J3844" t="s" s="10">
        <v>19489</v>
      </c>
      <c r="K3844" t="s" s="10">
        <v>19490</v>
      </c>
      <c r="L3844" s="16">
        <f>HYPERLINK("http://www.tributi.com", "www.tributi.com")</f>
      </c>
      <c r="M3844" s="16">
        <f>HYPERLINK("https://my.pitchbook.com?c=226822-15", "View Company Online")</f>
      </c>
    </row>
    <row r="3845">
      <c r="A3845" t="s" s="11">
        <v>19492</v>
      </c>
      <c r="B3845" t="s" s="11">
        <v>19493</v>
      </c>
      <c r="C3845" t="s" s="11">
        <v>128</v>
      </c>
      <c r="D3845" t="s" s="11">
        <v>129</v>
      </c>
      <c r="E3845" t="s" s="11">
        <v>2293</v>
      </c>
      <c r="F3845" s="28">
        <v>46106</v>
      </c>
      <c r="G3845" t="s" s="11">
        <v>146</v>
      </c>
      <c r="H3845" s="43">
        <v>10.23</v>
      </c>
      <c r="I3845" s="43">
        <v>1.7</v>
      </c>
      <c r="J3845" t="s" s="11">
        <v>19494</v>
      </c>
      <c r="K3845" t="s" s="11">
        <v>19495</v>
      </c>
      <c r="L3845" s="17">
        <f>HYPERLINK("http://www.chexy.co", "www.chexy.co")</f>
      </c>
      <c r="M3845" s="17">
        <f>HYPERLINK("https://my.pitchbook.com?c=501791-14", "View Company Online")</f>
      </c>
    </row>
    <row r="3846">
      <c r="A3846" t="s" s="10">
        <v>19497</v>
      </c>
      <c r="B3846" t="s" s="10">
        <v>19498</v>
      </c>
      <c r="C3846" t="s" s="10">
        <v>27</v>
      </c>
      <c r="D3846" t="s" s="10">
        <v>28</v>
      </c>
      <c r="E3846" t="s" s="10">
        <v>137</v>
      </c>
      <c r="F3846" s="27">
        <v>43894</v>
      </c>
      <c r="G3846" t="s" s="10">
        <v>607</v>
      </c>
      <c r="H3846" t="s" s="42">
        <v>30</v>
      </c>
      <c r="I3846" s="42">
        <v>1.7</v>
      </c>
      <c r="J3846" t="s" s="10">
        <v>19499</v>
      </c>
      <c r="K3846" t="s" s="10">
        <v>19500</v>
      </c>
      <c r="L3846" s="16">
        <f>HYPERLINK("http://www.redflash.se", "www.redflash.se")</f>
      </c>
      <c r="M3846" s="16">
        <f>HYPERLINK("https://my.pitchbook.com?c=490708-27", "View Company Online")</f>
      </c>
    </row>
    <row r="3847">
      <c r="A3847" t="s" s="11">
        <v>19502</v>
      </c>
      <c r="B3847" t="s" s="11">
        <v>19503</v>
      </c>
      <c r="C3847" t="s" s="11">
        <v>164</v>
      </c>
      <c r="D3847" t="s" s="11">
        <v>206</v>
      </c>
      <c r="E3847" t="s" s="11">
        <v>373</v>
      </c>
      <c r="F3847" s="28">
        <v>45445</v>
      </c>
      <c r="G3847" t="s" s="11">
        <v>607</v>
      </c>
      <c r="H3847" s="43">
        <v>0.1</v>
      </c>
      <c r="I3847" s="43">
        <v>1.67</v>
      </c>
      <c r="J3847" t="s" s="11">
        <v>19504</v>
      </c>
      <c r="K3847" t="s" s="11">
        <v>19505</v>
      </c>
      <c r="L3847" s="17">
        <f>HYPERLINK("http://www.banknbox.com", "www.banknbox.com")</f>
      </c>
      <c r="M3847" s="17">
        <f>HYPERLINK("https://my.pitchbook.com?c=533333-35", "View Company Online")</f>
      </c>
    </row>
    <row r="3848">
      <c r="A3848" t="s" s="10">
        <v>19507</v>
      </c>
      <c r="B3848" t="s" s="10">
        <v>19508</v>
      </c>
      <c r="C3848" t="s" s="10">
        <v>60</v>
      </c>
      <c r="D3848" t="s" s="10">
        <v>192</v>
      </c>
      <c r="E3848" t="s" s="10">
        <v>373</v>
      </c>
      <c r="F3848" s="27">
        <v>46030</v>
      </c>
      <c r="G3848" t="s" s="10">
        <v>4267</v>
      </c>
      <c r="H3848" s="42">
        <v>0.17</v>
      </c>
      <c r="I3848" s="42">
        <v>1.67</v>
      </c>
      <c r="J3848" t="s" s="10">
        <v>19509</v>
      </c>
      <c r="K3848" t="s" s="10">
        <v>19435</v>
      </c>
      <c r="L3848" s="16">
        <f>HYPERLINK("http://www.multibagg.ai", "www.multibagg.ai")</f>
      </c>
      <c r="M3848" s="16">
        <f>HYPERLINK("https://my.pitchbook.com?c=625074-94", "View Company Online")</f>
      </c>
    </row>
    <row r="3849">
      <c r="A3849" t="s" s="11">
        <v>19511</v>
      </c>
      <c r="B3849" t="s" s="11">
        <v>19512</v>
      </c>
      <c r="C3849" t="s" s="11">
        <v>60</v>
      </c>
      <c r="D3849" t="s" s="11">
        <v>192</v>
      </c>
      <c r="E3849" t="s" s="11">
        <v>253</v>
      </c>
      <c r="F3849" s="28">
        <v>46237</v>
      </c>
      <c r="G3849" t="s" s="11">
        <v>391</v>
      </c>
      <c r="H3849" t="s" s="43">
        <v>30</v>
      </c>
      <c r="I3849" s="43">
        <v>1.67</v>
      </c>
      <c r="J3849" t="s" s="11">
        <v>19513</v>
      </c>
      <c r="K3849" t="s" s="11">
        <v>30</v>
      </c>
      <c r="L3849" s="17">
        <f>HYPERLINK("http://www.opigo.in", "www.opigo.in")</f>
      </c>
      <c r="M3849" s="17">
        <f>HYPERLINK("https://my.pitchbook.com?c=554342-59", "View Company Online")</f>
      </c>
    </row>
    <row r="3850">
      <c r="A3850" t="s" s="10">
        <v>19515</v>
      </c>
      <c r="B3850" t="s" s="10">
        <v>19516</v>
      </c>
      <c r="C3850" t="s" s="10">
        <v>27</v>
      </c>
      <c r="D3850" t="s" s="10">
        <v>70</v>
      </c>
      <c r="E3850" t="s" s="10">
        <v>2184</v>
      </c>
      <c r="F3850" s="27">
        <v>45659</v>
      </c>
      <c r="G3850" t="s" s="10">
        <v>607</v>
      </c>
      <c r="H3850" t="s" s="42">
        <v>30</v>
      </c>
      <c r="I3850" s="42">
        <v>1.67</v>
      </c>
      <c r="J3850" t="s" s="10">
        <v>19517</v>
      </c>
      <c r="K3850" t="s" s="10">
        <v>19518</v>
      </c>
      <c r="L3850" s="16">
        <f>HYPERLINK("http://www.paymonths.co.kr", "www.paymonths.co.kr")</f>
      </c>
      <c r="M3850" s="16">
        <f>HYPERLINK("https://my.pitchbook.com?c=494962-30", "View Company Online")</f>
      </c>
    </row>
    <row r="3851">
      <c r="A3851" t="s" s="11">
        <v>19520</v>
      </c>
      <c r="B3851" t="s" s="11">
        <v>19521</v>
      </c>
      <c r="C3851" t="s" s="11">
        <v>222</v>
      </c>
      <c r="D3851" t="s" s="11">
        <v>223</v>
      </c>
      <c r="E3851" t="s" s="11">
        <v>414</v>
      </c>
      <c r="F3851" s="28">
        <v>45722</v>
      </c>
      <c r="G3851" t="s" s="11">
        <v>4267</v>
      </c>
      <c r="H3851" s="43">
        <v>0.18</v>
      </c>
      <c r="I3851" s="43">
        <v>1.65</v>
      </c>
      <c r="J3851" t="s" s="11">
        <v>19522</v>
      </c>
      <c r="K3851" t="s" s="11">
        <v>15996</v>
      </c>
      <c r="L3851" s="17">
        <f>HYPERLINK("http://www.alphanova.tech", "www.alphanova.tech")</f>
      </c>
      <c r="M3851" s="17">
        <f>HYPERLINK("https://my.pitchbook.com?c=819312-22", "View Company Online")</f>
      </c>
    </row>
    <row r="3852">
      <c r="A3852" t="s" s="10">
        <v>19524</v>
      </c>
      <c r="B3852" t="s" s="10">
        <v>19525</v>
      </c>
      <c r="C3852" t="s" s="10">
        <v>164</v>
      </c>
      <c r="D3852" t="s" s="10">
        <v>206</v>
      </c>
      <c r="E3852" t="s" s="10">
        <v>253</v>
      </c>
      <c r="F3852" s="27">
        <v>46197</v>
      </c>
      <c r="G3852" t="s" s="10">
        <v>391</v>
      </c>
      <c r="H3852" t="s" s="42">
        <v>30</v>
      </c>
      <c r="I3852" s="42">
        <v>1.64</v>
      </c>
      <c r="J3852" t="s" s="10">
        <v>19526</v>
      </c>
      <c r="K3852" t="s" s="10">
        <v>30</v>
      </c>
      <c r="L3852" s="16">
        <f>HYPERLINK("http://www.aperidata.com", "www.aperidata.com")</f>
      </c>
      <c r="M3852" s="16">
        <f>HYPERLINK("https://my.pitchbook.com?c=537030-82", "View Company Online")</f>
      </c>
    </row>
    <row r="3853">
      <c r="A3853" t="s" s="11">
        <v>19528</v>
      </c>
      <c r="B3853" t="s" s="11">
        <v>19529</v>
      </c>
      <c r="C3853" t="s" s="11">
        <v>172</v>
      </c>
      <c r="D3853" t="s" s="11">
        <v>338</v>
      </c>
      <c r="E3853" t="s" s="11">
        <v>137</v>
      </c>
      <c r="F3853" s="28">
        <v>43831</v>
      </c>
      <c r="G3853" t="s" s="11">
        <v>4267</v>
      </c>
      <c r="H3853" s="43">
        <v>0.12</v>
      </c>
      <c r="I3853" s="43">
        <v>1.63</v>
      </c>
      <c r="J3853" t="s" s="11">
        <v>19530</v>
      </c>
      <c r="K3853" t="s" s="11">
        <v>30</v>
      </c>
      <c r="L3853" s="17">
        <f>HYPERLINK("http://www.connectif.tech", "www.connectif.tech")</f>
      </c>
      <c r="M3853" s="17">
        <f>HYPERLINK("https://my.pitchbook.com?c=462127-78", "View Company Online")</f>
      </c>
    </row>
    <row r="3854">
      <c r="A3854" t="s" s="10">
        <v>19532</v>
      </c>
      <c r="B3854" t="s" s="10">
        <v>19533</v>
      </c>
      <c r="C3854" t="s" s="10">
        <v>60</v>
      </c>
      <c r="D3854" t="s" s="10">
        <v>727</v>
      </c>
      <c r="E3854" t="s" s="10">
        <v>859</v>
      </c>
      <c r="F3854" t="s" s="27">
        <v>30</v>
      </c>
      <c r="G3854" t="s" s="10">
        <v>48</v>
      </c>
      <c r="H3854" t="s" s="42">
        <v>30</v>
      </c>
      <c r="I3854" s="42">
        <v>1.62</v>
      </c>
      <c r="J3854" t="s" s="10">
        <v>19534</v>
      </c>
      <c r="K3854" t="s" s="10">
        <v>19535</v>
      </c>
      <c r="L3854" s="16">
        <f>HYPERLINK("http://www.finpeers.com", "www.finpeers.com")</f>
      </c>
      <c r="M3854" s="16">
        <f>HYPERLINK("https://my.pitchbook.com?c=517708-09", "View Company Online")</f>
      </c>
    </row>
    <row r="3855">
      <c r="A3855" t="s" s="11">
        <v>19537</v>
      </c>
      <c r="B3855" t="s" s="11">
        <v>19538</v>
      </c>
      <c r="C3855" t="s" s="11">
        <v>114</v>
      </c>
      <c r="D3855" t="s" s="11">
        <v>852</v>
      </c>
      <c r="E3855" t="s" s="11">
        <v>137</v>
      </c>
      <c r="F3855" s="28">
        <v>45657</v>
      </c>
      <c r="G3855" t="s" s="11">
        <v>40</v>
      </c>
      <c r="H3855" s="43">
        <v>130.08</v>
      </c>
      <c r="I3855" s="43">
        <v>1.61</v>
      </c>
      <c r="J3855" t="s" s="11">
        <v>19539</v>
      </c>
      <c r="K3855" t="s" s="11">
        <v>19540</v>
      </c>
      <c r="L3855" s="17">
        <f>HYPERLINK("http://www.wealthon.com", "www.wealthon.com")</f>
      </c>
      <c r="M3855" s="17">
        <f>HYPERLINK("https://my.pitchbook.com?c=442734-76", "View Company Online")</f>
      </c>
    </row>
    <row r="3856">
      <c r="A3856" t="s" s="10">
        <v>19542</v>
      </c>
      <c r="B3856" t="s" s="10">
        <v>19543</v>
      </c>
      <c r="C3856" t="s" s="10">
        <v>60</v>
      </c>
      <c r="D3856" t="s" s="10">
        <v>61</v>
      </c>
      <c r="E3856" t="s" s="10">
        <v>270</v>
      </c>
      <c r="F3856" s="27">
        <v>44531</v>
      </c>
      <c r="G3856" t="s" s="10">
        <v>4267</v>
      </c>
      <c r="H3856" s="42">
        <v>0.4</v>
      </c>
      <c r="I3856" s="42">
        <v>1.6</v>
      </c>
      <c r="J3856" t="s" s="10">
        <v>19544</v>
      </c>
      <c r="K3856" t="s" s="10">
        <v>19545</v>
      </c>
      <c r="L3856" s="16">
        <f>HYPERLINK("http://www.axehedge.com", "www.axehedge.com")</f>
      </c>
      <c r="M3856" s="16">
        <f>HYPERLINK("https://my.pitchbook.com?c=513355-24", "View Company Online")</f>
      </c>
    </row>
    <row r="3857">
      <c r="A3857" t="s" s="11">
        <v>19547</v>
      </c>
      <c r="B3857" t="s" s="11">
        <v>19548</v>
      </c>
      <c r="C3857" t="s" s="11">
        <v>46</v>
      </c>
      <c r="D3857" t="s" s="11">
        <v>397</v>
      </c>
      <c r="E3857" t="s" s="11">
        <v>137</v>
      </c>
      <c r="F3857" s="28">
        <v>45474</v>
      </c>
      <c r="G3857" t="s" s="11">
        <v>607</v>
      </c>
      <c r="H3857" t="s" s="43">
        <v>30</v>
      </c>
      <c r="I3857" s="43">
        <v>1.6</v>
      </c>
      <c r="J3857" t="s" s="11">
        <v>19549</v>
      </c>
      <c r="K3857" t="s" s="11">
        <v>19550</v>
      </c>
      <c r="L3857" s="17">
        <f>HYPERLINK("http://www.biztory.com.my", "www.biztory.com.my")</f>
      </c>
      <c r="M3857" s="17">
        <f>HYPERLINK("https://my.pitchbook.com?c=171123-49", "View Company Online")</f>
      </c>
    </row>
    <row r="3858">
      <c r="A3858" t="s" s="10">
        <v>19552</v>
      </c>
      <c r="B3858" t="s" s="10">
        <v>19553</v>
      </c>
      <c r="C3858" t="s" s="10">
        <v>60</v>
      </c>
      <c r="D3858" t="s" s="10">
        <v>432</v>
      </c>
      <c r="E3858" t="s" s="10">
        <v>137</v>
      </c>
      <c r="F3858" s="27">
        <v>44645</v>
      </c>
      <c r="G3858" t="s" s="10">
        <v>607</v>
      </c>
      <c r="H3858" s="42">
        <v>0.28</v>
      </c>
      <c r="I3858" s="42">
        <v>1.6</v>
      </c>
      <c r="J3858" t="s" s="10">
        <v>19554</v>
      </c>
      <c r="K3858" t="s" s="10">
        <v>19555</v>
      </c>
      <c r="L3858" s="16">
        <f>HYPERLINK("http://www.inveert.com", "www.inveert.com")</f>
      </c>
      <c r="M3858" s="16">
        <f>HYPERLINK("https://my.pitchbook.com?c=493737-13", "View Company Online")</f>
      </c>
    </row>
    <row r="3859">
      <c r="A3859" t="s" s="11">
        <v>19557</v>
      </c>
      <c r="B3859" t="s" s="11">
        <v>19558</v>
      </c>
      <c r="C3859" t="s" s="11">
        <v>60</v>
      </c>
      <c r="D3859" t="s" s="11">
        <v>192</v>
      </c>
      <c r="E3859" t="s" s="11">
        <v>137</v>
      </c>
      <c r="F3859" s="28">
        <v>44277</v>
      </c>
      <c r="G3859" t="s" s="11">
        <v>40</v>
      </c>
      <c r="H3859" s="43">
        <v>0.11</v>
      </c>
      <c r="I3859" s="43">
        <v>1.59</v>
      </c>
      <c r="J3859" t="s" s="11">
        <v>19559</v>
      </c>
      <c r="K3859" t="s" s="11">
        <v>19560</v>
      </c>
      <c r="L3859" s="17">
        <f>HYPERLINK("http://www.buyforexonline.com", "www.buyforexonline.com")</f>
      </c>
      <c r="M3859" s="17">
        <f>HYPERLINK("https://my.pitchbook.com?c=113676-76", "View Company Online")</f>
      </c>
    </row>
    <row r="3860">
      <c r="A3860" t="s" s="10">
        <v>19562</v>
      </c>
      <c r="B3860" t="s" s="10">
        <v>19563</v>
      </c>
      <c r="C3860" t="s" s="10">
        <v>114</v>
      </c>
      <c r="D3860" t="s" s="10">
        <v>870</v>
      </c>
      <c r="E3860" t="s" s="10">
        <v>137</v>
      </c>
      <c r="F3860" s="27">
        <v>44706</v>
      </c>
      <c r="G3860" t="s" s="10">
        <v>40</v>
      </c>
      <c r="H3860" s="42">
        <v>10</v>
      </c>
      <c r="I3860" s="42">
        <v>1.58</v>
      </c>
      <c r="J3860" t="s" s="10">
        <v>19564</v>
      </c>
      <c r="K3860" t="s" s="10">
        <v>19565</v>
      </c>
      <c r="L3860" s="16">
        <f>HYPERLINK("http://www.threewheelsunited.com", "www.threewheelsunited.com")</f>
      </c>
      <c r="M3860" s="16">
        <f>HYPERLINK("https://my.pitchbook.com?c=322756-66", "View Company Online")</f>
      </c>
    </row>
    <row r="3861">
      <c r="A3861" t="s" s="11">
        <v>19567</v>
      </c>
      <c r="B3861" t="s" s="11">
        <v>19568</v>
      </c>
      <c r="C3861" t="s" s="11">
        <v>164</v>
      </c>
      <c r="D3861" t="s" s="11">
        <v>165</v>
      </c>
      <c r="E3861" t="s" s="11">
        <v>185</v>
      </c>
      <c r="F3861" s="28">
        <v>45292</v>
      </c>
      <c r="G3861" t="s" s="11">
        <v>40</v>
      </c>
      <c r="H3861" t="s" s="43">
        <v>30</v>
      </c>
      <c r="I3861" s="43">
        <v>1.57</v>
      </c>
      <c r="J3861" t="s" s="11">
        <v>19569</v>
      </c>
      <c r="K3861" t="s" s="11">
        <v>19570</v>
      </c>
      <c r="L3861" s="17">
        <f>HYPERLINK("http://www.senso.ai", "www.senso.ai")</f>
      </c>
      <c r="M3861" s="17">
        <f>HYPERLINK("https://my.pitchbook.com?c=188078-41", "View Company Online")</f>
      </c>
    </row>
    <row r="3862">
      <c r="A3862" t="s" s="10">
        <v>19572</v>
      </c>
      <c r="B3862" t="s" s="10">
        <v>19573</v>
      </c>
      <c r="C3862" t="s" s="10">
        <v>128</v>
      </c>
      <c r="D3862" t="s" s="10">
        <v>276</v>
      </c>
      <c r="E3862" t="s" s="10">
        <v>1266</v>
      </c>
      <c r="F3862" s="27">
        <v>44663</v>
      </c>
      <c r="G3862" t="s" s="10">
        <v>4267</v>
      </c>
      <c r="H3862" s="42">
        <v>0.32</v>
      </c>
      <c r="I3862" s="42">
        <v>1.52</v>
      </c>
      <c r="J3862" t="s" s="10">
        <v>19574</v>
      </c>
      <c r="K3862" t="s" s="10">
        <v>19575</v>
      </c>
      <c r="L3862" s="16">
        <f>HYPERLINK("http://www.streakcard.com", "www.streakcard.com")</f>
      </c>
      <c r="M3862" s="16">
        <f>HYPERLINK("https://my.pitchbook.com?c=470823-13", "View Company Online")</f>
      </c>
    </row>
    <row r="3863">
      <c r="A3863" t="s" s="11">
        <v>19577</v>
      </c>
      <c r="B3863" t="s" s="11">
        <v>19578</v>
      </c>
      <c r="C3863" t="s" s="11">
        <v>37</v>
      </c>
      <c r="D3863" t="s" s="11">
        <v>304</v>
      </c>
      <c r="E3863" t="s" s="11">
        <v>137</v>
      </c>
      <c r="F3863" s="28">
        <v>44209</v>
      </c>
      <c r="G3863" t="s" s="11">
        <v>146</v>
      </c>
      <c r="H3863" s="43">
        <v>0.01</v>
      </c>
      <c r="I3863" s="43">
        <v>1.5</v>
      </c>
      <c r="J3863" t="s" s="11">
        <v>19579</v>
      </c>
      <c r="K3863" t="s" s="11">
        <v>19580</v>
      </c>
      <c r="L3863" s="17">
        <f>HYPERLINK("http://www.dbmenos.com", "www.dbmenos.com")</f>
      </c>
      <c r="M3863" s="17">
        <f>HYPERLINK("https://my.pitchbook.com?c=327474-37", "View Company Online")</f>
      </c>
    </row>
    <row r="3864">
      <c r="A3864" t="s" s="10">
        <v>19582</v>
      </c>
      <c r="B3864" t="s" s="10">
        <v>19583</v>
      </c>
      <c r="C3864" t="s" s="10">
        <v>60</v>
      </c>
      <c r="D3864" t="s" s="10">
        <v>246</v>
      </c>
      <c r="E3864" t="s" s="10">
        <v>193</v>
      </c>
      <c r="F3864" s="27">
        <v>45931</v>
      </c>
      <c r="G3864" t="s" s="10">
        <v>48</v>
      </c>
      <c r="H3864" t="s" s="42">
        <v>30</v>
      </c>
      <c r="I3864" s="42">
        <v>1.5</v>
      </c>
      <c r="J3864" t="s" s="10">
        <v>19584</v>
      </c>
      <c r="K3864" t="s" s="10">
        <v>19585</v>
      </c>
      <c r="L3864" s="16">
        <f>HYPERLINK("http://www.qubersavings.com", "www.qubersavings.com")</f>
      </c>
      <c r="M3864" s="16">
        <f>HYPERLINK("https://my.pitchbook.com?c=229869-10", "View Company Online")</f>
      </c>
    </row>
    <row r="3865">
      <c r="A3865" t="s" s="11">
        <v>19587</v>
      </c>
      <c r="B3865" t="s" s="11">
        <v>19588</v>
      </c>
      <c r="C3865" t="s" s="11">
        <v>164</v>
      </c>
      <c r="D3865" t="s" s="11">
        <v>206</v>
      </c>
      <c r="E3865" t="s" s="11">
        <v>19589</v>
      </c>
      <c r="F3865" s="28">
        <v>45891</v>
      </c>
      <c r="G3865" t="s" s="11">
        <v>40</v>
      </c>
      <c r="H3865" t="s" s="43">
        <v>30</v>
      </c>
      <c r="I3865" s="43">
        <v>1.49</v>
      </c>
      <c r="J3865" t="s" s="11">
        <v>19590</v>
      </c>
      <c r="K3865" t="s" s="11">
        <v>19591</v>
      </c>
      <c r="L3865" s="17">
        <f>HYPERLINK("http://world.dowsure.com", "world.dowsure.com")</f>
      </c>
      <c r="M3865" s="17">
        <f>HYPERLINK("https://my.pitchbook.com?c=266495-05", "View Company Online")</f>
      </c>
    </row>
    <row r="3866">
      <c r="A3866" t="s" s="10">
        <v>19593</v>
      </c>
      <c r="B3866" t="s" s="10">
        <v>19594</v>
      </c>
      <c r="C3866" t="s" s="10">
        <v>60</v>
      </c>
      <c r="D3866" t="s" s="10">
        <v>727</v>
      </c>
      <c r="E3866" t="s" s="10">
        <v>2293</v>
      </c>
      <c r="F3866" s="27">
        <v>45658</v>
      </c>
      <c r="G3866" t="s" s="10">
        <v>146</v>
      </c>
      <c r="H3866" t="s" s="42">
        <v>30</v>
      </c>
      <c r="I3866" s="42">
        <v>1.49</v>
      </c>
      <c r="J3866" t="s" s="10">
        <v>19595</v>
      </c>
      <c r="K3866" t="s" s="10">
        <v>19596</v>
      </c>
      <c r="L3866" s="16">
        <f>HYPERLINK("http://www.Therainmakers.com.my", "www.Therainmakers.com.my")</f>
      </c>
      <c r="M3866" s="16">
        <f>HYPERLINK("https://my.pitchbook.com?c=665893-45", "View Company Online")</f>
      </c>
    </row>
    <row r="3867">
      <c r="A3867" t="s" s="11">
        <v>19598</v>
      </c>
      <c r="B3867" t="s" s="11">
        <v>19599</v>
      </c>
      <c r="C3867" t="s" s="11">
        <v>27</v>
      </c>
      <c r="D3867" t="s" s="11">
        <v>28</v>
      </c>
      <c r="E3867" t="s" s="11">
        <v>137</v>
      </c>
      <c r="F3867" s="28">
        <v>44740</v>
      </c>
      <c r="G3867" t="s" s="11">
        <v>40</v>
      </c>
      <c r="H3867" s="43">
        <v>0.62</v>
      </c>
      <c r="I3867" s="43">
        <v>1.48</v>
      </c>
      <c r="J3867" t="s" s="11">
        <v>19600</v>
      </c>
      <c r="K3867" t="s" s="11">
        <v>19601</v>
      </c>
      <c r="L3867" s="17">
        <f>HYPERLINK("http://www.telleroo.com", "www.telleroo.com")</f>
      </c>
      <c r="M3867" s="17">
        <f>HYPERLINK("https://my.pitchbook.com?c=171569-80", "View Company Online")</f>
      </c>
    </row>
    <row r="3868">
      <c r="A3868" t="s" s="10">
        <v>19603</v>
      </c>
      <c r="B3868" t="s" s="10">
        <v>19604</v>
      </c>
      <c r="C3868" t="s" s="10">
        <v>222</v>
      </c>
      <c r="D3868" t="s" s="10">
        <v>235</v>
      </c>
      <c r="E3868" t="s" s="10">
        <v>16640</v>
      </c>
      <c r="F3868" s="27">
        <v>44728</v>
      </c>
      <c r="G3868" t="s" s="10">
        <v>146</v>
      </c>
      <c r="H3868" s="42">
        <v>0.36</v>
      </c>
      <c r="I3868" s="42">
        <v>1.46</v>
      </c>
      <c r="J3868" t="s" s="10">
        <v>19605</v>
      </c>
      <c r="K3868" t="s" s="10">
        <v>19606</v>
      </c>
      <c r="L3868" s="16">
        <f>HYPERLINK("http://www.offgrid.finance", "www.offgrid.finance")</f>
      </c>
      <c r="M3868" s="16">
        <f>HYPERLINK("https://my.pitchbook.com?c=493020-73", "View Company Online")</f>
      </c>
    </row>
    <row r="3869">
      <c r="A3869" t="s" s="11">
        <v>19608</v>
      </c>
      <c r="B3869" t="s" s="11">
        <v>19609</v>
      </c>
      <c r="C3869" t="s" s="11">
        <v>46</v>
      </c>
      <c r="D3869" t="s" s="11">
        <v>397</v>
      </c>
      <c r="E3869" t="s" s="11">
        <v>193</v>
      </c>
      <c r="F3869" s="28">
        <v>43678</v>
      </c>
      <c r="G3869" t="s" s="11">
        <v>4267</v>
      </c>
      <c r="H3869" s="43">
        <v>0.29</v>
      </c>
      <c r="I3869" s="43">
        <v>1.45</v>
      </c>
      <c r="J3869" t="s" s="11">
        <v>19610</v>
      </c>
      <c r="K3869" t="s" s="11">
        <v>18125</v>
      </c>
      <c r="L3869" s="17">
        <f>HYPERLINK("http://www.quicko.com", "www.quicko.com")</f>
      </c>
      <c r="M3869" s="17">
        <f>HYPERLINK("https://my.pitchbook.com?c=399028-69", "View Company Online")</f>
      </c>
    </row>
    <row r="3870">
      <c r="A3870" t="s" s="10">
        <v>19612</v>
      </c>
      <c r="B3870" t="s" s="10">
        <v>19613</v>
      </c>
      <c r="C3870" t="s" s="10">
        <v>114</v>
      </c>
      <c r="D3870" t="s" s="10">
        <v>136</v>
      </c>
      <c r="E3870" t="s" s="10">
        <v>19614</v>
      </c>
      <c r="F3870" t="s" s="27">
        <v>30</v>
      </c>
      <c r="G3870" t="s" s="10">
        <v>607</v>
      </c>
      <c r="H3870" t="s" s="42">
        <v>30</v>
      </c>
      <c r="I3870" s="42">
        <v>1.44</v>
      </c>
      <c r="J3870" t="s" s="10">
        <v>19615</v>
      </c>
      <c r="K3870" t="s" s="10">
        <v>19616</v>
      </c>
      <c r="L3870" s="16">
        <f>HYPERLINK("http://www.ethichub.com", "www.ethichub.com")</f>
      </c>
      <c r="M3870" s="16">
        <f>HYPERLINK("https://my.pitchbook.com?c=431211-25", "View Company Online")</f>
      </c>
    </row>
    <row r="3871">
      <c r="A3871" t="s" s="11">
        <v>19618</v>
      </c>
      <c r="B3871" t="s" s="11">
        <v>19619</v>
      </c>
      <c r="C3871" t="s" s="11">
        <v>60</v>
      </c>
      <c r="D3871" t="s" s="11">
        <v>246</v>
      </c>
      <c r="E3871" t="s" s="11">
        <v>253</v>
      </c>
      <c r="F3871" s="28">
        <v>44566</v>
      </c>
      <c r="G3871" t="s" s="11">
        <v>4267</v>
      </c>
      <c r="H3871" s="43">
        <v>0.69</v>
      </c>
      <c r="I3871" s="43">
        <v>1.43</v>
      </c>
      <c r="J3871" t="s" s="11">
        <v>19620</v>
      </c>
      <c r="K3871" t="s" s="11">
        <v>19621</v>
      </c>
      <c r="L3871" s="17">
        <f>HYPERLINK("http://www.alvin.finance", "www.alvin.finance")</f>
      </c>
      <c r="M3871" s="17">
        <f>HYPERLINK("https://my.pitchbook.com?c=489485-44", "View Company Online")</f>
      </c>
    </row>
    <row r="3872">
      <c r="A3872" t="s" s="10">
        <v>19623</v>
      </c>
      <c r="B3872" t="s" s="10">
        <v>19624</v>
      </c>
      <c r="C3872" t="s" s="10">
        <v>114</v>
      </c>
      <c r="D3872" t="s" s="10">
        <v>870</v>
      </c>
      <c r="E3872" t="s" s="10">
        <v>137</v>
      </c>
      <c r="F3872" s="27">
        <v>45930</v>
      </c>
      <c r="G3872" t="s" s="10">
        <v>146</v>
      </c>
      <c r="H3872" s="42">
        <v>4.8</v>
      </c>
      <c r="I3872" s="42">
        <v>1.43</v>
      </c>
      <c r="J3872" t="s" s="10">
        <v>19625</v>
      </c>
      <c r="K3872" t="s" s="10">
        <v>19626</v>
      </c>
      <c r="L3872" s="16">
        <f>HYPERLINK("http://www.grupalia.com", "www.grupalia.com")</f>
      </c>
      <c r="M3872" s="16">
        <f>HYPERLINK("https://my.pitchbook.com?c=589282-84", "View Company Online")</f>
      </c>
    </row>
    <row r="3873">
      <c r="A3873" t="s" s="11">
        <v>19628</v>
      </c>
      <c r="B3873" t="s" s="11">
        <v>19629</v>
      </c>
      <c r="C3873" t="s" s="11">
        <v>144</v>
      </c>
      <c r="D3873" t="s" s="11">
        <v>297</v>
      </c>
      <c r="E3873" t="s" s="11">
        <v>259</v>
      </c>
      <c r="F3873" s="28">
        <v>45637</v>
      </c>
      <c r="G3873" t="s" s="11">
        <v>146</v>
      </c>
      <c r="H3873" s="43">
        <v>135.63</v>
      </c>
      <c r="I3873" s="43">
        <v>1.42</v>
      </c>
      <c r="J3873" t="s" s="11">
        <v>19630</v>
      </c>
      <c r="K3873" t="s" s="11">
        <v>19631</v>
      </c>
      <c r="L3873" s="17">
        <f>HYPERLINK("http://www.revving.io", "www.revving.io")</f>
      </c>
      <c r="M3873" s="17">
        <f>HYPERLINK("https://my.pitchbook.com?c=495983-80", "View Company Online")</f>
      </c>
    </row>
    <row r="3874">
      <c r="A3874" t="s" s="10">
        <v>19633</v>
      </c>
      <c r="B3874" t="s" s="10">
        <v>19634</v>
      </c>
      <c r="C3874" t="s" s="10">
        <v>27</v>
      </c>
      <c r="D3874" t="s" s="10">
        <v>28</v>
      </c>
      <c r="E3874" t="s" s="10">
        <v>29</v>
      </c>
      <c r="F3874" s="27">
        <v>45834</v>
      </c>
      <c r="G3874" t="s" s="10">
        <v>40</v>
      </c>
      <c r="H3874" t="s" s="42">
        <v>30</v>
      </c>
      <c r="I3874" s="42">
        <v>1.4</v>
      </c>
      <c r="J3874" t="s" s="10">
        <v>19635</v>
      </c>
      <c r="K3874" t="s" s="10">
        <v>19636</v>
      </c>
      <c r="L3874" s="16">
        <f>HYPERLINK("http://www.managecash.com", "www.managecash.com")</f>
      </c>
      <c r="M3874" s="16">
        <f>HYPERLINK("https://my.pitchbook.com?c=627088-33", "View Company Online")</f>
      </c>
    </row>
    <row r="3875">
      <c r="A3875" t="s" s="11">
        <v>19638</v>
      </c>
      <c r="B3875" t="s" s="11">
        <v>19639</v>
      </c>
      <c r="C3875" t="s" s="11">
        <v>222</v>
      </c>
      <c r="D3875" t="s" s="11">
        <v>235</v>
      </c>
      <c r="E3875" t="s" s="11">
        <v>5015</v>
      </c>
      <c r="F3875" s="28">
        <v>45965</v>
      </c>
      <c r="G3875" t="s" s="11">
        <v>40</v>
      </c>
      <c r="H3875" s="43">
        <v>12.78</v>
      </c>
      <c r="I3875" s="43">
        <v>1.39</v>
      </c>
      <c r="J3875" t="s" s="11">
        <v>19640</v>
      </c>
      <c r="K3875" t="s" s="11">
        <v>19641</v>
      </c>
      <c r="L3875" s="17">
        <f>HYPERLINK("http://www.ecoligo.com", "www.ecoligo.com")</f>
      </c>
      <c r="M3875" s="17">
        <f>HYPERLINK("https://my.pitchbook.com?c=167801-32", "View Company Online")</f>
      </c>
    </row>
    <row r="3876">
      <c r="A3876" t="s" s="10">
        <v>19643</v>
      </c>
      <c r="B3876" t="s" s="10">
        <v>19644</v>
      </c>
      <c r="C3876" t="s" s="10">
        <v>222</v>
      </c>
      <c r="D3876" t="s" s="10">
        <v>223</v>
      </c>
      <c r="E3876" t="s" s="10">
        <v>367</v>
      </c>
      <c r="F3876" s="27">
        <v>45658</v>
      </c>
      <c r="G3876" t="s" s="10">
        <v>607</v>
      </c>
      <c r="H3876" t="s" s="42">
        <v>30</v>
      </c>
      <c r="I3876" s="42">
        <v>1.38</v>
      </c>
      <c r="J3876" t="s" s="10">
        <v>19645</v>
      </c>
      <c r="K3876" t="s" s="10">
        <v>19646</v>
      </c>
      <c r="L3876" s="16">
        <f>HYPERLINK("http://www.nullpointer.in", "www.nullpointer.in")</f>
      </c>
      <c r="M3876" s="16">
        <f>HYPERLINK("https://my.pitchbook.com?c=233699-86", "View Company Online")</f>
      </c>
    </row>
    <row r="3877">
      <c r="A3877" t="s" s="11">
        <v>19648</v>
      </c>
      <c r="B3877" t="s" s="11">
        <v>19649</v>
      </c>
      <c r="C3877" t="s" s="11">
        <v>60</v>
      </c>
      <c r="D3877" t="s" s="11">
        <v>246</v>
      </c>
      <c r="E3877" t="s" s="11">
        <v>137</v>
      </c>
      <c r="F3877" s="28">
        <v>44943</v>
      </c>
      <c r="G3877" t="s" s="11">
        <v>4267</v>
      </c>
      <c r="H3877" s="43">
        <v>0.24</v>
      </c>
      <c r="I3877" s="43">
        <v>1.38</v>
      </c>
      <c r="J3877" t="s" s="11">
        <v>19650</v>
      </c>
      <c r="K3877" t="s" s="11">
        <v>19651</v>
      </c>
      <c r="L3877" s="17">
        <f>HYPERLINK("http://www.sayf.money", "www.sayf.money")</f>
      </c>
      <c r="M3877" s="17">
        <f>HYPERLINK("https://my.pitchbook.com?c=494228-71", "View Company Online")</f>
      </c>
    </row>
    <row r="3878">
      <c r="A3878" t="s" s="10">
        <v>19653</v>
      </c>
      <c r="B3878" t="s" s="10">
        <v>19654</v>
      </c>
      <c r="C3878" t="s" s="10">
        <v>222</v>
      </c>
      <c r="D3878" t="s" s="10">
        <v>252</v>
      </c>
      <c r="E3878" t="s" s="10">
        <v>137</v>
      </c>
      <c r="F3878" s="27">
        <v>44908</v>
      </c>
      <c r="G3878" t="s" s="10">
        <v>48</v>
      </c>
      <c r="H3878" t="s" s="42">
        <v>30</v>
      </c>
      <c r="I3878" s="42">
        <v>1.35</v>
      </c>
      <c r="J3878" t="s" s="10">
        <v>19655</v>
      </c>
      <c r="K3878" t="s" s="10">
        <v>19656</v>
      </c>
      <c r="L3878" s="16">
        <f>HYPERLINK("http://www.taxchange.it", "www.taxchange.it")</f>
      </c>
      <c r="M3878" s="16">
        <f>HYPERLINK("https://my.pitchbook.com?c=434768-32", "View Company Online")</f>
      </c>
    </row>
    <row r="3879">
      <c r="A3879" t="s" s="11">
        <v>19658</v>
      </c>
      <c r="B3879" t="s" s="11">
        <v>19659</v>
      </c>
      <c r="C3879" t="s" s="11">
        <v>222</v>
      </c>
      <c r="D3879" t="s" s="11">
        <v>235</v>
      </c>
      <c r="E3879" t="s" s="11">
        <v>137</v>
      </c>
      <c r="F3879" s="28">
        <v>45931</v>
      </c>
      <c r="G3879" t="s" s="11">
        <v>146</v>
      </c>
      <c r="H3879" s="43">
        <v>1.3</v>
      </c>
      <c r="I3879" s="43">
        <v>1.33</v>
      </c>
      <c r="J3879" t="s" s="11">
        <v>19660</v>
      </c>
      <c r="K3879" t="s" s="11">
        <v>19661</v>
      </c>
      <c r="L3879" s="17">
        <f>HYPERLINK("http://www.project.liftwomen.com", "www.project.liftwomen.com")</f>
      </c>
      <c r="M3879" s="17">
        <f>HYPERLINK("https://my.pitchbook.com?c=509599-81", "View Company Online")</f>
      </c>
    </row>
    <row r="3880">
      <c r="A3880" t="s" s="10">
        <v>19663</v>
      </c>
      <c r="B3880" t="s" s="10">
        <v>19664</v>
      </c>
      <c r="C3880" t="s" s="10">
        <v>164</v>
      </c>
      <c r="D3880" t="s" s="10">
        <v>206</v>
      </c>
      <c r="E3880" t="s" s="10">
        <v>634</v>
      </c>
      <c r="F3880" s="27">
        <v>45463</v>
      </c>
      <c r="G3880" t="s" s="10">
        <v>146</v>
      </c>
      <c r="H3880" s="42">
        <v>0.15</v>
      </c>
      <c r="I3880" s="42">
        <v>1.33</v>
      </c>
      <c r="J3880" t="s" s="10">
        <v>19665</v>
      </c>
      <c r="K3880" t="s" s="10">
        <v>19666</v>
      </c>
      <c r="L3880" s="16">
        <f>HYPERLINK("http://www.metisintel.in", "www.metisintel.in")</f>
      </c>
      <c r="M3880" s="16">
        <f>HYPERLINK("https://my.pitchbook.com?c=606555-82", "View Company Online")</f>
      </c>
    </row>
    <row r="3881">
      <c r="A3881" t="s" s="11">
        <v>19668</v>
      </c>
      <c r="B3881" t="s" s="11">
        <v>19669</v>
      </c>
      <c r="C3881" t="s" s="11">
        <v>164</v>
      </c>
      <c r="D3881" t="s" s="11">
        <v>165</v>
      </c>
      <c r="E3881" t="s" s="11">
        <v>137</v>
      </c>
      <c r="F3881" s="28">
        <v>45717</v>
      </c>
      <c r="G3881" t="s" s="11">
        <v>146</v>
      </c>
      <c r="H3881" s="43">
        <v>0.26</v>
      </c>
      <c r="I3881" s="43">
        <v>1.32</v>
      </c>
      <c r="J3881" t="s" s="11">
        <v>19670</v>
      </c>
      <c r="K3881" t="s" s="11">
        <v>19671</v>
      </c>
      <c r="L3881" s="17">
        <f>HYPERLINK("http://easy-tech.co.jp", "easy-tech.co.jp")</f>
      </c>
      <c r="M3881" s="17">
        <f>HYPERLINK("https://my.pitchbook.com?c=537555-61", "View Company Online")</f>
      </c>
    </row>
    <row r="3882">
      <c r="A3882" t="s" s="10">
        <v>19673</v>
      </c>
      <c r="B3882" t="s" s="10">
        <v>19674</v>
      </c>
      <c r="C3882" t="s" s="10">
        <v>60</v>
      </c>
      <c r="D3882" t="s" s="10">
        <v>192</v>
      </c>
      <c r="E3882" t="s" s="10">
        <v>137</v>
      </c>
      <c r="F3882" s="27">
        <v>45944</v>
      </c>
      <c r="G3882" t="s" s="10">
        <v>146</v>
      </c>
      <c r="H3882" s="42">
        <v>0.33</v>
      </c>
      <c r="I3882" s="42">
        <v>1.32</v>
      </c>
      <c r="J3882" t="s" s="10">
        <v>19675</v>
      </c>
      <c r="K3882" t="s" s="10">
        <v>19676</v>
      </c>
      <c r="L3882" s="16">
        <f>HYPERLINK("http://www.inaam.me", "www.inaam.me")</f>
      </c>
      <c r="M3882" s="16">
        <f>HYPERLINK("https://my.pitchbook.com?c=1153405-99", "View Company Online")</f>
      </c>
    </row>
    <row r="3883">
      <c r="A3883" t="s" s="11">
        <v>19678</v>
      </c>
      <c r="B3883" t="s" s="11">
        <v>19679</v>
      </c>
      <c r="C3883" t="s" s="11">
        <v>60</v>
      </c>
      <c r="D3883" t="s" s="11">
        <v>246</v>
      </c>
      <c r="E3883" t="s" s="11">
        <v>270</v>
      </c>
      <c r="F3883" s="28">
        <v>45446</v>
      </c>
      <c r="G3883" t="s" s="11">
        <v>146</v>
      </c>
      <c r="H3883" t="s" s="43">
        <v>30</v>
      </c>
      <c r="I3883" s="43">
        <v>1.32</v>
      </c>
      <c r="J3883" t="s" s="11">
        <v>19680</v>
      </c>
      <c r="K3883" t="s" s="11">
        <v>19681</v>
      </c>
      <c r="L3883" s="17">
        <f>HYPERLINK("http://meuvista.com", "meuvista.com")</f>
      </c>
      <c r="M3883" s="17">
        <f>HYPERLINK("https://my.pitchbook.com?c=513362-35", "View Company Online")</f>
      </c>
    </row>
    <row r="3884">
      <c r="A3884" t="s" s="10">
        <v>19683</v>
      </c>
      <c r="B3884" t="s" s="10">
        <v>19684</v>
      </c>
      <c r="C3884" t="s" s="10">
        <v>114</v>
      </c>
      <c r="D3884" t="s" s="10">
        <v>136</v>
      </c>
      <c r="E3884" t="s" s="10">
        <v>137</v>
      </c>
      <c r="F3884" s="27">
        <v>45726</v>
      </c>
      <c r="G3884" t="s" s="10">
        <v>4267</v>
      </c>
      <c r="H3884" s="42">
        <v>0.23</v>
      </c>
      <c r="I3884" s="42">
        <v>1.31</v>
      </c>
      <c r="J3884" t="s" s="10">
        <v>19685</v>
      </c>
      <c r="K3884" t="s" s="10">
        <v>19686</v>
      </c>
      <c r="L3884" s="16">
        <f>HYPERLINK("http://www.neoble.in", "www.neoble.in")</f>
      </c>
      <c r="M3884" s="16">
        <f>HYPERLINK("https://my.pitchbook.com?c=601712-20", "View Company Online")</f>
      </c>
    </row>
    <row r="3885">
      <c r="A3885" t="s" s="11">
        <v>19688</v>
      </c>
      <c r="B3885" t="s" s="11">
        <v>19689</v>
      </c>
      <c r="C3885" t="s" s="11">
        <v>164</v>
      </c>
      <c r="D3885" t="s" s="11">
        <v>206</v>
      </c>
      <c r="E3885" t="s" s="11">
        <v>270</v>
      </c>
      <c r="F3885" s="28">
        <v>44953</v>
      </c>
      <c r="G3885" t="s" s="11">
        <v>607</v>
      </c>
      <c r="H3885" t="s" s="43">
        <v>30</v>
      </c>
      <c r="I3885" s="43">
        <v>1.3</v>
      </c>
      <c r="J3885" t="s" s="11">
        <v>19690</v>
      </c>
      <c r="K3885" t="s" s="11">
        <v>19691</v>
      </c>
      <c r="L3885" s="17">
        <f>HYPERLINK("http://www.textnpayme.com", "www.textnpayme.com")</f>
      </c>
      <c r="M3885" s="17">
        <f>HYPERLINK("https://my.pitchbook.com?c=522017-92", "View Company Online")</f>
      </c>
    </row>
    <row r="3886">
      <c r="A3886" t="s" s="10">
        <v>19693</v>
      </c>
      <c r="B3886" t="s" s="10">
        <v>19694</v>
      </c>
      <c r="C3886" t="s" s="10">
        <v>128</v>
      </c>
      <c r="D3886" t="s" s="10">
        <v>276</v>
      </c>
      <c r="E3886" t="s" s="10">
        <v>137</v>
      </c>
      <c r="F3886" s="27">
        <v>45418</v>
      </c>
      <c r="G3886" t="s" s="10">
        <v>607</v>
      </c>
      <c r="H3886" t="s" s="42">
        <v>30</v>
      </c>
      <c r="I3886" s="42">
        <v>1.3</v>
      </c>
      <c r="J3886" t="s" s="10">
        <v>19695</v>
      </c>
      <c r="K3886" t="s" s="10">
        <v>19696</v>
      </c>
      <c r="L3886" s="16">
        <f>HYPERLINK("http://www.tipascrxipt.com", "www.tipascrxipt.com")</f>
      </c>
      <c r="M3886" s="16">
        <f>HYPERLINK("https://my.pitchbook.com?c=483132-88", "View Company Online")</f>
      </c>
    </row>
    <row r="3887">
      <c r="A3887" t="s" s="11">
        <v>19698</v>
      </c>
      <c r="B3887" t="s" s="11">
        <v>19699</v>
      </c>
      <c r="C3887" t="s" s="11">
        <v>114</v>
      </c>
      <c r="D3887" t="s" s="11">
        <v>136</v>
      </c>
      <c r="E3887" t="s" s="11">
        <v>623</v>
      </c>
      <c r="F3887" s="28">
        <v>44945</v>
      </c>
      <c r="G3887" t="s" s="11">
        <v>40</v>
      </c>
      <c r="H3887" t="s" s="43">
        <v>30</v>
      </c>
      <c r="I3887" s="43">
        <v>1.3</v>
      </c>
      <c r="J3887" t="s" s="11">
        <v>19700</v>
      </c>
      <c r="K3887" t="s" s="11">
        <v>19701</v>
      </c>
      <c r="L3887" s="17">
        <f>HYPERLINK("http://www.yotepresto.com", "www.yotepresto.com")</f>
      </c>
      <c r="M3887" s="17">
        <f>HYPERLINK("https://my.pitchbook.com?c=169841-08", "View Company Online")</f>
      </c>
    </row>
    <row r="3888">
      <c r="A3888" t="s" s="10">
        <v>19703</v>
      </c>
      <c r="B3888" t="s" s="10">
        <v>19704</v>
      </c>
      <c r="C3888" t="s" s="10">
        <v>46</v>
      </c>
      <c r="D3888" t="s" s="10">
        <v>397</v>
      </c>
      <c r="E3888" t="s" s="10">
        <v>253</v>
      </c>
      <c r="F3888" s="27">
        <v>44917</v>
      </c>
      <c r="G3888" t="s" s="10">
        <v>146</v>
      </c>
      <c r="H3888" s="42">
        <v>0.12</v>
      </c>
      <c r="I3888" s="42">
        <v>1.29</v>
      </c>
      <c r="J3888" t="s" s="10">
        <v>19705</v>
      </c>
      <c r="K3888" t="s" s="10">
        <v>19706</v>
      </c>
      <c r="L3888" s="16">
        <f>HYPERLINK("http://www.beso.work", "www.beso.work")</f>
      </c>
      <c r="M3888" s="16">
        <f>HYPERLINK("https://my.pitchbook.com?c=489227-14", "View Company Online")</f>
      </c>
    </row>
    <row r="3889">
      <c r="A3889" t="s" s="11">
        <v>19708</v>
      </c>
      <c r="B3889" t="s" s="11">
        <v>19709</v>
      </c>
      <c r="C3889" t="s" s="11">
        <v>27</v>
      </c>
      <c r="D3889" t="s" s="11">
        <v>122</v>
      </c>
      <c r="E3889" t="s" s="11">
        <v>373</v>
      </c>
      <c r="F3889" s="28">
        <v>46211</v>
      </c>
      <c r="G3889" t="s" s="11">
        <v>607</v>
      </c>
      <c r="H3889" t="s" s="43">
        <v>30</v>
      </c>
      <c r="I3889" s="43">
        <v>1.27</v>
      </c>
      <c r="J3889" t="s" s="11">
        <v>19710</v>
      </c>
      <c r="K3889" t="s" s="11">
        <v>19711</v>
      </c>
      <c r="L3889" s="17">
        <f>HYPERLINK("http://www.dodopayments.com", "www.dodopayments.com")</f>
      </c>
      <c r="M3889" s="17">
        <f>HYPERLINK("https://my.pitchbook.com?c=753163-66", "View Company Online")</f>
      </c>
    </row>
    <row r="3890">
      <c r="A3890" t="s" s="10">
        <v>19713</v>
      </c>
      <c r="B3890" t="s" s="10">
        <v>19714</v>
      </c>
      <c r="C3890" t="s" s="10">
        <v>164</v>
      </c>
      <c r="D3890" t="s" s="10">
        <v>206</v>
      </c>
      <c r="E3890" t="s" s="10">
        <v>19715</v>
      </c>
      <c r="F3890" s="27">
        <v>45457</v>
      </c>
      <c r="G3890" t="s" s="10">
        <v>40</v>
      </c>
      <c r="H3890" s="42">
        <v>2.4</v>
      </c>
      <c r="I3890" s="42">
        <v>1.27</v>
      </c>
      <c r="J3890" t="s" s="10">
        <v>19716</v>
      </c>
      <c r="K3890" t="s" s="10">
        <v>19717</v>
      </c>
      <c r="L3890" s="16">
        <f>HYPERLINK("http://www.entitled.co.in", "www.entitled.co.in")</f>
      </c>
      <c r="M3890" s="16">
        <f>HYPERLINK("https://my.pitchbook.com?c=501316-30", "View Company Online")</f>
      </c>
    </row>
    <row r="3891">
      <c r="A3891" t="s" s="11">
        <v>19719</v>
      </c>
      <c r="B3891" t="s" s="11">
        <v>19720</v>
      </c>
      <c r="C3891" t="s" s="11">
        <v>222</v>
      </c>
      <c r="D3891" t="s" s="11">
        <v>223</v>
      </c>
      <c r="E3891" t="s" s="11">
        <v>634</v>
      </c>
      <c r="F3891" t="s" s="28">
        <v>30</v>
      </c>
      <c r="G3891" t="s" s="11">
        <v>146</v>
      </c>
      <c r="H3891" t="s" s="43">
        <v>30</v>
      </c>
      <c r="I3891" s="43">
        <v>1.26</v>
      </c>
      <c r="J3891" t="s" s="11">
        <v>19721</v>
      </c>
      <c r="K3891" t="s" s="11">
        <v>19722</v>
      </c>
      <c r="L3891" s="17">
        <f>HYPERLINK("http://www.etymo.io", "www.etymo.io")</f>
      </c>
      <c r="M3891" s="17">
        <f>HYPERLINK("https://my.pitchbook.com?c=221891-23", "View Company Online")</f>
      </c>
    </row>
    <row r="3892">
      <c r="A3892" t="s" s="10">
        <v>19724</v>
      </c>
      <c r="B3892" t="s" s="10">
        <v>19725</v>
      </c>
      <c r="C3892" t="s" s="10">
        <v>164</v>
      </c>
      <c r="D3892" t="s" s="10">
        <v>165</v>
      </c>
      <c r="E3892" t="s" s="10">
        <v>1006</v>
      </c>
      <c r="F3892" t="s" s="27">
        <v>30</v>
      </c>
      <c r="G3892" t="s" s="10">
        <v>607</v>
      </c>
      <c r="H3892" t="s" s="42">
        <v>30</v>
      </c>
      <c r="I3892" s="42">
        <v>1.25</v>
      </c>
      <c r="J3892" t="s" s="10">
        <v>19726</v>
      </c>
      <c r="K3892" t="s" s="10">
        <v>19727</v>
      </c>
      <c r="L3892" s="16">
        <f>HYPERLINK("http://www.bankbuddy.ai", "www.bankbuddy.ai")</f>
      </c>
      <c r="M3892" s="16">
        <f>HYPERLINK("https://my.pitchbook.com?c=264557-26", "View Company Online")</f>
      </c>
    </row>
    <row r="3893">
      <c r="A3893" t="s" s="11">
        <v>19729</v>
      </c>
      <c r="B3893" t="s" s="11">
        <v>19730</v>
      </c>
      <c r="C3893" t="s" s="11">
        <v>60</v>
      </c>
      <c r="D3893" t="s" s="11">
        <v>192</v>
      </c>
      <c r="E3893" t="s" s="11">
        <v>116</v>
      </c>
      <c r="F3893" s="28">
        <v>43474</v>
      </c>
      <c r="G3893" t="s" s="11">
        <v>4267</v>
      </c>
      <c r="H3893" t="s" s="43">
        <v>30</v>
      </c>
      <c r="I3893" s="43">
        <v>1.25</v>
      </c>
      <c r="J3893" t="s" s="11">
        <v>19731</v>
      </c>
      <c r="K3893" t="s" s="11">
        <v>19732</v>
      </c>
      <c r="L3893" s="17">
        <f>HYPERLINK("http://www.cashcow.ai", "www.cashcow.ai")</f>
      </c>
      <c r="M3893" s="17">
        <f>HYPERLINK("https://my.pitchbook.com?c=226274-50", "View Company Online")</f>
      </c>
    </row>
    <row r="3894">
      <c r="A3894" t="s" s="10">
        <v>19734</v>
      </c>
      <c r="B3894" t="s" s="10">
        <v>19735</v>
      </c>
      <c r="C3894" t="s" s="10">
        <v>60</v>
      </c>
      <c r="D3894" t="s" s="10">
        <v>246</v>
      </c>
      <c r="E3894" t="s" s="10">
        <v>116</v>
      </c>
      <c r="F3894" t="s" s="27">
        <v>30</v>
      </c>
      <c r="G3894" t="s" s="10">
        <v>607</v>
      </c>
      <c r="H3894" t="s" s="42">
        <v>30</v>
      </c>
      <c r="I3894" s="42">
        <v>1.25</v>
      </c>
      <c r="J3894" t="s" s="10">
        <v>19736</v>
      </c>
      <c r="K3894" t="s" s="10">
        <v>19737</v>
      </c>
      <c r="L3894" s="16">
        <f>HYPERLINK("http://financekaart.com", "financekaart.com")</f>
      </c>
      <c r="M3894" s="16">
        <f>HYPERLINK("https://my.pitchbook.com?c=497439-64", "View Company Online")</f>
      </c>
    </row>
    <row r="3895">
      <c r="A3895" t="s" s="11">
        <v>19739</v>
      </c>
      <c r="B3895" t="s" s="11">
        <v>19740</v>
      </c>
      <c r="C3895" t="s" s="11">
        <v>164</v>
      </c>
      <c r="D3895" t="s" s="11">
        <v>206</v>
      </c>
      <c r="E3895" t="s" s="11">
        <v>29</v>
      </c>
      <c r="F3895" s="28">
        <v>45200</v>
      </c>
      <c r="G3895" t="s" s="11">
        <v>146</v>
      </c>
      <c r="H3895" t="s" s="43">
        <v>30</v>
      </c>
      <c r="I3895" s="43">
        <v>1.25</v>
      </c>
      <c r="J3895" t="s" s="11">
        <v>19741</v>
      </c>
      <c r="K3895" t="s" s="11">
        <v>19742</v>
      </c>
      <c r="L3895" s="17">
        <f>HYPERLINK("http://www.geneqty.com", "www.geneqty.com")</f>
      </c>
      <c r="M3895" s="17">
        <f>HYPERLINK("https://my.pitchbook.com?c=498309-31", "View Company Online")</f>
      </c>
    </row>
    <row r="3896">
      <c r="A3896" t="s" s="10">
        <v>19744</v>
      </c>
      <c r="B3896" t="s" s="10">
        <v>19745</v>
      </c>
      <c r="C3896" t="s" s="10">
        <v>144</v>
      </c>
      <c r="D3896" t="s" s="10">
        <v>297</v>
      </c>
      <c r="E3896" t="s" s="10">
        <v>193</v>
      </c>
      <c r="F3896" s="27">
        <v>46080</v>
      </c>
      <c r="G3896" t="s" s="10">
        <v>391</v>
      </c>
      <c r="H3896" s="42">
        <v>1.25</v>
      </c>
      <c r="I3896" s="42">
        <v>1.25</v>
      </c>
      <c r="J3896" t="s" s="10">
        <v>19746</v>
      </c>
      <c r="K3896" t="s" s="10">
        <v>30</v>
      </c>
      <c r="L3896" s="16">
        <f>HYPERLINK("http://www.m1xchange.com", "www.m1xchange.com")</f>
      </c>
      <c r="M3896" s="16">
        <f>HYPERLINK("https://my.pitchbook.com?c=264923-92", "View Company Online")</f>
      </c>
    </row>
    <row r="3897">
      <c r="A3897" t="s" s="11">
        <v>19748</v>
      </c>
      <c r="B3897" t="s" s="11">
        <v>19749</v>
      </c>
      <c r="C3897" t="s" s="11">
        <v>37</v>
      </c>
      <c r="D3897" t="s" s="11">
        <v>304</v>
      </c>
      <c r="E3897" t="s" s="11">
        <v>951</v>
      </c>
      <c r="F3897" s="28">
        <v>44501</v>
      </c>
      <c r="G3897" t="s" s="11">
        <v>4267</v>
      </c>
      <c r="H3897" s="43">
        <v>0.33</v>
      </c>
      <c r="I3897" s="43">
        <v>1.25</v>
      </c>
      <c r="J3897" t="s" s="11">
        <v>19750</v>
      </c>
      <c r="K3897" t="s" s="11">
        <v>19751</v>
      </c>
      <c r="L3897" s="17">
        <f>HYPERLINK("http://www.moneta.lk", "www.moneta.lk")</f>
      </c>
      <c r="M3897" s="17">
        <f>HYPERLINK("https://my.pitchbook.com?c=483377-86", "View Company Online")</f>
      </c>
    </row>
    <row r="3898">
      <c r="A3898" t="s" s="10">
        <v>19753</v>
      </c>
      <c r="B3898" t="s" s="10">
        <v>19754</v>
      </c>
      <c r="C3898" t="s" s="10">
        <v>144</v>
      </c>
      <c r="D3898" t="s" s="10">
        <v>297</v>
      </c>
      <c r="E3898" t="s" s="10">
        <v>137</v>
      </c>
      <c r="F3898" s="27">
        <v>46063</v>
      </c>
      <c r="G3898" t="s" s="10">
        <v>40</v>
      </c>
      <c r="H3898" s="42">
        <v>8</v>
      </c>
      <c r="I3898" s="42">
        <v>1.23</v>
      </c>
      <c r="J3898" t="s" s="10">
        <v>19755</v>
      </c>
      <c r="K3898" t="s" s="10">
        <v>19756</v>
      </c>
      <c r="L3898" s="16">
        <f>HYPERLINK("http://www.carefi.in", "www.carefi.in")</f>
      </c>
      <c r="M3898" s="16">
        <f>HYPERLINK("https://my.pitchbook.com?c=522514-36", "View Company Online")</f>
      </c>
    </row>
    <row r="3899">
      <c r="A3899" t="s" s="11">
        <v>19758</v>
      </c>
      <c r="B3899" t="s" s="11">
        <v>19759</v>
      </c>
      <c r="C3899" t="s" s="11">
        <v>114</v>
      </c>
      <c r="D3899" t="s" s="11">
        <v>136</v>
      </c>
      <c r="E3899" t="s" s="11">
        <v>193</v>
      </c>
      <c r="F3899" t="s" s="28">
        <v>30</v>
      </c>
      <c r="G3899" t="s" s="11">
        <v>48</v>
      </c>
      <c r="H3899" t="s" s="43">
        <v>30</v>
      </c>
      <c r="I3899" s="43">
        <v>1.23</v>
      </c>
      <c r="J3899" t="s" s="11">
        <v>19760</v>
      </c>
      <c r="K3899" t="s" s="11">
        <v>19761</v>
      </c>
      <c r="L3899" s="17">
        <f>HYPERLINK("http://www.cashkumar.com", "www.cashkumar.com")</f>
      </c>
      <c r="M3899" s="17">
        <f>HYPERLINK("https://my.pitchbook.com?c=105755-50", "View Company Online")</f>
      </c>
    </row>
    <row r="3900">
      <c r="A3900" t="s" s="10">
        <v>19763</v>
      </c>
      <c r="B3900" t="s" s="10">
        <v>19764</v>
      </c>
      <c r="C3900" t="s" s="10">
        <v>46</v>
      </c>
      <c r="D3900" t="s" s="10">
        <v>47</v>
      </c>
      <c r="E3900" t="s" s="10">
        <v>414</v>
      </c>
      <c r="F3900" s="27">
        <v>45974</v>
      </c>
      <c r="G3900" t="s" s="10">
        <v>146</v>
      </c>
      <c r="H3900" s="42">
        <v>0.23</v>
      </c>
      <c r="I3900" s="42">
        <v>1.23</v>
      </c>
      <c r="J3900" t="s" s="10">
        <v>19765</v>
      </c>
      <c r="K3900" t="s" s="10">
        <v>19766</v>
      </c>
      <c r="L3900" s="16">
        <f>HYPERLINK("http://www.welcount.com", "www.welcount.com")</f>
      </c>
      <c r="M3900" s="16">
        <f>HYPERLINK("https://my.pitchbook.com?c=553171-87", "View Company Online")</f>
      </c>
    </row>
    <row r="3901">
      <c r="A3901" t="s" s="11">
        <v>19768</v>
      </c>
      <c r="B3901" t="s" s="11">
        <v>19769</v>
      </c>
      <c r="C3901" t="s" s="11">
        <v>128</v>
      </c>
      <c r="D3901" t="s" s="11">
        <v>129</v>
      </c>
      <c r="E3901" t="s" s="11">
        <v>253</v>
      </c>
      <c r="F3901" s="28">
        <v>45166</v>
      </c>
      <c r="G3901" t="s" s="11">
        <v>4267</v>
      </c>
      <c r="H3901" t="s" s="43">
        <v>30</v>
      </c>
      <c r="I3901" s="43">
        <v>1.22</v>
      </c>
      <c r="J3901" t="s" s="11">
        <v>19770</v>
      </c>
      <c r="K3901" t="s" s="11">
        <v>19771</v>
      </c>
      <c r="L3901" s="17">
        <f>HYPERLINK("http://www.gokind.co", "www.gokind.co")</f>
      </c>
      <c r="M3901" s="17">
        <f>HYPERLINK("https://my.pitchbook.com?c=493707-07", "View Company Online")</f>
      </c>
    </row>
    <row r="3902">
      <c r="A3902" t="s" s="10">
        <v>19773</v>
      </c>
      <c r="B3902" t="s" s="10">
        <v>19774</v>
      </c>
      <c r="C3902" t="s" s="10">
        <v>60</v>
      </c>
      <c r="D3902" t="s" s="10">
        <v>246</v>
      </c>
      <c r="E3902" t="s" s="10">
        <v>145</v>
      </c>
      <c r="F3902" t="s" s="27">
        <v>30</v>
      </c>
      <c r="G3902" t="s" s="10">
        <v>607</v>
      </c>
      <c r="H3902" t="s" s="42">
        <v>30</v>
      </c>
      <c r="I3902" s="42">
        <v>1.2</v>
      </c>
      <c r="J3902" t="s" s="10">
        <v>19775</v>
      </c>
      <c r="K3902" t="s" s="10">
        <v>19776</v>
      </c>
      <c r="L3902" s="16">
        <f>HYPERLINK("http://www.algobulls.com", "www.algobulls.com")</f>
      </c>
      <c r="M3902" s="16">
        <f>HYPERLINK("https://my.pitchbook.com?c=303378-58", "View Company Online")</f>
      </c>
    </row>
    <row r="3903">
      <c r="A3903" t="s" s="11">
        <v>19778</v>
      </c>
      <c r="B3903" t="s" s="11">
        <v>19779</v>
      </c>
      <c r="C3903" t="s" s="11">
        <v>172</v>
      </c>
      <c r="D3903" t="s" s="11">
        <v>338</v>
      </c>
      <c r="E3903" t="s" s="11">
        <v>634</v>
      </c>
      <c r="F3903" s="28">
        <v>45983</v>
      </c>
      <c r="G3903" t="s" s="11">
        <v>4267</v>
      </c>
      <c r="H3903" s="43">
        <v>0.3</v>
      </c>
      <c r="I3903" s="43">
        <v>1.2</v>
      </c>
      <c r="J3903" t="s" s="11">
        <v>19780</v>
      </c>
      <c r="K3903" t="s" s="11">
        <v>19781</v>
      </c>
      <c r="L3903" s="17">
        <f>HYPERLINK("http://www.datox.ai", "www.datox.ai")</f>
      </c>
      <c r="M3903" s="17">
        <f>HYPERLINK("https://my.pitchbook.com?c=644808-25", "View Company Online")</f>
      </c>
    </row>
    <row r="3904">
      <c r="A3904" t="s" s="10">
        <v>19783</v>
      </c>
      <c r="B3904" t="s" s="10">
        <v>19784</v>
      </c>
      <c r="C3904" t="s" s="10">
        <v>222</v>
      </c>
      <c r="D3904" t="s" s="10">
        <v>223</v>
      </c>
      <c r="E3904" t="s" s="10">
        <v>253</v>
      </c>
      <c r="F3904" s="27">
        <v>45106</v>
      </c>
      <c r="G3904" t="s" s="10">
        <v>4267</v>
      </c>
      <c r="H3904" s="42">
        <v>0.12</v>
      </c>
      <c r="I3904" s="42">
        <v>1.2</v>
      </c>
      <c r="J3904" t="s" s="10">
        <v>19785</v>
      </c>
      <c r="K3904" t="s" s="10">
        <v>30</v>
      </c>
      <c r="L3904" s="16">
        <f>HYPERLINK("http://www.invalue.io", "www.invalue.io")</f>
      </c>
      <c r="M3904" s="16">
        <f>HYPERLINK("https://my.pitchbook.com?c=530267-05", "View Company Online")</f>
      </c>
    </row>
    <row r="3905">
      <c r="A3905" t="s" s="11">
        <v>19787</v>
      </c>
      <c r="B3905" t="s" s="11">
        <v>19788</v>
      </c>
      <c r="C3905" t="s" s="11">
        <v>27</v>
      </c>
      <c r="D3905" t="s" s="11">
        <v>28</v>
      </c>
      <c r="E3905" t="s" s="11">
        <v>1054</v>
      </c>
      <c r="F3905" s="28">
        <v>44606</v>
      </c>
      <c r="G3905" t="s" s="11">
        <v>40</v>
      </c>
      <c r="H3905" s="43">
        <v>0.69</v>
      </c>
      <c r="I3905" s="43">
        <v>1.2</v>
      </c>
      <c r="J3905" t="s" s="11">
        <v>19789</v>
      </c>
      <c r="K3905" t="s" s="11">
        <v>19790</v>
      </c>
      <c r="L3905" s="17">
        <f>HYPERLINK("http://www.paybee.io", "www.paybee.io")</f>
      </c>
      <c r="M3905" s="17">
        <f>HYPERLINK("https://my.pitchbook.com?c=264851-11", "View Company Online")</f>
      </c>
    </row>
    <row r="3906">
      <c r="A3906" t="s" s="10">
        <v>19792</v>
      </c>
      <c r="B3906" t="s" s="10">
        <v>19793</v>
      </c>
      <c r="C3906" t="s" s="10">
        <v>128</v>
      </c>
      <c r="D3906" t="s" s="10">
        <v>129</v>
      </c>
      <c r="E3906" t="s" s="10">
        <v>193</v>
      </c>
      <c r="F3906" s="27">
        <v>45930</v>
      </c>
      <c r="G3906" t="s" s="10">
        <v>4267</v>
      </c>
      <c r="H3906" s="42">
        <v>1</v>
      </c>
      <c r="I3906" s="42">
        <v>1.18</v>
      </c>
      <c r="J3906" t="s" s="10">
        <v>19794</v>
      </c>
      <c r="K3906" t="s" s="10">
        <v>19795</v>
      </c>
      <c r="L3906" s="16">
        <f>HYPERLINK("http://www.flizpay.de", "www.flizpay.de")</f>
      </c>
      <c r="M3906" s="16">
        <f>HYPERLINK("https://my.pitchbook.com?c=539826-22", "View Company Online")</f>
      </c>
    </row>
    <row r="3907">
      <c r="A3907" t="s" s="11">
        <v>19797</v>
      </c>
      <c r="B3907" t="s" s="11">
        <v>19798</v>
      </c>
      <c r="C3907" t="s" s="11">
        <v>60</v>
      </c>
      <c r="D3907" t="s" s="11">
        <v>246</v>
      </c>
      <c r="E3907" t="s" s="11">
        <v>2581</v>
      </c>
      <c r="F3907" s="28">
        <v>43924</v>
      </c>
      <c r="G3907" t="s" s="11">
        <v>4267</v>
      </c>
      <c r="H3907" s="43">
        <v>0.06</v>
      </c>
      <c r="I3907" s="43">
        <v>1.18</v>
      </c>
      <c r="J3907" t="s" s="11">
        <v>19799</v>
      </c>
      <c r="K3907" t="s" s="11">
        <v>19800</v>
      </c>
      <c r="L3907" s="17">
        <f>HYPERLINK("http://www.rateswitch.uk", "www.rateswitch.uk")</f>
      </c>
      <c r="M3907" s="17">
        <f>HYPERLINK("https://my.pitchbook.com?c=267022-18", "View Company Online")</f>
      </c>
    </row>
    <row r="3908">
      <c r="A3908" t="s" s="10">
        <v>19802</v>
      </c>
      <c r="B3908" t="s" s="10">
        <v>19803</v>
      </c>
      <c r="C3908" t="s" s="10">
        <v>114</v>
      </c>
      <c r="D3908" t="s" s="10">
        <v>870</v>
      </c>
      <c r="E3908" t="s" s="10">
        <v>6058</v>
      </c>
      <c r="F3908" t="s" s="27">
        <v>30</v>
      </c>
      <c r="G3908" t="s" s="10">
        <v>607</v>
      </c>
      <c r="H3908" t="s" s="42">
        <v>30</v>
      </c>
      <c r="I3908" s="42">
        <v>1.18</v>
      </c>
      <c r="J3908" t="s" s="10">
        <v>19804</v>
      </c>
      <c r="K3908" t="s" s="10">
        <v>19805</v>
      </c>
      <c r="L3908" s="16">
        <f>HYPERLINK("http://www.greymattertech.in", "www.greymattertech.in")</f>
      </c>
      <c r="M3908" s="16">
        <f>HYPERLINK("https://my.pitchbook.com?c=503322-58", "View Company Online")</f>
      </c>
    </row>
    <row r="3909">
      <c r="A3909" t="s" s="11">
        <v>19807</v>
      </c>
      <c r="B3909" t="s" s="11">
        <v>19808</v>
      </c>
      <c r="C3909" t="s" s="11">
        <v>27</v>
      </c>
      <c r="D3909" t="s" s="11">
        <v>28</v>
      </c>
      <c r="E3909" t="s" s="11">
        <v>270</v>
      </c>
      <c r="F3909" s="28">
        <v>45979</v>
      </c>
      <c r="G3909" t="s" s="11">
        <v>138</v>
      </c>
      <c r="H3909" t="s" s="43">
        <v>30</v>
      </c>
      <c r="I3909" s="43">
        <v>1.17</v>
      </c>
      <c r="J3909" t="s" s="11">
        <v>19809</v>
      </c>
      <c r="K3909" t="s" s="11">
        <v>30</v>
      </c>
      <c r="L3909" s="17">
        <f>HYPERLINK("http://www.mycampuscard.com", "www.mycampuscard.com")</f>
      </c>
      <c r="M3909" s="17">
        <f>HYPERLINK("https://my.pitchbook.com?c=454830-04", "View Company Online")</f>
      </c>
    </row>
    <row r="3910">
      <c r="A3910" t="s" s="10">
        <v>19811</v>
      </c>
      <c r="B3910" t="s" s="10">
        <v>19812</v>
      </c>
      <c r="C3910" t="s" s="10">
        <v>46</v>
      </c>
      <c r="D3910" t="s" s="10">
        <v>47</v>
      </c>
      <c r="E3910" t="s" s="10">
        <v>253</v>
      </c>
      <c r="F3910" s="27">
        <v>45405</v>
      </c>
      <c r="G3910" t="s" s="10">
        <v>40</v>
      </c>
      <c r="H3910" t="s" s="42">
        <v>30</v>
      </c>
      <c r="I3910" s="42">
        <v>1.17</v>
      </c>
      <c r="J3910" t="s" s="10">
        <v>19813</v>
      </c>
      <c r="K3910" t="s" s="10">
        <v>18237</v>
      </c>
      <c r="L3910" s="16">
        <f>HYPERLINK("http://www.eemel.com", "www.eemel.com")</f>
      </c>
      <c r="M3910" s="16">
        <f>HYPERLINK("https://my.pitchbook.com?c=596801-71", "View Company Online")</f>
      </c>
    </row>
    <row r="3911">
      <c r="A3911" t="s" s="11">
        <v>19815</v>
      </c>
      <c r="B3911" t="s" s="11">
        <v>19816</v>
      </c>
      <c r="C3911" t="s" s="11">
        <v>27</v>
      </c>
      <c r="D3911" t="s" s="11">
        <v>28</v>
      </c>
      <c r="E3911" t="s" s="11">
        <v>19817</v>
      </c>
      <c r="F3911" s="28">
        <v>44947</v>
      </c>
      <c r="G3911" t="s" s="11">
        <v>4267</v>
      </c>
      <c r="H3911" s="43">
        <v>0.17</v>
      </c>
      <c r="I3911" s="43">
        <v>1.16</v>
      </c>
      <c r="J3911" t="s" s="11">
        <v>19818</v>
      </c>
      <c r="K3911" t="s" s="11">
        <v>19819</v>
      </c>
      <c r="L3911" s="17">
        <f>HYPERLINK("http://www.zingnow.in", "www.zingnow.in")</f>
      </c>
      <c r="M3911" s="17">
        <f>HYPERLINK("https://my.pitchbook.com?c=518860-09", "View Company Online")</f>
      </c>
    </row>
    <row r="3912">
      <c r="A3912" t="s" s="10">
        <v>19821</v>
      </c>
      <c r="B3912" t="s" s="10">
        <v>19822</v>
      </c>
      <c r="C3912" t="s" s="10">
        <v>60</v>
      </c>
      <c r="D3912" t="s" s="10">
        <v>192</v>
      </c>
      <c r="E3912" t="s" s="10">
        <v>2782</v>
      </c>
      <c r="F3912" s="27">
        <v>43983</v>
      </c>
      <c r="G3912" t="s" s="10">
        <v>2651</v>
      </c>
      <c r="H3912" s="42">
        <v>0.06</v>
      </c>
      <c r="I3912" s="42">
        <v>1.15</v>
      </c>
      <c r="J3912" t="s" s="10">
        <v>19823</v>
      </c>
      <c r="K3912" t="s" s="10">
        <v>19824</v>
      </c>
      <c r="L3912" s="16">
        <f>HYPERLINK("http://www.rentchief.co.uk", "www.rentchief.co.uk")</f>
      </c>
      <c r="M3912" s="16">
        <f>HYPERLINK("https://my.pitchbook.com?c=267186-07", "View Company Online")</f>
      </c>
    </row>
    <row r="3913">
      <c r="A3913" t="s" s="11">
        <v>19826</v>
      </c>
      <c r="B3913" t="s" s="11">
        <v>19827</v>
      </c>
      <c r="C3913" t="s" s="11">
        <v>60</v>
      </c>
      <c r="D3913" t="s" s="11">
        <v>727</v>
      </c>
      <c r="E3913" t="s" s="11">
        <v>2782</v>
      </c>
      <c r="F3913" s="28">
        <v>43687</v>
      </c>
      <c r="G3913" t="s" s="11">
        <v>146</v>
      </c>
      <c r="H3913" s="43">
        <v>0.15</v>
      </c>
      <c r="I3913" s="43">
        <v>1.13</v>
      </c>
      <c r="J3913" t="s" s="11">
        <v>19828</v>
      </c>
      <c r="K3913" t="s" s="11">
        <v>19829</v>
      </c>
      <c r="L3913" s="17">
        <f>HYPERLINK("http://www.vairt.com", "www.vairt.com")</f>
      </c>
      <c r="M3913" s="17">
        <f>HYPERLINK("https://my.pitchbook.com?c=268579-90", "View Company Online")</f>
      </c>
    </row>
    <row r="3914">
      <c r="A3914" t="s" s="10">
        <v>19831</v>
      </c>
      <c r="B3914" t="s" s="10">
        <v>19832</v>
      </c>
      <c r="C3914" t="s" s="10">
        <v>46</v>
      </c>
      <c r="D3914" t="s" s="10">
        <v>47</v>
      </c>
      <c r="E3914" t="s" s="10">
        <v>193</v>
      </c>
      <c r="F3914" s="27">
        <v>44197</v>
      </c>
      <c r="G3914" t="s" s="10">
        <v>391</v>
      </c>
      <c r="H3914" t="s" s="42">
        <v>30</v>
      </c>
      <c r="I3914" s="42">
        <v>1.11</v>
      </c>
      <c r="J3914" t="s" s="10">
        <v>19833</v>
      </c>
      <c r="K3914" t="s" s="10">
        <v>30</v>
      </c>
      <c r="L3914" s="16">
        <f>HYPERLINK("http://www.finly.io", "www.finly.io")</f>
      </c>
      <c r="M3914" s="16">
        <f>HYPERLINK("https://my.pitchbook.com?c=170953-30", "View Company Online")</f>
      </c>
    </row>
    <row r="3915">
      <c r="A3915" t="s" s="11">
        <v>19835</v>
      </c>
      <c r="B3915" t="s" s="11">
        <v>19836</v>
      </c>
      <c r="C3915" t="s" s="11">
        <v>27</v>
      </c>
      <c r="D3915" t="s" s="11">
        <v>28</v>
      </c>
      <c r="E3915" t="s" s="11">
        <v>1054</v>
      </c>
      <c r="F3915" t="s" s="28">
        <v>30</v>
      </c>
      <c r="G3915" t="s" s="11">
        <v>40</v>
      </c>
      <c r="H3915" t="s" s="43">
        <v>30</v>
      </c>
      <c r="I3915" s="43">
        <v>1.11</v>
      </c>
      <c r="J3915" t="s" s="11">
        <v>19837</v>
      </c>
      <c r="K3915" t="s" s="11">
        <v>19838</v>
      </c>
      <c r="L3915" s="17">
        <f>HYPERLINK("http://www.tastier.ch", "www.tastier.ch")</f>
      </c>
      <c r="M3915" s="17">
        <f>HYPERLINK("https://my.pitchbook.com?c=155783-53", "View Company Online")</f>
      </c>
    </row>
    <row r="3916">
      <c r="A3916" t="s" s="10">
        <v>19840</v>
      </c>
      <c r="B3916" t="s" s="10">
        <v>19841</v>
      </c>
      <c r="C3916" t="s" s="10">
        <v>46</v>
      </c>
      <c r="D3916" t="s" s="10">
        <v>47</v>
      </c>
      <c r="E3916" t="s" s="10">
        <v>253</v>
      </c>
      <c r="F3916" s="27">
        <v>43905</v>
      </c>
      <c r="G3916" t="s" s="10">
        <v>146</v>
      </c>
      <c r="H3916" s="42">
        <v>0.1</v>
      </c>
      <c r="I3916" s="42">
        <v>1.1</v>
      </c>
      <c r="J3916" t="s" s="10">
        <v>19842</v>
      </c>
      <c r="K3916" t="s" s="10">
        <v>19843</v>
      </c>
      <c r="L3916" s="16">
        <f>HYPERLINK("http://www.roster.hr", "www.roster.hr")</f>
      </c>
      <c r="M3916" s="16">
        <f>HYPERLINK("https://my.pitchbook.com?c=433249-03", "View Company Online")</f>
      </c>
    </row>
    <row r="3917">
      <c r="A3917" t="s" s="11">
        <v>19845</v>
      </c>
      <c r="B3917" t="s" s="11">
        <v>19846</v>
      </c>
      <c r="C3917" t="s" s="11">
        <v>46</v>
      </c>
      <c r="D3917" t="s" s="11">
        <v>397</v>
      </c>
      <c r="E3917" t="s" s="11">
        <v>193</v>
      </c>
      <c r="F3917" s="28">
        <v>44907</v>
      </c>
      <c r="G3917" t="s" s="11">
        <v>607</v>
      </c>
      <c r="H3917" t="s" s="43">
        <v>30</v>
      </c>
      <c r="I3917" s="43">
        <v>1.1</v>
      </c>
      <c r="J3917" t="s" s="11">
        <v>19847</v>
      </c>
      <c r="K3917" t="s" s="11">
        <v>19848</v>
      </c>
      <c r="L3917" s="17">
        <f>HYPERLINK("http://www.taxumo.com", "www.taxumo.com")</f>
      </c>
      <c r="M3917" s="17">
        <f>HYPERLINK("https://my.pitchbook.com?c=470542-06", "View Company Online")</f>
      </c>
    </row>
    <row r="3918">
      <c r="A3918" t="s" s="10">
        <v>19850</v>
      </c>
      <c r="B3918" t="s" s="10">
        <v>19851</v>
      </c>
      <c r="C3918" t="s" s="10">
        <v>60</v>
      </c>
      <c r="D3918" t="s" s="10">
        <v>432</v>
      </c>
      <c r="E3918" t="s" s="10">
        <v>137</v>
      </c>
      <c r="F3918" s="27">
        <v>44553</v>
      </c>
      <c r="G3918" t="s" s="10">
        <v>4267</v>
      </c>
      <c r="H3918" s="42">
        <v>0.25</v>
      </c>
      <c r="I3918" s="42">
        <v>1.04</v>
      </c>
      <c r="J3918" t="s" s="10">
        <v>19852</v>
      </c>
      <c r="K3918" t="s" s="10">
        <v>19853</v>
      </c>
      <c r="L3918" s="16">
        <f>HYPERLINK("http://www.paisagrowth.in", "www.paisagrowth.in")</f>
      </c>
      <c r="M3918" s="16">
        <f>HYPERLINK("https://my.pitchbook.com?c=489444-13", "View Company Online")</f>
      </c>
    </row>
    <row r="3919">
      <c r="A3919" t="s" s="11">
        <v>19855</v>
      </c>
      <c r="B3919" t="s" s="11">
        <v>19856</v>
      </c>
      <c r="C3919" t="s" s="11">
        <v>60</v>
      </c>
      <c r="D3919" t="s" s="11">
        <v>432</v>
      </c>
      <c r="E3919" t="s" s="11">
        <v>414</v>
      </c>
      <c r="F3919" s="28">
        <v>45694</v>
      </c>
      <c r="G3919" t="s" s="11">
        <v>607</v>
      </c>
      <c r="H3919" s="43">
        <v>0.14</v>
      </c>
      <c r="I3919" s="43">
        <v>1.02</v>
      </c>
      <c r="J3919" t="s" s="11">
        <v>19857</v>
      </c>
      <c r="K3919" t="s" s="11">
        <v>15996</v>
      </c>
      <c r="L3919" s="17">
        <f>HYPERLINK("http://www.advisewell.co", "www.advisewell.co")</f>
      </c>
      <c r="M3919" s="17">
        <f>HYPERLINK("https://my.pitchbook.com?c=741903-67", "View Company Online")</f>
      </c>
    </row>
    <row r="3920">
      <c r="A3920" t="s" s="10">
        <v>19859</v>
      </c>
      <c r="B3920" t="s" s="10">
        <v>19860</v>
      </c>
      <c r="C3920" t="s" s="10">
        <v>46</v>
      </c>
      <c r="D3920" t="s" s="10">
        <v>47</v>
      </c>
      <c r="E3920" t="s" s="10">
        <v>253</v>
      </c>
      <c r="F3920" s="27">
        <v>44237</v>
      </c>
      <c r="G3920" t="s" s="10">
        <v>146</v>
      </c>
      <c r="H3920" t="s" s="42">
        <v>30</v>
      </c>
      <c r="I3920" s="42">
        <v>1.02</v>
      </c>
      <c r="J3920" t="s" s="10">
        <v>19861</v>
      </c>
      <c r="K3920" t="s" s="10">
        <v>19862</v>
      </c>
      <c r="L3920" s="16">
        <f>HYPERLINK("http://www.relay.ai", "www.relay.ai")</f>
      </c>
      <c r="M3920" s="16">
        <f>HYPERLINK("https://my.pitchbook.com?c=462882-79", "View Company Online")</f>
      </c>
    </row>
    <row r="3921">
      <c r="A3921" t="s" s="11">
        <v>19864</v>
      </c>
      <c r="B3921" t="s" s="11">
        <v>19865</v>
      </c>
      <c r="C3921" t="s" s="11">
        <v>144</v>
      </c>
      <c r="D3921" t="s" s="11">
        <v>297</v>
      </c>
      <c r="E3921" t="s" s="11">
        <v>7575</v>
      </c>
      <c r="F3921" s="28">
        <v>45616</v>
      </c>
      <c r="G3921" t="s" s="11">
        <v>607</v>
      </c>
      <c r="H3921" s="43">
        <v>0.05</v>
      </c>
      <c r="I3921" s="43">
        <v>1</v>
      </c>
      <c r="J3921" t="s" s="11">
        <v>19866</v>
      </c>
      <c r="K3921" t="s" s="11">
        <v>19867</v>
      </c>
      <c r="L3921" s="17">
        <f>HYPERLINK("http://agpreneur.com", "agpreneur.com")</f>
      </c>
      <c r="M3921" s="17">
        <f>HYPERLINK("https://my.pitchbook.com?c=719732-62", "View Company Online")</f>
      </c>
    </row>
    <row r="3922">
      <c r="A3922" t="s" s="10">
        <v>19869</v>
      </c>
      <c r="B3922" t="s" s="10">
        <v>19870</v>
      </c>
      <c r="C3922" t="s" s="10">
        <v>172</v>
      </c>
      <c r="D3922" t="s" s="10">
        <v>338</v>
      </c>
      <c r="E3922" t="s" s="10">
        <v>2678</v>
      </c>
      <c r="F3922" t="s" s="27">
        <v>30</v>
      </c>
      <c r="G3922" t="s" s="10">
        <v>48</v>
      </c>
      <c r="H3922" t="s" s="42">
        <v>30</v>
      </c>
      <c r="I3922" s="42">
        <v>1</v>
      </c>
      <c r="J3922" t="s" s="10">
        <v>19871</v>
      </c>
      <c r="K3922" t="s" s="10">
        <v>19872</v>
      </c>
      <c r="L3922" s="16">
        <f>HYPERLINK("http://www.banhji.com", "www.banhji.com")</f>
      </c>
      <c r="M3922" s="16">
        <f>HYPERLINK("https://my.pitchbook.com?c=163409-68", "View Company Online")</f>
      </c>
    </row>
    <row r="3923">
      <c r="A3923" t="s" s="11">
        <v>19874</v>
      </c>
      <c r="B3923" t="s" s="11">
        <v>19875</v>
      </c>
      <c r="C3923" t="s" s="11">
        <v>60</v>
      </c>
      <c r="D3923" t="s" s="11">
        <v>727</v>
      </c>
      <c r="E3923" t="s" s="11">
        <v>859</v>
      </c>
      <c r="F3923" t="s" s="28">
        <v>30</v>
      </c>
      <c r="G3923" t="s" s="11">
        <v>146</v>
      </c>
      <c r="H3923" t="s" s="43">
        <v>30</v>
      </c>
      <c r="I3923" s="43">
        <v>1</v>
      </c>
      <c r="J3923" t="s" s="11">
        <v>19876</v>
      </c>
      <c r="K3923" t="s" s="11">
        <v>19877</v>
      </c>
      <c r="L3923" s="17">
        <f>HYPERLINK("http://www.econommi.io", "www.econommi.io")</f>
      </c>
      <c r="M3923" s="17">
        <f>HYPERLINK("https://my.pitchbook.com?c=503118-91", "View Company Online")</f>
      </c>
    </row>
    <row r="3924">
      <c r="A3924" t="s" s="10">
        <v>19879</v>
      </c>
      <c r="B3924" t="s" s="10">
        <v>19880</v>
      </c>
      <c r="C3924" t="s" s="10">
        <v>222</v>
      </c>
      <c r="D3924" t="s" s="10">
        <v>223</v>
      </c>
      <c r="E3924" t="s" s="10">
        <v>19881</v>
      </c>
      <c r="F3924" s="27">
        <v>45566</v>
      </c>
      <c r="G3924" t="s" s="10">
        <v>40</v>
      </c>
      <c r="H3924" t="s" s="42">
        <v>30</v>
      </c>
      <c r="I3924" s="42">
        <v>1</v>
      </c>
      <c r="J3924" t="s" s="10">
        <v>19882</v>
      </c>
      <c r="K3924" t="s" s="10">
        <v>19883</v>
      </c>
      <c r="L3924" s="16">
        <f>HYPERLINK("http://www.emmi.io", "www.emmi.io")</f>
      </c>
      <c r="M3924" s="16">
        <f>HYPERLINK("https://my.pitchbook.com?c=467692-84", "View Company Online")</f>
      </c>
    </row>
    <row r="3925">
      <c r="A3925" t="s" s="11">
        <v>19885</v>
      </c>
      <c r="B3925" t="s" s="11">
        <v>19886</v>
      </c>
      <c r="C3925" t="s" s="11">
        <v>114</v>
      </c>
      <c r="D3925" t="s" s="11">
        <v>136</v>
      </c>
      <c r="E3925" t="s" s="11">
        <v>305</v>
      </c>
      <c r="F3925" s="28">
        <v>46066</v>
      </c>
      <c r="G3925" t="s" s="11">
        <v>40</v>
      </c>
      <c r="H3925" s="43">
        <v>11.2</v>
      </c>
      <c r="I3925" s="43">
        <v>1</v>
      </c>
      <c r="J3925" t="s" s="11">
        <v>19887</v>
      </c>
      <c r="K3925" t="s" s="11">
        <v>19888</v>
      </c>
      <c r="L3925" s="17">
        <f>HYPERLINK("http://www.lupiya.com", "www.lupiya.com")</f>
      </c>
      <c r="M3925" s="17">
        <f>HYPERLINK("https://my.pitchbook.com?c=436909-06", "View Company Online")</f>
      </c>
    </row>
    <row r="3926">
      <c r="A3926" t="s" s="10">
        <v>19890</v>
      </c>
      <c r="B3926" t="s" s="10">
        <v>19891</v>
      </c>
      <c r="C3926" t="s" s="10">
        <v>37</v>
      </c>
      <c r="D3926" t="s" s="10">
        <v>38</v>
      </c>
      <c r="E3926" t="s" s="10">
        <v>62</v>
      </c>
      <c r="F3926" s="27">
        <v>45888</v>
      </c>
      <c r="G3926" t="s" s="10">
        <v>146</v>
      </c>
      <c r="H3926" t="s" s="42">
        <v>30</v>
      </c>
      <c r="I3926" s="42">
        <v>1</v>
      </c>
      <c r="J3926" t="s" s="10">
        <v>19892</v>
      </c>
      <c r="K3926" t="s" s="10">
        <v>19893</v>
      </c>
      <c r="L3926" s="16">
        <f>HYPERLINK("http://www.moneco.app", "www.moneco.app")</f>
      </c>
      <c r="M3926" s="16">
        <f>HYPERLINK("https://my.pitchbook.com?c=501570-01", "View Company Online")</f>
      </c>
    </row>
    <row r="3927">
      <c r="A3927" t="s" s="11">
        <v>19895</v>
      </c>
      <c r="B3927" t="s" s="11">
        <v>19896</v>
      </c>
      <c r="C3927" t="s" s="11">
        <v>172</v>
      </c>
      <c r="D3927" t="s" s="11">
        <v>338</v>
      </c>
      <c r="E3927" t="s" s="11">
        <v>19897</v>
      </c>
      <c r="F3927" t="s" s="28">
        <v>30</v>
      </c>
      <c r="G3927" t="s" s="11">
        <v>607</v>
      </c>
      <c r="H3927" t="s" s="43">
        <v>30</v>
      </c>
      <c r="I3927" s="43">
        <v>1</v>
      </c>
      <c r="J3927" t="s" s="11">
        <v>19898</v>
      </c>
      <c r="K3927" t="s" s="11">
        <v>19899</v>
      </c>
      <c r="L3927" s="17">
        <f>HYPERLINK("http://www.solvent.io", "www.solvent.io")</f>
      </c>
      <c r="M3927" s="17">
        <f>HYPERLINK("https://my.pitchbook.com?c=277218-19", "View Company Online")</f>
      </c>
    </row>
    <row r="3928">
      <c r="A3928" t="s" s="10">
        <v>19901</v>
      </c>
      <c r="B3928" t="s" s="10">
        <v>19902</v>
      </c>
      <c r="C3928" t="s" s="10">
        <v>222</v>
      </c>
      <c r="D3928" t="s" s="10">
        <v>537</v>
      </c>
      <c r="E3928" t="s" s="10">
        <v>137</v>
      </c>
      <c r="F3928" s="27">
        <v>44378</v>
      </c>
      <c r="G3928" t="s" s="10">
        <v>146</v>
      </c>
      <c r="H3928" s="42">
        <v>2.5</v>
      </c>
      <c r="I3928" s="42">
        <v>1</v>
      </c>
      <c r="J3928" t="s" s="10">
        <v>19903</v>
      </c>
      <c r="K3928" t="s" s="10">
        <v>19904</v>
      </c>
      <c r="L3928" s="16">
        <f>HYPERLINK("http://www.torre.capital", "www.torre.capital")</f>
      </c>
      <c r="M3928" s="16">
        <f>HYPERLINK("https://my.pitchbook.com?c=339856-21", "View Company Online")</f>
      </c>
    </row>
    <row r="3929">
      <c r="A3929" t="s" s="11">
        <v>19906</v>
      </c>
      <c r="B3929" t="s" s="11">
        <v>19907</v>
      </c>
      <c r="C3929" t="s" s="11">
        <v>60</v>
      </c>
      <c r="D3929" t="s" s="11">
        <v>246</v>
      </c>
      <c r="E3929" t="s" s="11">
        <v>253</v>
      </c>
      <c r="F3929" s="28">
        <v>44951</v>
      </c>
      <c r="G3929" t="s" s="11">
        <v>4267</v>
      </c>
      <c r="H3929" s="43">
        <v>0.2</v>
      </c>
      <c r="I3929" s="43">
        <v>0.99</v>
      </c>
      <c r="J3929" t="s" s="11">
        <v>19908</v>
      </c>
      <c r="K3929" t="s" s="11">
        <v>19909</v>
      </c>
      <c r="L3929" s="17">
        <f>HYPERLINK("http://www.legacynext.in", "www.legacynext.in")</f>
      </c>
      <c r="M3929" s="17">
        <f>HYPERLINK("https://my.pitchbook.com?c=518947-48", "View Company Online")</f>
      </c>
    </row>
    <row r="3930">
      <c r="A3930" t="s" s="10">
        <v>19911</v>
      </c>
      <c r="B3930" t="s" s="10">
        <v>19912</v>
      </c>
      <c r="C3930" t="s" s="10">
        <v>37</v>
      </c>
      <c r="D3930" t="s" s="10">
        <v>304</v>
      </c>
      <c r="E3930" t="s" s="10">
        <v>270</v>
      </c>
      <c r="F3930" t="s" s="27">
        <v>30</v>
      </c>
      <c r="G3930" t="s" s="10">
        <v>607</v>
      </c>
      <c r="H3930" t="s" s="42">
        <v>30</v>
      </c>
      <c r="I3930" s="42">
        <v>0.98</v>
      </c>
      <c r="J3930" t="s" s="10">
        <v>19913</v>
      </c>
      <c r="K3930" t="s" s="10">
        <v>19914</v>
      </c>
      <c r="L3930" s="16">
        <f>HYPERLINK("http://www.flexisalary.co.in", "www.flexisalary.co.in")</f>
      </c>
      <c r="M3930" s="16">
        <f>HYPERLINK("https://my.pitchbook.com?c=466973-38", "View Company Online")</f>
      </c>
    </row>
    <row r="3931">
      <c r="A3931" t="s" s="11">
        <v>19916</v>
      </c>
      <c r="B3931" t="s" s="11">
        <v>19917</v>
      </c>
      <c r="C3931" t="s" s="11">
        <v>46</v>
      </c>
      <c r="D3931" t="s" s="11">
        <v>397</v>
      </c>
      <c r="E3931" t="s" s="11">
        <v>137</v>
      </c>
      <c r="F3931" s="28">
        <v>45406</v>
      </c>
      <c r="G3931" t="s" s="11">
        <v>607</v>
      </c>
      <c r="H3931" t="s" s="43">
        <v>30</v>
      </c>
      <c r="I3931" s="43">
        <v>0.92</v>
      </c>
      <c r="J3931" t="s" s="11">
        <v>19918</v>
      </c>
      <c r="K3931" t="s" s="11">
        <v>19919</v>
      </c>
      <c r="L3931" s="17">
        <f>HYPERLINK("http://web.lindapesa.com", "web.lindapesa.com")</f>
      </c>
      <c r="M3931" s="17">
        <f>HYPERLINK("https://my.pitchbook.com?c=519787-45", "View Company Online")</f>
      </c>
    </row>
    <row r="3932">
      <c r="A3932" t="s" s="10">
        <v>19921</v>
      </c>
      <c r="B3932" t="s" s="10">
        <v>19922</v>
      </c>
      <c r="C3932" t="s" s="10">
        <v>114</v>
      </c>
      <c r="D3932" t="s" s="10">
        <v>115</v>
      </c>
      <c r="E3932" t="s" s="10">
        <v>3433</v>
      </c>
      <c r="F3932" s="27">
        <v>45597</v>
      </c>
      <c r="G3932" t="s" s="10">
        <v>146</v>
      </c>
      <c r="H3932" s="42">
        <v>0.1</v>
      </c>
      <c r="I3932" s="42">
        <v>0.92</v>
      </c>
      <c r="J3932" t="s" s="10">
        <v>19923</v>
      </c>
      <c r="K3932" t="s" s="10">
        <v>19924</v>
      </c>
      <c r="L3932" s="16">
        <f>HYPERLINK("http://www.openteca.es", "www.openteca.es")</f>
      </c>
      <c r="M3932" s="16">
        <f>HYPERLINK("https://my.pitchbook.com?c=707829-31", "View Company Online")</f>
      </c>
    </row>
    <row r="3933">
      <c r="A3933" t="s" s="11">
        <v>19926</v>
      </c>
      <c r="B3933" t="s" s="11">
        <v>19927</v>
      </c>
      <c r="C3933" t="s" s="11">
        <v>114</v>
      </c>
      <c r="D3933" t="s" s="11">
        <v>136</v>
      </c>
      <c r="E3933" t="s" s="11">
        <v>270</v>
      </c>
      <c r="F3933" t="s" s="28">
        <v>30</v>
      </c>
      <c r="G3933" t="s" s="11">
        <v>607</v>
      </c>
      <c r="H3933" t="s" s="43">
        <v>30</v>
      </c>
      <c r="I3933" s="43">
        <v>0.92</v>
      </c>
      <c r="J3933" t="s" s="11">
        <v>19928</v>
      </c>
      <c r="K3933" t="s" s="11">
        <v>19929</v>
      </c>
      <c r="L3933" s="17">
        <f>HYPERLINK("http://www.phoneparloan.in", "www.phoneparloan.in")</f>
      </c>
      <c r="M3933" s="17">
        <f>HYPERLINK("https://my.pitchbook.com?c=126158-23", "View Company Online")</f>
      </c>
    </row>
    <row r="3934">
      <c r="A3934" t="s" s="10">
        <v>19931</v>
      </c>
      <c r="B3934" t="s" s="10">
        <v>19932</v>
      </c>
      <c r="C3934" t="s" s="10">
        <v>164</v>
      </c>
      <c r="D3934" t="s" s="10">
        <v>206</v>
      </c>
      <c r="E3934" t="s" s="10">
        <v>253</v>
      </c>
      <c r="F3934" s="27">
        <v>45444</v>
      </c>
      <c r="G3934" t="s" s="10">
        <v>146</v>
      </c>
      <c r="H3934" s="42">
        <v>0.15</v>
      </c>
      <c r="I3934" s="42">
        <v>0.91</v>
      </c>
      <c r="J3934" t="s" s="10">
        <v>19933</v>
      </c>
      <c r="K3934" t="s" s="10">
        <v>19934</v>
      </c>
      <c r="L3934" s="16">
        <f>HYPERLINK("http://www.deepvue.ai", "www.deepvue.ai")</f>
      </c>
      <c r="M3934" s="16">
        <f>HYPERLINK("https://my.pitchbook.com?c=600589-09", "View Company Online")</f>
      </c>
    </row>
    <row r="3935">
      <c r="A3935" t="s" s="11">
        <v>19936</v>
      </c>
      <c r="B3935" t="s" s="11">
        <v>19937</v>
      </c>
      <c r="C3935" t="s" s="11">
        <v>128</v>
      </c>
      <c r="D3935" t="s" s="11">
        <v>199</v>
      </c>
      <c r="E3935" t="s" s="11">
        <v>1800</v>
      </c>
      <c r="F3935" s="28">
        <v>45264</v>
      </c>
      <c r="G3935" t="s" s="11">
        <v>4267</v>
      </c>
      <c r="H3935" s="43">
        <v>0.07</v>
      </c>
      <c r="I3935" s="43">
        <v>0.85</v>
      </c>
      <c r="J3935" t="s" s="11">
        <v>19938</v>
      </c>
      <c r="K3935" t="s" s="11">
        <v>19939</v>
      </c>
      <c r="L3935" s="17">
        <f>HYPERLINK("http://www.babimo.com", "www.babimo.com")</f>
      </c>
      <c r="M3935" s="17">
        <f>HYPERLINK("https://my.pitchbook.com?c=539242-03", "View Company Online")</f>
      </c>
    </row>
    <row r="3936">
      <c r="A3936" t="s" s="10">
        <v>19941</v>
      </c>
      <c r="B3936" t="s" s="10">
        <v>19942</v>
      </c>
      <c r="C3936" t="s" s="10">
        <v>27</v>
      </c>
      <c r="D3936" t="s" s="10">
        <v>28</v>
      </c>
      <c r="E3936" t="s" s="10">
        <v>137</v>
      </c>
      <c r="F3936" s="27">
        <v>44333</v>
      </c>
      <c r="G3936" t="s" s="10">
        <v>138</v>
      </c>
      <c r="H3936" s="42">
        <v>0.47</v>
      </c>
      <c r="I3936" s="42">
        <v>0.85</v>
      </c>
      <c r="J3936" t="s" s="10">
        <v>19943</v>
      </c>
      <c r="K3936" t="s" s="10">
        <v>19944</v>
      </c>
      <c r="L3936" s="16">
        <f>HYPERLINK("http://www.betterpay.me", "www.betterpay.me")</f>
      </c>
      <c r="M3936" s="16">
        <f>HYPERLINK("https://my.pitchbook.com?c=465418-00", "View Company Online")</f>
      </c>
    </row>
    <row r="3937">
      <c r="A3937" t="s" s="11">
        <v>19946</v>
      </c>
      <c r="B3937" t="s" s="11">
        <v>19947</v>
      </c>
      <c r="C3937" t="s" s="11">
        <v>164</v>
      </c>
      <c r="D3937" t="s" s="11">
        <v>165</v>
      </c>
      <c r="E3937" t="s" s="11">
        <v>1826</v>
      </c>
      <c r="F3937" t="s" s="28">
        <v>30</v>
      </c>
      <c r="G3937" t="s" s="11">
        <v>48</v>
      </c>
      <c r="H3937" t="s" s="43">
        <v>30</v>
      </c>
      <c r="I3937" s="43">
        <v>0.8</v>
      </c>
      <c r="J3937" t="s" s="11">
        <v>19948</v>
      </c>
      <c r="K3937" t="s" s="11">
        <v>19949</v>
      </c>
      <c r="L3937" s="17">
        <f>HYPERLINK("http://www.optio.ai", "www.optio.ai")</f>
      </c>
      <c r="M3937" s="17">
        <f>HYPERLINK("https://my.pitchbook.com?c=172864-90", "View Company Online")</f>
      </c>
    </row>
    <row r="3938">
      <c r="A3938" t="s" s="10">
        <v>19951</v>
      </c>
      <c r="B3938" t="s" s="10">
        <v>19952</v>
      </c>
      <c r="C3938" t="s" s="10">
        <v>114</v>
      </c>
      <c r="D3938" t="s" s="10">
        <v>136</v>
      </c>
      <c r="E3938" t="s" s="10">
        <v>3433</v>
      </c>
      <c r="F3938" s="27">
        <v>44197</v>
      </c>
      <c r="G3938" t="s" s="10">
        <v>48</v>
      </c>
      <c r="H3938" t="s" s="42">
        <v>30</v>
      </c>
      <c r="I3938" s="42">
        <v>0.77</v>
      </c>
      <c r="J3938" t="s" s="10">
        <v>19953</v>
      </c>
      <c r="K3938" t="s" s="10">
        <v>19954</v>
      </c>
      <c r="L3938" s="16">
        <f>HYPERLINK("http://hashfinancialgroup.com", "hashfinancialgroup.com")</f>
      </c>
      <c r="M3938" s="16">
        <f>HYPERLINK("https://my.pitchbook.com?c=101437-57", "View Company Online")</f>
      </c>
    </row>
    <row r="3939">
      <c r="A3939" t="s" s="11">
        <v>19956</v>
      </c>
      <c r="B3939" t="s" s="11">
        <v>19957</v>
      </c>
      <c r="C3939" t="s" s="11">
        <v>60</v>
      </c>
      <c r="D3939" t="s" s="11">
        <v>246</v>
      </c>
      <c r="E3939" t="s" s="11">
        <v>19958</v>
      </c>
      <c r="F3939" s="28">
        <v>44728</v>
      </c>
      <c r="G3939" t="s" s="11">
        <v>607</v>
      </c>
      <c r="H3939" s="43">
        <v>0.03</v>
      </c>
      <c r="I3939" s="43">
        <v>0.77</v>
      </c>
      <c r="J3939" t="s" s="11">
        <v>19959</v>
      </c>
      <c r="K3939" t="s" s="11">
        <v>19960</v>
      </c>
      <c r="L3939" s="17">
        <f>HYPERLINK("http://www.getpassionfruit.com", "www.getpassionfruit.com")</f>
      </c>
      <c r="M3939" s="17">
        <f>HYPERLINK("https://my.pitchbook.com?c=495382-24", "View Company Online")</f>
      </c>
    </row>
    <row r="3940">
      <c r="A3940" t="s" s="10">
        <v>19962</v>
      </c>
      <c r="B3940" t="s" s="10">
        <v>19963</v>
      </c>
      <c r="C3940" t="s" s="10">
        <v>222</v>
      </c>
      <c r="D3940" t="s" s="10">
        <v>252</v>
      </c>
      <c r="E3940" t="s" s="10">
        <v>193</v>
      </c>
      <c r="F3940" s="27">
        <v>44679</v>
      </c>
      <c r="G3940" t="s" s="10">
        <v>40</v>
      </c>
      <c r="H3940" t="s" s="42">
        <v>30</v>
      </c>
      <c r="I3940" s="42">
        <v>0.77</v>
      </c>
      <c r="J3940" t="s" s="10">
        <v>19964</v>
      </c>
      <c r="K3940" t="s" s="10">
        <v>19965</v>
      </c>
      <c r="L3940" s="16">
        <f>HYPERLINK("http://www.rupeeseed.com", "www.rupeeseed.com")</f>
      </c>
      <c r="M3940" s="16">
        <f>HYPERLINK("https://my.pitchbook.com?c=178737-85", "View Company Online")</f>
      </c>
    </row>
    <row r="3941">
      <c r="A3941" t="s" s="11">
        <v>19967</v>
      </c>
      <c r="B3941" t="s" s="11">
        <v>19968</v>
      </c>
      <c r="C3941" t="s" s="11">
        <v>164</v>
      </c>
      <c r="D3941" t="s" s="11">
        <v>206</v>
      </c>
      <c r="E3941" t="s" s="11">
        <v>253</v>
      </c>
      <c r="F3941" s="28">
        <v>45153</v>
      </c>
      <c r="G3941" t="s" s="11">
        <v>4267</v>
      </c>
      <c r="H3941" s="43">
        <v>0.5</v>
      </c>
      <c r="I3941" s="43">
        <v>0.76</v>
      </c>
      <c r="J3941" t="s" s="11">
        <v>19969</v>
      </c>
      <c r="K3941" t="s" s="11">
        <v>19970</v>
      </c>
      <c r="L3941" s="17">
        <f>HYPERLINK("http://www.subsbase.com", "www.subsbase.com")</f>
      </c>
      <c r="M3941" s="17">
        <f>HYPERLINK("https://my.pitchbook.com?c=399580-75", "View Company Online")</f>
      </c>
    </row>
    <row r="3942">
      <c r="A3942" t="s" s="10">
        <v>19972</v>
      </c>
      <c r="B3942" t="s" s="10">
        <v>19973</v>
      </c>
      <c r="C3942" t="s" s="10">
        <v>60</v>
      </c>
      <c r="D3942" t="s" s="10">
        <v>246</v>
      </c>
      <c r="E3942" t="s" s="10">
        <v>137</v>
      </c>
      <c r="F3942" s="27">
        <v>44317</v>
      </c>
      <c r="G3942" t="s" s="10">
        <v>607</v>
      </c>
      <c r="H3942" t="s" s="42">
        <v>30</v>
      </c>
      <c r="I3942" s="42">
        <v>0.75</v>
      </c>
      <c r="J3942" t="s" s="10">
        <v>19974</v>
      </c>
      <c r="K3942" t="s" s="10">
        <v>19975</v>
      </c>
      <c r="L3942" s="16">
        <f>HYPERLINK("http://www.piggy.co.in", "www.piggy.co.in")</f>
      </c>
      <c r="M3942" s="16">
        <f>HYPERLINK("https://my.pitchbook.com?c=184305-97", "View Company Online")</f>
      </c>
    </row>
    <row r="3943">
      <c r="A3943" t="s" s="11">
        <v>19977</v>
      </c>
      <c r="B3943" t="s" s="11">
        <v>19978</v>
      </c>
      <c r="C3943" t="s" s="11">
        <v>27</v>
      </c>
      <c r="D3943" t="s" s="11">
        <v>28</v>
      </c>
      <c r="E3943" t="s" s="11">
        <v>108</v>
      </c>
      <c r="F3943" s="28">
        <v>45534</v>
      </c>
      <c r="G3943" t="s" s="11">
        <v>607</v>
      </c>
      <c r="H3943" t="s" s="43">
        <v>30</v>
      </c>
      <c r="I3943" s="43">
        <v>0.74</v>
      </c>
      <c r="J3943" t="s" s="11">
        <v>19979</v>
      </c>
      <c r="K3943" t="s" s="11">
        <v>19980</v>
      </c>
      <c r="L3943" s="17">
        <f>HYPERLINK("http://www.paytring.com", "www.paytring.com")</f>
      </c>
      <c r="M3943" s="17">
        <f>HYPERLINK("https://my.pitchbook.com?c=593601-22", "View Company Online")</f>
      </c>
    </row>
    <row r="3944">
      <c r="A3944" t="s" s="10">
        <v>19982</v>
      </c>
      <c r="B3944" t="s" s="10">
        <v>19983</v>
      </c>
      <c r="C3944" t="s" s="10">
        <v>164</v>
      </c>
      <c r="D3944" t="s" s="10">
        <v>206</v>
      </c>
      <c r="E3944" t="s" s="10">
        <v>71</v>
      </c>
      <c r="F3944" s="27">
        <v>46082</v>
      </c>
      <c r="G3944" t="s" s="10">
        <v>4267</v>
      </c>
      <c r="H3944" t="s" s="42">
        <v>30</v>
      </c>
      <c r="I3944" s="42">
        <v>0.73</v>
      </c>
      <c r="J3944" t="s" s="10">
        <v>19984</v>
      </c>
      <c r="K3944" t="s" s="10">
        <v>19985</v>
      </c>
      <c r="L3944" s="16">
        <f>HYPERLINK("http://www.fuspay.us", "www.fuspay.us")</f>
      </c>
      <c r="M3944" s="16">
        <f>HYPERLINK("https://my.pitchbook.com?c=638613-82", "View Company Online")</f>
      </c>
    </row>
    <row r="3945">
      <c r="A3945" t="s" s="11">
        <v>19987</v>
      </c>
      <c r="B3945" t="s" s="11">
        <v>19988</v>
      </c>
      <c r="C3945" t="s" s="11">
        <v>114</v>
      </c>
      <c r="D3945" t="s" s="11">
        <v>136</v>
      </c>
      <c r="E3945" t="s" s="11">
        <v>759</v>
      </c>
      <c r="F3945" s="28">
        <v>43786</v>
      </c>
      <c r="G3945" t="s" s="11">
        <v>4267</v>
      </c>
      <c r="H3945" s="43">
        <v>0.12</v>
      </c>
      <c r="I3945" s="43">
        <v>0.72</v>
      </c>
      <c r="J3945" t="s" s="11">
        <v>19989</v>
      </c>
      <c r="K3945" t="s" s="11">
        <v>19990</v>
      </c>
      <c r="L3945" s="17">
        <f>HYPERLINK("http://www.quikkloan.com", "www.quikkloan.com")</f>
      </c>
      <c r="M3945" s="17">
        <f>HYPERLINK("https://my.pitchbook.com?c=226735-30", "View Company Online")</f>
      </c>
    </row>
    <row r="3946">
      <c r="A3946" t="s" s="10">
        <v>19992</v>
      </c>
      <c r="B3946" t="s" s="10">
        <v>19993</v>
      </c>
      <c r="C3946" t="s" s="10">
        <v>128</v>
      </c>
      <c r="D3946" t="s" s="10">
        <v>129</v>
      </c>
      <c r="E3946" t="s" s="10">
        <v>193</v>
      </c>
      <c r="F3946" s="27">
        <v>44409</v>
      </c>
      <c r="G3946" t="s" s="10">
        <v>271</v>
      </c>
      <c r="H3946" s="42">
        <v>0.18</v>
      </c>
      <c r="I3946" s="42">
        <v>0.71</v>
      </c>
      <c r="J3946" t="s" s="10">
        <v>19994</v>
      </c>
      <c r="K3946" t="s" s="10">
        <v>19995</v>
      </c>
      <c r="L3946" s="16">
        <f>HYPERLINK("http://www.swave.be", "www.swave.be")</f>
      </c>
      <c r="M3946" s="16">
        <f>HYPERLINK("https://my.pitchbook.com?c=469765-09", "View Company Online")</f>
      </c>
    </row>
    <row r="3947">
      <c r="A3947" t="s" s="11">
        <v>19997</v>
      </c>
      <c r="B3947" t="s" s="11">
        <v>19998</v>
      </c>
      <c r="C3947" t="s" s="11">
        <v>114</v>
      </c>
      <c r="D3947" t="s" s="11">
        <v>136</v>
      </c>
      <c r="E3947" t="s" s="11">
        <v>759</v>
      </c>
      <c r="F3947" t="s" s="28">
        <v>30</v>
      </c>
      <c r="G3947" t="s" s="11">
        <v>40</v>
      </c>
      <c r="H3947" t="s" s="43">
        <v>30</v>
      </c>
      <c r="I3947" s="43">
        <v>0.7</v>
      </c>
      <c r="J3947" t="s" s="11">
        <v>19999</v>
      </c>
      <c r="K3947" t="s" s="11">
        <v>20000</v>
      </c>
      <c r="L3947" s="17">
        <f>HYPERLINK("http://www.edstart.com.au", "www.edstart.com.au")</f>
      </c>
      <c r="M3947" s="17">
        <f>HYPERLINK("https://my.pitchbook.com?c=158506-84", "View Company Online")</f>
      </c>
    </row>
    <row r="3948">
      <c r="A3948" t="s" s="10">
        <v>20002</v>
      </c>
      <c r="B3948" t="s" s="10">
        <v>20003</v>
      </c>
      <c r="C3948" t="s" s="10">
        <v>60</v>
      </c>
      <c r="D3948" t="s" s="10">
        <v>192</v>
      </c>
      <c r="E3948" t="s" s="10">
        <v>253</v>
      </c>
      <c r="F3948" s="27">
        <v>44384</v>
      </c>
      <c r="G3948" t="s" s="10">
        <v>4267</v>
      </c>
      <c r="H3948" s="42">
        <v>0.07</v>
      </c>
      <c r="I3948" s="42">
        <v>0.7</v>
      </c>
      <c r="J3948" t="s" s="10">
        <v>20004</v>
      </c>
      <c r="K3948" t="s" s="10">
        <v>30</v>
      </c>
      <c r="L3948" s="16">
        <f>HYPERLINK("http://www.indexone.io", "www.indexone.io")</f>
      </c>
      <c r="M3948" s="16">
        <f>HYPERLINK("https://my.pitchbook.com?c=502650-28", "View Company Online")</f>
      </c>
    </row>
    <row r="3949">
      <c r="A3949" t="s" s="11">
        <v>20006</v>
      </c>
      <c r="B3949" t="s" s="11">
        <v>20007</v>
      </c>
      <c r="C3949" t="s" s="11">
        <v>128</v>
      </c>
      <c r="D3949" t="s" s="11">
        <v>129</v>
      </c>
      <c r="E3949" t="s" s="11">
        <v>298</v>
      </c>
      <c r="F3949" s="28">
        <v>43485</v>
      </c>
      <c r="G3949" t="s" s="11">
        <v>607</v>
      </c>
      <c r="H3949" s="43">
        <v>0.05</v>
      </c>
      <c r="I3949" s="43">
        <v>0.69</v>
      </c>
      <c r="J3949" t="s" s="11">
        <v>20008</v>
      </c>
      <c r="K3949" t="s" s="11">
        <v>20009</v>
      </c>
      <c r="L3949" s="17">
        <f>HYPERLINK("http://www.walkabit.app", "www.walkabit.app")</f>
      </c>
      <c r="M3949" s="17">
        <f>HYPERLINK("https://my.pitchbook.com?c=277775-65", "View Company Online")</f>
      </c>
    </row>
    <row r="3950">
      <c r="A3950" t="s" s="10">
        <v>20011</v>
      </c>
      <c r="B3950" t="s" s="10">
        <v>20012</v>
      </c>
      <c r="C3950" t="s" s="10">
        <v>60</v>
      </c>
      <c r="D3950" t="s" s="10">
        <v>727</v>
      </c>
      <c r="E3950" t="s" s="10">
        <v>14119</v>
      </c>
      <c r="F3950" t="s" s="27">
        <v>30</v>
      </c>
      <c r="G3950" t="s" s="10">
        <v>48</v>
      </c>
      <c r="H3950" t="s" s="42">
        <v>30</v>
      </c>
      <c r="I3950" s="42">
        <v>0.68</v>
      </c>
      <c r="J3950" t="s" s="10">
        <v>20013</v>
      </c>
      <c r="K3950" t="s" s="10">
        <v>20014</v>
      </c>
      <c r="L3950" s="16">
        <f>HYPERLINK("http://proptee.io", "proptee.io")</f>
      </c>
      <c r="M3950" s="16">
        <f>HYPERLINK("https://my.pitchbook.com?c=489690-82", "View Company Online")</f>
      </c>
    </row>
    <row r="3951">
      <c r="A3951" t="s" s="11">
        <v>20016</v>
      </c>
      <c r="B3951" t="s" s="11">
        <v>20017</v>
      </c>
      <c r="C3951" t="s" s="11">
        <v>60</v>
      </c>
      <c r="D3951" t="s" s="11">
        <v>432</v>
      </c>
      <c r="E3951" t="s" s="11">
        <v>2824</v>
      </c>
      <c r="F3951" t="s" s="28">
        <v>30</v>
      </c>
      <c r="G3951" t="s" s="11">
        <v>48</v>
      </c>
      <c r="H3951" t="s" s="43">
        <v>30</v>
      </c>
      <c r="I3951" s="43">
        <v>0.67</v>
      </c>
      <c r="J3951" t="s" s="11">
        <v>20018</v>
      </c>
      <c r="K3951" t="s" s="11">
        <v>20019</v>
      </c>
      <c r="L3951" s="17">
        <f>HYPERLINK("http://www.insuredmine.com", "www.insuredmine.com")</f>
      </c>
      <c r="M3951" s="17">
        <f>HYPERLINK("https://my.pitchbook.com?c=178858-09", "View Company Online")</f>
      </c>
    </row>
    <row r="3952">
      <c r="A3952" t="s" s="10">
        <v>20021</v>
      </c>
      <c r="B3952" t="s" s="10">
        <v>20022</v>
      </c>
      <c r="C3952" t="s" s="10">
        <v>60</v>
      </c>
      <c r="D3952" t="s" s="10">
        <v>727</v>
      </c>
      <c r="E3952" t="s" s="10">
        <v>137</v>
      </c>
      <c r="F3952" s="27">
        <v>43556</v>
      </c>
      <c r="G3952" t="s" s="10">
        <v>146</v>
      </c>
      <c r="H3952" s="42">
        <v>0.04</v>
      </c>
      <c r="I3952" s="42">
        <v>0.67</v>
      </c>
      <c r="J3952" t="s" s="10">
        <v>20023</v>
      </c>
      <c r="K3952" t="s" s="10">
        <v>20024</v>
      </c>
      <c r="L3952" s="16">
        <f>HYPERLINK("http://www.wunderfund.co", "www.wunderfund.co")</f>
      </c>
      <c r="M3952" s="16">
        <f>HYPERLINK("https://my.pitchbook.com?c=279939-34", "View Company Online")</f>
      </c>
    </row>
    <row r="3953">
      <c r="A3953" t="s" s="11">
        <v>20026</v>
      </c>
      <c r="B3953" t="s" s="11">
        <v>20027</v>
      </c>
      <c r="C3953" t="s" s="11">
        <v>164</v>
      </c>
      <c r="D3953" t="s" s="11">
        <v>206</v>
      </c>
      <c r="E3953" t="s" s="11">
        <v>373</v>
      </c>
      <c r="F3953" s="28">
        <v>44543</v>
      </c>
      <c r="G3953" t="s" s="11">
        <v>146</v>
      </c>
      <c r="H3953" s="43">
        <v>0.21</v>
      </c>
      <c r="I3953" s="43">
        <v>0.66</v>
      </c>
      <c r="J3953" t="s" s="11">
        <v>20028</v>
      </c>
      <c r="K3953" t="s" s="11">
        <v>20029</v>
      </c>
      <c r="L3953" s="17">
        <f>HYPERLINK("http://www.rahoo.fi", "www.rahoo.fi")</f>
      </c>
      <c r="M3953" s="17">
        <f>HYPERLINK("https://my.pitchbook.com?c=470600-47", "View Company Online")</f>
      </c>
    </row>
    <row r="3954">
      <c r="A3954" t="s" s="10">
        <v>20031</v>
      </c>
      <c r="B3954" t="s" s="10">
        <v>20032</v>
      </c>
      <c r="C3954" t="s" s="10">
        <v>27</v>
      </c>
      <c r="D3954" t="s" s="10">
        <v>28</v>
      </c>
      <c r="E3954" t="s" s="10">
        <v>12814</v>
      </c>
      <c r="F3954" s="27">
        <v>44160</v>
      </c>
      <c r="G3954" t="s" s="10">
        <v>4267</v>
      </c>
      <c r="H3954" s="42">
        <v>0.18</v>
      </c>
      <c r="I3954" s="42">
        <v>0.65</v>
      </c>
      <c r="J3954" t="s" s="10">
        <v>20033</v>
      </c>
      <c r="K3954" t="s" s="10">
        <v>20034</v>
      </c>
      <c r="L3954" s="16">
        <f>HYPERLINK("http://www.trocadosapp.com.br", "www.trocadosapp.com.br")</f>
      </c>
      <c r="M3954" s="16">
        <f>HYPERLINK("https://my.pitchbook.com?c=459801-10", "View Company Online")</f>
      </c>
    </row>
    <row r="3955">
      <c r="A3955" t="s" s="11">
        <v>20036</v>
      </c>
      <c r="B3955" t="s" s="11">
        <v>20037</v>
      </c>
      <c r="C3955" t="s" s="11">
        <v>114</v>
      </c>
      <c r="D3955" t="s" s="11">
        <v>136</v>
      </c>
      <c r="E3955" t="s" s="11">
        <v>253</v>
      </c>
      <c r="F3955" s="28">
        <v>45231</v>
      </c>
      <c r="G3955" t="s" s="11">
        <v>40</v>
      </c>
      <c r="H3955" t="s" s="43">
        <v>30</v>
      </c>
      <c r="I3955" s="43">
        <v>0.64</v>
      </c>
      <c r="J3955" t="s" s="11">
        <v>20038</v>
      </c>
      <c r="K3955" t="s" s="11">
        <v>20039</v>
      </c>
      <c r="L3955" s="17">
        <f>HYPERLINK("http://www.indiap2p.com", "www.indiap2p.com")</f>
      </c>
      <c r="M3955" s="17">
        <f>HYPERLINK("https://my.pitchbook.com?c=491156-02", "View Company Online")</f>
      </c>
    </row>
    <row r="3956">
      <c r="A3956" t="s" s="10">
        <v>20041</v>
      </c>
      <c r="B3956" t="s" s="10">
        <v>20042</v>
      </c>
      <c r="C3956" t="s" s="10">
        <v>128</v>
      </c>
      <c r="D3956" t="s" s="10">
        <v>129</v>
      </c>
      <c r="E3956" t="s" s="10">
        <v>270</v>
      </c>
      <c r="F3956" s="27">
        <v>44425</v>
      </c>
      <c r="G3956" t="s" s="10">
        <v>4267</v>
      </c>
      <c r="H3956" s="42">
        <v>0.67</v>
      </c>
      <c r="I3956" s="42">
        <v>0.63</v>
      </c>
      <c r="J3956" t="s" s="10">
        <v>20043</v>
      </c>
      <c r="K3956" t="s" s="10">
        <v>20044</v>
      </c>
      <c r="L3956" s="16">
        <f>HYPERLINK("http://www.happycredit.in", "www.happycredit.in")</f>
      </c>
      <c r="M3956" s="16">
        <f>HYPERLINK("https://my.pitchbook.com?c=471639-43", "View Company Online")</f>
      </c>
    </row>
    <row r="3957">
      <c r="A3957" t="s" s="11">
        <v>20046</v>
      </c>
      <c r="B3957" t="s" s="11">
        <v>20047</v>
      </c>
      <c r="C3957" t="s" s="11">
        <v>60</v>
      </c>
      <c r="D3957" t="s" s="11">
        <v>192</v>
      </c>
      <c r="E3957" t="s" s="11">
        <v>193</v>
      </c>
      <c r="F3957" t="s" s="28">
        <v>30</v>
      </c>
      <c r="G3957" t="s" s="11">
        <v>4267</v>
      </c>
      <c r="H3957" s="43">
        <v>2</v>
      </c>
      <c r="I3957" s="43">
        <v>0.62</v>
      </c>
      <c r="J3957" t="s" s="11">
        <v>20048</v>
      </c>
      <c r="K3957" t="s" s="11">
        <v>30</v>
      </c>
      <c r="L3957" s="17">
        <f>HYPERLINK("http://www.truthsayer.com", "www.truthsayer.com")</f>
      </c>
      <c r="M3957" s="17">
        <f>HYPERLINK("https://my.pitchbook.com?c=592477-57", "View Company Online")</f>
      </c>
    </row>
    <row r="3958">
      <c r="A3958" t="s" s="10">
        <v>20050</v>
      </c>
      <c r="B3958" t="s" s="10">
        <v>20051</v>
      </c>
      <c r="C3958" t="s" s="10">
        <v>172</v>
      </c>
      <c r="D3958" t="s" s="10">
        <v>338</v>
      </c>
      <c r="E3958" t="s" s="10">
        <v>7678</v>
      </c>
      <c r="F3958" s="27">
        <v>45350</v>
      </c>
      <c r="G3958" t="s" s="10">
        <v>146</v>
      </c>
      <c r="H3958" s="42">
        <v>0.38</v>
      </c>
      <c r="I3958" s="42">
        <v>0.62</v>
      </c>
      <c r="J3958" t="s" s="10">
        <v>20052</v>
      </c>
      <c r="K3958" t="s" s="10">
        <v>20053</v>
      </c>
      <c r="L3958" s="16">
        <f>HYPERLINK("http://www.validient.com", "www.validient.com")</f>
      </c>
      <c r="M3958" s="16">
        <f>HYPERLINK("https://my.pitchbook.com?c=501934-42", "View Company Online")</f>
      </c>
    </row>
    <row r="3959">
      <c r="A3959" t="s" s="11">
        <v>20055</v>
      </c>
      <c r="B3959" t="s" s="11">
        <v>20056</v>
      </c>
      <c r="C3959" t="s" s="11">
        <v>46</v>
      </c>
      <c r="D3959" t="s" s="11">
        <v>47</v>
      </c>
      <c r="E3959" t="s" s="11">
        <v>20057</v>
      </c>
      <c r="F3959" s="28">
        <v>44602</v>
      </c>
      <c r="G3959" t="s" s="11">
        <v>146</v>
      </c>
      <c r="H3959" s="43">
        <v>0.09</v>
      </c>
      <c r="I3959" s="43">
        <v>0.6</v>
      </c>
      <c r="J3959" t="s" s="11">
        <v>20058</v>
      </c>
      <c r="K3959" t="s" s="11">
        <v>20059</v>
      </c>
      <c r="L3959" s="17">
        <f>HYPERLINK("http://www.fipla.com", "www.fipla.com")</f>
      </c>
      <c r="M3959" s="17">
        <f>HYPERLINK("https://my.pitchbook.com?c=499931-74", "View Company Online")</f>
      </c>
    </row>
    <row r="3960">
      <c r="A3960" t="s" s="10">
        <v>20061</v>
      </c>
      <c r="B3960" t="s" s="10">
        <v>20062</v>
      </c>
      <c r="C3960" t="s" s="10">
        <v>114</v>
      </c>
      <c r="D3960" t="s" s="10">
        <v>136</v>
      </c>
      <c r="E3960" t="s" s="10">
        <v>30</v>
      </c>
      <c r="F3960" s="27">
        <v>43228</v>
      </c>
      <c r="G3960" t="s" s="10">
        <v>4267</v>
      </c>
      <c r="H3960" s="42">
        <v>0.06</v>
      </c>
      <c r="I3960" s="42">
        <v>0.59</v>
      </c>
      <c r="J3960" t="s" s="10">
        <v>20063</v>
      </c>
      <c r="K3960" t="s" s="10">
        <v>20064</v>
      </c>
      <c r="L3960" t="s" s="10">
        <v>30</v>
      </c>
      <c r="M3960" s="16">
        <f>HYPERLINK("https://my.pitchbook.com?c=231455-98", "View Company Online")</f>
      </c>
    </row>
    <row r="3961">
      <c r="A3961" t="s" s="11">
        <v>20065</v>
      </c>
      <c r="B3961" t="s" s="11">
        <v>20066</v>
      </c>
      <c r="C3961" t="s" s="11">
        <v>164</v>
      </c>
      <c r="D3961" t="s" s="11">
        <v>165</v>
      </c>
      <c r="E3961" t="s" s="11">
        <v>193</v>
      </c>
      <c r="F3961" s="28">
        <v>45273</v>
      </c>
      <c r="G3961" t="s" s="11">
        <v>4267</v>
      </c>
      <c r="H3961" s="43">
        <v>0.57</v>
      </c>
      <c r="I3961" s="43">
        <v>0.58</v>
      </c>
      <c r="J3961" t="s" s="11">
        <v>20067</v>
      </c>
      <c r="K3961" t="s" s="11">
        <v>20068</v>
      </c>
      <c r="L3961" s="17">
        <f>HYPERLINK("http://www.fintechx.digital", "www.fintechx.digital")</f>
      </c>
      <c r="M3961" s="17">
        <f>HYPERLINK("https://my.pitchbook.com?c=227971-09", "View Company Online")</f>
      </c>
    </row>
    <row r="3962">
      <c r="A3962" t="s" s="10">
        <v>20070</v>
      </c>
      <c r="B3962" t="s" s="10">
        <v>20071</v>
      </c>
      <c r="C3962" t="s" s="10">
        <v>128</v>
      </c>
      <c r="D3962" t="s" s="10">
        <v>199</v>
      </c>
      <c r="E3962" t="s" s="10">
        <v>298</v>
      </c>
      <c r="F3962" t="s" s="27">
        <v>30</v>
      </c>
      <c r="G3962" t="s" s="10">
        <v>48</v>
      </c>
      <c r="H3962" t="s" s="42">
        <v>30</v>
      </c>
      <c r="I3962" s="42">
        <v>0.57</v>
      </c>
      <c r="J3962" t="s" s="10">
        <v>20072</v>
      </c>
      <c r="K3962" t="s" s="10">
        <v>20073</v>
      </c>
      <c r="L3962" s="16">
        <f>HYPERLINK("http://www.allebt.org", "www.allebt.org")</f>
      </c>
      <c r="M3962" s="16">
        <f>HYPERLINK("https://my.pitchbook.com?c=234326-98", "View Company Online")</f>
      </c>
    </row>
    <row r="3963">
      <c r="A3963" t="s" s="11">
        <v>20075</v>
      </c>
      <c r="B3963" t="s" s="11">
        <v>20076</v>
      </c>
      <c r="C3963" t="s" s="11">
        <v>172</v>
      </c>
      <c r="D3963" t="s" s="11">
        <v>173</v>
      </c>
      <c r="E3963" t="s" s="11">
        <v>367</v>
      </c>
      <c r="F3963" s="28">
        <v>45659</v>
      </c>
      <c r="G3963" t="s" s="11">
        <v>4267</v>
      </c>
      <c r="H3963" s="43">
        <v>0.57</v>
      </c>
      <c r="I3963" s="43">
        <v>0.57</v>
      </c>
      <c r="J3963" t="s" s="11">
        <v>20077</v>
      </c>
      <c r="K3963" t="s" s="11">
        <v>20078</v>
      </c>
      <c r="L3963" s="17">
        <f>HYPERLINK("http://www.complystream.com", "www.complystream.com")</f>
      </c>
      <c r="M3963" s="17">
        <f>HYPERLINK("https://my.pitchbook.com?c=120046-87", "View Company Online")</f>
      </c>
    </row>
    <row r="3964">
      <c r="A3964" t="s" s="10">
        <v>20080</v>
      </c>
      <c r="B3964" t="s" s="10">
        <v>20081</v>
      </c>
      <c r="C3964" t="s" s="10">
        <v>114</v>
      </c>
      <c r="D3964" t="s" s="10">
        <v>136</v>
      </c>
      <c r="E3964" t="s" s="10">
        <v>253</v>
      </c>
      <c r="F3964" t="s" s="27">
        <v>30</v>
      </c>
      <c r="G3964" t="s" s="10">
        <v>40</v>
      </c>
      <c r="H3964" t="s" s="42">
        <v>30</v>
      </c>
      <c r="I3964" s="42">
        <v>0.55</v>
      </c>
      <c r="J3964" t="s" s="10">
        <v>20082</v>
      </c>
      <c r="K3964" t="s" s="10">
        <v>20083</v>
      </c>
      <c r="L3964" s="16">
        <f>HYPERLINK("http://www.fonradar.com", "www.fonradar.com")</f>
      </c>
      <c r="M3964" s="16">
        <f>HYPERLINK("https://my.pitchbook.com?c=491074-57", "View Company Online")</f>
      </c>
    </row>
    <row r="3965">
      <c r="A3965" t="s" s="11">
        <v>20085</v>
      </c>
      <c r="B3965" t="s" s="11">
        <v>20086</v>
      </c>
      <c r="C3965" t="s" s="11">
        <v>46</v>
      </c>
      <c r="D3965" t="s" s="11">
        <v>47</v>
      </c>
      <c r="E3965" t="s" s="11">
        <v>253</v>
      </c>
      <c r="F3965" s="28">
        <v>45906</v>
      </c>
      <c r="G3965" t="s" s="11">
        <v>607</v>
      </c>
      <c r="H3965" s="43">
        <v>0.01</v>
      </c>
      <c r="I3965" s="43">
        <v>0.5</v>
      </c>
      <c r="J3965" t="s" s="11">
        <v>20087</v>
      </c>
      <c r="K3965" t="s" s="11">
        <v>20088</v>
      </c>
      <c r="L3965" s="17">
        <f>HYPERLINK("http://www.bunce.so", "www.bunce.so")</f>
      </c>
      <c r="M3965" s="17">
        <f>HYPERLINK("https://my.pitchbook.com?c=520096-96", "View Company Online")</f>
      </c>
    </row>
    <row r="3966">
      <c r="A3966" t="s" s="10">
        <v>20090</v>
      </c>
      <c r="B3966" t="s" s="10">
        <v>20091</v>
      </c>
      <c r="C3966" t="s" s="10">
        <v>60</v>
      </c>
      <c r="D3966" t="s" s="10">
        <v>727</v>
      </c>
      <c r="E3966" t="s" s="10">
        <v>137</v>
      </c>
      <c r="F3966" s="27">
        <v>44239</v>
      </c>
      <c r="G3966" t="s" s="10">
        <v>4267</v>
      </c>
      <c r="H3966" s="42">
        <v>0.05</v>
      </c>
      <c r="I3966" s="42">
        <v>0.5</v>
      </c>
      <c r="J3966" t="s" s="10">
        <v>20092</v>
      </c>
      <c r="K3966" t="s" s="10">
        <v>20064</v>
      </c>
      <c r="L3966" s="16">
        <f>HYPERLINK("http://www.equideq.com", "www.equideq.com")</f>
      </c>
      <c r="M3966" s="16">
        <f>HYPERLINK("https://my.pitchbook.com?c=465335-65", "View Company Online")</f>
      </c>
    </row>
    <row r="3967">
      <c r="A3967" t="s" s="11">
        <v>20094</v>
      </c>
      <c r="B3967" t="s" s="11">
        <v>20095</v>
      </c>
      <c r="C3967" t="s" s="11">
        <v>164</v>
      </c>
      <c r="D3967" t="s" s="11">
        <v>165</v>
      </c>
      <c r="E3967" t="s" s="11">
        <v>1032</v>
      </c>
      <c r="F3967" t="s" s="28">
        <v>30</v>
      </c>
      <c r="G3967" t="s" s="11">
        <v>48</v>
      </c>
      <c r="H3967" t="s" s="43">
        <v>30</v>
      </c>
      <c r="I3967" s="43">
        <v>0.5</v>
      </c>
      <c r="J3967" t="s" s="11">
        <v>20096</v>
      </c>
      <c r="K3967" t="s" s="11">
        <v>20097</v>
      </c>
      <c r="L3967" s="17">
        <f>HYPERLINK("http://www.exquance.com", "www.exquance.com")</f>
      </c>
      <c r="M3967" s="17">
        <f>HYPERLINK("https://my.pitchbook.com?c=226160-38", "View Company Online")</f>
      </c>
    </row>
    <row r="3968">
      <c r="A3968" t="s" s="10">
        <v>20099</v>
      </c>
      <c r="B3968" t="s" s="10">
        <v>20100</v>
      </c>
      <c r="C3968" t="s" s="10">
        <v>60</v>
      </c>
      <c r="D3968" t="s" s="10">
        <v>432</v>
      </c>
      <c r="E3968" t="s" s="10">
        <v>29</v>
      </c>
      <c r="F3968" t="s" s="27">
        <v>30</v>
      </c>
      <c r="G3968" t="s" s="10">
        <v>48</v>
      </c>
      <c r="H3968" t="s" s="42">
        <v>30</v>
      </c>
      <c r="I3968" s="42">
        <v>0.5</v>
      </c>
      <c r="J3968" t="s" s="10">
        <v>20101</v>
      </c>
      <c r="K3968" t="s" s="10">
        <v>20102</v>
      </c>
      <c r="L3968" s="16">
        <f>HYPERLINK("http://www.findbob.io", "www.findbob.io")</f>
      </c>
      <c r="M3968" s="16">
        <f>HYPERLINK("https://my.pitchbook.com?c=171945-55", "View Company Online")</f>
      </c>
    </row>
    <row r="3969">
      <c r="A3969" t="s" s="11">
        <v>20104</v>
      </c>
      <c r="B3969" t="s" s="11">
        <v>20105</v>
      </c>
      <c r="C3969" t="s" s="11">
        <v>46</v>
      </c>
      <c r="D3969" t="s" s="11">
        <v>47</v>
      </c>
      <c r="E3969" t="s" s="11">
        <v>270</v>
      </c>
      <c r="F3969" s="28">
        <v>46204</v>
      </c>
      <c r="G3969" t="s" s="11">
        <v>391</v>
      </c>
      <c r="H3969" s="43">
        <v>0.5</v>
      </c>
      <c r="I3969" s="43">
        <v>0.5</v>
      </c>
      <c r="J3969" t="s" s="11">
        <v>20106</v>
      </c>
      <c r="K3969" t="s" s="11">
        <v>30</v>
      </c>
      <c r="L3969" s="17">
        <f>HYPERLINK("http://www.payem.co", "www.payem.co")</f>
      </c>
      <c r="M3969" s="17">
        <f>HYPERLINK("https://my.pitchbook.com?c=340760-71", "View Company Online")</f>
      </c>
    </row>
    <row r="3970">
      <c r="A3970" t="s" s="10">
        <v>20108</v>
      </c>
      <c r="B3970" t="s" s="10">
        <v>20109</v>
      </c>
      <c r="C3970" t="s" s="10">
        <v>60</v>
      </c>
      <c r="D3970" t="s" s="10">
        <v>727</v>
      </c>
      <c r="E3970" t="s" s="10">
        <v>20110</v>
      </c>
      <c r="F3970" s="27">
        <v>44409</v>
      </c>
      <c r="G3970" t="s" s="10">
        <v>48</v>
      </c>
      <c r="H3970" t="s" s="42">
        <v>30</v>
      </c>
      <c r="I3970" s="42">
        <v>0.5</v>
      </c>
      <c r="J3970" t="s" s="10">
        <v>20111</v>
      </c>
      <c r="K3970" t="s" s="10">
        <v>20112</v>
      </c>
      <c r="L3970" s="16">
        <f>HYPERLINK("http://www.penseo.de", "www.penseo.de")</f>
      </c>
      <c r="M3970" s="16">
        <f>HYPERLINK("https://my.pitchbook.com?c=234061-75", "View Company Online")</f>
      </c>
    </row>
    <row r="3971">
      <c r="A3971" t="s" s="11">
        <v>20114</v>
      </c>
      <c r="B3971" t="s" s="11">
        <v>20115</v>
      </c>
      <c r="C3971" t="s" s="11">
        <v>27</v>
      </c>
      <c r="D3971" t="s" s="11">
        <v>122</v>
      </c>
      <c r="E3971" t="s" s="11">
        <v>253</v>
      </c>
      <c r="F3971" s="28">
        <v>45966</v>
      </c>
      <c r="G3971" t="s" s="11">
        <v>4427</v>
      </c>
      <c r="H3971" t="s" s="43">
        <v>30</v>
      </c>
      <c r="I3971" s="43">
        <v>0.48</v>
      </c>
      <c r="J3971" t="s" s="11">
        <v>20116</v>
      </c>
      <c r="K3971" t="s" s="11">
        <v>30</v>
      </c>
      <c r="L3971" s="17">
        <f>HYPERLINK("http://www.monetor.com", "www.monetor.com")</f>
      </c>
      <c r="M3971" s="17">
        <f>HYPERLINK("https://my.pitchbook.com?c=221856-58", "View Company Online")</f>
      </c>
    </row>
    <row r="3972">
      <c r="A3972" t="s" s="10">
        <v>20118</v>
      </c>
      <c r="B3972" t="s" s="10">
        <v>20119</v>
      </c>
      <c r="C3972" t="s" s="10">
        <v>37</v>
      </c>
      <c r="D3972" t="s" s="10">
        <v>304</v>
      </c>
      <c r="E3972" t="s" s="10">
        <v>14409</v>
      </c>
      <c r="F3972" t="s" s="27">
        <v>30</v>
      </c>
      <c r="G3972" t="s" s="10">
        <v>48</v>
      </c>
      <c r="H3972" t="s" s="42">
        <v>30</v>
      </c>
      <c r="I3972" s="42">
        <v>0.47</v>
      </c>
      <c r="J3972" t="s" s="10">
        <v>20120</v>
      </c>
      <c r="K3972" t="s" s="10">
        <v>20121</v>
      </c>
      <c r="L3972" s="16">
        <f>HYPERLINK("http://www.use-beez.com", "www.use-beez.com")</f>
      </c>
      <c r="M3972" s="16">
        <f>HYPERLINK("https://my.pitchbook.com?c=264455-38", "View Company Online")</f>
      </c>
    </row>
    <row r="3973">
      <c r="A3973" t="s" s="11">
        <v>20123</v>
      </c>
      <c r="B3973" t="s" s="11">
        <v>20124</v>
      </c>
      <c r="C3973" t="s" s="11">
        <v>46</v>
      </c>
      <c r="D3973" t="s" s="11">
        <v>47</v>
      </c>
      <c r="E3973" t="s" s="11">
        <v>20125</v>
      </c>
      <c r="F3973" s="28">
        <v>45400</v>
      </c>
      <c r="G3973" t="s" s="11">
        <v>40</v>
      </c>
      <c r="H3973" s="43">
        <v>0.5</v>
      </c>
      <c r="I3973" s="43">
        <v>0.47</v>
      </c>
      <c r="J3973" t="s" s="11">
        <v>20126</v>
      </c>
      <c r="K3973" t="s" s="11">
        <v>20127</v>
      </c>
      <c r="L3973" s="17">
        <f>HYPERLINK("http://www.docsinbox.ru", "www.docsinbox.ru")</f>
      </c>
      <c r="M3973" s="17">
        <f>HYPERLINK("https://my.pitchbook.com?c=166706-74", "View Company Online")</f>
      </c>
    </row>
    <row r="3974">
      <c r="A3974" t="s" s="10">
        <v>20129</v>
      </c>
      <c r="B3974" t="s" s="10">
        <v>20130</v>
      </c>
      <c r="C3974" t="s" s="10">
        <v>27</v>
      </c>
      <c r="D3974" t="s" s="10">
        <v>28</v>
      </c>
      <c r="E3974" t="s" s="10">
        <v>270</v>
      </c>
      <c r="F3974" s="27">
        <v>44166</v>
      </c>
      <c r="G3974" t="s" s="10">
        <v>40</v>
      </c>
      <c r="H3974" s="42">
        <v>3.5</v>
      </c>
      <c r="I3974" s="42">
        <v>0.47</v>
      </c>
      <c r="J3974" t="s" s="10">
        <v>20131</v>
      </c>
      <c r="K3974" t="s" s="10">
        <v>20132</v>
      </c>
      <c r="L3974" s="16">
        <f>HYPERLINK("http://www.pago46.com", "www.pago46.com")</f>
      </c>
      <c r="M3974" s="16">
        <f>HYPERLINK("https://my.pitchbook.com?c=174518-29", "View Company Online")</f>
      </c>
    </row>
    <row r="3975">
      <c r="A3975" t="s" s="11">
        <v>20134</v>
      </c>
      <c r="B3975" t="s" s="11">
        <v>20135</v>
      </c>
      <c r="C3975" t="s" s="11">
        <v>37</v>
      </c>
      <c r="D3975" t="s" s="11">
        <v>38</v>
      </c>
      <c r="E3975" t="s" s="11">
        <v>116</v>
      </c>
      <c r="F3975" s="28">
        <v>44317</v>
      </c>
      <c r="G3975" t="s" s="11">
        <v>40</v>
      </c>
      <c r="H3975" s="43">
        <v>8</v>
      </c>
      <c r="I3975" s="43">
        <v>0.45</v>
      </c>
      <c r="J3975" t="s" s="11">
        <v>20136</v>
      </c>
      <c r="K3975" t="s" s="11">
        <v>20137</v>
      </c>
      <c r="L3975" s="17">
        <f>HYPERLINK("http://www.payzello.com", "www.payzello.com")</f>
      </c>
      <c r="M3975" s="17">
        <f>HYPERLINK("https://my.pitchbook.com?c=234497-89", "View Company Online")</f>
      </c>
    </row>
    <row r="3976">
      <c r="A3976" t="s" s="10">
        <v>20139</v>
      </c>
      <c r="B3976" t="s" s="10">
        <v>20140</v>
      </c>
      <c r="C3976" t="s" s="10">
        <v>164</v>
      </c>
      <c r="D3976" t="s" s="10">
        <v>165</v>
      </c>
      <c r="E3976" t="s" s="10">
        <v>253</v>
      </c>
      <c r="F3976" s="27">
        <v>45043</v>
      </c>
      <c r="G3976" t="s" s="10">
        <v>4267</v>
      </c>
      <c r="H3976" s="42">
        <v>0.11</v>
      </c>
      <c r="I3976" s="42">
        <v>0.44</v>
      </c>
      <c r="J3976" t="s" s="10">
        <v>20141</v>
      </c>
      <c r="K3976" t="s" s="10">
        <v>20142</v>
      </c>
      <c r="L3976" s="16">
        <f>HYPERLINK("http://www.yoid.es", "www.yoid.es")</f>
      </c>
      <c r="M3976" s="16">
        <f>HYPERLINK("https://my.pitchbook.com?c=697341-25", "View Company Online")</f>
      </c>
    </row>
    <row r="3977">
      <c r="A3977" t="s" s="11">
        <v>20144</v>
      </c>
      <c r="B3977" t="s" s="11">
        <v>20145</v>
      </c>
      <c r="C3977" t="s" s="11">
        <v>128</v>
      </c>
      <c r="D3977" t="s" s="11">
        <v>199</v>
      </c>
      <c r="E3977" t="s" s="11">
        <v>253</v>
      </c>
      <c r="F3977" t="s" s="28">
        <v>30</v>
      </c>
      <c r="G3977" t="s" s="11">
        <v>40</v>
      </c>
      <c r="H3977" s="43">
        <v>0.5</v>
      </c>
      <c r="I3977" s="43">
        <v>0.43</v>
      </c>
      <c r="J3977" t="s" s="11">
        <v>20146</v>
      </c>
      <c r="K3977" t="s" s="11">
        <v>20147</v>
      </c>
      <c r="L3977" s="17">
        <f>HYPERLINK("http://www.gopay24.eu", "www.gopay24.eu")</f>
      </c>
      <c r="M3977" s="17">
        <f>HYPERLINK("https://my.pitchbook.com?c=513424-00", "View Company Online")</f>
      </c>
    </row>
    <row r="3978">
      <c r="A3978" t="s" s="10">
        <v>20149</v>
      </c>
      <c r="B3978" t="s" s="10">
        <v>20150</v>
      </c>
      <c r="C3978" t="s" s="10">
        <v>37</v>
      </c>
      <c r="D3978" t="s" s="10">
        <v>304</v>
      </c>
      <c r="E3978" t="s" s="10">
        <v>20151</v>
      </c>
      <c r="F3978" s="27">
        <v>46104</v>
      </c>
      <c r="G3978" t="s" s="10">
        <v>4267</v>
      </c>
      <c r="H3978" s="42">
        <v>5</v>
      </c>
      <c r="I3978" s="42">
        <v>0.43</v>
      </c>
      <c r="J3978" t="s" s="10">
        <v>20152</v>
      </c>
      <c r="K3978" t="s" s="10">
        <v>20153</v>
      </c>
      <c r="L3978" s="16">
        <f>HYPERLINK("http://www.happypay.co.za", "www.happypay.co.za")</f>
      </c>
      <c r="M3978" s="16">
        <f>HYPERLINK("https://my.pitchbook.com?c=501836-23", "View Company Online")</f>
      </c>
    </row>
    <row r="3979">
      <c r="A3979" t="s" s="11">
        <v>20155</v>
      </c>
      <c r="B3979" t="s" s="11">
        <v>20156</v>
      </c>
      <c r="C3979" t="s" s="11">
        <v>46</v>
      </c>
      <c r="D3979" t="s" s="11">
        <v>915</v>
      </c>
      <c r="E3979" t="s" s="11">
        <v>253</v>
      </c>
      <c r="F3979" s="28">
        <v>43182</v>
      </c>
      <c r="G3979" t="s" s="11">
        <v>146</v>
      </c>
      <c r="H3979" s="43">
        <v>0.1</v>
      </c>
      <c r="I3979" s="43">
        <v>0.41</v>
      </c>
      <c r="J3979" t="s" s="11">
        <v>20157</v>
      </c>
      <c r="K3979" t="s" s="11">
        <v>20158</v>
      </c>
      <c r="L3979" s="17">
        <f>HYPERLINK("http://www.ekohesap.com", "www.ekohesap.com")</f>
      </c>
      <c r="M3979" s="17">
        <f>HYPERLINK("https://my.pitchbook.com?c=289696-42", "View Company Online")</f>
      </c>
    </row>
    <row r="3980">
      <c r="A3980" t="s" s="10">
        <v>20160</v>
      </c>
      <c r="B3980" t="s" s="10">
        <v>20161</v>
      </c>
      <c r="C3980" t="s" s="10">
        <v>222</v>
      </c>
      <c r="D3980" t="s" s="10">
        <v>223</v>
      </c>
      <c r="E3980" t="s" s="10">
        <v>1207</v>
      </c>
      <c r="F3980" t="s" s="27">
        <v>30</v>
      </c>
      <c r="G3980" t="s" s="10">
        <v>48</v>
      </c>
      <c r="H3980" t="s" s="42">
        <v>30</v>
      </c>
      <c r="I3980" s="42">
        <v>0.41</v>
      </c>
      <c r="J3980" t="s" s="10">
        <v>20162</v>
      </c>
      <c r="K3980" t="s" s="10">
        <v>20163</v>
      </c>
      <c r="L3980" s="16">
        <f>HYPERLINK("http://www.trdata.com", "www.trdata.com")</f>
      </c>
      <c r="M3980" s="16">
        <f>HYPERLINK("https://my.pitchbook.com?c=57014-11", "View Company Online")</f>
      </c>
    </row>
    <row r="3981">
      <c r="A3981" t="s" s="11">
        <v>20165</v>
      </c>
      <c r="B3981" t="s" s="11">
        <v>20166</v>
      </c>
      <c r="C3981" t="s" s="11">
        <v>46</v>
      </c>
      <c r="D3981" t="s" s="11">
        <v>47</v>
      </c>
      <c r="E3981" t="s" s="11">
        <v>373</v>
      </c>
      <c r="F3981" s="28">
        <v>46076</v>
      </c>
      <c r="G3981" t="s" s="11">
        <v>607</v>
      </c>
      <c r="H3981" s="43">
        <v>0.02</v>
      </c>
      <c r="I3981" s="43">
        <v>0.4</v>
      </c>
      <c r="J3981" t="s" s="11">
        <v>20167</v>
      </c>
      <c r="K3981" t="s" s="11">
        <v>20168</v>
      </c>
      <c r="L3981" s="17">
        <f>HYPERLINK("http://www.nukleas.com", "www.nukleas.com")</f>
      </c>
      <c r="M3981" s="17">
        <f>HYPERLINK("https://my.pitchbook.com?c=1274655-88", "View Company Online")</f>
      </c>
    </row>
    <row r="3982">
      <c r="A3982" t="s" s="10">
        <v>20170</v>
      </c>
      <c r="B3982" t="s" s="10">
        <v>20171</v>
      </c>
      <c r="C3982" t="s" s="10">
        <v>46</v>
      </c>
      <c r="D3982" t="s" s="10">
        <v>397</v>
      </c>
      <c r="E3982" t="s" s="10">
        <v>373</v>
      </c>
      <c r="F3982" s="27">
        <v>46065</v>
      </c>
      <c r="G3982" t="s" s="10">
        <v>146</v>
      </c>
      <c r="H3982" s="42">
        <v>0.65</v>
      </c>
      <c r="I3982" s="42">
        <v>0.4</v>
      </c>
      <c r="J3982" t="s" s="10">
        <v>20172</v>
      </c>
      <c r="K3982" t="s" s="10">
        <v>20173</v>
      </c>
      <c r="L3982" s="16">
        <f>HYPERLINK("http://www.reinvestwealth.com", "www.reinvestwealth.com")</f>
      </c>
      <c r="M3982" s="16">
        <f>HYPERLINK("https://my.pitchbook.com?c=537555-25", "View Company Online")</f>
      </c>
    </row>
    <row r="3983">
      <c r="A3983" t="s" s="11">
        <v>20175</v>
      </c>
      <c r="B3983" t="s" s="11">
        <v>20176</v>
      </c>
      <c r="C3983" t="s" s="11">
        <v>60</v>
      </c>
      <c r="D3983" t="s" s="11">
        <v>432</v>
      </c>
      <c r="E3983" t="s" s="11">
        <v>253</v>
      </c>
      <c r="F3983" s="28">
        <v>45936</v>
      </c>
      <c r="G3983" t="s" s="11">
        <v>146</v>
      </c>
      <c r="H3983" s="43">
        <v>0.03</v>
      </c>
      <c r="I3983" s="43">
        <v>0.37</v>
      </c>
      <c r="J3983" t="s" s="11">
        <v>20177</v>
      </c>
      <c r="K3983" t="s" s="11">
        <v>20178</v>
      </c>
      <c r="L3983" s="17">
        <f>HYPERLINK("http://www.impsoftware.co.uk", "www.impsoftware.co.uk")</f>
      </c>
      <c r="M3983" s="17">
        <f>HYPERLINK("https://my.pitchbook.com?c=528922-09", "View Company Online")</f>
      </c>
    </row>
    <row r="3984">
      <c r="A3984" t="s" s="10">
        <v>20180</v>
      </c>
      <c r="B3984" t="s" s="10">
        <v>20181</v>
      </c>
      <c r="C3984" t="s" s="10">
        <v>46</v>
      </c>
      <c r="D3984" t="s" s="10">
        <v>397</v>
      </c>
      <c r="E3984" t="s" s="10">
        <v>137</v>
      </c>
      <c r="F3984" s="27">
        <v>44596</v>
      </c>
      <c r="G3984" t="s" s="10">
        <v>4267</v>
      </c>
      <c r="H3984" s="42">
        <v>1.58</v>
      </c>
      <c r="I3984" s="42">
        <v>0.37</v>
      </c>
      <c r="J3984" t="s" s="10">
        <v>20182</v>
      </c>
      <c r="K3984" t="s" s="10">
        <v>20183</v>
      </c>
      <c r="L3984" s="16">
        <f>HYPERLINK("http://www.stamped.ai", "www.stamped.ai")</f>
      </c>
      <c r="M3984" s="16">
        <f>HYPERLINK("https://my.pitchbook.com?c=465537-79", "View Company Online")</f>
      </c>
    </row>
    <row r="3985">
      <c r="A3985" t="s" s="11">
        <v>20185</v>
      </c>
      <c r="B3985" t="s" s="11">
        <v>20186</v>
      </c>
      <c r="C3985" t="s" s="11">
        <v>60</v>
      </c>
      <c r="D3985" t="s" s="11">
        <v>432</v>
      </c>
      <c r="E3985" t="s" s="11">
        <v>253</v>
      </c>
      <c r="F3985" s="28">
        <v>43891</v>
      </c>
      <c r="G3985" t="s" s="11">
        <v>4267</v>
      </c>
      <c r="H3985" s="43">
        <v>0.09</v>
      </c>
      <c r="I3985" s="43">
        <v>0.36</v>
      </c>
      <c r="J3985" t="s" s="11">
        <v>20187</v>
      </c>
      <c r="K3985" t="s" s="11">
        <v>20188</v>
      </c>
      <c r="L3985" s="17">
        <f>HYPERLINK("http://www.alphastream.io", "www.alphastream.io")</f>
      </c>
      <c r="M3985" s="17">
        <f>HYPERLINK("https://my.pitchbook.com?c=454952-62", "View Company Online")</f>
      </c>
    </row>
    <row r="3986">
      <c r="A3986" t="s" s="10">
        <v>20190</v>
      </c>
      <c r="B3986" t="s" s="10">
        <v>20191</v>
      </c>
      <c r="C3986" t="s" s="10">
        <v>27</v>
      </c>
      <c r="D3986" t="s" s="10">
        <v>28</v>
      </c>
      <c r="E3986" t="s" s="10">
        <v>11659</v>
      </c>
      <c r="F3986" s="27">
        <v>44409</v>
      </c>
      <c r="G3986" t="s" s="10">
        <v>48</v>
      </c>
      <c r="H3986" s="42">
        <v>1.1</v>
      </c>
      <c r="I3986" s="42">
        <v>0.36</v>
      </c>
      <c r="J3986" t="s" s="10">
        <v>20192</v>
      </c>
      <c r="K3986" t="s" s="10">
        <v>20193</v>
      </c>
      <c r="L3986" s="16">
        <f>HYPERLINK("http://www.dapp.mx", "www.dapp.mx")</f>
      </c>
      <c r="M3986" s="16">
        <f>HYPERLINK("https://my.pitchbook.com?c=183186-46", "View Company Online")</f>
      </c>
    </row>
    <row r="3987">
      <c r="A3987" t="s" s="11">
        <v>20195</v>
      </c>
      <c r="B3987" t="s" s="11">
        <v>20196</v>
      </c>
      <c r="C3987" t="s" s="11">
        <v>114</v>
      </c>
      <c r="D3987" t="s" s="11">
        <v>136</v>
      </c>
      <c r="E3987" t="s" s="11">
        <v>20197</v>
      </c>
      <c r="F3987" t="s" s="28">
        <v>30</v>
      </c>
      <c r="G3987" t="s" s="11">
        <v>607</v>
      </c>
      <c r="H3987" t="s" s="43">
        <v>30</v>
      </c>
      <c r="I3987" s="43">
        <v>0.36</v>
      </c>
      <c r="J3987" t="s" s="11">
        <v>20198</v>
      </c>
      <c r="K3987" t="s" s="11">
        <v>20199</v>
      </c>
      <c r="L3987" s="17">
        <f>HYPERLINK("http://www.preauth.io", "www.preauth.io")</f>
      </c>
      <c r="M3987" s="17">
        <f>HYPERLINK("https://my.pitchbook.com?c=459012-61", "View Company Online")</f>
      </c>
    </row>
    <row r="3988">
      <c r="A3988" t="s" s="10">
        <v>20201</v>
      </c>
      <c r="B3988" t="s" s="10">
        <v>20202</v>
      </c>
      <c r="C3988" t="s" s="10">
        <v>164</v>
      </c>
      <c r="D3988" t="s" s="10">
        <v>206</v>
      </c>
      <c r="E3988" t="s" s="10">
        <v>270</v>
      </c>
      <c r="F3988" s="27">
        <v>45452</v>
      </c>
      <c r="G3988" t="s" s="10">
        <v>607</v>
      </c>
      <c r="H3988" t="s" s="42">
        <v>30</v>
      </c>
      <c r="I3988" s="42">
        <v>0.33</v>
      </c>
      <c r="J3988" t="s" s="10">
        <v>20203</v>
      </c>
      <c r="K3988" t="s" s="10">
        <v>20204</v>
      </c>
      <c r="L3988" s="16">
        <f>HYPERLINK("http://www.askallison.ai", "www.askallison.ai")</f>
      </c>
      <c r="M3988" s="16">
        <f>HYPERLINK("https://my.pitchbook.com?c=483487-84", "View Company Online")</f>
      </c>
    </row>
    <row r="3989">
      <c r="A3989" t="s" s="11">
        <v>20206</v>
      </c>
      <c r="B3989" t="s" s="11">
        <v>20207</v>
      </c>
      <c r="C3989" t="s" s="11">
        <v>114</v>
      </c>
      <c r="D3989" t="s" s="11">
        <v>136</v>
      </c>
      <c r="E3989" t="s" s="11">
        <v>859</v>
      </c>
      <c r="F3989" s="28">
        <v>45790</v>
      </c>
      <c r="G3989" t="s" s="11">
        <v>146</v>
      </c>
      <c r="H3989" t="s" s="43">
        <v>30</v>
      </c>
      <c r="I3989" s="43">
        <v>0.33</v>
      </c>
      <c r="J3989" t="s" s="11">
        <v>20208</v>
      </c>
      <c r="K3989" t="s" s="11">
        <v>20209</v>
      </c>
      <c r="L3989" s="17">
        <f>HYPERLINK("http://www.apxlending.com", "www.apxlending.com")</f>
      </c>
      <c r="M3989" s="17">
        <f>HYPERLINK("https://my.pitchbook.com?c=534768-40", "View Company Online")</f>
      </c>
    </row>
    <row r="3990">
      <c r="A3990" t="s" s="10">
        <v>20211</v>
      </c>
      <c r="B3990" t="s" s="10">
        <v>20212</v>
      </c>
      <c r="C3990" t="s" s="10">
        <v>46</v>
      </c>
      <c r="D3990" t="s" s="10">
        <v>47</v>
      </c>
      <c r="E3990" t="s" s="10">
        <v>253</v>
      </c>
      <c r="F3990" s="27">
        <v>45200</v>
      </c>
      <c r="G3990" t="s" s="10">
        <v>271</v>
      </c>
      <c r="H3990" t="s" s="42">
        <v>30</v>
      </c>
      <c r="I3990" s="42">
        <v>0.33</v>
      </c>
      <c r="J3990" t="s" s="10">
        <v>20213</v>
      </c>
      <c r="K3990" t="s" s="10">
        <v>20214</v>
      </c>
      <c r="L3990" s="16">
        <f>HYPERLINK("http://www.growarbol.com", "www.growarbol.com")</f>
      </c>
      <c r="M3990" s="16">
        <f>HYPERLINK("https://my.pitchbook.com?c=481265-11", "View Company Online")</f>
      </c>
    </row>
    <row r="3991">
      <c r="A3991" t="s" s="11">
        <v>20216</v>
      </c>
      <c r="B3991" t="s" s="11">
        <v>20217</v>
      </c>
      <c r="C3991" t="s" s="11">
        <v>144</v>
      </c>
      <c r="D3991" t="s" s="11">
        <v>297</v>
      </c>
      <c r="E3991" t="s" s="11">
        <v>137</v>
      </c>
      <c r="F3991" s="28">
        <v>46043</v>
      </c>
      <c r="G3991" t="s" s="11">
        <v>607</v>
      </c>
      <c r="H3991" t="s" s="43">
        <v>30</v>
      </c>
      <c r="I3991" s="43">
        <v>0.33</v>
      </c>
      <c r="J3991" t="s" s="11">
        <v>20218</v>
      </c>
      <c r="K3991" t="s" s="11">
        <v>20219</v>
      </c>
      <c r="L3991" s="17">
        <f>HYPERLINK("http://www.getcapsa.com", "www.getcapsa.com")</f>
      </c>
      <c r="M3991" s="17">
        <f>HYPERLINK("https://my.pitchbook.com?c=510538-06", "View Company Online")</f>
      </c>
    </row>
    <row r="3992">
      <c r="A3992" t="s" s="10">
        <v>20221</v>
      </c>
      <c r="B3992" t="s" s="10">
        <v>20222</v>
      </c>
      <c r="C3992" t="s" s="10">
        <v>46</v>
      </c>
      <c r="D3992" t="s" s="10">
        <v>78</v>
      </c>
      <c r="E3992" t="s" s="10">
        <v>29</v>
      </c>
      <c r="F3992" s="27">
        <v>45862</v>
      </c>
      <c r="G3992" t="s" s="10">
        <v>4267</v>
      </c>
      <c r="H3992" s="42">
        <v>2</v>
      </c>
      <c r="I3992" s="42">
        <v>0.33</v>
      </c>
      <c r="J3992" t="s" s="10">
        <v>20223</v>
      </c>
      <c r="K3992" t="s" s="10">
        <v>20224</v>
      </c>
      <c r="L3992" s="16">
        <f>HYPERLINK("http://www.joinclockout.com", "www.joinclockout.com")</f>
      </c>
      <c r="M3992" s="16">
        <f>HYPERLINK("https://my.pitchbook.com?c=496092-79", "View Company Online")</f>
      </c>
    </row>
    <row r="3993">
      <c r="A3993" t="s" s="11">
        <v>20226</v>
      </c>
      <c r="B3993" t="s" s="11">
        <v>20227</v>
      </c>
      <c r="C3993" t="s" s="11">
        <v>46</v>
      </c>
      <c r="D3993" t="s" s="11">
        <v>397</v>
      </c>
      <c r="E3993" t="s" s="11">
        <v>414</v>
      </c>
      <c r="F3993" s="28">
        <v>45901</v>
      </c>
      <c r="G3993" t="s" s="11">
        <v>40</v>
      </c>
      <c r="H3993" t="s" s="43">
        <v>30</v>
      </c>
      <c r="I3993" s="43">
        <v>0.33</v>
      </c>
      <c r="J3993" t="s" s="11">
        <v>20228</v>
      </c>
      <c r="K3993" t="s" s="11">
        <v>20229</v>
      </c>
      <c r="L3993" s="17">
        <f>HYPERLINK("http://www.contaayuda.com", "www.contaayuda.com")</f>
      </c>
      <c r="M3993" s="17">
        <f>HYPERLINK("https://my.pitchbook.com?c=557434-99", "View Company Online")</f>
      </c>
    </row>
    <row r="3994">
      <c r="A3994" t="s" s="10">
        <v>20231</v>
      </c>
      <c r="B3994" t="s" s="10">
        <v>20232</v>
      </c>
      <c r="C3994" t="s" s="10">
        <v>144</v>
      </c>
      <c r="D3994" t="s" s="10">
        <v>297</v>
      </c>
      <c r="E3994" t="s" s="10">
        <v>137</v>
      </c>
      <c r="F3994" s="27">
        <v>45419</v>
      </c>
      <c r="G3994" t="s" s="10">
        <v>146</v>
      </c>
      <c r="H3994" t="s" s="42">
        <v>30</v>
      </c>
      <c r="I3994" s="42">
        <v>0.33</v>
      </c>
      <c r="J3994" t="s" s="10">
        <v>20233</v>
      </c>
      <c r="K3994" t="s" s="10">
        <v>20234</v>
      </c>
      <c r="L3994" s="16">
        <f>HYPERLINK("http://containerdepositfund.com", "containerdepositfund.com")</f>
      </c>
      <c r="M3994" s="16">
        <f>HYPERLINK("https://my.pitchbook.com?c=539288-74", "View Company Online")</f>
      </c>
    </row>
    <row r="3995">
      <c r="A3995" t="s" s="11">
        <v>20236</v>
      </c>
      <c r="B3995" t="s" s="11">
        <v>20237</v>
      </c>
      <c r="C3995" t="s" s="11">
        <v>27</v>
      </c>
      <c r="D3995" t="s" s="11">
        <v>70</v>
      </c>
      <c r="E3995" t="s" s="11">
        <v>20238</v>
      </c>
      <c r="F3995" s="28">
        <v>44643</v>
      </c>
      <c r="G3995" t="s" s="11">
        <v>607</v>
      </c>
      <c r="H3995" s="43">
        <v>0.02</v>
      </c>
      <c r="I3995" s="43">
        <v>0.33</v>
      </c>
      <c r="J3995" t="s" s="11">
        <v>20239</v>
      </c>
      <c r="K3995" t="s" s="11">
        <v>20240</v>
      </c>
      <c r="L3995" s="17">
        <f>HYPERLINK("http://www.crecerotechnologies.com", "www.crecerotechnologies.com")</f>
      </c>
      <c r="M3995" s="17">
        <f>HYPERLINK("https://my.pitchbook.com?c=462436-48", "View Company Online")</f>
      </c>
    </row>
    <row r="3996">
      <c r="A3996" t="s" s="10">
        <v>20242</v>
      </c>
      <c r="B3996" t="s" s="10">
        <v>20243</v>
      </c>
      <c r="C3996" t="s" s="10">
        <v>27</v>
      </c>
      <c r="D3996" t="s" s="10">
        <v>28</v>
      </c>
      <c r="E3996" t="s" s="10">
        <v>859</v>
      </c>
      <c r="F3996" s="27">
        <v>46122</v>
      </c>
      <c r="G3996" t="s" s="10">
        <v>4267</v>
      </c>
      <c r="H3996" s="42">
        <v>4</v>
      </c>
      <c r="I3996" s="42">
        <v>0.33</v>
      </c>
      <c r="J3996" t="s" s="10">
        <v>20244</v>
      </c>
      <c r="K3996" t="s" s="10">
        <v>20245</v>
      </c>
      <c r="L3996" s="16">
        <f>HYPERLINK("http://www.depayapp.com", "www.depayapp.com")</f>
      </c>
      <c r="M3996" s="16">
        <f>HYPERLINK("https://my.pitchbook.com?c=589164-76", "View Company Online")</f>
      </c>
    </row>
    <row r="3997">
      <c r="A3997" t="s" s="11">
        <v>20247</v>
      </c>
      <c r="B3997" t="s" s="11">
        <v>20248</v>
      </c>
      <c r="C3997" t="s" s="11">
        <v>60</v>
      </c>
      <c r="D3997" t="s" s="11">
        <v>727</v>
      </c>
      <c r="E3997" t="s" s="11">
        <v>2782</v>
      </c>
      <c r="F3997" s="28">
        <v>44572</v>
      </c>
      <c r="G3997" t="s" s="11">
        <v>607</v>
      </c>
      <c r="H3997" s="43">
        <v>0.02</v>
      </c>
      <c r="I3997" s="43">
        <v>0.33</v>
      </c>
      <c r="J3997" t="s" s="11">
        <v>20249</v>
      </c>
      <c r="K3997" t="s" s="11">
        <v>20250</v>
      </c>
      <c r="L3997" s="17">
        <f>HYPERLINK("http://www.farm.vc", "www.farm.vc")</f>
      </c>
      <c r="M3997" s="17">
        <f>HYPERLINK("https://my.pitchbook.com?c=489110-23", "View Company Online")</f>
      </c>
    </row>
    <row r="3998">
      <c r="A3998" t="s" s="10">
        <v>20252</v>
      </c>
      <c r="B3998" t="s" s="10">
        <v>20253</v>
      </c>
      <c r="C3998" t="s" s="10">
        <v>164</v>
      </c>
      <c r="D3998" t="s" s="10">
        <v>206</v>
      </c>
      <c r="E3998" t="s" s="10">
        <v>253</v>
      </c>
      <c r="F3998" s="27">
        <v>44774</v>
      </c>
      <c r="G3998" t="s" s="10">
        <v>40</v>
      </c>
      <c r="H3998" s="42">
        <v>2.5</v>
      </c>
      <c r="I3998" s="42">
        <v>0.33</v>
      </c>
      <c r="J3998" t="s" s="10">
        <v>20254</v>
      </c>
      <c r="K3998" t="s" s="10">
        <v>20255</v>
      </c>
      <c r="L3998" s="16">
        <f>HYPERLINK("http://www.feezback.com", "www.feezback.com")</f>
      </c>
      <c r="M3998" s="16">
        <f>HYPERLINK("https://my.pitchbook.com?c=226311-31", "View Company Online")</f>
      </c>
    </row>
    <row r="3999">
      <c r="A3999" t="s" s="11">
        <v>20257</v>
      </c>
      <c r="B3999" t="s" s="11">
        <v>20258</v>
      </c>
      <c r="C3999" t="s" s="11">
        <v>164</v>
      </c>
      <c r="D3999" t="s" s="11">
        <v>165</v>
      </c>
      <c r="E3999" t="s" s="11">
        <v>2293</v>
      </c>
      <c r="F3999" t="s" s="28">
        <v>30</v>
      </c>
      <c r="G3999" t="s" s="11">
        <v>48</v>
      </c>
      <c r="H3999" t="s" s="43">
        <v>30</v>
      </c>
      <c r="I3999" s="43">
        <v>0.33</v>
      </c>
      <c r="J3999" t="s" s="11">
        <v>20259</v>
      </c>
      <c r="K3999" t="s" s="11">
        <v>8364</v>
      </c>
      <c r="L3999" s="17">
        <f>HYPERLINK("http://www.finneotech.com", "www.finneotech.com")</f>
      </c>
      <c r="M3999" s="17">
        <f>HYPERLINK("https://my.pitchbook.com?c=294325-21", "View Company Online")</f>
      </c>
    </row>
    <row r="4000">
      <c r="A4000" t="s" s="10">
        <v>20261</v>
      </c>
      <c r="B4000" t="s" s="10">
        <v>20262</v>
      </c>
      <c r="C4000" t="s" s="10">
        <v>164</v>
      </c>
      <c r="D4000" t="s" s="10">
        <v>206</v>
      </c>
      <c r="E4000" t="s" s="10">
        <v>253</v>
      </c>
      <c r="F4000" t="s" s="27">
        <v>30</v>
      </c>
      <c r="G4000" t="s" s="10">
        <v>48</v>
      </c>
      <c r="H4000" t="s" s="42">
        <v>30</v>
      </c>
      <c r="I4000" s="42">
        <v>0.33</v>
      </c>
      <c r="J4000" t="s" s="10">
        <v>20263</v>
      </c>
      <c r="K4000" t="s" s="10">
        <v>20264</v>
      </c>
      <c r="L4000" s="16">
        <f>HYPERLINK("http://www.finsophy.com", "www.finsophy.com")</f>
      </c>
      <c r="M4000" s="16">
        <f>HYPERLINK("https://my.pitchbook.com?c=171887-41", "View Company Online")</f>
      </c>
    </row>
    <row r="4001">
      <c r="A4001" t="s" s="11">
        <v>20266</v>
      </c>
      <c r="B4001" t="s" s="11">
        <v>20267</v>
      </c>
      <c r="C4001" t="s" s="11">
        <v>164</v>
      </c>
      <c r="D4001" t="s" s="11">
        <v>206</v>
      </c>
      <c r="E4001" t="s" s="11">
        <v>253</v>
      </c>
      <c r="F4001" s="28">
        <v>44403</v>
      </c>
      <c r="G4001" t="s" s="11">
        <v>4267</v>
      </c>
      <c r="H4001" s="43">
        <v>0.12</v>
      </c>
      <c r="I4001" s="43">
        <v>0.33</v>
      </c>
      <c r="J4001" t="s" s="11">
        <v>20268</v>
      </c>
      <c r="K4001" t="s" s="11">
        <v>20269</v>
      </c>
      <c r="L4001" s="17">
        <f>HYPERLINK("http://www.fostrum.com", "www.fostrum.com")</f>
      </c>
      <c r="M4001" s="17">
        <f>HYPERLINK("https://my.pitchbook.com?c=267760-90", "View Company Online")</f>
      </c>
    </row>
    <row r="4002">
      <c r="A4002" t="s" s="10">
        <v>20271</v>
      </c>
      <c r="B4002" t="s" s="10">
        <v>20272</v>
      </c>
      <c r="C4002" t="s" s="10">
        <v>27</v>
      </c>
      <c r="D4002" t="s" s="10">
        <v>70</v>
      </c>
      <c r="E4002" t="s" s="10">
        <v>3138</v>
      </c>
      <c r="F4002" s="27">
        <v>46083</v>
      </c>
      <c r="G4002" t="s" s="10">
        <v>4267</v>
      </c>
      <c r="H4002" s="42">
        <v>0.08</v>
      </c>
      <c r="I4002" s="42">
        <v>0.33</v>
      </c>
      <c r="J4002" t="s" s="10">
        <v>20273</v>
      </c>
      <c r="K4002" t="s" s="10">
        <v>20274</v>
      </c>
      <c r="L4002" s="16">
        <f>HYPERLINK("http://www.withgale.com", "www.withgale.com")</f>
      </c>
      <c r="M4002" s="16">
        <f>HYPERLINK("https://my.pitchbook.com?c=707673-07", "View Company Online")</f>
      </c>
    </row>
    <row r="4003">
      <c r="A4003" t="s" s="11">
        <v>20276</v>
      </c>
      <c r="B4003" t="s" s="11">
        <v>20277</v>
      </c>
      <c r="C4003" t="s" s="11">
        <v>46</v>
      </c>
      <c r="D4003" t="s" s="11">
        <v>47</v>
      </c>
      <c r="E4003" t="s" s="11">
        <v>373</v>
      </c>
      <c r="F4003" s="28">
        <v>45804</v>
      </c>
      <c r="G4003" t="s" s="11">
        <v>146</v>
      </c>
      <c r="H4003" s="43">
        <v>1.13</v>
      </c>
      <c r="I4003" s="43">
        <v>0.33</v>
      </c>
      <c r="J4003" t="s" s="11">
        <v>20278</v>
      </c>
      <c r="K4003" t="s" s="11">
        <v>20279</v>
      </c>
      <c r="L4003" s="17">
        <f>HYPERLINK("http://www.usehusk.com", "www.usehusk.com")</f>
      </c>
      <c r="M4003" s="17">
        <f>HYPERLINK("https://my.pitchbook.com?c=520811-65", "View Company Online")</f>
      </c>
    </row>
    <row r="4004">
      <c r="A4004" t="s" s="10">
        <v>20281</v>
      </c>
      <c r="B4004" t="s" s="10">
        <v>20282</v>
      </c>
      <c r="C4004" t="s" s="10">
        <v>164</v>
      </c>
      <c r="D4004" t="s" s="10">
        <v>165</v>
      </c>
      <c r="E4004" t="s" s="10">
        <v>253</v>
      </c>
      <c r="F4004" t="s" s="27">
        <v>30</v>
      </c>
      <c r="G4004" t="s" s="10">
        <v>4267</v>
      </c>
      <c r="H4004" s="42">
        <v>3</v>
      </c>
      <c r="I4004" s="42">
        <v>0.33</v>
      </c>
      <c r="J4004" t="s" s="10">
        <v>20283</v>
      </c>
      <c r="K4004" t="s" s="10">
        <v>20284</v>
      </c>
      <c r="L4004" s="16">
        <f>HYPERLINK("http://www.konduitworks.com", "www.konduitworks.com")</f>
      </c>
      <c r="M4004" s="16">
        <f>HYPERLINK("https://my.pitchbook.com?c=432560-80", "View Company Online")</f>
      </c>
    </row>
    <row r="4005">
      <c r="A4005" t="s" s="11">
        <v>20286</v>
      </c>
      <c r="B4005" t="s" s="11">
        <v>20287</v>
      </c>
      <c r="C4005" t="s" s="11">
        <v>60</v>
      </c>
      <c r="D4005" t="s" s="11">
        <v>246</v>
      </c>
      <c r="E4005" t="s" s="11">
        <v>116</v>
      </c>
      <c r="F4005" s="28">
        <v>45138</v>
      </c>
      <c r="G4005" t="s" s="11">
        <v>607</v>
      </c>
      <c r="H4005" s="43">
        <v>0.02</v>
      </c>
      <c r="I4005" s="43">
        <v>0.33</v>
      </c>
      <c r="J4005" t="s" s="11">
        <v>20288</v>
      </c>
      <c r="K4005" t="s" s="11">
        <v>20289</v>
      </c>
      <c r="L4005" s="17">
        <f>HYPERLINK("http://www.ladder.africa", "www.ladder.africa")</f>
      </c>
      <c r="M4005" s="17">
        <f>HYPERLINK("https://my.pitchbook.com?c=483562-81", "View Company Online")</f>
      </c>
    </row>
    <row r="4006">
      <c r="A4006" t="s" s="10">
        <v>20291</v>
      </c>
      <c r="B4006" t="s" s="10">
        <v>20292</v>
      </c>
      <c r="C4006" t="s" s="10">
        <v>114</v>
      </c>
      <c r="D4006" t="s" s="10">
        <v>852</v>
      </c>
      <c r="E4006" t="s" s="10">
        <v>270</v>
      </c>
      <c r="F4006" s="27">
        <v>45821</v>
      </c>
      <c r="G4006" t="s" s="10">
        <v>4267</v>
      </c>
      <c r="H4006" s="42">
        <v>1</v>
      </c>
      <c r="I4006" s="42">
        <v>0.33</v>
      </c>
      <c r="J4006" t="s" s="10">
        <v>20293</v>
      </c>
      <c r="K4006" t="s" s="10">
        <v>20294</v>
      </c>
      <c r="L4006" s="16">
        <f>HYPERLINK("http://www.lounn.mx", "www.lounn.mx")</f>
      </c>
      <c r="M4006" s="16">
        <f>HYPERLINK("https://my.pitchbook.com?c=566209-54", "View Company Online")</f>
      </c>
    </row>
    <row r="4007">
      <c r="A4007" t="s" s="11">
        <v>20296</v>
      </c>
      <c r="B4007" t="s" s="11">
        <v>20297</v>
      </c>
      <c r="C4007" t="s" s="11">
        <v>46</v>
      </c>
      <c r="D4007" t="s" s="11">
        <v>397</v>
      </c>
      <c r="E4007" t="s" s="11">
        <v>270</v>
      </c>
      <c r="F4007" t="s" s="28">
        <v>30</v>
      </c>
      <c r="G4007" t="s" s="11">
        <v>146</v>
      </c>
      <c r="H4007" t="s" s="43">
        <v>30</v>
      </c>
      <c r="I4007" s="43">
        <v>0.33</v>
      </c>
      <c r="J4007" t="s" s="11">
        <v>20298</v>
      </c>
      <c r="K4007" t="s" s="11">
        <v>20299</v>
      </c>
      <c r="L4007" s="17">
        <f>HYPERLINK("http://www.luca.africa", "www.luca.africa")</f>
      </c>
      <c r="M4007" s="17">
        <f>HYPERLINK("https://my.pitchbook.com?c=527446-99", "View Company Online")</f>
      </c>
    </row>
    <row r="4008">
      <c r="A4008" t="s" s="10">
        <v>20301</v>
      </c>
      <c r="B4008" t="s" s="10">
        <v>20302</v>
      </c>
      <c r="C4008" t="s" s="10">
        <v>46</v>
      </c>
      <c r="D4008" t="s" s="10">
        <v>47</v>
      </c>
      <c r="E4008" t="s" s="10">
        <v>373</v>
      </c>
      <c r="F4008" t="s" s="27">
        <v>30</v>
      </c>
      <c r="G4008" t="s" s="10">
        <v>48</v>
      </c>
      <c r="H4008" t="s" s="42">
        <v>30</v>
      </c>
      <c r="I4008" s="42">
        <v>0.33</v>
      </c>
      <c r="J4008" t="s" s="10">
        <v>20303</v>
      </c>
      <c r="K4008" t="s" s="10">
        <v>20304</v>
      </c>
      <c r="L4008" s="16">
        <f>HYPERLINK("http://www.maxio.com", "www.maxio.com")</f>
      </c>
      <c r="M4008" s="16">
        <f>HYPERLINK("https://my.pitchbook.com?c=89754-76", "View Company Online")</f>
      </c>
    </row>
    <row r="4009">
      <c r="A4009" t="s" s="11">
        <v>20306</v>
      </c>
      <c r="B4009" t="s" s="11">
        <v>20307</v>
      </c>
      <c r="C4009" t="s" s="11">
        <v>128</v>
      </c>
      <c r="D4009" t="s" s="11">
        <v>129</v>
      </c>
      <c r="E4009" t="s" s="11">
        <v>20308</v>
      </c>
      <c r="F4009" s="28">
        <v>45292</v>
      </c>
      <c r="G4009" t="s" s="11">
        <v>146</v>
      </c>
      <c r="H4009" t="s" s="43">
        <v>30</v>
      </c>
      <c r="I4009" s="43">
        <v>0.33</v>
      </c>
      <c r="J4009" t="s" s="11">
        <v>20309</v>
      </c>
      <c r="K4009" t="s" s="11">
        <v>20310</v>
      </c>
      <c r="L4009" s="17">
        <f>HYPERLINK("http://www.moneo.cash", "www.moneo.cash")</f>
      </c>
      <c r="M4009" s="17">
        <f>HYPERLINK("https://my.pitchbook.com?c=521413-57", "View Company Online")</f>
      </c>
    </row>
    <row r="4010">
      <c r="A4010" t="s" s="10">
        <v>20312</v>
      </c>
      <c r="B4010" t="s" s="10">
        <v>20313</v>
      </c>
      <c r="C4010" t="s" s="10">
        <v>60</v>
      </c>
      <c r="D4010" t="s" s="10">
        <v>246</v>
      </c>
      <c r="E4010" t="s" s="10">
        <v>414</v>
      </c>
      <c r="F4010" s="27">
        <v>45819</v>
      </c>
      <c r="G4010" t="s" s="10">
        <v>607</v>
      </c>
      <c r="H4010" t="s" s="42">
        <v>30</v>
      </c>
      <c r="I4010" s="42">
        <v>0.33</v>
      </c>
      <c r="J4010" t="s" s="10">
        <v>20314</v>
      </c>
      <c r="K4010" t="s" s="10">
        <v>20315</v>
      </c>
      <c r="L4010" s="16">
        <f>HYPERLINK("http://www.musetax.com", "www.musetax.com")</f>
      </c>
      <c r="M4010" s="16">
        <f>HYPERLINK("https://my.pitchbook.com?c=519026-41", "View Company Online")</f>
      </c>
    </row>
    <row r="4011">
      <c r="A4011" t="s" s="11">
        <v>20317</v>
      </c>
      <c r="B4011" t="s" s="11">
        <v>20318</v>
      </c>
      <c r="C4011" t="s" s="11">
        <v>164</v>
      </c>
      <c r="D4011" t="s" s="11">
        <v>206</v>
      </c>
      <c r="E4011" t="s" s="11">
        <v>6159</v>
      </c>
      <c r="F4011" t="s" s="28">
        <v>30</v>
      </c>
      <c r="G4011" t="s" s="11">
        <v>48</v>
      </c>
      <c r="H4011" t="s" s="43">
        <v>30</v>
      </c>
      <c r="I4011" s="43">
        <v>0.33</v>
      </c>
      <c r="J4011" t="s" s="11">
        <v>20319</v>
      </c>
      <c r="K4011" t="s" s="11">
        <v>20320</v>
      </c>
      <c r="L4011" s="17">
        <f>HYPERLINK("http://www.onepipe.com", "www.onepipe.com")</f>
      </c>
      <c r="M4011" s="17">
        <f>HYPERLINK("https://my.pitchbook.com?c=439424-74", "View Company Online")</f>
      </c>
    </row>
    <row r="4012">
      <c r="A4012" t="s" s="10">
        <v>20322</v>
      </c>
      <c r="B4012" t="s" s="10">
        <v>20323</v>
      </c>
      <c r="C4012" t="s" s="10">
        <v>164</v>
      </c>
      <c r="D4012" t="s" s="10">
        <v>206</v>
      </c>
      <c r="E4012" t="s" s="10">
        <v>2581</v>
      </c>
      <c r="F4012" s="27">
        <v>44755</v>
      </c>
      <c r="G4012" t="s" s="10">
        <v>146</v>
      </c>
      <c r="H4012" s="42">
        <v>11.44</v>
      </c>
      <c r="I4012" s="42">
        <v>0.33</v>
      </c>
      <c r="J4012" t="s" s="10">
        <v>20324</v>
      </c>
      <c r="K4012" t="s" s="10">
        <v>20325</v>
      </c>
      <c r="L4012" s="16">
        <f>HYPERLINK("http://www.opercredits.com", "www.opercredits.com")</f>
      </c>
      <c r="M4012" s="16">
        <f>HYPERLINK("https://my.pitchbook.com?c=416698-21", "View Company Online")</f>
      </c>
    </row>
    <row r="4013">
      <c r="A4013" t="s" s="11">
        <v>20327</v>
      </c>
      <c r="B4013" t="s" s="11">
        <v>20328</v>
      </c>
      <c r="C4013" t="s" s="11">
        <v>172</v>
      </c>
      <c r="D4013" t="s" s="11">
        <v>338</v>
      </c>
      <c r="E4013" t="s" s="11">
        <v>859</v>
      </c>
      <c r="F4013" t="s" s="28">
        <v>30</v>
      </c>
      <c r="G4013" t="s" s="11">
        <v>40</v>
      </c>
      <c r="H4013" t="s" s="43">
        <v>30</v>
      </c>
      <c r="I4013" s="43">
        <v>0.33</v>
      </c>
      <c r="J4013" t="s" s="11">
        <v>20329</v>
      </c>
      <c r="K4013" t="s" s="11">
        <v>20330</v>
      </c>
      <c r="L4013" s="17">
        <f>HYPERLINK("http://www.ospree.io", "www.ospree.io")</f>
      </c>
      <c r="M4013" s="17">
        <f>HYPERLINK("https://my.pitchbook.com?c=490164-85", "View Company Online")</f>
      </c>
    </row>
    <row r="4014">
      <c r="A4014" t="s" s="10">
        <v>20332</v>
      </c>
      <c r="B4014" t="s" s="10">
        <v>20333</v>
      </c>
      <c r="C4014" t="s" s="10">
        <v>60</v>
      </c>
      <c r="D4014" t="s" s="10">
        <v>246</v>
      </c>
      <c r="E4014" t="s" s="10">
        <v>29</v>
      </c>
      <c r="F4014" s="27">
        <v>45415</v>
      </c>
      <c r="G4014" t="s" s="10">
        <v>4267</v>
      </c>
      <c r="H4014" t="s" s="42">
        <v>30</v>
      </c>
      <c r="I4014" s="42">
        <v>0.33</v>
      </c>
      <c r="J4014" t="s" s="10">
        <v>20334</v>
      </c>
      <c r="K4014" t="s" s="10">
        <v>20335</v>
      </c>
      <c r="L4014" s="16">
        <f>HYPERLINK("http://www.peas.money", "www.peas.money")</f>
      </c>
      <c r="M4014" s="16">
        <f>HYPERLINK("https://my.pitchbook.com?c=589137-04", "View Company Online")</f>
      </c>
    </row>
    <row r="4015">
      <c r="A4015" t="s" s="11">
        <v>20337</v>
      </c>
      <c r="B4015" t="s" s="11">
        <v>20338</v>
      </c>
      <c r="C4015" t="s" s="11">
        <v>60</v>
      </c>
      <c r="D4015" t="s" s="11">
        <v>192</v>
      </c>
      <c r="E4015" t="s" s="11">
        <v>5920</v>
      </c>
      <c r="F4015" s="28">
        <v>45954</v>
      </c>
      <c r="G4015" t="s" s="11">
        <v>607</v>
      </c>
      <c r="H4015" s="43">
        <v>0.1</v>
      </c>
      <c r="I4015" s="43">
        <v>0.33</v>
      </c>
      <c r="J4015" t="s" s="11">
        <v>20339</v>
      </c>
      <c r="K4015" t="s" s="11">
        <v>20340</v>
      </c>
      <c r="L4015" s="17">
        <f>HYPERLINK("http://www.pelicaninvests.com", "www.pelicaninvests.com")</f>
      </c>
      <c r="M4015" s="17">
        <f>HYPERLINK("https://my.pitchbook.com?c=521577-01", "View Company Online")</f>
      </c>
    </row>
    <row r="4016">
      <c r="A4016" t="s" s="10">
        <v>20342</v>
      </c>
      <c r="B4016" t="s" s="10">
        <v>20343</v>
      </c>
      <c r="C4016" t="s" s="10">
        <v>172</v>
      </c>
      <c r="D4016" t="s" s="10">
        <v>173</v>
      </c>
      <c r="E4016" t="s" s="10">
        <v>9672</v>
      </c>
      <c r="F4016" s="27">
        <v>46055</v>
      </c>
      <c r="G4016" t="s" s="10">
        <v>607</v>
      </c>
      <c r="H4016" t="s" s="42">
        <v>30</v>
      </c>
      <c r="I4016" s="42">
        <v>0.33</v>
      </c>
      <c r="J4016" t="s" s="10">
        <v>20344</v>
      </c>
      <c r="K4016" t="s" s="10">
        <v>20345</v>
      </c>
      <c r="L4016" s="16">
        <f>HYPERLINK("http://www.periculum.io", "www.periculum.io")</f>
      </c>
      <c r="M4016" s="16">
        <f>HYPERLINK("https://my.pitchbook.com?c=482493-88", "View Company Online")</f>
      </c>
    </row>
    <row r="4017">
      <c r="A4017" t="s" s="11">
        <v>20347</v>
      </c>
      <c r="B4017" t="s" s="11">
        <v>20348</v>
      </c>
      <c r="C4017" t="s" s="11">
        <v>164</v>
      </c>
      <c r="D4017" t="s" s="11">
        <v>165</v>
      </c>
      <c r="E4017" t="s" s="11">
        <v>253</v>
      </c>
      <c r="F4017" s="28">
        <v>45014</v>
      </c>
      <c r="G4017" t="s" s="11">
        <v>4267</v>
      </c>
      <c r="H4017" s="43">
        <v>3.3</v>
      </c>
      <c r="I4017" s="43">
        <v>0.33</v>
      </c>
      <c r="J4017" t="s" s="11">
        <v>20349</v>
      </c>
      <c r="K4017" t="s" s="11">
        <v>20350</v>
      </c>
      <c r="L4017" s="17">
        <f>HYPERLINK("http://www.letspresta.com", "www.letspresta.com")</f>
      </c>
      <c r="M4017" s="17">
        <f>HYPERLINK("https://my.pitchbook.com?c=495890-74", "View Company Online")</f>
      </c>
    </row>
    <row r="4018">
      <c r="A4018" t="s" s="10">
        <v>20352</v>
      </c>
      <c r="B4018" t="s" s="10">
        <v>20353</v>
      </c>
      <c r="C4018" t="s" s="10">
        <v>128</v>
      </c>
      <c r="D4018" t="s" s="10">
        <v>199</v>
      </c>
      <c r="E4018" t="s" s="10">
        <v>193</v>
      </c>
      <c r="F4018" t="s" s="27">
        <v>30</v>
      </c>
      <c r="G4018" t="s" s="10">
        <v>146</v>
      </c>
      <c r="H4018" t="s" s="42">
        <v>30</v>
      </c>
      <c r="I4018" s="42">
        <v>0.33</v>
      </c>
      <c r="J4018" t="s" s="10">
        <v>20354</v>
      </c>
      <c r="K4018" t="s" s="10">
        <v>20355</v>
      </c>
      <c r="L4018" s="16">
        <f>HYPERLINK("http://getflick.app", "getflick.app")</f>
      </c>
      <c r="M4018" s="16">
        <f>HYPERLINK("https://my.pitchbook.com?c=518993-02", "View Company Online")</f>
      </c>
    </row>
    <row r="4019">
      <c r="A4019" t="s" s="11">
        <v>20357</v>
      </c>
      <c r="B4019" t="s" s="11">
        <v>20358</v>
      </c>
      <c r="C4019" t="s" s="11">
        <v>144</v>
      </c>
      <c r="D4019" t="s" s="11">
        <v>297</v>
      </c>
      <c r="E4019" t="s" s="11">
        <v>20359</v>
      </c>
      <c r="F4019" s="28">
        <v>45315</v>
      </c>
      <c r="G4019" t="s" s="11">
        <v>607</v>
      </c>
      <c r="H4019" t="s" s="43">
        <v>30</v>
      </c>
      <c r="I4019" s="43">
        <v>0.33</v>
      </c>
      <c r="J4019" t="s" s="11">
        <v>20360</v>
      </c>
      <c r="K4019" t="s" s="11">
        <v>20361</v>
      </c>
      <c r="L4019" s="17">
        <f>HYPERLINK("http://www.goquartix.com", "www.goquartix.com")</f>
      </c>
      <c r="M4019" s="17">
        <f>HYPERLINK("https://my.pitchbook.com?c=187707-34", "View Company Online")</f>
      </c>
    </row>
    <row r="4020">
      <c r="A4020" t="s" s="10">
        <v>20363</v>
      </c>
      <c r="B4020" t="s" s="10">
        <v>20364</v>
      </c>
      <c r="C4020" t="s" s="10">
        <v>114</v>
      </c>
      <c r="D4020" t="s" s="10">
        <v>136</v>
      </c>
      <c r="E4020" t="s" s="10">
        <v>373</v>
      </c>
      <c r="F4020" s="27">
        <v>45161</v>
      </c>
      <c r="G4020" t="s" s="10">
        <v>4267</v>
      </c>
      <c r="H4020" t="s" s="42">
        <v>30</v>
      </c>
      <c r="I4020" s="42">
        <v>0.33</v>
      </c>
      <c r="J4020" t="s" s="10">
        <v>20365</v>
      </c>
      <c r="K4020" t="s" s="10">
        <v>20366</v>
      </c>
      <c r="L4020" s="16">
        <f>HYPERLINK("http://www.reeple.ai", "www.reeple.ai")</f>
      </c>
      <c r="M4020" s="16">
        <f>HYPERLINK("https://my.pitchbook.com?c=534782-62", "View Company Online")</f>
      </c>
    </row>
    <row r="4021">
      <c r="A4021" t="s" s="11">
        <v>20368</v>
      </c>
      <c r="B4021" t="s" s="11">
        <v>20369</v>
      </c>
      <c r="C4021" t="s" s="11">
        <v>172</v>
      </c>
      <c r="D4021" t="s" s="11">
        <v>1454</v>
      </c>
      <c r="E4021" t="s" s="11">
        <v>6783</v>
      </c>
      <c r="F4021" s="28">
        <v>43556</v>
      </c>
      <c r="G4021" t="s" s="11">
        <v>146</v>
      </c>
      <c r="H4021" t="s" s="43">
        <v>30</v>
      </c>
      <c r="I4021" s="43">
        <v>0.33</v>
      </c>
      <c r="J4021" t="s" s="11">
        <v>20370</v>
      </c>
      <c r="K4021" t="s" s="11">
        <v>20024</v>
      </c>
      <c r="L4021" s="17">
        <f>HYPERLINK("http://www.beregsmart.com", "www.beregsmart.com")</f>
      </c>
      <c r="M4021" s="17">
        <f>HYPERLINK("https://my.pitchbook.com?c=185047-57", "View Company Online")</f>
      </c>
    </row>
    <row r="4022">
      <c r="A4022" t="s" s="10">
        <v>20372</v>
      </c>
      <c r="B4022" t="s" s="10">
        <v>20373</v>
      </c>
      <c r="C4022" t="s" s="10">
        <v>27</v>
      </c>
      <c r="D4022" t="s" s="10">
        <v>28</v>
      </c>
      <c r="E4022" t="s" s="10">
        <v>200</v>
      </c>
      <c r="F4022" s="27">
        <v>45992</v>
      </c>
      <c r="G4022" t="s" s="10">
        <v>146</v>
      </c>
      <c r="H4022" t="s" s="42">
        <v>30</v>
      </c>
      <c r="I4022" s="42">
        <v>0.33</v>
      </c>
      <c r="J4022" t="s" s="10">
        <v>20374</v>
      </c>
      <c r="K4022" t="s" s="10">
        <v>20375</v>
      </c>
      <c r="L4022" s="16">
        <f>HYPERLINK("http://www.snappable.nyc", "www.snappable.nyc")</f>
      </c>
      <c r="M4022" s="16">
        <f>HYPERLINK("https://my.pitchbook.com?c=521664-04", "View Company Online")</f>
      </c>
    </row>
    <row r="4023">
      <c r="A4023" t="s" s="11">
        <v>20377</v>
      </c>
      <c r="B4023" t="s" s="11">
        <v>20378</v>
      </c>
      <c r="C4023" t="s" s="11">
        <v>27</v>
      </c>
      <c r="D4023" t="s" s="11">
        <v>28</v>
      </c>
      <c r="E4023" t="s" s="11">
        <v>1093</v>
      </c>
      <c r="F4023" s="28">
        <v>45449</v>
      </c>
      <c r="G4023" t="s" s="11">
        <v>4267</v>
      </c>
      <c r="H4023" s="43">
        <v>0.9</v>
      </c>
      <c r="I4023" s="43">
        <v>0.33</v>
      </c>
      <c r="J4023" t="s" s="11">
        <v>20379</v>
      </c>
      <c r="K4023" t="s" s="11">
        <v>20380</v>
      </c>
      <c r="L4023" s="17">
        <f>HYPERLINK("http://snaprefund.io", "snaprefund.io")</f>
      </c>
      <c r="M4023" s="17">
        <f>HYPERLINK("https://my.pitchbook.com?c=439850-80", "View Company Online")</f>
      </c>
    </row>
    <row r="4024">
      <c r="A4024" t="s" s="10">
        <v>20382</v>
      </c>
      <c r="B4024" t="s" s="10">
        <v>20383</v>
      </c>
      <c r="C4024" t="s" s="10">
        <v>128</v>
      </c>
      <c r="D4024" t="s" s="10">
        <v>199</v>
      </c>
      <c r="E4024" t="s" s="10">
        <v>629</v>
      </c>
      <c r="F4024" s="27">
        <v>45748</v>
      </c>
      <c r="G4024" t="s" s="10">
        <v>146</v>
      </c>
      <c r="H4024" t="s" s="42">
        <v>30</v>
      </c>
      <c r="I4024" s="42">
        <v>0.33</v>
      </c>
      <c r="J4024" t="s" s="10">
        <v>20384</v>
      </c>
      <c r="K4024" t="s" s="10">
        <v>20385</v>
      </c>
      <c r="L4024" s="16">
        <f>HYPERLINK("http://www.staaxapp.com", "www.staaxapp.com")</f>
      </c>
      <c r="M4024" s="16">
        <f>HYPERLINK("https://my.pitchbook.com?c=482506-84", "View Company Online")</f>
      </c>
    </row>
    <row r="4025">
      <c r="A4025" t="s" s="11">
        <v>20387</v>
      </c>
      <c r="B4025" t="s" s="11">
        <v>20388</v>
      </c>
      <c r="C4025" t="s" s="11">
        <v>27</v>
      </c>
      <c r="D4025" t="s" s="11">
        <v>122</v>
      </c>
      <c r="E4025" t="s" s="11">
        <v>270</v>
      </c>
      <c r="F4025" s="28">
        <v>45413</v>
      </c>
      <c r="G4025" t="s" s="11">
        <v>146</v>
      </c>
      <c r="H4025" t="s" s="43">
        <v>30</v>
      </c>
      <c r="I4025" s="43">
        <v>0.33</v>
      </c>
      <c r="J4025" t="s" s="11">
        <v>20389</v>
      </c>
      <c r="K4025" t="s" s="11">
        <v>20390</v>
      </c>
      <c r="L4025" s="17">
        <f>HYPERLINK("http://www.surgeafrica.co", "www.surgeafrica.co")</f>
      </c>
      <c r="M4025" s="17">
        <f>HYPERLINK("https://my.pitchbook.com?c=541002-70", "View Company Online")</f>
      </c>
    </row>
    <row r="4026">
      <c r="A4026" t="s" s="10">
        <v>20392</v>
      </c>
      <c r="B4026" t="s" s="10">
        <v>20393</v>
      </c>
      <c r="C4026" t="s" s="10">
        <v>172</v>
      </c>
      <c r="D4026" t="s" s="10">
        <v>338</v>
      </c>
      <c r="E4026" t="s" s="10">
        <v>373</v>
      </c>
      <c r="F4026" s="27">
        <v>45737</v>
      </c>
      <c r="G4026" t="s" s="10">
        <v>607</v>
      </c>
      <c r="H4026" t="s" s="42">
        <v>30</v>
      </c>
      <c r="I4026" s="42">
        <v>0.33</v>
      </c>
      <c r="J4026" t="s" s="10">
        <v>20394</v>
      </c>
      <c r="K4026" t="s" s="10">
        <v>20395</v>
      </c>
      <c r="L4026" s="16">
        <f>HYPERLINK("http://www.swipecredit.com", "www.swipecredit.com")</f>
      </c>
      <c r="M4026" s="16">
        <f>HYPERLINK("https://my.pitchbook.com?c=458522-38", "View Company Online")</f>
      </c>
    </row>
    <row r="4027">
      <c r="A4027" t="s" s="11">
        <v>20397</v>
      </c>
      <c r="B4027" t="s" s="11">
        <v>20398</v>
      </c>
      <c r="C4027" t="s" s="11">
        <v>46</v>
      </c>
      <c r="D4027" t="s" s="11">
        <v>78</v>
      </c>
      <c r="E4027" t="s" s="11">
        <v>253</v>
      </c>
      <c r="F4027" s="28">
        <v>45748</v>
      </c>
      <c r="G4027" t="s" s="11">
        <v>146</v>
      </c>
      <c r="H4027" t="s" s="43">
        <v>30</v>
      </c>
      <c r="I4027" s="43">
        <v>0.33</v>
      </c>
      <c r="J4027" t="s" s="11">
        <v>20399</v>
      </c>
      <c r="K4027" t="s" s="11">
        <v>20400</v>
      </c>
      <c r="L4027" s="17">
        <f>HYPERLINK("http://www.trez.co", "www.trez.co")</f>
      </c>
      <c r="M4027" s="17">
        <f>HYPERLINK("https://my.pitchbook.com?c=520748-29", "View Company Online")</f>
      </c>
    </row>
    <row r="4028">
      <c r="A4028" t="s" s="10">
        <v>20402</v>
      </c>
      <c r="B4028" t="s" s="10">
        <v>20403</v>
      </c>
      <c r="C4028" t="s" s="10">
        <v>164</v>
      </c>
      <c r="D4028" t="s" s="10">
        <v>165</v>
      </c>
      <c r="E4028" t="s" s="10">
        <v>414</v>
      </c>
      <c r="F4028" s="27">
        <v>45689</v>
      </c>
      <c r="G4028" t="s" s="10">
        <v>4267</v>
      </c>
      <c r="H4028" t="s" s="42">
        <v>30</v>
      </c>
      <c r="I4028" s="42">
        <v>0.33</v>
      </c>
      <c r="J4028" t="s" s="10">
        <v>20404</v>
      </c>
      <c r="K4028" t="s" s="10">
        <v>20405</v>
      </c>
      <c r="L4028" s="16">
        <f>HYPERLINK("http://www.tweezr.io", "www.tweezr.io")</f>
      </c>
      <c r="M4028" s="16">
        <f>HYPERLINK("https://my.pitchbook.com?c=749244-34", "View Company Online")</f>
      </c>
    </row>
    <row r="4029">
      <c r="A4029" t="s" s="11">
        <v>20407</v>
      </c>
      <c r="B4029" t="s" s="11">
        <v>20408</v>
      </c>
      <c r="C4029" t="s" s="11">
        <v>60</v>
      </c>
      <c r="D4029" t="s" s="11">
        <v>420</v>
      </c>
      <c r="E4029" t="s" s="11">
        <v>253</v>
      </c>
      <c r="F4029" t="s" s="28">
        <v>30</v>
      </c>
      <c r="G4029" t="s" s="11">
        <v>146</v>
      </c>
      <c r="H4029" t="s" s="43">
        <v>30</v>
      </c>
      <c r="I4029" s="43">
        <v>0.33</v>
      </c>
      <c r="J4029" t="s" s="11">
        <v>20409</v>
      </c>
      <c r="K4029" t="s" s="11">
        <v>20410</v>
      </c>
      <c r="L4029" s="17">
        <f>HYPERLINK("http://www.veriphyanalytics.com", "www.veriphyanalytics.com")</f>
      </c>
      <c r="M4029" s="17">
        <f>HYPERLINK("https://my.pitchbook.com?c=187709-50", "View Company Online")</f>
      </c>
    </row>
    <row r="4030">
      <c r="A4030" t="s" s="10">
        <v>20412</v>
      </c>
      <c r="B4030" t="s" s="10">
        <v>20413</v>
      </c>
      <c r="C4030" t="s" s="10">
        <v>164</v>
      </c>
      <c r="D4030" t="s" s="10">
        <v>165</v>
      </c>
      <c r="E4030" t="s" s="10">
        <v>29</v>
      </c>
      <c r="F4030" s="27">
        <v>45743</v>
      </c>
      <c r="G4030" t="s" s="10">
        <v>607</v>
      </c>
      <c r="H4030" t="s" s="42">
        <v>30</v>
      </c>
      <c r="I4030" s="42">
        <v>0.33</v>
      </c>
      <c r="J4030" t="s" s="10">
        <v>20414</v>
      </c>
      <c r="K4030" t="s" s="10">
        <v>20415</v>
      </c>
      <c r="L4030" s="16">
        <f>HYPERLINK("http://www.wellthiapp.com", "www.wellthiapp.com")</f>
      </c>
      <c r="M4030" s="16">
        <f>HYPERLINK("https://my.pitchbook.com?c=279684-73", "View Company Online")</f>
      </c>
    </row>
    <row r="4031">
      <c r="A4031" t="s" s="11">
        <v>20417</v>
      </c>
      <c r="B4031" t="s" s="11">
        <v>20418</v>
      </c>
      <c r="C4031" t="s" s="11">
        <v>37</v>
      </c>
      <c r="D4031" t="s" s="11">
        <v>38</v>
      </c>
      <c r="E4031" t="s" s="11">
        <v>137</v>
      </c>
      <c r="F4031" s="28">
        <v>45691</v>
      </c>
      <c r="G4031" t="s" s="11">
        <v>4267</v>
      </c>
      <c r="H4031" s="43">
        <v>1.12</v>
      </c>
      <c r="I4031" s="43">
        <v>0.33</v>
      </c>
      <c r="J4031" t="s" s="11">
        <v>20419</v>
      </c>
      <c r="K4031" t="s" s="11">
        <v>8364</v>
      </c>
      <c r="L4031" s="17">
        <f>HYPERLINK("http://www.xodusfinance.com", "www.xodusfinance.com")</f>
      </c>
      <c r="M4031" s="17">
        <f>HYPERLINK("https://my.pitchbook.com?c=510552-19", "View Company Online")</f>
      </c>
    </row>
    <row r="4032">
      <c r="A4032" t="s" s="10">
        <v>20421</v>
      </c>
      <c r="B4032" t="s" s="10">
        <v>20422</v>
      </c>
      <c r="C4032" t="s" s="10">
        <v>60</v>
      </c>
      <c r="D4032" t="s" s="10">
        <v>61</v>
      </c>
      <c r="E4032" t="s" s="10">
        <v>193</v>
      </c>
      <c r="F4032" s="27">
        <v>44528</v>
      </c>
      <c r="G4032" t="s" s="10">
        <v>4267</v>
      </c>
      <c r="H4032" s="42">
        <v>1.1</v>
      </c>
      <c r="I4032" s="42">
        <v>0.32</v>
      </c>
      <c r="J4032" t="s" s="10">
        <v>20423</v>
      </c>
      <c r="K4032" t="s" s="10">
        <v>20424</v>
      </c>
      <c r="L4032" s="16">
        <f>HYPERLINK("http://www.raseedinvest.com", "www.raseedinvest.com")</f>
      </c>
      <c r="M4032" s="16">
        <f>HYPERLINK("https://my.pitchbook.com?c=469783-63", "View Company Online")</f>
      </c>
    </row>
    <row r="4033">
      <c r="A4033" t="s" s="11">
        <v>20426</v>
      </c>
      <c r="B4033" t="s" s="11">
        <v>20427</v>
      </c>
      <c r="C4033" t="s" s="11">
        <v>222</v>
      </c>
      <c r="D4033" t="s" s="11">
        <v>235</v>
      </c>
      <c r="E4033" t="s" s="11">
        <v>859</v>
      </c>
      <c r="F4033" s="28">
        <v>46048</v>
      </c>
      <c r="G4033" t="s" s="11">
        <v>146</v>
      </c>
      <c r="H4033" s="43">
        <v>2.34</v>
      </c>
      <c r="I4033" s="43">
        <v>0.31</v>
      </c>
      <c r="J4033" t="s" s="11">
        <v>20428</v>
      </c>
      <c r="K4033" t="s" s="11">
        <v>20429</v>
      </c>
      <c r="L4033" s="17">
        <f>HYPERLINK("http://www.dowgo.com", "www.dowgo.com")</f>
      </c>
      <c r="M4033" s="17">
        <f>HYPERLINK("https://my.pitchbook.com?c=718814-89", "View Company Online")</f>
      </c>
    </row>
    <row r="4034">
      <c r="A4034" t="s" s="10">
        <v>20431</v>
      </c>
      <c r="B4034" t="s" s="10">
        <v>20432</v>
      </c>
      <c r="C4034" t="s" s="10">
        <v>164</v>
      </c>
      <c r="D4034" t="s" s="10">
        <v>206</v>
      </c>
      <c r="E4034" t="s" s="10">
        <v>253</v>
      </c>
      <c r="F4034" s="27">
        <v>45083</v>
      </c>
      <c r="G4034" t="s" s="10">
        <v>40</v>
      </c>
      <c r="H4034" s="42">
        <v>3</v>
      </c>
      <c r="I4034" s="42">
        <v>0.3</v>
      </c>
      <c r="J4034" t="s" s="10">
        <v>20433</v>
      </c>
      <c r="K4034" t="s" s="10">
        <v>20434</v>
      </c>
      <c r="L4034" s="16">
        <f>HYPERLINK("http://www.lendingstandard.com", "www.lendingstandard.com")</f>
      </c>
      <c r="M4034" s="16">
        <f>HYPERLINK("https://my.pitchbook.com?c=93785-32", "View Company Online")</f>
      </c>
    </row>
    <row r="4035">
      <c r="A4035" t="s" s="11">
        <v>20436</v>
      </c>
      <c r="B4035" t="s" s="11">
        <v>20437</v>
      </c>
      <c r="C4035" t="s" s="11">
        <v>164</v>
      </c>
      <c r="D4035" t="s" s="11">
        <v>206</v>
      </c>
      <c r="E4035" t="s" s="11">
        <v>137</v>
      </c>
      <c r="F4035" s="28">
        <v>44656</v>
      </c>
      <c r="G4035" t="s" s="11">
        <v>607</v>
      </c>
      <c r="H4035" s="43">
        <v>0.12</v>
      </c>
      <c r="I4035" s="43">
        <v>0.3</v>
      </c>
      <c r="J4035" t="s" s="11">
        <v>20438</v>
      </c>
      <c r="K4035" t="s" s="11">
        <v>20439</v>
      </c>
      <c r="L4035" s="17">
        <f>HYPERLINK("http://luzverde.ai", "luzverde.ai")</f>
      </c>
      <c r="M4035" s="17">
        <f>HYPERLINK("https://my.pitchbook.com?c=232059-25", "View Company Online")</f>
      </c>
    </row>
    <row r="4036">
      <c r="A4036" t="s" s="10">
        <v>20441</v>
      </c>
      <c r="B4036" t="s" s="10">
        <v>20442</v>
      </c>
      <c r="C4036" t="s" s="10">
        <v>27</v>
      </c>
      <c r="D4036" t="s" s="10">
        <v>28</v>
      </c>
      <c r="E4036" t="s" s="10">
        <v>414</v>
      </c>
      <c r="F4036" s="27">
        <v>45210</v>
      </c>
      <c r="G4036" t="s" s="10">
        <v>40</v>
      </c>
      <c r="H4036" s="42">
        <v>37.95</v>
      </c>
      <c r="I4036" s="42">
        <v>0.3</v>
      </c>
      <c r="J4036" t="s" s="10">
        <v>20443</v>
      </c>
      <c r="K4036" t="s" s="10">
        <v>20444</v>
      </c>
      <c r="L4036" s="16">
        <f>HYPERLINK("http://www.mozaic.io", "www.mozaic.io")</f>
      </c>
      <c r="M4036" s="16">
        <f>HYPERLINK("https://my.pitchbook.com?c=117327-79", "View Company Online")</f>
      </c>
    </row>
    <row r="4037">
      <c r="A4037" t="s" s="11">
        <v>20446</v>
      </c>
      <c r="B4037" t="s" s="11">
        <v>20447</v>
      </c>
      <c r="C4037" t="s" s="11">
        <v>128</v>
      </c>
      <c r="D4037" t="s" s="11">
        <v>129</v>
      </c>
      <c r="E4037" t="s" s="11">
        <v>995</v>
      </c>
      <c r="F4037" s="28">
        <v>44552</v>
      </c>
      <c r="G4037" t="s" s="11">
        <v>146</v>
      </c>
      <c r="H4037" s="43">
        <v>45</v>
      </c>
      <c r="I4037" s="43">
        <v>0.3</v>
      </c>
      <c r="J4037" t="s" s="11">
        <v>20448</v>
      </c>
      <c r="K4037" t="s" s="11">
        <v>20449</v>
      </c>
      <c r="L4037" s="17">
        <f>HYPERLINK("http://www.chai.finance", "www.chai.finance")</f>
      </c>
      <c r="M4037" s="17">
        <f>HYPERLINK("https://my.pitchbook.com?c=432959-41", "View Company Online")</f>
      </c>
    </row>
    <row r="4038">
      <c r="A4038" t="s" s="10">
        <v>20451</v>
      </c>
      <c r="B4038" t="s" s="10">
        <v>20452</v>
      </c>
      <c r="C4038" t="s" s="10">
        <v>128</v>
      </c>
      <c r="D4038" t="s" s="10">
        <v>199</v>
      </c>
      <c r="E4038" t="s" s="10">
        <v>137</v>
      </c>
      <c r="F4038" s="27">
        <v>44197</v>
      </c>
      <c r="G4038" t="s" s="10">
        <v>40</v>
      </c>
      <c r="H4038" s="42">
        <v>0.04</v>
      </c>
      <c r="I4038" s="42">
        <v>0.29</v>
      </c>
      <c r="J4038" t="s" s="10">
        <v>20453</v>
      </c>
      <c r="K4038" t="s" s="10">
        <v>20454</v>
      </c>
      <c r="L4038" s="16">
        <f>HYPERLINK("http://www.nequi.com.co", "www.nequi.com.co")</f>
      </c>
      <c r="M4038" s="16">
        <f>HYPERLINK("https://my.pitchbook.com?c=533447-74", "View Company Online")</f>
      </c>
    </row>
    <row r="4039">
      <c r="A4039" t="s" s="11">
        <v>20456</v>
      </c>
      <c r="B4039" t="s" s="11">
        <v>20457</v>
      </c>
      <c r="C4039" t="s" s="11">
        <v>27</v>
      </c>
      <c r="D4039" t="s" s="11">
        <v>28</v>
      </c>
      <c r="E4039" t="s" s="11">
        <v>10114</v>
      </c>
      <c r="F4039" t="s" s="28">
        <v>30</v>
      </c>
      <c r="G4039" t="s" s="11">
        <v>48</v>
      </c>
      <c r="H4039" t="s" s="43">
        <v>30</v>
      </c>
      <c r="I4039" s="43">
        <v>0.28</v>
      </c>
      <c r="J4039" t="s" s="11">
        <v>20458</v>
      </c>
      <c r="K4039" t="s" s="11">
        <v>20459</v>
      </c>
      <c r="L4039" s="17">
        <f>HYPERLINK("http://www.payment24.co.za", "www.payment24.co.za")</f>
      </c>
      <c r="M4039" s="17">
        <f>HYPERLINK("https://my.pitchbook.com?c=146296-27", "View Company Online")</f>
      </c>
    </row>
    <row r="4040">
      <c r="A4040" t="s" s="10">
        <v>20461</v>
      </c>
      <c r="B4040" t="s" s="10">
        <v>20462</v>
      </c>
      <c r="C4040" t="s" s="10">
        <v>114</v>
      </c>
      <c r="D4040" t="s" s="10">
        <v>852</v>
      </c>
      <c r="E4040" t="s" s="10">
        <v>137</v>
      </c>
      <c r="F4040" s="27">
        <v>46090</v>
      </c>
      <c r="G4040" t="s" s="10">
        <v>40</v>
      </c>
      <c r="H4040" s="42">
        <v>11</v>
      </c>
      <c r="I4040" s="42">
        <v>0.28</v>
      </c>
      <c r="J4040" t="s" s="10">
        <v>20463</v>
      </c>
      <c r="K4040" t="s" s="10">
        <v>20464</v>
      </c>
      <c r="L4040" s="16">
        <f>HYPERLINK("http://strideone.in", "strideone.in")</f>
      </c>
      <c r="M4040" s="16">
        <f>HYPERLINK("https://my.pitchbook.com?c=497590-84", "View Company Online")</f>
      </c>
    </row>
    <row r="4041">
      <c r="A4041" t="s" s="11">
        <v>20466</v>
      </c>
      <c r="B4041" t="s" s="11">
        <v>20467</v>
      </c>
      <c r="C4041" t="s" s="11">
        <v>60</v>
      </c>
      <c r="D4041" t="s" s="11">
        <v>420</v>
      </c>
      <c r="E4041" t="s" s="11">
        <v>193</v>
      </c>
      <c r="F4041" t="s" s="28">
        <v>30</v>
      </c>
      <c r="G4041" t="s" s="11">
        <v>607</v>
      </c>
      <c r="H4041" t="s" s="43">
        <v>30</v>
      </c>
      <c r="I4041" s="43">
        <v>0.27</v>
      </c>
      <c r="J4041" t="s" s="11">
        <v>20468</v>
      </c>
      <c r="K4041" t="s" s="11">
        <v>20469</v>
      </c>
      <c r="L4041" s="17">
        <f>HYPERLINK("http://awabah.com", "awabah.com")</f>
      </c>
      <c r="M4041" s="17">
        <f>HYPERLINK("https://my.pitchbook.com?c=471802-87", "View Company Online")</f>
      </c>
    </row>
    <row r="4042">
      <c r="A4042" t="s" s="10">
        <v>20471</v>
      </c>
      <c r="B4042" t="s" s="10">
        <v>20472</v>
      </c>
      <c r="C4042" t="s" s="10">
        <v>164</v>
      </c>
      <c r="D4042" t="s" s="10">
        <v>206</v>
      </c>
      <c r="E4042" t="s" s="10">
        <v>270</v>
      </c>
      <c r="F4042" s="27">
        <v>45292</v>
      </c>
      <c r="G4042" t="s" s="10">
        <v>607</v>
      </c>
      <c r="H4042" t="s" s="42">
        <v>30</v>
      </c>
      <c r="I4042" s="42">
        <v>0.26</v>
      </c>
      <c r="J4042" t="s" s="10">
        <v>20473</v>
      </c>
      <c r="K4042" t="s" s="10">
        <v>20474</v>
      </c>
      <c r="L4042" s="16">
        <f>HYPERLINK("http://www.finerioconnect.com", "www.finerioconnect.com")</f>
      </c>
      <c r="M4042" s="16">
        <f>HYPERLINK("https://my.pitchbook.com?c=183186-73", "View Company Online")</f>
      </c>
    </row>
    <row r="4043">
      <c r="A4043" t="s" s="11">
        <v>20476</v>
      </c>
      <c r="B4043" t="s" s="11">
        <v>20477</v>
      </c>
      <c r="C4043" t="s" s="11">
        <v>60</v>
      </c>
      <c r="D4043" t="s" s="11">
        <v>727</v>
      </c>
      <c r="E4043" t="s" s="11">
        <v>20478</v>
      </c>
      <c r="F4043" s="28">
        <v>44658</v>
      </c>
      <c r="G4043" t="s" s="11">
        <v>40</v>
      </c>
      <c r="H4043" s="43">
        <v>24.43</v>
      </c>
      <c r="I4043" s="43">
        <v>0.26</v>
      </c>
      <c r="J4043" t="s" s="11">
        <v>20479</v>
      </c>
      <c r="K4043" t="s" s="11">
        <v>20480</v>
      </c>
      <c r="L4043" s="17">
        <f>HYPERLINK("http://zonnepanelendelen.nl", "zonnepanelendelen.nl")</f>
      </c>
      <c r="M4043" s="17">
        <f>HYPERLINK("https://my.pitchbook.com?c=98458-93", "View Company Online")</f>
      </c>
    </row>
    <row r="4044">
      <c r="A4044" t="s" s="10">
        <v>20482</v>
      </c>
      <c r="B4044" t="s" s="10">
        <v>20483</v>
      </c>
      <c r="C4044" t="s" s="10">
        <v>46</v>
      </c>
      <c r="D4044" t="s" s="10">
        <v>47</v>
      </c>
      <c r="E4044" t="s" s="10">
        <v>137</v>
      </c>
      <c r="F4044" t="s" s="27">
        <v>30</v>
      </c>
      <c r="G4044" t="s" s="10">
        <v>391</v>
      </c>
      <c r="H4044" t="s" s="42">
        <v>30</v>
      </c>
      <c r="I4044" s="42">
        <v>0.25</v>
      </c>
      <c r="J4044" t="s" s="10">
        <v>20484</v>
      </c>
      <c r="K4044" t="s" s="10">
        <v>20485</v>
      </c>
      <c r="L4044" s="16">
        <f>HYPERLINK("http://www.gladefinance.co", "www.gladefinance.co")</f>
      </c>
      <c r="M4044" s="16">
        <f>HYPERLINK("https://my.pitchbook.com?c=340801-57", "View Company Online")</f>
      </c>
    </row>
    <row r="4045">
      <c r="A4045" t="s" s="11">
        <v>20487</v>
      </c>
      <c r="B4045" t="s" s="11">
        <v>20488</v>
      </c>
      <c r="C4045" t="s" s="11">
        <v>128</v>
      </c>
      <c r="D4045" t="s" s="11">
        <v>276</v>
      </c>
      <c r="E4045" t="s" s="11">
        <v>623</v>
      </c>
      <c r="F4045" s="28">
        <v>45131</v>
      </c>
      <c r="G4045" t="s" s="11">
        <v>4267</v>
      </c>
      <c r="H4045" s="43">
        <v>0.05</v>
      </c>
      <c r="I4045" s="43">
        <v>0.25</v>
      </c>
      <c r="J4045" t="s" s="11">
        <v>20489</v>
      </c>
      <c r="K4045" t="s" s="11">
        <v>20490</v>
      </c>
      <c r="L4045" s="17">
        <f>HYPERLINK("http://www.payqin.com", "www.payqin.com")</f>
      </c>
      <c r="M4045" s="17">
        <f>HYPERLINK("https://my.pitchbook.com?c=227446-12", "View Company Online")</f>
      </c>
    </row>
    <row r="4046">
      <c r="A4046" t="s" s="10">
        <v>20492</v>
      </c>
      <c r="B4046" t="s" s="10">
        <v>20493</v>
      </c>
      <c r="C4046" t="s" s="10">
        <v>128</v>
      </c>
      <c r="D4046" t="s" s="10">
        <v>276</v>
      </c>
      <c r="E4046" t="s" s="10">
        <v>193</v>
      </c>
      <c r="F4046" t="s" s="27">
        <v>30</v>
      </c>
      <c r="G4046" t="s" s="10">
        <v>40</v>
      </c>
      <c r="H4046" t="s" s="42">
        <v>30</v>
      </c>
      <c r="I4046" s="42">
        <v>0.24</v>
      </c>
      <c r="J4046" t="s" s="10">
        <v>20494</v>
      </c>
      <c r="K4046" t="s" s="10">
        <v>20495</v>
      </c>
      <c r="L4046" s="16">
        <f>HYPERLINK("http://hubpay.io", "hubpay.io")</f>
      </c>
      <c r="M4046" s="16">
        <f>HYPERLINK("https://my.pitchbook.com?c=265348-54", "View Company Online")</f>
      </c>
    </row>
    <row r="4047">
      <c r="A4047" t="s" s="11">
        <v>20497</v>
      </c>
      <c r="B4047" t="s" s="11">
        <v>20498</v>
      </c>
      <c r="C4047" t="s" s="11">
        <v>27</v>
      </c>
      <c r="D4047" t="s" s="11">
        <v>28</v>
      </c>
      <c r="E4047" t="s" s="11">
        <v>973</v>
      </c>
      <c r="F4047" s="28">
        <v>45413</v>
      </c>
      <c r="G4047" t="s" s="11">
        <v>607</v>
      </c>
      <c r="H4047" t="s" s="43">
        <v>30</v>
      </c>
      <c r="I4047" s="43">
        <v>0.24</v>
      </c>
      <c r="J4047" t="s" s="11">
        <v>20499</v>
      </c>
      <c r="K4047" t="s" s="11">
        <v>20500</v>
      </c>
      <c r="L4047" s="17">
        <f>HYPERLINK("http://www.xpay.app", "www.xpay.app")</f>
      </c>
      <c r="M4047" s="17">
        <f>HYPERLINK("https://my.pitchbook.com?c=264509-56", "View Company Online")</f>
      </c>
    </row>
    <row r="4048">
      <c r="A4048" t="s" s="10">
        <v>20502</v>
      </c>
      <c r="B4048" t="s" s="10">
        <v>20503</v>
      </c>
      <c r="C4048" t="s" s="10">
        <v>60</v>
      </c>
      <c r="D4048" t="s" s="10">
        <v>246</v>
      </c>
      <c r="E4048" t="s" s="10">
        <v>193</v>
      </c>
      <c r="F4048" s="27">
        <v>44636</v>
      </c>
      <c r="G4048" t="s" s="10">
        <v>607</v>
      </c>
      <c r="H4048" s="42">
        <v>0.02</v>
      </c>
      <c r="I4048" s="42">
        <v>0.23</v>
      </c>
      <c r="J4048" t="s" s="10">
        <v>20504</v>
      </c>
      <c r="K4048" t="s" s="10">
        <v>20505</v>
      </c>
      <c r="L4048" s="16">
        <f>HYPERLINK("http://www.crowdyvest.com", "www.crowdyvest.com")</f>
      </c>
      <c r="M4048" s="16">
        <f>HYPERLINK("https://my.pitchbook.com?c=496156-60", "View Company Online")</f>
      </c>
    </row>
    <row r="4049">
      <c r="A4049" t="s" s="11">
        <v>20507</v>
      </c>
      <c r="B4049" t="s" s="11">
        <v>20508</v>
      </c>
      <c r="C4049" t="s" s="11">
        <v>60</v>
      </c>
      <c r="D4049" t="s" s="11">
        <v>246</v>
      </c>
      <c r="E4049" t="s" s="11">
        <v>759</v>
      </c>
      <c r="F4049" s="28">
        <v>43444</v>
      </c>
      <c r="G4049" t="s" s="11">
        <v>4267</v>
      </c>
      <c r="H4049" s="43">
        <v>0.51</v>
      </c>
      <c r="I4049" s="43">
        <v>0.21</v>
      </c>
      <c r="J4049" t="s" s="11">
        <v>20509</v>
      </c>
      <c r="K4049" t="s" s="11">
        <v>20510</v>
      </c>
      <c r="L4049" s="17">
        <f>HYPERLINK("http://www.viveapp.com", "www.viveapp.com")</f>
      </c>
      <c r="M4049" s="17">
        <f>HYPERLINK("https://my.pitchbook.com?c=108998-29", "View Company Online")</f>
      </c>
    </row>
    <row r="4050">
      <c r="A4050" t="s" s="10">
        <v>20512</v>
      </c>
      <c r="B4050" t="s" s="10">
        <v>20513</v>
      </c>
      <c r="C4050" t="s" s="10">
        <v>60</v>
      </c>
      <c r="D4050" t="s" s="10">
        <v>192</v>
      </c>
      <c r="E4050" t="s" s="10">
        <v>373</v>
      </c>
      <c r="F4050" t="s" s="27">
        <v>30</v>
      </c>
      <c r="G4050" t="s" s="10">
        <v>48</v>
      </c>
      <c r="H4050" t="s" s="42">
        <v>30</v>
      </c>
      <c r="I4050" s="42">
        <v>0.19</v>
      </c>
      <c r="J4050" t="s" s="10">
        <v>20514</v>
      </c>
      <c r="K4050" t="s" s="10">
        <v>20515</v>
      </c>
      <c r="L4050" s="16">
        <f>HYPERLINK("http://www.inuvest.tech", "www.inuvest.tech")</f>
      </c>
      <c r="M4050" s="16">
        <f>HYPERLINK("https://my.pitchbook.com?c=493215-22", "View Company Online")</f>
      </c>
    </row>
    <row r="4051">
      <c r="A4051" t="s" s="11">
        <v>20517</v>
      </c>
      <c r="B4051" t="s" s="11">
        <v>20518</v>
      </c>
      <c r="C4051" t="s" s="11">
        <v>27</v>
      </c>
      <c r="D4051" t="s" s="11">
        <v>28</v>
      </c>
      <c r="E4051" t="s" s="11">
        <v>345</v>
      </c>
      <c r="F4051" s="28">
        <v>45979</v>
      </c>
      <c r="G4051" t="s" s="11">
        <v>607</v>
      </c>
      <c r="H4051" t="s" s="43">
        <v>30</v>
      </c>
      <c r="I4051" s="43">
        <v>0.17</v>
      </c>
      <c r="J4051" t="s" s="11">
        <v>20519</v>
      </c>
      <c r="K4051" t="s" s="11">
        <v>20520</v>
      </c>
      <c r="L4051" s="17">
        <f>HYPERLINK("http://www.gotspare.com", "www.gotspare.com")</f>
      </c>
      <c r="M4051" s="17">
        <f>HYPERLINK("https://my.pitchbook.com?c=164410-12", "View Company Online")</f>
      </c>
    </row>
    <row r="4052">
      <c r="A4052" t="s" s="10">
        <v>20522</v>
      </c>
      <c r="B4052" t="s" s="10">
        <v>20523</v>
      </c>
      <c r="C4052" t="s" s="10">
        <v>27</v>
      </c>
      <c r="D4052" t="s" s="10">
        <v>28</v>
      </c>
      <c r="E4052" t="s" s="10">
        <v>137</v>
      </c>
      <c r="F4052" s="27">
        <v>44396</v>
      </c>
      <c r="G4052" t="s" s="10">
        <v>146</v>
      </c>
      <c r="H4052" s="42">
        <v>0.06</v>
      </c>
      <c r="I4052" s="42">
        <v>0.16</v>
      </c>
      <c r="J4052" t="s" s="10">
        <v>20524</v>
      </c>
      <c r="K4052" t="s" s="10">
        <v>20525</v>
      </c>
      <c r="L4052" s="16">
        <f>HYPERLINK("http://www.decipay.in", "www.decipay.in")</f>
      </c>
      <c r="M4052" s="16">
        <f>HYPERLINK("https://my.pitchbook.com?c=483221-98", "View Company Online")</f>
      </c>
    </row>
    <row r="4053">
      <c r="A4053" t="s" s="11">
        <v>20527</v>
      </c>
      <c r="B4053" t="s" s="11">
        <v>20528</v>
      </c>
      <c r="C4053" t="s" s="11">
        <v>60</v>
      </c>
      <c r="D4053" t="s" s="11">
        <v>246</v>
      </c>
      <c r="E4053" t="s" s="11">
        <v>270</v>
      </c>
      <c r="F4053" s="28">
        <v>45778</v>
      </c>
      <c r="G4053" t="s" s="11">
        <v>40</v>
      </c>
      <c r="H4053" s="43">
        <v>0.65</v>
      </c>
      <c r="I4053" s="43">
        <v>0.16</v>
      </c>
      <c r="J4053" t="s" s="11">
        <v>20529</v>
      </c>
      <c r="K4053" t="s" s="11">
        <v>20530</v>
      </c>
      <c r="L4053" s="17">
        <f>HYPERLINK("http://elgameya.net", "elgameya.net")</f>
      </c>
      <c r="M4053" s="17">
        <f>HYPERLINK("https://my.pitchbook.com?c=264517-03", "View Company Online")</f>
      </c>
    </row>
    <row r="4054">
      <c r="A4054" t="s" s="10">
        <v>20532</v>
      </c>
      <c r="B4054" t="s" s="10">
        <v>20533</v>
      </c>
      <c r="C4054" t="s" s="10">
        <v>27</v>
      </c>
      <c r="D4054" t="s" s="10">
        <v>28</v>
      </c>
      <c r="E4054" t="s" s="10">
        <v>270</v>
      </c>
      <c r="F4054" s="27">
        <v>46113</v>
      </c>
      <c r="G4054" t="s" s="10">
        <v>48</v>
      </c>
      <c r="H4054" t="s" s="42">
        <v>30</v>
      </c>
      <c r="I4054" s="42">
        <v>0.15</v>
      </c>
      <c r="J4054" t="s" s="10">
        <v>20534</v>
      </c>
      <c r="K4054" t="s" s="10">
        <v>20535</v>
      </c>
      <c r="L4054" s="16">
        <f>HYPERLINK("http://www.madfoat.com", "www.madfoat.com")</f>
      </c>
      <c r="M4054" s="16">
        <f>HYPERLINK("https://my.pitchbook.com?c=123739-84", "View Company Online")</f>
      </c>
    </row>
    <row r="4055">
      <c r="A4055" t="s" s="11">
        <v>20537</v>
      </c>
      <c r="B4055" t="s" s="11">
        <v>20538</v>
      </c>
      <c r="C4055" t="s" s="11">
        <v>114</v>
      </c>
      <c r="D4055" t="s" s="11">
        <v>870</v>
      </c>
      <c r="E4055" t="s" s="11">
        <v>1652</v>
      </c>
      <c r="F4055" s="28">
        <v>45422</v>
      </c>
      <c r="G4055" t="s" s="11">
        <v>607</v>
      </c>
      <c r="H4055" t="s" s="43">
        <v>30</v>
      </c>
      <c r="I4055" s="43">
        <v>0.14</v>
      </c>
      <c r="J4055" t="s" s="11">
        <v>20539</v>
      </c>
      <c r="K4055" t="s" s="11">
        <v>20540</v>
      </c>
      <c r="L4055" s="17">
        <f>HYPERLINK("http://www.rangde.in", "www.rangde.in")</f>
      </c>
      <c r="M4055" s="17">
        <f>HYPERLINK("https://my.pitchbook.com?c=510226-39", "View Company Online")</f>
      </c>
    </row>
    <row r="4056">
      <c r="A4056" t="s" s="10">
        <v>20542</v>
      </c>
      <c r="B4056" t="s" s="10">
        <v>20543</v>
      </c>
      <c r="C4056" t="s" s="10">
        <v>128</v>
      </c>
      <c r="D4056" t="s" s="10">
        <v>276</v>
      </c>
      <c r="E4056" t="s" s="10">
        <v>102</v>
      </c>
      <c r="F4056" s="27">
        <v>45705</v>
      </c>
      <c r="G4056" t="s" s="10">
        <v>4267</v>
      </c>
      <c r="H4056" s="42">
        <v>0.5</v>
      </c>
      <c r="I4056" s="42">
        <v>0.13</v>
      </c>
      <c r="J4056" t="s" s="10">
        <v>20544</v>
      </c>
      <c r="K4056" t="s" s="10">
        <v>20545</v>
      </c>
      <c r="L4056" s="16">
        <f>HYPERLINK("http://www.cpayant.com", "www.cpayant.com")</f>
      </c>
      <c r="M4056" s="16">
        <f>HYPERLINK("https://my.pitchbook.com?c=558286-30", "View Company Online")</f>
      </c>
    </row>
    <row r="4057">
      <c r="A4057" t="s" s="11">
        <v>20547</v>
      </c>
      <c r="B4057" t="s" s="11">
        <v>20548</v>
      </c>
      <c r="C4057" t="s" s="11">
        <v>46</v>
      </c>
      <c r="D4057" t="s" s="11">
        <v>47</v>
      </c>
      <c r="E4057" t="s" s="11">
        <v>1131</v>
      </c>
      <c r="F4057" s="28">
        <v>45672</v>
      </c>
      <c r="G4057" t="s" s="11">
        <v>146</v>
      </c>
      <c r="H4057" t="s" s="43">
        <v>30</v>
      </c>
      <c r="I4057" s="43">
        <v>0.13</v>
      </c>
      <c r="J4057" t="s" s="11">
        <v>20549</v>
      </c>
      <c r="K4057" t="s" s="11">
        <v>20550</v>
      </c>
      <c r="L4057" s="17">
        <f>HYPERLINK("http://interlinc.co", "interlinc.co")</f>
      </c>
      <c r="M4057" s="17">
        <f>HYPERLINK("https://my.pitchbook.com?c=720016-48", "View Company Online")</f>
      </c>
    </row>
    <row r="4058">
      <c r="A4058" t="s" s="10">
        <v>20552</v>
      </c>
      <c r="B4058" t="s" s="10">
        <v>20553</v>
      </c>
      <c r="C4058" t="s" s="10">
        <v>27</v>
      </c>
      <c r="D4058" t="s" s="10">
        <v>28</v>
      </c>
      <c r="E4058" t="s" s="10">
        <v>193</v>
      </c>
      <c r="F4058" s="27">
        <v>46182</v>
      </c>
      <c r="G4058" t="s" s="10">
        <v>146</v>
      </c>
      <c r="H4058" t="s" s="42">
        <v>30</v>
      </c>
      <c r="I4058" s="42">
        <v>0.08</v>
      </c>
      <c r="J4058" t="s" s="10">
        <v>20554</v>
      </c>
      <c r="K4058" t="s" s="10">
        <v>20555</v>
      </c>
      <c r="L4058" s="16">
        <f>HYPERLINK("http://www.mylemonade.io", "www.mylemonade.io")</f>
      </c>
      <c r="M4058" s="16">
        <f>HYPERLINK("https://my.pitchbook.com?c=549926-20", "View Company Online")</f>
      </c>
    </row>
    <row r="4059">
      <c r="A4059" t="s" s="11">
        <v>20557</v>
      </c>
      <c r="B4059" t="s" s="11">
        <v>20558</v>
      </c>
      <c r="C4059" t="s" s="11">
        <v>114</v>
      </c>
      <c r="D4059" t="s" s="11">
        <v>852</v>
      </c>
      <c r="E4059" t="s" s="11">
        <v>137</v>
      </c>
      <c r="F4059" s="28">
        <v>45657</v>
      </c>
      <c r="G4059" t="s" s="11">
        <v>20559</v>
      </c>
      <c r="H4059" t="s" s="43">
        <v>30</v>
      </c>
      <c r="I4059" s="43">
        <v>0.06</v>
      </c>
      <c r="J4059" t="s" s="11">
        <v>20560</v>
      </c>
      <c r="K4059" t="s" s="11">
        <v>20561</v>
      </c>
      <c r="L4059" s="17">
        <f>HYPERLINK("http://www.satyamicrocapital.com", "www.satyamicrocapital.com")</f>
      </c>
      <c r="M4059" s="17">
        <f>HYPERLINK("https://my.pitchbook.com?c=187918-66", "View Company Online")</f>
      </c>
    </row>
    <row r="4060">
      <c r="A4060" t="s" s="10">
        <v>20563</v>
      </c>
      <c r="B4060" t="s" s="10">
        <v>20564</v>
      </c>
      <c r="C4060" t="s" s="10">
        <v>27</v>
      </c>
      <c r="D4060" t="s" s="10">
        <v>28</v>
      </c>
      <c r="E4060" t="s" s="10">
        <v>193</v>
      </c>
      <c r="F4060" s="27">
        <v>44439</v>
      </c>
      <c r="G4060" t="s" s="10">
        <v>146</v>
      </c>
      <c r="H4060" s="42">
        <v>0.01</v>
      </c>
      <c r="I4060" s="42">
        <v>0.05</v>
      </c>
      <c r="J4060" t="s" s="10">
        <v>20565</v>
      </c>
      <c r="K4060" t="s" s="10">
        <v>20566</v>
      </c>
      <c r="L4060" s="16">
        <f>HYPERLINK("http://www.paydonut.com", "www.paydonut.com")</f>
      </c>
      <c r="M4060" s="16">
        <f>HYPERLINK("https://my.pitchbook.com?c=481679-11", "View Company Online")</f>
      </c>
    </row>
    <row r="4061">
      <c r="A4061" t="s" s="11">
        <v>20568</v>
      </c>
      <c r="B4061" t="s" s="11">
        <v>20569</v>
      </c>
      <c r="C4061" t="s" s="11">
        <v>60</v>
      </c>
      <c r="D4061" t="s" s="11">
        <v>432</v>
      </c>
      <c r="E4061" t="s" s="11">
        <v>270</v>
      </c>
      <c r="F4061" s="28">
        <v>44743</v>
      </c>
      <c r="G4061" t="s" s="11">
        <v>48</v>
      </c>
      <c r="H4061" t="s" s="43">
        <v>30</v>
      </c>
      <c r="I4061" s="43">
        <v>0.04</v>
      </c>
      <c r="J4061" t="s" s="11">
        <v>20570</v>
      </c>
      <c r="K4061" t="s" s="11">
        <v>30</v>
      </c>
      <c r="L4061" s="17">
        <f>HYPERLINK("http://www.finbucket.com", "www.finbucket.com")</f>
      </c>
      <c r="M4061" s="17">
        <f>HYPERLINK("https://my.pitchbook.com?c=223013-71", "View Company Online")</f>
      </c>
    </row>
    <row r="4062">
      <c r="A4062" t="s" s="10">
        <v>20572</v>
      </c>
      <c r="B4062" t="s" s="10">
        <v>20573</v>
      </c>
      <c r="C4062" t="s" s="10">
        <v>27</v>
      </c>
      <c r="D4062" t="s" s="10">
        <v>122</v>
      </c>
      <c r="E4062" t="s" s="10">
        <v>253</v>
      </c>
      <c r="F4062" s="27">
        <v>44780</v>
      </c>
      <c r="G4062" t="s" s="10">
        <v>607</v>
      </c>
      <c r="H4062" s="42">
        <v>0.02</v>
      </c>
      <c r="I4062" s="42">
        <v>0.03</v>
      </c>
      <c r="J4062" t="s" s="10">
        <v>20574</v>
      </c>
      <c r="K4062" t="s" s="10">
        <v>20575</v>
      </c>
      <c r="L4062" s="16">
        <f>HYPERLINK("http://www.b2bpay.co", "www.b2bpay.co")</f>
      </c>
      <c r="M4062" s="16">
        <f>HYPERLINK("https://my.pitchbook.com?c=165926-89", "View Company Online")</f>
      </c>
    </row>
    <row r="4063">
      <c r="A4063" t="s" s="11">
        <v>20577</v>
      </c>
      <c r="B4063" t="s" s="11">
        <v>20578</v>
      </c>
      <c r="C4063" t="s" s="11">
        <v>27</v>
      </c>
      <c r="D4063" t="s" s="11">
        <v>70</v>
      </c>
      <c r="E4063" t="s" s="11">
        <v>1859</v>
      </c>
      <c r="F4063" s="28">
        <v>44628</v>
      </c>
      <c r="G4063" t="s" s="11">
        <v>146</v>
      </c>
      <c r="H4063" s="43">
        <v>0.01</v>
      </c>
      <c r="I4063" s="43">
        <v>0.03</v>
      </c>
      <c r="J4063" t="s" s="11">
        <v>20579</v>
      </c>
      <c r="K4063" t="s" s="11">
        <v>20580</v>
      </c>
      <c r="L4063" s="17">
        <f>HYPERLINK("http://kanak.co.kr", "kanak.co.kr")</f>
      </c>
      <c r="M4063" s="17">
        <f>HYPERLINK("https://my.pitchbook.com?c=497784-43", "View Company Online")</f>
      </c>
    </row>
    <row r="4064">
      <c r="A4064" t="s" s="10">
        <v>20582</v>
      </c>
      <c r="B4064" t="s" s="10">
        <v>20583</v>
      </c>
      <c r="C4064" t="s" s="10">
        <v>144</v>
      </c>
      <c r="D4064" t="s" s="10">
        <v>297</v>
      </c>
      <c r="E4064" t="s" s="10">
        <v>859</v>
      </c>
      <c r="F4064" t="s" s="27">
        <v>30</v>
      </c>
      <c r="G4064" t="s" s="10">
        <v>146</v>
      </c>
      <c r="H4064" t="s" s="42">
        <v>30</v>
      </c>
      <c r="I4064" s="42">
        <v>0.01</v>
      </c>
      <c r="J4064" t="s" s="10">
        <v>20584</v>
      </c>
      <c r="K4064" t="s" s="10">
        <v>20585</v>
      </c>
      <c r="L4064" s="16">
        <f>HYPERLINK("http://www.efyfinance.com", "www.efyfinance.com")</f>
      </c>
      <c r="M4064" s="16">
        <f>HYPERLINK("https://my.pitchbook.com?c=506854-45", "View Company Online")</f>
      </c>
    </row>
    <row r="4065">
      <c r="A4065" t="s" s="11">
        <v>20587</v>
      </c>
      <c r="B4065" t="s" s="11">
        <v>20588</v>
      </c>
      <c r="C4065" t="s" s="11">
        <v>60</v>
      </c>
      <c r="D4065" t="s" s="11">
        <v>61</v>
      </c>
      <c r="E4065" t="s" s="11">
        <v>116</v>
      </c>
      <c r="F4065" t="s" s="28">
        <v>30</v>
      </c>
      <c r="G4065" t="s" s="11">
        <v>40</v>
      </c>
      <c r="H4065" t="s" s="43">
        <v>30</v>
      </c>
      <c r="I4065" s="43">
        <v>0.01</v>
      </c>
      <c r="J4065" t="s" s="11">
        <v>20589</v>
      </c>
      <c r="K4065" t="s" s="11">
        <v>20590</v>
      </c>
      <c r="L4065" s="17">
        <f>HYPERLINK("http://www.trovefinance.com", "www.trovefinance.com")</f>
      </c>
      <c r="M4065" s="17">
        <f>HYPERLINK("https://my.pitchbook.com?c=340804-72", "View Company Online")</f>
      </c>
    </row>
    <row r="4066">
      <c r="A4066" t="s" s="10">
        <v>20592</v>
      </c>
      <c r="B4066" t="s" s="10">
        <v>20593</v>
      </c>
      <c r="C4066" t="s" s="10">
        <v>60</v>
      </c>
      <c r="D4066" t="s" s="10">
        <v>727</v>
      </c>
      <c r="E4066" t="s" s="10">
        <v>137</v>
      </c>
      <c r="F4066" s="27">
        <v>44551</v>
      </c>
      <c r="G4066" t="s" s="10">
        <v>4267</v>
      </c>
      <c r="H4066" s="42">
        <v>1.51</v>
      </c>
      <c r="I4066" s="42">
        <v>0.01</v>
      </c>
      <c r="J4066" t="s" s="10">
        <v>20594</v>
      </c>
      <c r="K4066" t="s" s="10">
        <v>20595</v>
      </c>
      <c r="L4066" s="16">
        <f>HYPERLINK("http://www.tykeinvest.com", "www.tykeinvest.com")</f>
      </c>
      <c r="M4066" s="16">
        <f>HYPERLINK("https://my.pitchbook.com?c=489338-74", "View Company Online")</f>
      </c>
    </row>
    <row r="4067">
      <c r="A4067" t="s" s="11">
        <v>20597</v>
      </c>
      <c r="B4067" t="s" s="11">
        <v>20598</v>
      </c>
      <c r="C4067" t="s" s="11">
        <v>60</v>
      </c>
      <c r="D4067" t="s" s="11">
        <v>246</v>
      </c>
      <c r="E4067" t="s" s="11">
        <v>137</v>
      </c>
      <c r="F4067" s="28">
        <v>45229</v>
      </c>
      <c r="G4067" t="s" s="11">
        <v>4267</v>
      </c>
      <c r="H4067" s="43">
        <v>1.2</v>
      </c>
      <c r="I4067" t="s" s="43">
        <v>30</v>
      </c>
      <c r="J4067" t="s" s="11">
        <v>20599</v>
      </c>
      <c r="K4067" t="s" s="11">
        <v>20600</v>
      </c>
      <c r="L4067" s="17">
        <f>HYPERLINK("http://www.onepercentclub.io", "www.onepercentclub.io")</f>
      </c>
      <c r="M4067" s="17">
        <f>HYPERLINK("https://my.pitchbook.com?c=539175-07", "View Company Online")</f>
      </c>
    </row>
    <row r="4068">
      <c r="A4068" t="s" s="10">
        <v>20602</v>
      </c>
      <c r="B4068" t="s" s="10">
        <v>20603</v>
      </c>
      <c r="C4068" t="s" s="10">
        <v>164</v>
      </c>
      <c r="D4068" t="s" s="10">
        <v>206</v>
      </c>
      <c r="E4068" t="s" s="10">
        <v>137</v>
      </c>
      <c r="F4068" s="27">
        <v>45904</v>
      </c>
      <c r="G4068" t="s" s="10">
        <v>40</v>
      </c>
      <c r="H4068" s="42">
        <v>67.4</v>
      </c>
      <c r="I4068" t="s" s="42">
        <v>30</v>
      </c>
      <c r="J4068" t="s" s="10">
        <v>20604</v>
      </c>
      <c r="K4068" t="s" s="10">
        <v>20605</v>
      </c>
      <c r="L4068" s="16">
        <f>HYPERLINK("http://www.11fs.com", "www.11fs.com")</f>
      </c>
      <c r="M4068" s="16">
        <f>HYPERLINK("https://my.pitchbook.com?c=303439-69", "View Company Online")</f>
      </c>
    </row>
    <row r="4069">
      <c r="A4069" t="s" s="11">
        <v>20607</v>
      </c>
      <c r="B4069" t="s" s="11">
        <v>20608</v>
      </c>
      <c r="C4069" t="s" s="11">
        <v>222</v>
      </c>
      <c r="D4069" t="s" s="11">
        <v>252</v>
      </c>
      <c r="E4069" t="s" s="11">
        <v>859</v>
      </c>
      <c r="F4069" s="28">
        <v>45923</v>
      </c>
      <c r="G4069" t="s" s="11">
        <v>607</v>
      </c>
      <c r="H4069" t="s" s="43">
        <v>30</v>
      </c>
      <c r="I4069" t="s" s="43">
        <v>30</v>
      </c>
      <c r="J4069" t="s" s="11">
        <v>20609</v>
      </c>
      <c r="K4069" t="s" s="11">
        <v>20610</v>
      </c>
      <c r="L4069" s="17">
        <f>HYPERLINK("http://www.129knots.com", "www.129knots.com")</f>
      </c>
      <c r="M4069" s="17">
        <f>HYPERLINK("https://my.pitchbook.com?c=741419-74", "View Company Online")</f>
      </c>
    </row>
    <row r="4070">
      <c r="A4070" t="s" s="10">
        <v>20612</v>
      </c>
      <c r="B4070" t="s" s="10">
        <v>20613</v>
      </c>
      <c r="C4070" t="s" s="10">
        <v>27</v>
      </c>
      <c r="D4070" t="s" s="10">
        <v>70</v>
      </c>
      <c r="E4070" t="s" s="10">
        <v>311</v>
      </c>
      <c r="F4070" s="27">
        <v>45790</v>
      </c>
      <c r="G4070" t="s" s="10">
        <v>2651</v>
      </c>
      <c r="H4070" s="42">
        <v>0.05</v>
      </c>
      <c r="I4070" t="s" s="42">
        <v>30</v>
      </c>
      <c r="J4070" t="s" s="10">
        <v>20614</v>
      </c>
      <c r="K4070" t="s" s="10">
        <v>20615</v>
      </c>
      <c r="L4070" s="16">
        <f>HYPERLINK("http://www.1konto.com", "www.1konto.com")</f>
      </c>
      <c r="M4070" s="16">
        <f>HYPERLINK("https://my.pitchbook.com?c=234689-32", "View Company Online")</f>
      </c>
    </row>
    <row r="4071">
      <c r="A4071" t="s" s="11">
        <v>20617</v>
      </c>
      <c r="B4071" t="s" s="11">
        <v>20618</v>
      </c>
      <c r="C4071" t="s" s="11">
        <v>60</v>
      </c>
      <c r="D4071" t="s" s="11">
        <v>192</v>
      </c>
      <c r="E4071" t="s" s="11">
        <v>137</v>
      </c>
      <c r="F4071" s="28">
        <v>45348</v>
      </c>
      <c r="G4071" t="s" s="11">
        <v>4267</v>
      </c>
      <c r="H4071" s="43">
        <v>0.5</v>
      </c>
      <c r="I4071" t="s" s="43">
        <v>30</v>
      </c>
      <c r="J4071" t="s" s="11">
        <v>20619</v>
      </c>
      <c r="K4071" t="s" s="11">
        <v>20620</v>
      </c>
      <c r="L4071" s="17">
        <f>HYPERLINK("http://www.1long.vn", "www.1long.vn")</f>
      </c>
      <c r="M4071" s="17">
        <f>HYPERLINK("https://my.pitchbook.com?c=589055-32", "View Company Online")</f>
      </c>
    </row>
    <row r="4072">
      <c r="A4072" t="s" s="10">
        <v>20622</v>
      </c>
      <c r="B4072" t="s" s="10">
        <v>20623</v>
      </c>
      <c r="C4072" t="s" s="10">
        <v>27</v>
      </c>
      <c r="D4072" t="s" s="10">
        <v>70</v>
      </c>
      <c r="E4072" t="s" s="10">
        <v>859</v>
      </c>
      <c r="F4072" t="s" s="27">
        <v>30</v>
      </c>
      <c r="G4072" t="s" s="10">
        <v>48</v>
      </c>
      <c r="H4072" t="s" s="42">
        <v>30</v>
      </c>
      <c r="I4072" t="s" s="42">
        <v>30</v>
      </c>
      <c r="J4072" t="s" s="10">
        <v>20624</v>
      </c>
      <c r="K4072" t="s" s="10">
        <v>20625</v>
      </c>
      <c r="L4072" s="16">
        <f>HYPERLINK("http://www.1moneynetwork.com", "www.1moneynetwork.com")</f>
      </c>
      <c r="M4072" s="16">
        <f>HYPERLINK("https://my.pitchbook.com?c=734745-25", "View Company Online")</f>
      </c>
    </row>
    <row r="4073">
      <c r="A4073" t="s" s="11">
        <v>20627</v>
      </c>
      <c r="B4073" t="s" s="11">
        <v>20628</v>
      </c>
      <c r="C4073" t="s" s="11">
        <v>46</v>
      </c>
      <c r="D4073" t="s" s="11">
        <v>47</v>
      </c>
      <c r="E4073" t="s" s="11">
        <v>2678</v>
      </c>
      <c r="F4073" s="28">
        <v>45806</v>
      </c>
      <c r="G4073" t="s" s="11">
        <v>146</v>
      </c>
      <c r="H4073" s="43">
        <v>8</v>
      </c>
      <c r="I4073" t="s" s="43">
        <v>30</v>
      </c>
      <c r="J4073" t="s" s="11">
        <v>20629</v>
      </c>
      <c r="K4073" t="s" s="11">
        <v>20630</v>
      </c>
      <c r="L4073" s="17">
        <f>HYPERLINK("http://www.1TCC.com", "www.1TCC.com")</f>
      </c>
      <c r="M4073" s="17">
        <f>HYPERLINK("https://my.pitchbook.com?c=507174-76", "View Company Online")</f>
      </c>
    </row>
    <row r="4074">
      <c r="A4074" t="s" s="10">
        <v>20632</v>
      </c>
      <c r="B4074" t="s" s="10">
        <v>20633</v>
      </c>
      <c r="C4074" t="s" s="10">
        <v>144</v>
      </c>
      <c r="D4074" t="s" s="10">
        <v>297</v>
      </c>
      <c r="E4074" t="s" s="10">
        <v>8393</v>
      </c>
      <c r="F4074" s="27">
        <v>46112</v>
      </c>
      <c r="G4074" t="s" s="10">
        <v>4267</v>
      </c>
      <c r="H4074" s="42">
        <v>3.27</v>
      </c>
      <c r="I4074" t="s" s="42">
        <v>30</v>
      </c>
      <c r="J4074" t="s" s="10">
        <v>20634</v>
      </c>
      <c r="K4074" t="s" s="10">
        <v>20635</v>
      </c>
      <c r="L4074" s="16">
        <f>HYPERLINK("http://www.23broadway.com", "www.23broadway.com")</f>
      </c>
      <c r="M4074" s="16">
        <f>HYPERLINK("https://my.pitchbook.com?c=895915-18", "View Company Online")</f>
      </c>
    </row>
    <row r="4075">
      <c r="A4075" t="s" s="11">
        <v>20637</v>
      </c>
      <c r="B4075" t="s" s="11">
        <v>20638</v>
      </c>
      <c r="C4075" t="s" s="11">
        <v>222</v>
      </c>
      <c r="D4075" t="s" s="11">
        <v>537</v>
      </c>
      <c r="E4075" t="s" s="11">
        <v>137</v>
      </c>
      <c r="F4075" s="28">
        <v>45992</v>
      </c>
      <c r="G4075" t="s" s="11">
        <v>40</v>
      </c>
      <c r="H4075" t="s" s="43">
        <v>30</v>
      </c>
      <c r="I4075" t="s" s="43">
        <v>30</v>
      </c>
      <c r="J4075" t="s" s="11">
        <v>20639</v>
      </c>
      <c r="K4075" t="s" s="11">
        <v>20640</v>
      </c>
      <c r="L4075" s="17">
        <f>HYPERLINK("http://www.24exchange.com", "www.24exchange.com")</f>
      </c>
      <c r="M4075" s="17">
        <f>HYPERLINK("https://my.pitchbook.com?c=434248-93", "View Company Online")</f>
      </c>
    </row>
    <row r="4076">
      <c r="A4076" t="s" s="10">
        <v>20642</v>
      </c>
      <c r="B4076" t="s" s="10">
        <v>20643</v>
      </c>
      <c r="C4076" t="s" s="10">
        <v>164</v>
      </c>
      <c r="D4076" t="s" s="10">
        <v>165</v>
      </c>
      <c r="E4076" t="s" s="10">
        <v>1349</v>
      </c>
      <c r="F4076" s="27">
        <v>44221</v>
      </c>
      <c r="G4076" t="s" s="10">
        <v>146</v>
      </c>
      <c r="H4076" s="42">
        <v>1.54</v>
      </c>
      <c r="I4076" t="s" s="42">
        <v>30</v>
      </c>
      <c r="J4076" t="s" s="10">
        <v>20644</v>
      </c>
      <c r="K4076" t="s" s="10">
        <v>20645</v>
      </c>
      <c r="L4076" t="s" s="10">
        <v>30</v>
      </c>
      <c r="M4076" s="16">
        <f>HYPERLINK("https://my.pitchbook.com?c=459339-85", "View Company Online")</f>
      </c>
    </row>
    <row r="4077">
      <c r="A4077" t="s" s="11">
        <v>20646</v>
      </c>
      <c r="B4077" t="s" s="11">
        <v>20647</v>
      </c>
      <c r="C4077" t="s" s="11">
        <v>27</v>
      </c>
      <c r="D4077" t="s" s="11">
        <v>28</v>
      </c>
      <c r="E4077" t="s" s="11">
        <v>200</v>
      </c>
      <c r="F4077" s="28">
        <v>44378</v>
      </c>
      <c r="G4077" t="s" s="11">
        <v>48</v>
      </c>
      <c r="H4077" t="s" s="43">
        <v>30</v>
      </c>
      <c r="I4077" t="s" s="43">
        <v>30</v>
      </c>
      <c r="J4077" t="s" s="11">
        <v>20648</v>
      </c>
      <c r="K4077" t="s" s="11">
        <v>20649</v>
      </c>
      <c r="L4077" s="17">
        <f>HYPERLINK("http://www.2can.ru", "www.2can.ru")</f>
      </c>
      <c r="M4077" s="17">
        <f>HYPERLINK("https://my.pitchbook.com?c=60359-86", "View Company Online")</f>
      </c>
    </row>
    <row r="4078">
      <c r="A4078" t="s" s="10">
        <v>20651</v>
      </c>
      <c r="B4078" t="s" s="10">
        <v>20652</v>
      </c>
      <c r="C4078" t="s" s="10">
        <v>60</v>
      </c>
      <c r="D4078" t="s" s="10">
        <v>246</v>
      </c>
      <c r="E4078" t="s" s="10">
        <v>20653</v>
      </c>
      <c r="F4078" s="27">
        <v>44136</v>
      </c>
      <c r="G4078" t="s" s="10">
        <v>4267</v>
      </c>
      <c r="H4078" s="42">
        <v>0.33</v>
      </c>
      <c r="I4078" t="s" s="42">
        <v>30</v>
      </c>
      <c r="J4078" t="s" s="10">
        <v>20654</v>
      </c>
      <c r="K4078" t="s" s="10">
        <v>20655</v>
      </c>
      <c r="L4078" s="16">
        <f>HYPERLINK("http://www.2ndwallet.com", "www.2ndwallet.com")</f>
      </c>
      <c r="M4078" s="16">
        <f>HYPERLINK("https://my.pitchbook.com?c=460221-67", "View Company Online")</f>
      </c>
    </row>
    <row r="4079">
      <c r="A4079" t="s" s="11">
        <v>20657</v>
      </c>
      <c r="B4079" t="s" s="11">
        <v>20658</v>
      </c>
      <c r="C4079" t="s" s="11">
        <v>172</v>
      </c>
      <c r="D4079" t="s" s="11">
        <v>338</v>
      </c>
      <c r="E4079" t="s" s="11">
        <v>253</v>
      </c>
      <c r="F4079" s="28">
        <v>43214</v>
      </c>
      <c r="G4079" t="s" s="11">
        <v>40</v>
      </c>
      <c r="H4079" s="43">
        <v>2</v>
      </c>
      <c r="I4079" t="s" s="43">
        <v>30</v>
      </c>
      <c r="J4079" t="s" s="11">
        <v>20659</v>
      </c>
      <c r="K4079" t="s" s="11">
        <v>20660</v>
      </c>
      <c r="L4079" s="17">
        <f>HYPERLINK("http://www.360factors.com", "www.360factors.com")</f>
      </c>
      <c r="M4079" s="17">
        <f>HYPERLINK("https://my.pitchbook.com?c=97127-65", "View Company Online")</f>
      </c>
    </row>
    <row r="4080">
      <c r="A4080" t="s" s="10">
        <v>20662</v>
      </c>
      <c r="B4080" t="s" s="10">
        <v>20663</v>
      </c>
      <c r="C4080" t="s" s="10">
        <v>60</v>
      </c>
      <c r="D4080" t="s" s="10">
        <v>727</v>
      </c>
      <c r="E4080" t="s" s="10">
        <v>137</v>
      </c>
      <c r="F4080" s="27">
        <v>43875</v>
      </c>
      <c r="G4080" t="s" s="10">
        <v>40</v>
      </c>
      <c r="H4080" t="s" s="42">
        <v>30</v>
      </c>
      <c r="I4080" t="s" s="42">
        <v>30</v>
      </c>
      <c r="J4080" t="s" s="10">
        <v>20664</v>
      </c>
      <c r="K4080" t="s" s="10">
        <v>20665</v>
      </c>
      <c r="L4080" s="16">
        <f>HYPERLINK("http://www.391financial.com", "www.391financial.com")</f>
      </c>
      <c r="M4080" s="16">
        <f>HYPERLINK("https://my.pitchbook.com?c=232975-63", "View Company Online")</f>
      </c>
    </row>
    <row r="4081">
      <c r="A4081" t="s" s="11">
        <v>20667</v>
      </c>
      <c r="B4081" t="s" s="11">
        <v>20668</v>
      </c>
      <c r="C4081" t="s" s="11">
        <v>144</v>
      </c>
      <c r="D4081" t="s" s="11">
        <v>297</v>
      </c>
      <c r="E4081" t="s" s="11">
        <v>2184</v>
      </c>
      <c r="F4081" s="28">
        <v>45140</v>
      </c>
      <c r="G4081" t="s" s="11">
        <v>4267</v>
      </c>
      <c r="H4081" s="43">
        <v>17</v>
      </c>
      <c r="I4081" t="s" s="43">
        <v>30</v>
      </c>
      <c r="J4081" t="s" s="11">
        <v>20669</v>
      </c>
      <c r="K4081" t="s" s="11">
        <v>20670</v>
      </c>
      <c r="L4081" s="17">
        <f>HYPERLINK("http://www.40seas.com", "www.40seas.com")</f>
      </c>
      <c r="M4081" s="17">
        <f>HYPERLINK("https://my.pitchbook.com?c=518004-10", "View Company Online")</f>
      </c>
    </row>
    <row r="4082">
      <c r="A4082" t="s" s="10">
        <v>20672</v>
      </c>
      <c r="B4082" t="s" s="10">
        <v>20673</v>
      </c>
      <c r="C4082" t="s" s="10">
        <v>172</v>
      </c>
      <c r="D4082" t="s" s="10">
        <v>338</v>
      </c>
      <c r="E4082" t="s" s="10">
        <v>20674</v>
      </c>
      <c r="F4082" s="27">
        <v>46189</v>
      </c>
      <c r="G4082" t="s" s="10">
        <v>2051</v>
      </c>
      <c r="H4082" t="s" s="42">
        <v>30</v>
      </c>
      <c r="I4082" t="s" s="42">
        <v>30</v>
      </c>
      <c r="J4082" t="s" s="10">
        <v>20675</v>
      </c>
      <c r="K4082" t="s" s="10">
        <v>30</v>
      </c>
      <c r="L4082" s="16">
        <f>HYPERLINK("http://www.fouronefour.io", "www.fouronefour.io")</f>
      </c>
      <c r="M4082" s="16">
        <f>HYPERLINK("https://my.pitchbook.com?c=493930-72", "View Company Online")</f>
      </c>
    </row>
    <row r="4083">
      <c r="A4083" t="s" s="11">
        <v>20677</v>
      </c>
      <c r="B4083" t="s" s="11">
        <v>20678</v>
      </c>
      <c r="C4083" t="s" s="11">
        <v>114</v>
      </c>
      <c r="D4083" t="s" s="11">
        <v>852</v>
      </c>
      <c r="E4083" t="s" s="11">
        <v>2575</v>
      </c>
      <c r="F4083" s="28">
        <v>45883</v>
      </c>
      <c r="G4083" t="s" s="11">
        <v>391</v>
      </c>
      <c r="H4083" t="s" s="43">
        <v>30</v>
      </c>
      <c r="I4083" t="s" s="43">
        <v>30</v>
      </c>
      <c r="J4083" t="s" s="11">
        <v>20679</v>
      </c>
      <c r="K4083" t="s" s="11">
        <v>20680</v>
      </c>
      <c r="L4083" s="17">
        <f>HYPERLINK("http://www.4fin.in", "www.4fin.in")</f>
      </c>
      <c r="M4083" s="17">
        <f>HYPERLINK("https://my.pitchbook.com?c=481372-84", "View Company Online")</f>
      </c>
    </row>
    <row r="4084">
      <c r="A4084" t="s" s="10">
        <v>20682</v>
      </c>
      <c r="B4084" t="s" s="10">
        <v>20683</v>
      </c>
      <c r="C4084" t="s" s="10">
        <v>46</v>
      </c>
      <c r="D4084" t="s" s="10">
        <v>915</v>
      </c>
      <c r="E4084" t="s" s="10">
        <v>20684</v>
      </c>
      <c r="F4084" s="27">
        <v>45716</v>
      </c>
      <c r="G4084" t="s" s="10">
        <v>40</v>
      </c>
      <c r="H4084" s="42">
        <v>3.2</v>
      </c>
      <c r="I4084" t="s" s="42">
        <v>30</v>
      </c>
      <c r="J4084" t="s" s="10">
        <v>20685</v>
      </c>
      <c r="K4084" t="s" s="10">
        <v>20686</v>
      </c>
      <c r="L4084" s="16">
        <f>HYPERLINK("http://www.4impactdata.com", "www.4impactdata.com")</f>
      </c>
      <c r="M4084" s="16">
        <f>HYPERLINK("https://my.pitchbook.com?c=502718-14", "View Company Online")</f>
      </c>
    </row>
    <row r="4085">
      <c r="A4085" t="s" s="11">
        <v>20688</v>
      </c>
      <c r="B4085" t="s" s="11">
        <v>20689</v>
      </c>
      <c r="C4085" t="s" s="11">
        <v>46</v>
      </c>
      <c r="D4085" t="s" s="11">
        <v>47</v>
      </c>
      <c r="E4085" t="s" s="11">
        <v>20690</v>
      </c>
      <c r="F4085" s="28">
        <v>44900</v>
      </c>
      <c r="G4085" t="s" s="11">
        <v>40</v>
      </c>
      <c r="H4085" t="s" s="43">
        <v>30</v>
      </c>
      <c r="I4085" t="s" s="43">
        <v>30</v>
      </c>
      <c r="J4085" t="s" s="11">
        <v>20691</v>
      </c>
      <c r="K4085" t="s" s="11">
        <v>20692</v>
      </c>
      <c r="L4085" s="17">
        <f>HYPERLINK("http://www.51qqt.com", "www.51qqt.com")</f>
      </c>
      <c r="M4085" s="17">
        <f>HYPERLINK("https://my.pitchbook.com?c=277166-62", "View Company Online")</f>
      </c>
    </row>
    <row r="4086">
      <c r="A4086" t="s" s="10">
        <v>20694</v>
      </c>
      <c r="B4086" t="s" s="10">
        <v>20695</v>
      </c>
      <c r="C4086" t="s" s="10">
        <v>222</v>
      </c>
      <c r="D4086" t="s" s="10">
        <v>252</v>
      </c>
      <c r="E4086" t="s" s="10">
        <v>311</v>
      </c>
      <c r="F4086" s="27">
        <v>45827</v>
      </c>
      <c r="G4086" t="s" s="10">
        <v>391</v>
      </c>
      <c r="H4086" t="s" s="42">
        <v>30</v>
      </c>
      <c r="I4086" t="s" s="42">
        <v>30</v>
      </c>
      <c r="J4086" t="s" s="10">
        <v>20696</v>
      </c>
      <c r="K4086" t="s" s="10">
        <v>30</v>
      </c>
      <c r="L4086" s="16">
        <f>HYPERLINK("http://www.7rccglobal.com", "www.7rccglobal.com")</f>
      </c>
      <c r="M4086" s="16">
        <f>HYPERLINK("https://my.pitchbook.com?c=466518-88", "View Company Online")</f>
      </c>
    </row>
    <row r="4087">
      <c r="A4087" t="s" s="11">
        <v>20698</v>
      </c>
      <c r="B4087" t="s" s="11">
        <v>20699</v>
      </c>
      <c r="C4087" t="s" s="11">
        <v>60</v>
      </c>
      <c r="D4087" t="s" s="11">
        <v>246</v>
      </c>
      <c r="E4087" t="s" s="11">
        <v>137</v>
      </c>
      <c r="F4087" s="28">
        <v>45558</v>
      </c>
      <c r="G4087" t="s" s="11">
        <v>4267</v>
      </c>
      <c r="H4087" t="s" s="43">
        <v>30</v>
      </c>
      <c r="I4087" t="s" s="43">
        <v>30</v>
      </c>
      <c r="J4087" t="s" s="11">
        <v>20700</v>
      </c>
      <c r="K4087" t="s" s="11">
        <v>20701</v>
      </c>
      <c r="L4087" s="17">
        <f>HYPERLINK("http://www.8b.africa", "www.8b.africa")</f>
      </c>
      <c r="M4087" s="17">
        <f>HYPERLINK("https://my.pitchbook.com?c=499941-37", "View Company Online")</f>
      </c>
    </row>
    <row r="4088">
      <c r="A4088" t="s" s="10">
        <v>20703</v>
      </c>
      <c r="B4088" t="s" s="10">
        <v>20704</v>
      </c>
      <c r="C4088" t="s" s="10">
        <v>114</v>
      </c>
      <c r="D4088" t="s" s="10">
        <v>136</v>
      </c>
      <c r="E4088" t="s" s="10">
        <v>137</v>
      </c>
      <c r="F4088" s="27">
        <v>44483</v>
      </c>
      <c r="G4088" t="s" s="10">
        <v>40</v>
      </c>
      <c r="H4088" s="42">
        <v>36.71</v>
      </c>
      <c r="I4088" t="s" s="42">
        <v>30</v>
      </c>
      <c r="J4088" t="s" s="10">
        <v>20705</v>
      </c>
      <c r="K4088" t="s" s="10">
        <v>20706</v>
      </c>
      <c r="L4088" s="16">
        <f>HYPERLINK("http://www.8percent.kr", "www.8percent.kr")</f>
      </c>
      <c r="M4088" s="16">
        <f>HYPERLINK("https://my.pitchbook.com?c=221556-97", "View Company Online")</f>
      </c>
    </row>
    <row r="4089">
      <c r="A4089" t="s" s="11">
        <v>20708</v>
      </c>
      <c r="B4089" t="s" s="11">
        <v>20709</v>
      </c>
      <c r="C4089" t="s" s="11">
        <v>37</v>
      </c>
      <c r="D4089" t="s" s="11">
        <v>304</v>
      </c>
      <c r="E4089" t="s" s="11">
        <v>137</v>
      </c>
      <c r="F4089" s="28">
        <v>43284</v>
      </c>
      <c r="G4089" t="s" s="11">
        <v>146</v>
      </c>
      <c r="H4089" s="43">
        <v>1.54</v>
      </c>
      <c r="I4089" t="s" s="43">
        <v>30</v>
      </c>
      <c r="J4089" t="s" s="11">
        <v>20710</v>
      </c>
      <c r="K4089" t="s" s="11">
        <v>20711</v>
      </c>
      <c r="L4089" s="17">
        <f>HYPERLINK("http://www.91tianmi.com", "www.91tianmi.com")</f>
      </c>
      <c r="M4089" s="17">
        <f>HYPERLINK("https://my.pitchbook.com?c=431355-43", "View Company Online")</f>
      </c>
    </row>
    <row r="4090">
      <c r="A4090" t="s" s="10">
        <v>20713</v>
      </c>
      <c r="B4090" t="s" s="10">
        <v>20714</v>
      </c>
      <c r="C4090" t="s" s="10">
        <v>114</v>
      </c>
      <c r="D4090" t="s" s="10">
        <v>136</v>
      </c>
      <c r="E4090" t="s" s="10">
        <v>137</v>
      </c>
      <c r="F4090" t="s" s="27">
        <v>30</v>
      </c>
      <c r="G4090" t="s" s="10">
        <v>48</v>
      </c>
      <c r="H4090" t="s" s="42">
        <v>30</v>
      </c>
      <c r="I4090" t="s" s="42">
        <v>30</v>
      </c>
      <c r="J4090" t="s" s="10">
        <v>20715</v>
      </c>
      <c r="K4090" t="s" s="10">
        <v>20716</v>
      </c>
      <c r="L4090" s="16">
        <f>HYPERLINK("http://www.chicagostudentloans.com", "www.chicagostudentloans.com")</f>
      </c>
      <c r="M4090" s="16">
        <f>HYPERLINK("https://my.pitchbook.com?c=231250-42", "View Company Online")</f>
      </c>
    </row>
    <row r="4091">
      <c r="A4091" t="s" s="11">
        <v>20718</v>
      </c>
      <c r="B4091" t="s" s="11">
        <v>20719</v>
      </c>
      <c r="C4091" t="s" s="11">
        <v>114</v>
      </c>
      <c r="D4091" t="s" s="11">
        <v>852</v>
      </c>
      <c r="E4091" t="s" s="11">
        <v>259</v>
      </c>
      <c r="F4091" s="28">
        <v>46209</v>
      </c>
      <c r="G4091" t="s" s="11">
        <v>391</v>
      </c>
      <c r="H4091" t="s" s="43">
        <v>30</v>
      </c>
      <c r="I4091" t="s" s="43">
        <v>30</v>
      </c>
      <c r="J4091" t="s" s="11">
        <v>20720</v>
      </c>
      <c r="K4091" t="s" s="11">
        <v>30</v>
      </c>
      <c r="L4091" s="17">
        <f>HYPERLINK("http://www.a55.tech", "www.a55.tech")</f>
      </c>
      <c r="M4091" s="17">
        <f>HYPERLINK("https://my.pitchbook.com?c=433271-44", "View Company Online")</f>
      </c>
    </row>
    <row r="4092">
      <c r="A4092" t="s" s="10">
        <v>20722</v>
      </c>
      <c r="B4092" t="s" s="10">
        <v>20723</v>
      </c>
      <c r="C4092" t="s" s="10">
        <v>144</v>
      </c>
      <c r="D4092" t="s" s="10">
        <v>297</v>
      </c>
      <c r="E4092" t="s" s="10">
        <v>137</v>
      </c>
      <c r="F4092" s="27">
        <v>45973</v>
      </c>
      <c r="G4092" t="s" s="10">
        <v>146</v>
      </c>
      <c r="H4092" s="42">
        <v>9.7</v>
      </c>
      <c r="I4092" t="s" s="42">
        <v>30</v>
      </c>
      <c r="J4092" t="s" s="10">
        <v>20724</v>
      </c>
      <c r="K4092" t="s" s="10">
        <v>20725</v>
      </c>
      <c r="L4092" s="16">
        <f>HYPERLINK("http://www.aajil.sa", "www.aajil.sa")</f>
      </c>
      <c r="M4092" s="16">
        <f>HYPERLINK("https://my.pitchbook.com?c=512635-87", "View Company Online")</f>
      </c>
    </row>
    <row r="4093">
      <c r="A4093" t="s" s="11">
        <v>20727</v>
      </c>
      <c r="B4093" t="s" s="11">
        <v>20728</v>
      </c>
      <c r="C4093" t="s" s="11">
        <v>46</v>
      </c>
      <c r="D4093" t="s" s="11">
        <v>397</v>
      </c>
      <c r="E4093" t="s" s="11">
        <v>20729</v>
      </c>
      <c r="F4093" s="28">
        <v>45505</v>
      </c>
      <c r="G4093" t="s" s="11">
        <v>607</v>
      </c>
      <c r="H4093" t="s" s="43">
        <v>30</v>
      </c>
      <c r="I4093" t="s" s="43">
        <v>30</v>
      </c>
      <c r="J4093" t="s" s="11">
        <v>20730</v>
      </c>
      <c r="K4093" t="s" s="11">
        <v>20731</v>
      </c>
      <c r="L4093" s="17">
        <f>HYPERLINK("http://www.aalekh.ai", "www.aalekh.ai")</f>
      </c>
      <c r="M4093" s="17">
        <f>HYPERLINK("https://my.pitchbook.com?c=522649-72", "View Company Online")</f>
      </c>
    </row>
    <row r="4094">
      <c r="A4094" t="s" s="10">
        <v>20733</v>
      </c>
      <c r="B4094" t="s" s="10">
        <v>20734</v>
      </c>
      <c r="C4094" t="s" s="10">
        <v>27</v>
      </c>
      <c r="D4094" t="s" s="10">
        <v>28</v>
      </c>
      <c r="E4094" t="s" s="10">
        <v>951</v>
      </c>
      <c r="F4094" s="27">
        <v>46097</v>
      </c>
      <c r="G4094" t="s" s="10">
        <v>40</v>
      </c>
      <c r="H4094" s="42">
        <v>1</v>
      </c>
      <c r="I4094" t="s" s="42">
        <v>30</v>
      </c>
      <c r="J4094" t="s" s="10">
        <v>20735</v>
      </c>
      <c r="K4094" t="s" s="10">
        <v>20736</v>
      </c>
      <c r="L4094" s="16">
        <f>HYPERLINK("http://www.aamarpay.com", "www.aamarpay.com")</f>
      </c>
      <c r="M4094" s="16">
        <f>HYPERLINK("https://my.pitchbook.com?c=463373-83", "View Company Online")</f>
      </c>
    </row>
    <row r="4095">
      <c r="A4095" t="s" s="11">
        <v>20738</v>
      </c>
      <c r="B4095" t="s" s="11">
        <v>20739</v>
      </c>
      <c r="C4095" t="s" s="11">
        <v>222</v>
      </c>
      <c r="D4095" t="s" s="11">
        <v>235</v>
      </c>
      <c r="E4095" t="s" s="11">
        <v>373</v>
      </c>
      <c r="F4095" s="28">
        <v>45821</v>
      </c>
      <c r="G4095" t="s" s="11">
        <v>146</v>
      </c>
      <c r="H4095" s="43">
        <v>3.99</v>
      </c>
      <c r="I4095" t="s" s="43">
        <v>30</v>
      </c>
      <c r="J4095" t="s" s="11">
        <v>20740</v>
      </c>
      <c r="K4095" t="s" s="11">
        <v>20741</v>
      </c>
      <c r="L4095" s="17">
        <f>HYPERLINK("http://www.aarden.ai", "www.aarden.ai")</f>
      </c>
      <c r="M4095" s="17">
        <f>HYPERLINK("https://my.pitchbook.com?c=862774-57", "View Company Online")</f>
      </c>
    </row>
    <row r="4096">
      <c r="A4096" t="s" s="10">
        <v>20743</v>
      </c>
      <c r="B4096" t="s" s="10">
        <v>20744</v>
      </c>
      <c r="C4096" t="s" s="10">
        <v>46</v>
      </c>
      <c r="D4096" t="s" s="10">
        <v>397</v>
      </c>
      <c r="E4096" t="s" s="10">
        <v>414</v>
      </c>
      <c r="F4096" s="27">
        <v>46054</v>
      </c>
      <c r="G4096" t="s" s="10">
        <v>4267</v>
      </c>
      <c r="H4096" t="s" s="42">
        <v>30</v>
      </c>
      <c r="I4096" t="s" s="42">
        <v>30</v>
      </c>
      <c r="J4096" t="s" s="10">
        <v>20745</v>
      </c>
      <c r="K4096" t="s" s="10">
        <v>20746</v>
      </c>
      <c r="L4096" s="16">
        <f>HYPERLINK("http://www.abacor.com", "www.abacor.com")</f>
      </c>
      <c r="M4096" s="16">
        <f>HYPERLINK("https://my.pitchbook.com?c=664088-32", "View Company Online")</f>
      </c>
    </row>
    <row r="4097">
      <c r="A4097" t="s" s="11">
        <v>20748</v>
      </c>
      <c r="B4097" t="s" s="11">
        <v>20749</v>
      </c>
      <c r="C4097" t="s" s="11">
        <v>114</v>
      </c>
      <c r="D4097" t="s" s="11">
        <v>870</v>
      </c>
      <c r="E4097" t="s" s="11">
        <v>1006</v>
      </c>
      <c r="F4097" s="28">
        <v>45666</v>
      </c>
      <c r="G4097" t="s" s="11">
        <v>40</v>
      </c>
      <c r="H4097" t="s" s="43">
        <v>30</v>
      </c>
      <c r="I4097" t="s" s="43">
        <v>30</v>
      </c>
      <c r="J4097" t="s" s="11">
        <v>20750</v>
      </c>
      <c r="K4097" t="s" s="11">
        <v>20751</v>
      </c>
      <c r="L4097" s="17">
        <f>HYPERLINK("http://www.abacusdigital.com", "www.abacusdigital.com")</f>
      </c>
      <c r="M4097" s="17">
        <f>HYPERLINK("https://my.pitchbook.com?c=481364-20", "View Company Online")</f>
      </c>
    </row>
    <row r="4098">
      <c r="A4098" t="s" s="10">
        <v>20753</v>
      </c>
      <c r="B4098" t="s" s="10">
        <v>20754</v>
      </c>
      <c r="C4098" t="s" s="10">
        <v>164</v>
      </c>
      <c r="D4098" t="s" s="10">
        <v>206</v>
      </c>
      <c r="E4098" t="s" s="10">
        <v>137</v>
      </c>
      <c r="F4098" s="27">
        <v>45625</v>
      </c>
      <c r="G4098" t="s" s="10">
        <v>4267</v>
      </c>
      <c r="H4098" s="42">
        <v>2</v>
      </c>
      <c r="I4098" t="s" s="42">
        <v>30</v>
      </c>
      <c r="J4098" t="s" s="10">
        <v>20755</v>
      </c>
      <c r="K4098" t="s" s="10">
        <v>20756</v>
      </c>
      <c r="L4098" s="16">
        <f>HYPERLINK("http://www.abbeycross.com", "www.abbeycross.com")</f>
      </c>
      <c r="M4098" s="16">
        <f>HYPERLINK("https://my.pitchbook.com?c=503576-74", "View Company Online")</f>
      </c>
    </row>
    <row r="4099">
      <c r="A4099" t="s" s="11">
        <v>20758</v>
      </c>
      <c r="B4099" t="s" s="11">
        <v>20759</v>
      </c>
      <c r="C4099" t="s" s="11">
        <v>46</v>
      </c>
      <c r="D4099" t="s" s="11">
        <v>47</v>
      </c>
      <c r="E4099" t="s" s="11">
        <v>373</v>
      </c>
      <c r="F4099" s="28">
        <v>45721</v>
      </c>
      <c r="G4099" t="s" s="11">
        <v>4267</v>
      </c>
      <c r="H4099" s="43">
        <v>0.15</v>
      </c>
      <c r="I4099" t="s" s="43">
        <v>30</v>
      </c>
      <c r="J4099" t="s" s="11">
        <v>20760</v>
      </c>
      <c r="K4099" t="s" s="11">
        <v>15996</v>
      </c>
      <c r="L4099" s="17">
        <f>HYPERLINK("http://www.abivo.ai", "www.abivo.ai")</f>
      </c>
      <c r="M4099" s="17">
        <f>HYPERLINK("https://my.pitchbook.com?c=762510-43", "View Company Online")</f>
      </c>
    </row>
    <row r="4100">
      <c r="A4100" t="s" s="10">
        <v>20762</v>
      </c>
      <c r="B4100" t="s" s="10">
        <v>20763</v>
      </c>
      <c r="C4100" t="s" s="10">
        <v>114</v>
      </c>
      <c r="D4100" t="s" s="10">
        <v>1386</v>
      </c>
      <c r="E4100" t="s" s="10">
        <v>373</v>
      </c>
      <c r="F4100" s="27">
        <v>45817</v>
      </c>
      <c r="G4100" t="s" s="10">
        <v>146</v>
      </c>
      <c r="H4100" s="42">
        <v>5</v>
      </c>
      <c r="I4100" t="s" s="42">
        <v>30</v>
      </c>
      <c r="J4100" t="s" s="10">
        <v>20764</v>
      </c>
      <c r="K4100" t="s" s="10">
        <v>20765</v>
      </c>
      <c r="L4100" s="16">
        <f>HYPERLINK("http://www.ablecredit.com", "www.ablecredit.com")</f>
      </c>
      <c r="M4100" s="16">
        <f>HYPERLINK("https://my.pitchbook.com?c=600085-54", "View Company Online")</f>
      </c>
    </row>
    <row r="4101">
      <c r="A4101" t="s" s="11">
        <v>20767</v>
      </c>
      <c r="B4101" t="s" s="11">
        <v>20768</v>
      </c>
      <c r="C4101" t="s" s="11">
        <v>222</v>
      </c>
      <c r="D4101" t="s" s="11">
        <v>223</v>
      </c>
      <c r="E4101" t="s" s="11">
        <v>414</v>
      </c>
      <c r="F4101" s="28">
        <v>45992</v>
      </c>
      <c r="G4101" t="s" s="11">
        <v>40</v>
      </c>
      <c r="H4101" t="s" s="43">
        <v>30</v>
      </c>
      <c r="I4101" t="s" s="43">
        <v>30</v>
      </c>
      <c r="J4101" t="s" s="11">
        <v>20769</v>
      </c>
      <c r="K4101" t="s" s="11">
        <v>20770</v>
      </c>
      <c r="L4101" s="17">
        <f>HYPERLINK("http://www.aboda.com.br", "www.aboda.com.br")</f>
      </c>
      <c r="M4101" s="17">
        <f>HYPERLINK("https://my.pitchbook.com?c=1167909-85", "View Company Online")</f>
      </c>
    </row>
    <row r="4102">
      <c r="A4102" t="s" s="10">
        <v>20772</v>
      </c>
      <c r="B4102" t="s" s="10">
        <v>20773</v>
      </c>
      <c r="C4102" t="s" s="10">
        <v>60</v>
      </c>
      <c r="D4102" t="s" s="10">
        <v>246</v>
      </c>
      <c r="E4102" t="s" s="10">
        <v>1032</v>
      </c>
      <c r="F4102" s="27">
        <v>45566</v>
      </c>
      <c r="G4102" t="s" s="10">
        <v>146</v>
      </c>
      <c r="H4102" s="42">
        <v>1</v>
      </c>
      <c r="I4102" t="s" s="42">
        <v>30</v>
      </c>
      <c r="J4102" t="s" s="10">
        <v>20774</v>
      </c>
      <c r="K4102" t="s" s="10">
        <v>20775</v>
      </c>
      <c r="L4102" s="16">
        <f>HYPERLINK("http://www.abodemoney.com", "www.abodemoney.com")</f>
      </c>
      <c r="M4102" s="16">
        <f>HYPERLINK("https://my.pitchbook.com?c=691809-31", "View Company Online")</f>
      </c>
    </row>
    <row r="4103">
      <c r="A4103" t="s" s="11">
        <v>20777</v>
      </c>
      <c r="B4103" t="s" s="11">
        <v>20778</v>
      </c>
      <c r="C4103" t="s" s="11">
        <v>114</v>
      </c>
      <c r="D4103" t="s" s="11">
        <v>870</v>
      </c>
      <c r="E4103" t="s" s="11">
        <v>270</v>
      </c>
      <c r="F4103" s="28">
        <v>45806</v>
      </c>
      <c r="G4103" t="s" s="11">
        <v>607</v>
      </c>
      <c r="H4103" t="s" s="43">
        <v>30</v>
      </c>
      <c r="I4103" t="s" s="43">
        <v>30</v>
      </c>
      <c r="J4103" t="s" s="11">
        <v>20779</v>
      </c>
      <c r="K4103" t="s" s="11">
        <v>20780</v>
      </c>
      <c r="L4103" s="17">
        <f>HYPERLINK("http://www.getabound.com", "www.getabound.com")</f>
      </c>
      <c r="M4103" s="17">
        <f>HYPERLINK("https://my.pitchbook.com?c=438531-22", "View Company Online")</f>
      </c>
    </row>
    <row r="4104">
      <c r="A4104" t="s" s="10">
        <v>20782</v>
      </c>
      <c r="B4104" t="s" s="10">
        <v>20783</v>
      </c>
      <c r="C4104" t="s" s="10">
        <v>114</v>
      </c>
      <c r="D4104" t="s" s="10">
        <v>1386</v>
      </c>
      <c r="E4104" t="s" s="10">
        <v>414</v>
      </c>
      <c r="F4104" s="27">
        <v>45992</v>
      </c>
      <c r="G4104" t="s" s="10">
        <v>607</v>
      </c>
      <c r="H4104" t="s" s="42">
        <v>30</v>
      </c>
      <c r="I4104" t="s" s="42">
        <v>30</v>
      </c>
      <c r="J4104" t="s" s="10">
        <v>20784</v>
      </c>
      <c r="K4104" t="s" s="10">
        <v>20785</v>
      </c>
      <c r="L4104" s="16">
        <f>HYPERLINK("http://www.abwab.ai", "www.abwab.ai")</f>
      </c>
      <c r="M4104" s="16">
        <f>HYPERLINK("https://my.pitchbook.com?c=712987-84", "View Company Online")</f>
      </c>
    </row>
    <row r="4105">
      <c r="A4105" t="s" s="11">
        <v>20787</v>
      </c>
      <c r="B4105" t="s" s="11">
        <v>20788</v>
      </c>
      <c r="C4105" t="s" s="11">
        <v>60</v>
      </c>
      <c r="D4105" t="s" s="11">
        <v>246</v>
      </c>
      <c r="E4105" t="s" s="11">
        <v>2782</v>
      </c>
      <c r="F4105" s="28">
        <v>45414</v>
      </c>
      <c r="G4105" t="s" s="11">
        <v>146</v>
      </c>
      <c r="H4105" s="43">
        <v>18</v>
      </c>
      <c r="I4105" t="s" s="43">
        <v>30</v>
      </c>
      <c r="J4105" t="s" s="11">
        <v>20789</v>
      </c>
      <c r="K4105" t="s" s="11">
        <v>20790</v>
      </c>
      <c r="L4105" s="17">
        <f>HYPERLINK("http://www.abyancapital.sa", "www.abyancapital.sa")</f>
      </c>
      <c r="M4105" s="17">
        <f>HYPERLINK("https://my.pitchbook.com?c=521668-00", "View Company Online")</f>
      </c>
    </row>
    <row r="4106">
      <c r="A4106" t="s" s="10">
        <v>20792</v>
      </c>
      <c r="B4106" t="s" s="10">
        <v>20793</v>
      </c>
      <c r="C4106" t="s" s="10">
        <v>222</v>
      </c>
      <c r="D4106" t="s" s="10">
        <v>235</v>
      </c>
      <c r="E4106" t="s" s="10">
        <v>30</v>
      </c>
      <c r="F4106" s="27">
        <v>45170</v>
      </c>
      <c r="G4106" t="s" s="10">
        <v>146</v>
      </c>
      <c r="H4106" t="s" s="42">
        <v>30</v>
      </c>
      <c r="I4106" t="s" s="42">
        <v>30</v>
      </c>
      <c r="J4106" t="s" s="10">
        <v>20794</v>
      </c>
      <c r="K4106" t="s" s="10">
        <v>20795</v>
      </c>
      <c r="L4106" s="16">
        <f>HYPERLINK("http://www.accelclub.com", "www.accelclub.com")</f>
      </c>
      <c r="M4106" s="16">
        <f>HYPERLINK("https://my.pitchbook.com?c=458493-58", "View Company Online")</f>
      </c>
    </row>
    <row r="4107">
      <c r="A4107" t="s" s="11">
        <v>20797</v>
      </c>
      <c r="B4107" t="s" s="11">
        <v>20798</v>
      </c>
      <c r="C4107" t="s" s="11">
        <v>222</v>
      </c>
      <c r="D4107" t="s" s="11">
        <v>252</v>
      </c>
      <c r="E4107" t="s" s="11">
        <v>137</v>
      </c>
      <c r="F4107" s="28">
        <v>44200</v>
      </c>
      <c r="G4107" t="s" s="11">
        <v>40</v>
      </c>
      <c r="H4107" s="43">
        <v>7.64</v>
      </c>
      <c r="I4107" t="s" s="43">
        <v>30</v>
      </c>
      <c r="J4107" t="s" s="11">
        <v>20799</v>
      </c>
      <c r="K4107" t="s" s="11">
        <v>20800</v>
      </c>
      <c r="L4107" s="17">
        <f>HYPERLINK("http://www.accelecom.com", "www.accelecom.com")</f>
      </c>
      <c r="M4107" s="17">
        <f>HYPERLINK("https://my.pitchbook.com?c=458359-84", "View Company Online")</f>
      </c>
    </row>
    <row r="4108">
      <c r="A4108" t="s" s="10">
        <v>20802</v>
      </c>
      <c r="B4108" t="s" s="10">
        <v>20803</v>
      </c>
      <c r="C4108" t="s" s="10">
        <v>128</v>
      </c>
      <c r="D4108" t="s" s="10">
        <v>276</v>
      </c>
      <c r="E4108" t="s" s="10">
        <v>29</v>
      </c>
      <c r="F4108" s="27">
        <v>45658</v>
      </c>
      <c r="G4108" t="s" s="10">
        <v>607</v>
      </c>
      <c r="H4108" t="s" s="42">
        <v>30</v>
      </c>
      <c r="I4108" t="s" s="42">
        <v>30</v>
      </c>
      <c r="J4108" t="s" s="10">
        <v>20804</v>
      </c>
      <c r="K4108" t="s" s="10">
        <v>20805</v>
      </c>
      <c r="L4108" s="16">
        <f>HYPERLINK("http://www.accountablevr.com", "www.accountablevr.com")</f>
      </c>
      <c r="M4108" s="16">
        <f>HYPERLINK("https://my.pitchbook.com?c=503433-55", "View Company Online")</f>
      </c>
    </row>
    <row r="4109">
      <c r="A4109" t="s" s="11">
        <v>20807</v>
      </c>
      <c r="B4109" t="s" s="11">
        <v>20808</v>
      </c>
      <c r="C4109" t="s" s="11">
        <v>46</v>
      </c>
      <c r="D4109" t="s" s="11">
        <v>915</v>
      </c>
      <c r="E4109" t="s" s="11">
        <v>373</v>
      </c>
      <c r="F4109" s="28">
        <v>45440</v>
      </c>
      <c r="G4109" t="s" s="11">
        <v>40</v>
      </c>
      <c r="H4109" t="s" s="43">
        <v>30</v>
      </c>
      <c r="I4109" t="s" s="43">
        <v>30</v>
      </c>
      <c r="J4109" t="s" s="11">
        <v>20809</v>
      </c>
      <c r="K4109" t="s" s="11">
        <v>20810</v>
      </c>
      <c r="L4109" s="17">
        <f>HYPERLINK("http://www.accountfy.com", "www.accountfy.com")</f>
      </c>
      <c r="M4109" s="17">
        <f>HYPERLINK("https://my.pitchbook.com?c=279378-19", "View Company Online")</f>
      </c>
    </row>
    <row r="4110">
      <c r="A4110" t="s" s="10">
        <v>20812</v>
      </c>
      <c r="B4110" t="s" s="10">
        <v>20813</v>
      </c>
      <c r="C4110" t="s" s="10">
        <v>46</v>
      </c>
      <c r="D4110" t="s" s="10">
        <v>397</v>
      </c>
      <c r="E4110" t="s" s="10">
        <v>690</v>
      </c>
      <c r="F4110" s="27">
        <v>45453</v>
      </c>
      <c r="G4110" t="s" s="10">
        <v>40</v>
      </c>
      <c r="H4110" s="42">
        <v>65.07</v>
      </c>
      <c r="I4110" t="s" s="42">
        <v>30</v>
      </c>
      <c r="J4110" t="s" s="10">
        <v>20814</v>
      </c>
      <c r="K4110" t="s" s="10">
        <v>20815</v>
      </c>
      <c r="L4110" s="16">
        <f>HYPERLINK("http://www.accountsiq.com", "www.accountsiq.com")</f>
      </c>
      <c r="M4110" s="16">
        <f>HYPERLINK("https://my.pitchbook.com?c=59157-28", "View Company Online")</f>
      </c>
    </row>
    <row r="4111">
      <c r="A4111" t="s" s="11">
        <v>20817</v>
      </c>
      <c r="B4111" t="s" s="11">
        <v>20818</v>
      </c>
      <c r="C4111" t="s" s="11">
        <v>128</v>
      </c>
      <c r="D4111" t="s" s="11">
        <v>276</v>
      </c>
      <c r="E4111" t="s" s="11">
        <v>995</v>
      </c>
      <c r="F4111" s="28">
        <v>45681</v>
      </c>
      <c r="G4111" t="s" s="11">
        <v>4267</v>
      </c>
      <c r="H4111" s="43">
        <v>1.58</v>
      </c>
      <c r="I4111" t="s" s="43">
        <v>30</v>
      </c>
      <c r="J4111" t="s" s="11">
        <v>20819</v>
      </c>
      <c r="K4111" t="s" s="11">
        <v>20820</v>
      </c>
      <c r="L4111" s="17">
        <f>HYPERLINK("http://www.useaccrue.com", "www.useaccrue.com")</f>
      </c>
      <c r="M4111" s="17">
        <f>HYPERLINK("https://my.pitchbook.com?c=510283-45", "View Company Online")</f>
      </c>
    </row>
    <row r="4112">
      <c r="A4112" t="s" s="10">
        <v>20822</v>
      </c>
      <c r="B4112" t="s" s="10">
        <v>20823</v>
      </c>
      <c r="C4112" t="s" s="10">
        <v>144</v>
      </c>
      <c r="D4112" t="s" s="10">
        <v>297</v>
      </c>
      <c r="E4112" t="s" s="10">
        <v>137</v>
      </c>
      <c r="F4112" s="27">
        <v>44623</v>
      </c>
      <c r="G4112" t="s" s="10">
        <v>146</v>
      </c>
      <c r="H4112" s="42">
        <v>1.5</v>
      </c>
      <c r="I4112" t="s" s="42">
        <v>30</v>
      </c>
      <c r="J4112" t="s" s="10">
        <v>20824</v>
      </c>
      <c r="K4112" t="s" s="10">
        <v>20825</v>
      </c>
      <c r="L4112" s="16">
        <f>HYPERLINK("http://www.accrueme.com", "www.accrueme.com")</f>
      </c>
      <c r="M4112" s="16">
        <f>HYPERLINK("https://my.pitchbook.com?c=268345-45", "View Company Online")</f>
      </c>
    </row>
    <row r="4113">
      <c r="A4113" t="s" s="11">
        <v>20827</v>
      </c>
      <c r="B4113" t="s" s="11">
        <v>20828</v>
      </c>
      <c r="C4113" t="s" s="11">
        <v>46</v>
      </c>
      <c r="D4113" t="s" s="11">
        <v>397</v>
      </c>
      <c r="E4113" t="s" s="11">
        <v>137</v>
      </c>
      <c r="F4113" s="28">
        <v>45918</v>
      </c>
      <c r="G4113" t="s" s="11">
        <v>40</v>
      </c>
      <c r="H4113" s="43">
        <v>3.51</v>
      </c>
      <c r="I4113" t="s" s="43">
        <v>30</v>
      </c>
      <c r="J4113" t="s" s="11">
        <v>20829</v>
      </c>
      <c r="K4113" t="s" s="11">
        <v>20830</v>
      </c>
      <c r="L4113" s="17">
        <f>HYPERLINK("http://www.actuals.io", "www.actuals.io")</f>
      </c>
      <c r="M4113" s="17">
        <f>HYPERLINK("https://my.pitchbook.com?c=538835-41", "View Company Online")</f>
      </c>
    </row>
    <row r="4114">
      <c r="A4114" t="s" s="10">
        <v>20832</v>
      </c>
      <c r="B4114" t="s" s="10">
        <v>20833</v>
      </c>
      <c r="C4114" t="s" s="10">
        <v>46</v>
      </c>
      <c r="D4114" t="s" s="10">
        <v>47</v>
      </c>
      <c r="E4114" t="s" s="10">
        <v>414</v>
      </c>
      <c r="F4114" s="27">
        <v>45901</v>
      </c>
      <c r="G4114" t="s" s="10">
        <v>4267</v>
      </c>
      <c r="H4114" t="s" s="42">
        <v>30</v>
      </c>
      <c r="I4114" t="s" s="42">
        <v>30</v>
      </c>
      <c r="J4114" t="s" s="10">
        <v>20834</v>
      </c>
      <c r="K4114" t="s" s="10">
        <v>20835</v>
      </c>
      <c r="L4114" s="16">
        <f>HYPERLINK("http://www.acua.ai", "www.acua.ai")</f>
      </c>
      <c r="M4114" s="16">
        <f>HYPERLINK("https://my.pitchbook.com?c=995167-27", "View Company Online")</f>
      </c>
    </row>
    <row r="4115">
      <c r="A4115" t="s" s="11">
        <v>20837</v>
      </c>
      <c r="B4115" t="s" s="11">
        <v>20838</v>
      </c>
      <c r="C4115" t="s" s="11">
        <v>114</v>
      </c>
      <c r="D4115" t="s" s="11">
        <v>1386</v>
      </c>
      <c r="E4115" t="s" s="11">
        <v>253</v>
      </c>
      <c r="F4115" s="28">
        <v>45582</v>
      </c>
      <c r="G4115" t="s" s="11">
        <v>607</v>
      </c>
      <c r="H4115" t="s" s="43">
        <v>30</v>
      </c>
      <c r="I4115" t="s" s="43">
        <v>30</v>
      </c>
      <c r="J4115" t="s" s="11">
        <v>20839</v>
      </c>
      <c r="K4115" t="s" s="11">
        <v>20840</v>
      </c>
      <c r="L4115" s="17">
        <f>HYPERLINK("http://www.adalfi.com", "www.adalfi.com")</f>
      </c>
      <c r="M4115" s="17">
        <f>HYPERLINK("https://my.pitchbook.com?c=495635-41", "View Company Online")</f>
      </c>
    </row>
    <row r="4116">
      <c r="A4116" t="s" s="10">
        <v>20842</v>
      </c>
      <c r="B4116" t="s" s="10">
        <v>20843</v>
      </c>
      <c r="C4116" t="s" s="10">
        <v>60</v>
      </c>
      <c r="D4116" t="s" s="10">
        <v>246</v>
      </c>
      <c r="E4116" t="s" s="10">
        <v>253</v>
      </c>
      <c r="F4116" s="27">
        <v>44804</v>
      </c>
      <c r="G4116" t="s" s="10">
        <v>4267</v>
      </c>
      <c r="H4116" s="42">
        <v>2</v>
      </c>
      <c r="I4116" t="s" s="42">
        <v>30</v>
      </c>
      <c r="J4116" t="s" s="10">
        <v>20844</v>
      </c>
      <c r="K4116" t="s" s="10">
        <v>20845</v>
      </c>
      <c r="L4116" s="16">
        <f>HYPERLINK("http://www.adaptive-investments.com", "www.adaptive-investments.com")</f>
      </c>
      <c r="M4116" s="16">
        <f>HYPERLINK("https://my.pitchbook.com?c=468036-64", "View Company Online")</f>
      </c>
    </row>
    <row r="4117">
      <c r="A4117" t="s" s="11">
        <v>20847</v>
      </c>
      <c r="B4117" t="s" s="11">
        <v>20848</v>
      </c>
      <c r="C4117" t="s" s="11">
        <v>46</v>
      </c>
      <c r="D4117" t="s" s="11">
        <v>915</v>
      </c>
      <c r="E4117" t="s" s="11">
        <v>137</v>
      </c>
      <c r="F4117" s="28">
        <v>46217</v>
      </c>
      <c r="G4117" t="s" s="11">
        <v>607</v>
      </c>
      <c r="H4117" t="s" s="43">
        <v>30</v>
      </c>
      <c r="I4117" t="s" s="43">
        <v>30</v>
      </c>
      <c r="J4117" t="s" s="11">
        <v>20849</v>
      </c>
      <c r="K4117" t="s" s="11">
        <v>20850</v>
      </c>
      <c r="L4117" s="17">
        <f>HYPERLINK("http://www.additionwealth.com", "www.additionwealth.com")</f>
      </c>
      <c r="M4117" s="17">
        <f>HYPERLINK("https://my.pitchbook.com?c=483691-42", "View Company Online")</f>
      </c>
    </row>
    <row r="4118">
      <c r="A4118" t="s" s="10">
        <v>20852</v>
      </c>
      <c r="B4118" t="s" s="10">
        <v>20853</v>
      </c>
      <c r="C4118" t="s" s="10">
        <v>60</v>
      </c>
      <c r="D4118" t="s" s="10">
        <v>61</v>
      </c>
      <c r="E4118" t="s" s="10">
        <v>253</v>
      </c>
      <c r="F4118" s="27">
        <v>45413</v>
      </c>
      <c r="G4118" t="s" s="10">
        <v>40</v>
      </c>
      <c r="H4118" s="42">
        <v>0.5</v>
      </c>
      <c r="I4118" t="s" s="42">
        <v>30</v>
      </c>
      <c r="J4118" t="s" s="10">
        <v>20854</v>
      </c>
      <c r="K4118" t="s" s="10">
        <v>20855</v>
      </c>
      <c r="L4118" s="16">
        <f>HYPERLINK("http://www.adenfin.com.hk", "www.adenfin.com.hk")</f>
      </c>
      <c r="M4118" s="16">
        <f>HYPERLINK("https://my.pitchbook.com?c=522228-25", "View Company Online")</f>
      </c>
    </row>
    <row r="4119">
      <c r="A4119" t="s" s="11">
        <v>20857</v>
      </c>
      <c r="B4119" t="s" s="11">
        <v>20858</v>
      </c>
      <c r="C4119" t="s" s="11">
        <v>37</v>
      </c>
      <c r="D4119" t="s" s="11">
        <v>304</v>
      </c>
      <c r="E4119" t="s" s="11">
        <v>759</v>
      </c>
      <c r="F4119" s="28">
        <v>45929</v>
      </c>
      <c r="G4119" t="s" s="11">
        <v>31</v>
      </c>
      <c r="H4119" s="43">
        <v>53.72</v>
      </c>
      <c r="I4119" t="s" s="43">
        <v>30</v>
      </c>
      <c r="J4119" t="s" s="11">
        <v>20859</v>
      </c>
      <c r="K4119" t="s" s="11">
        <v>30</v>
      </c>
      <c r="L4119" s="17">
        <f>HYPERLINK("http://careers.advancefinancial.com", "careers.advancefinancial.com")</f>
      </c>
      <c r="M4119" s="17">
        <f>HYPERLINK("https://my.pitchbook.com?c=58412-53", "View Company Online")</f>
      </c>
    </row>
    <row r="4120">
      <c r="A4120" t="s" s="10">
        <v>20861</v>
      </c>
      <c r="B4120" t="s" s="10">
        <v>20862</v>
      </c>
      <c r="C4120" t="s" s="10">
        <v>164</v>
      </c>
      <c r="D4120" t="s" s="10">
        <v>165</v>
      </c>
      <c r="E4120" t="s" s="10">
        <v>916</v>
      </c>
      <c r="F4120" t="s" s="27">
        <v>30</v>
      </c>
      <c r="G4120" t="s" s="10">
        <v>40</v>
      </c>
      <c r="H4120" t="s" s="42">
        <v>30</v>
      </c>
      <c r="I4120" t="s" s="42">
        <v>30</v>
      </c>
      <c r="J4120" t="s" s="10">
        <v>20863</v>
      </c>
      <c r="K4120" t="s" s="10">
        <v>20864</v>
      </c>
      <c r="L4120" s="16">
        <f>HYPERLINK("http://adviceanalytics.com", "adviceanalytics.com")</f>
      </c>
      <c r="M4120" s="16">
        <f>HYPERLINK("https://my.pitchbook.com?c=466482-07", "View Company Online")</f>
      </c>
    </row>
    <row r="4121">
      <c r="A4121" t="s" s="11">
        <v>20866</v>
      </c>
      <c r="B4121" t="s" s="11">
        <v>20867</v>
      </c>
      <c r="C4121" t="s" s="11">
        <v>60</v>
      </c>
      <c r="D4121" t="s" s="11">
        <v>432</v>
      </c>
      <c r="E4121" t="s" s="11">
        <v>270</v>
      </c>
      <c r="F4121" s="28">
        <v>45657</v>
      </c>
      <c r="G4121" t="s" s="11">
        <v>4267</v>
      </c>
      <c r="H4121" s="43">
        <v>3.25</v>
      </c>
      <c r="I4121" t="s" s="43">
        <v>30</v>
      </c>
      <c r="J4121" t="s" s="11">
        <v>20868</v>
      </c>
      <c r="K4121" t="s" s="11">
        <v>30</v>
      </c>
      <c r="L4121" s="17">
        <f>HYPERLINK("http://www.advisorfinder.com", "www.advisorfinder.com")</f>
      </c>
      <c r="M4121" s="17">
        <f>HYPERLINK("https://my.pitchbook.com?c=544681-27", "View Company Online")</f>
      </c>
    </row>
    <row r="4122">
      <c r="A4122" t="s" s="10">
        <v>20870</v>
      </c>
      <c r="B4122" t="s" s="10">
        <v>20871</v>
      </c>
      <c r="C4122" t="s" s="10">
        <v>60</v>
      </c>
      <c r="D4122" t="s" s="10">
        <v>432</v>
      </c>
      <c r="E4122" t="s" s="10">
        <v>253</v>
      </c>
      <c r="F4122" s="27">
        <v>45974</v>
      </c>
      <c r="G4122" t="s" s="10">
        <v>4267</v>
      </c>
      <c r="H4122" s="42">
        <v>1.05</v>
      </c>
      <c r="I4122" t="s" s="42">
        <v>30</v>
      </c>
      <c r="J4122" t="s" s="10">
        <v>20872</v>
      </c>
      <c r="K4122" t="s" s="10">
        <v>20873</v>
      </c>
      <c r="L4122" s="16">
        <f>HYPERLINK("http://www.advyzon.com", "www.advyzon.com")</f>
      </c>
      <c r="M4122" s="16">
        <f>HYPERLINK("https://my.pitchbook.com?c=234363-25", "View Company Online")</f>
      </c>
    </row>
    <row r="4123">
      <c r="A4123" t="s" s="11">
        <v>20875</v>
      </c>
      <c r="B4123" t="s" s="11">
        <v>20876</v>
      </c>
      <c r="C4123" t="s" s="11">
        <v>46</v>
      </c>
      <c r="D4123" t="s" s="11">
        <v>47</v>
      </c>
      <c r="E4123" t="s" s="11">
        <v>2695</v>
      </c>
      <c r="F4123" s="28">
        <v>45809</v>
      </c>
      <c r="G4123" t="s" s="11">
        <v>146</v>
      </c>
      <c r="H4123" t="s" s="43">
        <v>30</v>
      </c>
      <c r="I4123" t="s" s="43">
        <v>30</v>
      </c>
      <c r="J4123" t="s" s="11">
        <v>20877</v>
      </c>
      <c r="K4123" t="s" s="11">
        <v>20878</v>
      </c>
      <c r="L4123" s="17">
        <f>HYPERLINK("http://aegishealth.us", "aegishealth.us")</f>
      </c>
      <c r="M4123" s="17">
        <f>HYPERLINK("https://my.pitchbook.com?c=820625-32", "View Company Online")</f>
      </c>
    </row>
    <row r="4124">
      <c r="A4124" t="s" s="10">
        <v>20880</v>
      </c>
      <c r="B4124" t="s" s="10">
        <v>20881</v>
      </c>
      <c r="C4124" t="s" s="10">
        <v>27</v>
      </c>
      <c r="D4124" t="s" s="10">
        <v>28</v>
      </c>
      <c r="E4124" t="s" s="10">
        <v>414</v>
      </c>
      <c r="F4124" s="27">
        <v>46160</v>
      </c>
      <c r="G4124" t="s" s="10">
        <v>146</v>
      </c>
      <c r="H4124" s="42">
        <v>8</v>
      </c>
      <c r="I4124" t="s" s="42">
        <v>30</v>
      </c>
      <c r="J4124" t="s" s="10">
        <v>20882</v>
      </c>
      <c r="K4124" t="s" s="10">
        <v>20883</v>
      </c>
      <c r="L4124" s="16">
        <f>HYPERLINK("http://www.aeon.xyz", "www.aeon.xyz")</f>
      </c>
      <c r="M4124" s="16">
        <f>HYPERLINK("https://my.pitchbook.com?c=1158652-90", "View Company Online")</f>
      </c>
    </row>
    <row r="4125">
      <c r="A4125" t="s" s="11">
        <v>20885</v>
      </c>
      <c r="B4125" t="s" s="11">
        <v>20886</v>
      </c>
      <c r="C4125" t="s" s="11">
        <v>114</v>
      </c>
      <c r="D4125" t="s" s="11">
        <v>115</v>
      </c>
      <c r="E4125" t="s" s="11">
        <v>2782</v>
      </c>
      <c r="F4125" s="28">
        <v>46113</v>
      </c>
      <c r="G4125" t="s" s="11">
        <v>4267</v>
      </c>
      <c r="H4125" t="s" s="43">
        <v>30</v>
      </c>
      <c r="I4125" t="s" s="43">
        <v>30</v>
      </c>
      <c r="J4125" t="s" s="11">
        <v>20887</v>
      </c>
      <c r="K4125" t="s" s="11">
        <v>20888</v>
      </c>
      <c r="L4125" s="17">
        <f>HYPERLINK("http://www.aera.nz", "www.aera.nz")</f>
      </c>
      <c r="M4125" s="17">
        <f>HYPERLINK("https://my.pitchbook.com?c=719087-68", "View Company Online")</f>
      </c>
    </row>
    <row r="4126">
      <c r="A4126" t="s" s="10">
        <v>20890</v>
      </c>
      <c r="B4126" t="s" s="10">
        <v>20891</v>
      </c>
      <c r="C4126" t="s" s="10">
        <v>222</v>
      </c>
      <c r="D4126" t="s" s="10">
        <v>252</v>
      </c>
      <c r="E4126" t="s" s="10">
        <v>859</v>
      </c>
      <c r="F4126" s="27">
        <v>46030</v>
      </c>
      <c r="G4126" t="s" s="10">
        <v>4267</v>
      </c>
      <c r="H4126" s="42">
        <v>1.2</v>
      </c>
      <c r="I4126" t="s" s="42">
        <v>30</v>
      </c>
      <c r="J4126" t="s" s="10">
        <v>20892</v>
      </c>
      <c r="K4126" t="s" s="10">
        <v>30</v>
      </c>
      <c r="L4126" s="16">
        <f>HYPERLINK("http://aeroblox.io", "aeroblox.io")</f>
      </c>
      <c r="M4126" s="16">
        <f>HYPERLINK("https://my.pitchbook.com?c=769772-62", "View Company Online")</f>
      </c>
    </row>
    <row r="4127">
      <c r="A4127" t="s" s="11">
        <v>20894</v>
      </c>
      <c r="B4127" t="s" s="11">
        <v>20895</v>
      </c>
      <c r="C4127" t="s" s="11">
        <v>46</v>
      </c>
      <c r="D4127" t="s" s="11">
        <v>397</v>
      </c>
      <c r="E4127" t="s" s="11">
        <v>253</v>
      </c>
      <c r="F4127" s="28">
        <v>44915</v>
      </c>
      <c r="G4127" t="s" s="11">
        <v>4267</v>
      </c>
      <c r="H4127" s="43">
        <v>1.3</v>
      </c>
      <c r="I4127" t="s" s="43">
        <v>30</v>
      </c>
      <c r="J4127" t="s" s="11">
        <v>20896</v>
      </c>
      <c r="K4127" t="s" s="11">
        <v>20897</v>
      </c>
      <c r="L4127" s="17">
        <f>HYPERLINK("http://www.aerotruth.com", "www.aerotruth.com")</f>
      </c>
      <c r="M4127" s="17">
        <f>HYPERLINK("https://my.pitchbook.com?c=502944-58", "View Company Online")</f>
      </c>
    </row>
    <row r="4128">
      <c r="A4128" t="s" s="10">
        <v>20899</v>
      </c>
      <c r="B4128" t="s" s="10">
        <v>20900</v>
      </c>
      <c r="C4128" t="s" s="10">
        <v>222</v>
      </c>
      <c r="D4128" t="s" s="10">
        <v>537</v>
      </c>
      <c r="E4128" t="s" s="10">
        <v>311</v>
      </c>
      <c r="F4128" s="27">
        <v>45413</v>
      </c>
      <c r="G4128" t="s" s="10">
        <v>146</v>
      </c>
      <c r="H4128" t="s" s="42">
        <v>30</v>
      </c>
      <c r="I4128" t="s" s="42">
        <v>30</v>
      </c>
      <c r="J4128" t="s" s="10">
        <v>20901</v>
      </c>
      <c r="K4128" t="s" s="10">
        <v>20902</v>
      </c>
      <c r="L4128" s="16">
        <f>HYPERLINK("http://www.aevo.xyz", "www.aevo.xyz")</f>
      </c>
      <c r="M4128" s="16">
        <f>HYPERLINK("https://my.pitchbook.com?c=462567-97", "View Company Online")</f>
      </c>
    </row>
    <row r="4129">
      <c r="A4129" t="s" s="11">
        <v>20904</v>
      </c>
      <c r="B4129" t="s" s="11">
        <v>20905</v>
      </c>
      <c r="C4129" t="s" s="11">
        <v>60</v>
      </c>
      <c r="D4129" t="s" s="11">
        <v>61</v>
      </c>
      <c r="E4129" t="s" s="11">
        <v>20906</v>
      </c>
      <c r="F4129" s="28">
        <v>45232</v>
      </c>
      <c r="G4129" t="s" s="11">
        <v>40</v>
      </c>
      <c r="H4129" s="43">
        <v>26.5</v>
      </c>
      <c r="I4129" t="s" s="43">
        <v>30</v>
      </c>
      <c r="J4129" t="s" s="11">
        <v>20907</v>
      </c>
      <c r="K4129" t="s" s="11">
        <v>20908</v>
      </c>
      <c r="L4129" s="17">
        <f>HYPERLINK("http://africaexchange.com", "africaexchange.com")</f>
      </c>
      <c r="M4129" s="17">
        <f>HYPERLINK("https://my.pitchbook.com?c=357401-71", "View Company Online")</f>
      </c>
    </row>
    <row r="4130">
      <c r="A4130" t="s" s="10">
        <v>20910</v>
      </c>
      <c r="B4130" t="s" s="10">
        <v>20911</v>
      </c>
      <c r="C4130" t="s" s="10">
        <v>37</v>
      </c>
      <c r="D4130" t="s" s="10">
        <v>38</v>
      </c>
      <c r="E4130" t="s" s="10">
        <v>270</v>
      </c>
      <c r="F4130" s="27">
        <v>46178</v>
      </c>
      <c r="G4130" t="s" s="10">
        <v>4267</v>
      </c>
      <c r="H4130" t="s" s="42">
        <v>30</v>
      </c>
      <c r="I4130" t="s" s="42">
        <v>30</v>
      </c>
      <c r="J4130" t="s" s="10">
        <v>20912</v>
      </c>
      <c r="K4130" t="s" s="10">
        <v>20913</v>
      </c>
      <c r="L4130" s="16">
        <f>HYPERLINK("http://www.affinityafrica.com", "www.affinityafrica.com")</f>
      </c>
      <c r="M4130" s="16">
        <f>HYPERLINK("https://my.pitchbook.com?c=509587-57", "View Company Online")</f>
      </c>
    </row>
    <row r="4131">
      <c r="A4131" t="s" s="11">
        <v>20915</v>
      </c>
      <c r="B4131" t="s" s="11">
        <v>20916</v>
      </c>
      <c r="C4131" t="s" s="11">
        <v>128</v>
      </c>
      <c r="D4131" t="s" s="11">
        <v>199</v>
      </c>
      <c r="E4131" t="s" s="11">
        <v>9672</v>
      </c>
      <c r="F4131" s="28">
        <v>44652</v>
      </c>
      <c r="G4131" t="s" s="11">
        <v>146</v>
      </c>
      <c r="H4131" s="43">
        <v>0.07</v>
      </c>
      <c r="I4131" t="s" s="43">
        <v>30</v>
      </c>
      <c r="J4131" t="s" s="11">
        <v>20917</v>
      </c>
      <c r="K4131" t="s" s="11">
        <v>20918</v>
      </c>
      <c r="L4131" s="17">
        <f>HYPERLINK("http://www.affogato.ai", "www.affogato.ai")</f>
      </c>
      <c r="M4131" s="17">
        <f>HYPERLINK("https://my.pitchbook.com?c=343140-04", "View Company Online")</f>
      </c>
    </row>
    <row r="4132">
      <c r="A4132" t="s" s="10">
        <v>20920</v>
      </c>
      <c r="B4132" t="s" s="10">
        <v>20921</v>
      </c>
      <c r="C4132" t="s" s="10">
        <v>60</v>
      </c>
      <c r="D4132" t="s" s="10">
        <v>192</v>
      </c>
      <c r="E4132" t="s" s="10">
        <v>634</v>
      </c>
      <c r="F4132" s="27">
        <v>44546</v>
      </c>
      <c r="G4132" t="s" s="10">
        <v>4267</v>
      </c>
      <c r="H4132" s="42">
        <v>0.1</v>
      </c>
      <c r="I4132" t="s" s="42">
        <v>30</v>
      </c>
      <c r="J4132" t="s" s="10">
        <v>20922</v>
      </c>
      <c r="K4132" t="s" s="10">
        <v>15996</v>
      </c>
      <c r="L4132" s="16">
        <f>HYPERLINK("http://www.afterefx.com", "www.afterefx.com")</f>
      </c>
      <c r="M4132" s="16">
        <f>HYPERLINK("https://my.pitchbook.com?c=503734-51", "View Company Online")</f>
      </c>
    </row>
    <row r="4133">
      <c r="A4133" t="s" s="11">
        <v>20924</v>
      </c>
      <c r="B4133" t="s" s="11">
        <v>20925</v>
      </c>
      <c r="C4133" t="s" s="11">
        <v>27</v>
      </c>
      <c r="D4133" t="s" s="11">
        <v>28</v>
      </c>
      <c r="E4133" t="s" s="11">
        <v>270</v>
      </c>
      <c r="F4133" s="28">
        <v>45693</v>
      </c>
      <c r="G4133" t="s" s="11">
        <v>4267</v>
      </c>
      <c r="H4133" s="43">
        <v>0.29</v>
      </c>
      <c r="I4133" t="s" s="43">
        <v>30</v>
      </c>
      <c r="J4133" t="s" s="11">
        <v>20926</v>
      </c>
      <c r="K4133" t="s" s="11">
        <v>20927</v>
      </c>
      <c r="L4133" s="17">
        <f>HYPERLINK("http://www.agatyca.co.jp", "www.agatyca.co.jp")</f>
      </c>
      <c r="M4133" s="17">
        <f>HYPERLINK("https://my.pitchbook.com?c=627507-46", "View Company Online")</f>
      </c>
    </row>
    <row r="4134">
      <c r="A4134" t="s" s="10">
        <v>20929</v>
      </c>
      <c r="B4134" t="s" s="10">
        <v>20930</v>
      </c>
      <c r="C4134" t="s" s="10">
        <v>27</v>
      </c>
      <c r="D4134" t="s" s="10">
        <v>70</v>
      </c>
      <c r="E4134" t="s" s="10">
        <v>259</v>
      </c>
      <c r="F4134" s="27">
        <v>45098</v>
      </c>
      <c r="G4134" t="s" s="10">
        <v>146</v>
      </c>
      <c r="H4134" t="s" s="42">
        <v>30</v>
      </c>
      <c r="I4134" t="s" s="42">
        <v>30</v>
      </c>
      <c r="J4134" t="s" s="10">
        <v>20931</v>
      </c>
      <c r="K4134" t="s" s="10">
        <v>20932</v>
      </c>
      <c r="L4134" s="16">
        <f>HYPERLINK("http://egypt.agel.io", "egypt.agel.io")</f>
      </c>
      <c r="M4134" s="16">
        <f>HYPERLINK("https://my.pitchbook.com?c=500906-98", "View Company Online")</f>
      </c>
    </row>
    <row r="4135">
      <c r="A4135" t="s" s="11">
        <v>20934</v>
      </c>
      <c r="B4135" t="s" s="11">
        <v>20935</v>
      </c>
      <c r="C4135" t="s" s="11">
        <v>60</v>
      </c>
      <c r="D4135" t="s" s="11">
        <v>432</v>
      </c>
      <c r="E4135" t="s" s="11">
        <v>2824</v>
      </c>
      <c r="F4135" s="28">
        <v>45413</v>
      </c>
      <c r="G4135" t="s" s="11">
        <v>607</v>
      </c>
      <c r="H4135" t="s" s="43">
        <v>30</v>
      </c>
      <c r="I4135" t="s" s="43">
        <v>30</v>
      </c>
      <c r="J4135" t="s" s="11">
        <v>20936</v>
      </c>
      <c r="K4135" t="s" s="11">
        <v>20937</v>
      </c>
      <c r="L4135" s="17">
        <f>HYPERLINK("http://www.agentapp.ru", "www.agentapp.ru")</f>
      </c>
      <c r="M4135" s="17">
        <f>HYPERLINK("https://my.pitchbook.com?c=267719-05", "View Company Online")</f>
      </c>
    </row>
    <row r="4136">
      <c r="A4136" t="s" s="10">
        <v>20939</v>
      </c>
      <c r="B4136" t="s" s="10">
        <v>20940</v>
      </c>
      <c r="C4136" t="s" s="10">
        <v>164</v>
      </c>
      <c r="D4136" t="s" s="10">
        <v>1678</v>
      </c>
      <c r="E4136" t="s" s="10">
        <v>137</v>
      </c>
      <c r="F4136" s="27">
        <v>46054</v>
      </c>
      <c r="G4136" t="s" s="10">
        <v>146</v>
      </c>
      <c r="H4136" t="s" s="42">
        <v>30</v>
      </c>
      <c r="I4136" t="s" s="42">
        <v>30</v>
      </c>
      <c r="J4136" t="s" s="10">
        <v>20941</v>
      </c>
      <c r="K4136" t="s" s="10">
        <v>20942</v>
      </c>
      <c r="L4136" s="16">
        <f>HYPERLINK("http://www.agentbank.com", "www.agentbank.com")</f>
      </c>
      <c r="M4136" s="16">
        <f>HYPERLINK("https://my.pitchbook.com?c=1318536-73", "View Company Online")</f>
      </c>
    </row>
    <row r="4137">
      <c r="A4137" t="s" s="11">
        <v>20944</v>
      </c>
      <c r="B4137" t="s" s="11">
        <v>20945</v>
      </c>
      <c r="C4137" t="s" s="11">
        <v>27</v>
      </c>
      <c r="D4137" t="s" s="11">
        <v>122</v>
      </c>
      <c r="E4137" t="s" s="11">
        <v>1859</v>
      </c>
      <c r="F4137" s="28">
        <v>44562</v>
      </c>
      <c r="G4137" t="s" s="11">
        <v>40</v>
      </c>
      <c r="H4137" t="s" s="43">
        <v>30</v>
      </c>
      <c r="I4137" t="s" s="43">
        <v>30</v>
      </c>
      <c r="J4137" t="s" s="11">
        <v>20946</v>
      </c>
      <c r="K4137" t="s" s="11">
        <v>20947</v>
      </c>
      <c r="L4137" s="17">
        <f>HYPERLINK("http://www.agilityforex.com", "www.agilityforex.com")</f>
      </c>
      <c r="M4137" s="17">
        <f>HYPERLINK("https://my.pitchbook.com?c=179974-45", "View Company Online")</f>
      </c>
    </row>
    <row r="4138">
      <c r="A4138" t="s" s="10">
        <v>20949</v>
      </c>
      <c r="B4138" t="s" s="10">
        <v>20950</v>
      </c>
      <c r="C4138" t="s" s="10">
        <v>172</v>
      </c>
      <c r="D4138" t="s" s="10">
        <v>1454</v>
      </c>
      <c r="E4138" t="s" s="10">
        <v>311</v>
      </c>
      <c r="F4138" s="27">
        <v>45936</v>
      </c>
      <c r="G4138" t="s" s="10">
        <v>146</v>
      </c>
      <c r="H4138" s="42">
        <v>6</v>
      </c>
      <c r="I4138" t="s" s="42">
        <v>30</v>
      </c>
      <c r="J4138" t="s" s="10">
        <v>20951</v>
      </c>
      <c r="K4138" t="s" s="10">
        <v>20952</v>
      </c>
      <c r="L4138" s="16">
        <f>HYPERLINK("http://www.agioratings.io", "www.agioratings.io")</f>
      </c>
      <c r="M4138" s="16">
        <f>HYPERLINK("https://my.pitchbook.com?c=537924-79", "View Company Online")</f>
      </c>
    </row>
    <row r="4139">
      <c r="A4139" t="s" s="11">
        <v>20954</v>
      </c>
      <c r="B4139" t="s" s="11">
        <v>20955</v>
      </c>
      <c r="C4139" t="s" s="11">
        <v>144</v>
      </c>
      <c r="D4139" t="s" s="11">
        <v>297</v>
      </c>
      <c r="E4139" t="s" s="11">
        <v>193</v>
      </c>
      <c r="F4139" s="28">
        <v>45560</v>
      </c>
      <c r="G4139" t="s" s="11">
        <v>40</v>
      </c>
      <c r="H4139" s="43">
        <v>7.9</v>
      </c>
      <c r="I4139" t="s" s="43">
        <v>30</v>
      </c>
      <c r="J4139" t="s" s="11">
        <v>20956</v>
      </c>
      <c r="K4139" t="s" s="11">
        <v>20957</v>
      </c>
      <c r="L4139" s="17">
        <f>HYPERLINK("http://www.agricapital.com.co", "www.agricapital.com.co")</f>
      </c>
      <c r="M4139" s="17">
        <f>HYPERLINK("https://my.pitchbook.com?c=706914-37", "View Company Online")</f>
      </c>
    </row>
    <row r="4140">
      <c r="A4140" t="s" s="10">
        <v>20959</v>
      </c>
      <c r="B4140" t="s" s="10">
        <v>20960</v>
      </c>
      <c r="C4140" t="s" s="10">
        <v>114</v>
      </c>
      <c r="D4140" t="s" s="10">
        <v>870</v>
      </c>
      <c r="E4140" t="s" s="10">
        <v>116</v>
      </c>
      <c r="F4140" s="27">
        <v>45836</v>
      </c>
      <c r="G4140" t="s" s="10">
        <v>4267</v>
      </c>
      <c r="H4140" t="s" s="42">
        <v>30</v>
      </c>
      <c r="I4140" t="s" s="42">
        <v>30</v>
      </c>
      <c r="J4140" t="s" s="10">
        <v>20961</v>
      </c>
      <c r="K4140" t="s" s="10">
        <v>20962</v>
      </c>
      <c r="L4140" s="16">
        <f>HYPERLINK("http://www.agricash.app", "www.agricash.app")</f>
      </c>
      <c r="M4140" s="16">
        <f>HYPERLINK("https://my.pitchbook.com?c=601606-45", "View Company Online")</f>
      </c>
    </row>
    <row r="4141">
      <c r="A4141" t="s" s="11">
        <v>20964</v>
      </c>
      <c r="B4141" t="s" s="11">
        <v>20965</v>
      </c>
      <c r="C4141" t="s" s="11">
        <v>114</v>
      </c>
      <c r="D4141" t="s" s="11">
        <v>870</v>
      </c>
      <c r="E4141" t="s" s="11">
        <v>30</v>
      </c>
      <c r="F4141" t="s" s="28">
        <v>30</v>
      </c>
      <c r="G4141" t="s" s="11">
        <v>40</v>
      </c>
      <c r="H4141" s="43">
        <v>95.99</v>
      </c>
      <c r="I4141" t="s" s="43">
        <v>30</v>
      </c>
      <c r="J4141" t="s" s="11">
        <v>20966</v>
      </c>
      <c r="K4141" t="s" s="11">
        <v>20967</v>
      </c>
      <c r="L4141" s="17">
        <f>HYPERLINK("http://www.agrolend.agr.br", "www.agrolend.agr.br")</f>
      </c>
      <c r="M4141" s="17">
        <f>HYPERLINK("https://my.pitchbook.com?c=462007-27", "View Company Online")</f>
      </c>
    </row>
    <row r="4142">
      <c r="A4142" t="s" s="10">
        <v>20969</v>
      </c>
      <c r="B4142" t="s" s="10">
        <v>20970</v>
      </c>
      <c r="C4142" t="s" s="10">
        <v>172</v>
      </c>
      <c r="D4142" t="s" s="10">
        <v>338</v>
      </c>
      <c r="E4142" t="s" s="10">
        <v>339</v>
      </c>
      <c r="F4142" s="27">
        <v>44256</v>
      </c>
      <c r="G4142" t="s" s="10">
        <v>146</v>
      </c>
      <c r="H4142" s="42">
        <v>15.47</v>
      </c>
      <c r="I4142" t="s" s="42">
        <v>30</v>
      </c>
      <c r="J4142" t="s" s="10">
        <v>20971</v>
      </c>
      <c r="K4142" t="s" s="10">
        <v>20972</v>
      </c>
      <c r="L4142" s="16">
        <f>HYPERLINK("http://www.ahi-fintech.com", "www.ahi-fintech.com")</f>
      </c>
      <c r="M4142" s="16">
        <f>HYPERLINK("https://my.pitchbook.com?c=231803-74", "View Company Online")</f>
      </c>
    </row>
    <row r="4143">
      <c r="A4143" t="s" s="11">
        <v>20974</v>
      </c>
      <c r="B4143" t="s" s="11">
        <v>20975</v>
      </c>
      <c r="C4143" t="s" s="11">
        <v>114</v>
      </c>
      <c r="D4143" t="s" s="11">
        <v>136</v>
      </c>
      <c r="E4143" t="s" s="11">
        <v>137</v>
      </c>
      <c r="F4143" s="28">
        <v>44805</v>
      </c>
      <c r="G4143" t="s" s="11">
        <v>146</v>
      </c>
      <c r="H4143" t="s" s="43">
        <v>30</v>
      </c>
      <c r="I4143" t="s" s="43">
        <v>30</v>
      </c>
      <c r="J4143" t="s" s="11">
        <v>20976</v>
      </c>
      <c r="K4143" t="s" s="11">
        <v>20977</v>
      </c>
      <c r="L4143" s="17">
        <f>HYPERLINK("http://www.ailend.io", "www.ailend.io")</f>
      </c>
      <c r="M4143" s="17">
        <f>HYPERLINK("https://my.pitchbook.com?c=507028-42", "View Company Online")</f>
      </c>
    </row>
    <row r="4144">
      <c r="A4144" t="s" s="10">
        <v>20979</v>
      </c>
      <c r="B4144" t="s" s="10">
        <v>20980</v>
      </c>
      <c r="C4144" t="s" s="10">
        <v>27</v>
      </c>
      <c r="D4144" t="s" s="10">
        <v>28</v>
      </c>
      <c r="E4144" t="s" s="10">
        <v>20981</v>
      </c>
      <c r="F4144" s="27">
        <v>44713</v>
      </c>
      <c r="G4144" t="s" s="10">
        <v>40</v>
      </c>
      <c r="H4144" t="s" s="42">
        <v>30</v>
      </c>
      <c r="I4144" t="s" s="42">
        <v>30</v>
      </c>
      <c r="J4144" t="s" s="10">
        <v>20982</v>
      </c>
      <c r="K4144" t="s" s="10">
        <v>20983</v>
      </c>
      <c r="L4144" s="16">
        <f>HYPERLINK("http://www.ainosi.co.id", "www.ainosi.co.id")</f>
      </c>
      <c r="M4144" s="16">
        <f>HYPERLINK("https://my.pitchbook.com?c=234697-87", "View Company Online")</f>
      </c>
    </row>
    <row r="4145">
      <c r="A4145" t="s" s="11">
        <v>20985</v>
      </c>
      <c r="B4145" t="s" s="11">
        <v>20986</v>
      </c>
      <c r="C4145" t="s" s="11">
        <v>164</v>
      </c>
      <c r="D4145" t="s" s="11">
        <v>206</v>
      </c>
      <c r="E4145" t="s" s="11">
        <v>20987</v>
      </c>
      <c r="F4145" s="28">
        <v>44966</v>
      </c>
      <c r="G4145" t="s" s="11">
        <v>40</v>
      </c>
      <c r="H4145" s="43">
        <v>5</v>
      </c>
      <c r="I4145" t="s" s="43">
        <v>30</v>
      </c>
      <c r="J4145" t="s" s="11">
        <v>20988</v>
      </c>
      <c r="K4145" t="s" s="11">
        <v>20989</v>
      </c>
      <c r="L4145" s="17">
        <f>HYPERLINK("http://www.aiondigital.com", "www.aiondigital.com")</f>
      </c>
      <c r="M4145" s="17">
        <f>HYPERLINK("https://my.pitchbook.com?c=266516-92", "View Company Online")</f>
      </c>
    </row>
    <row r="4146">
      <c r="A4146" t="s" s="10">
        <v>20991</v>
      </c>
      <c r="B4146" t="s" s="10">
        <v>20992</v>
      </c>
      <c r="C4146" t="s" s="10">
        <v>46</v>
      </c>
      <c r="D4146" t="s" s="10">
        <v>47</v>
      </c>
      <c r="E4146" t="s" s="10">
        <v>1826</v>
      </c>
      <c r="F4146" s="27">
        <v>44628</v>
      </c>
      <c r="G4146" t="s" s="10">
        <v>146</v>
      </c>
      <c r="H4146" s="42">
        <v>50</v>
      </c>
      <c r="I4146" t="s" s="42">
        <v>30</v>
      </c>
      <c r="J4146" t="s" s="10">
        <v>20993</v>
      </c>
      <c r="K4146" t="s" s="10">
        <v>20994</v>
      </c>
      <c r="L4146" s="16">
        <f>HYPERLINK("http://www.airudder.com", "www.airudder.com")</f>
      </c>
      <c r="M4146" s="16">
        <f>HYPERLINK("https://my.pitchbook.com?c=437538-70", "View Company Online")</f>
      </c>
    </row>
    <row r="4147">
      <c r="A4147" t="s" s="11">
        <v>20996</v>
      </c>
      <c r="B4147" t="s" s="11">
        <v>20997</v>
      </c>
      <c r="C4147" t="s" s="11">
        <v>114</v>
      </c>
      <c r="D4147" t="s" s="11">
        <v>136</v>
      </c>
      <c r="E4147" t="s" s="11">
        <v>2782</v>
      </c>
      <c r="F4147" s="28">
        <v>46198</v>
      </c>
      <c r="G4147" t="s" s="11">
        <v>48</v>
      </c>
      <c r="H4147" t="s" s="43">
        <v>30</v>
      </c>
      <c r="I4147" t="s" s="43">
        <v>30</v>
      </c>
      <c r="J4147" t="s" s="11">
        <v>20998</v>
      </c>
      <c r="K4147" t="s" s="11">
        <v>20999</v>
      </c>
      <c r="L4147" s="17">
        <f>HYPERLINK("http://www.zhaoyinzi.com", "www.zhaoyinzi.com")</f>
      </c>
      <c r="M4147" s="17">
        <f>HYPERLINK("https://my.pitchbook.com?c=436513-15", "View Company Online")</f>
      </c>
    </row>
    <row r="4148">
      <c r="A4148" t="s" s="10">
        <v>21001</v>
      </c>
      <c r="B4148" t="s" s="10">
        <v>21002</v>
      </c>
      <c r="C4148" t="s" s="10">
        <v>37</v>
      </c>
      <c r="D4148" t="s" s="10">
        <v>304</v>
      </c>
      <c r="E4148" t="s" s="10">
        <v>137</v>
      </c>
      <c r="F4148" s="27">
        <v>45707</v>
      </c>
      <c r="G4148" t="s" s="10">
        <v>48</v>
      </c>
      <c r="H4148" t="s" s="42">
        <v>30</v>
      </c>
      <c r="I4148" t="s" s="42">
        <v>30</v>
      </c>
      <c r="J4148" t="s" s="10">
        <v>21003</v>
      </c>
      <c r="K4148" t="s" s="10">
        <v>21004</v>
      </c>
      <c r="L4148" s="16">
        <f>HYPERLINK("http://www.aiyoumi.com", "www.aiyoumi.com")</f>
      </c>
      <c r="M4148" s="16">
        <f>HYPERLINK("https://my.pitchbook.com?c=107025-13", "View Company Online")</f>
      </c>
    </row>
    <row r="4149">
      <c r="A4149" t="s" s="11">
        <v>21006</v>
      </c>
      <c r="B4149" t="s" s="11">
        <v>21007</v>
      </c>
      <c r="C4149" t="s" s="11">
        <v>164</v>
      </c>
      <c r="D4149" t="s" s="11">
        <v>165</v>
      </c>
      <c r="E4149" t="s" s="11">
        <v>367</v>
      </c>
      <c r="F4149" s="28">
        <v>45862</v>
      </c>
      <c r="G4149" t="s" s="11">
        <v>40</v>
      </c>
      <c r="H4149" t="s" s="43">
        <v>30</v>
      </c>
      <c r="I4149" t="s" s="43">
        <v>30</v>
      </c>
      <c r="J4149" t="s" s="11">
        <v>21008</v>
      </c>
      <c r="K4149" t="s" s="11">
        <v>21009</v>
      </c>
      <c r="L4149" s="17">
        <f>HYPERLINK("http://www.aizenglobal.com", "www.aizenglobal.com")</f>
      </c>
      <c r="M4149" s="17">
        <f>HYPERLINK("https://my.pitchbook.com?c=226895-86", "View Company Online")</f>
      </c>
    </row>
    <row r="4150">
      <c r="A4150" t="s" s="10">
        <v>21011</v>
      </c>
      <c r="B4150" t="s" s="10">
        <v>21012</v>
      </c>
      <c r="C4150" t="s" s="10">
        <v>27</v>
      </c>
      <c r="D4150" t="s" s="10">
        <v>28</v>
      </c>
      <c r="E4150" t="s" s="10">
        <v>21013</v>
      </c>
      <c r="F4150" s="27">
        <v>43990</v>
      </c>
      <c r="G4150" t="s" s="10">
        <v>146</v>
      </c>
      <c r="H4150" s="42">
        <v>7.5</v>
      </c>
      <c r="I4150" t="s" s="42">
        <v>30</v>
      </c>
      <c r="J4150" t="s" s="10">
        <v>21014</v>
      </c>
      <c r="K4150" t="s" s="10">
        <v>21015</v>
      </c>
      <c r="L4150" s="16">
        <f>HYPERLINK("http://joinajar.com", "joinajar.com")</f>
      </c>
      <c r="M4150" s="16">
        <f>HYPERLINK("https://my.pitchbook.com?c=176922-73", "View Company Online")</f>
      </c>
    </row>
    <row r="4151">
      <c r="A4151" t="s" s="11">
        <v>21017</v>
      </c>
      <c r="B4151" t="s" s="11">
        <v>21018</v>
      </c>
      <c r="C4151" t="s" s="11">
        <v>164</v>
      </c>
      <c r="D4151" t="s" s="11">
        <v>206</v>
      </c>
      <c r="E4151" t="s" s="11">
        <v>1964</v>
      </c>
      <c r="F4151" s="28">
        <v>45961</v>
      </c>
      <c r="G4151" t="s" s="11">
        <v>40</v>
      </c>
      <c r="H4151" t="s" s="43">
        <v>30</v>
      </c>
      <c r="I4151" t="s" s="43">
        <v>30</v>
      </c>
      <c r="J4151" t="s" s="11">
        <v>21019</v>
      </c>
      <c r="K4151" t="s" s="11">
        <v>21020</v>
      </c>
      <c r="L4151" s="17">
        <f>HYPERLINK("http://www.akoya.com", "www.akoya.com")</f>
      </c>
      <c r="M4151" s="17">
        <f>HYPERLINK("https://my.pitchbook.com?c=436875-94", "View Company Online")</f>
      </c>
    </row>
    <row r="4152">
      <c r="A4152" t="s" s="10">
        <v>21022</v>
      </c>
      <c r="B4152" t="s" s="10">
        <v>21023</v>
      </c>
      <c r="C4152" t="s" s="10">
        <v>164</v>
      </c>
      <c r="D4152" t="s" s="10">
        <v>206</v>
      </c>
      <c r="E4152" t="s" s="10">
        <v>367</v>
      </c>
      <c r="F4152" s="27">
        <v>45656</v>
      </c>
      <c r="G4152" t="s" s="10">
        <v>146</v>
      </c>
      <c r="H4152" t="s" s="42">
        <v>30</v>
      </c>
      <c r="I4152" t="s" s="42">
        <v>30</v>
      </c>
      <c r="J4152" t="s" s="10">
        <v>21024</v>
      </c>
      <c r="K4152" t="s" s="10">
        <v>21025</v>
      </c>
      <c r="L4152" s="16">
        <f>HYPERLINK("http://akrostec.com", "akrostec.com")</f>
      </c>
      <c r="M4152" s="16">
        <f>HYPERLINK("https://my.pitchbook.com?c=494261-11", "View Company Online")</f>
      </c>
    </row>
    <row r="4153">
      <c r="A4153" t="s" s="11">
        <v>21027</v>
      </c>
      <c r="B4153" t="s" s="11">
        <v>21028</v>
      </c>
      <c r="C4153" t="s" s="11">
        <v>114</v>
      </c>
      <c r="D4153" t="s" s="11">
        <v>136</v>
      </c>
      <c r="E4153" t="s" s="11">
        <v>753</v>
      </c>
      <c r="F4153" s="28">
        <v>45139</v>
      </c>
      <c r="G4153" t="s" s="11">
        <v>64</v>
      </c>
      <c r="H4153" s="43">
        <v>0.02</v>
      </c>
      <c r="I4153" t="s" s="43">
        <v>30</v>
      </c>
      <c r="J4153" t="s" s="11">
        <v>21029</v>
      </c>
      <c r="K4153" t="s" s="11">
        <v>21030</v>
      </c>
      <c r="L4153" s="17">
        <f>HYPERLINK("http://www.akseleran.co.id", "www.akseleran.co.id")</f>
      </c>
      <c r="M4153" s="17">
        <f>HYPERLINK("https://my.pitchbook.com?c=231880-24", "View Company Online")</f>
      </c>
    </row>
    <row r="4154">
      <c r="A4154" t="s" s="10">
        <v>21032</v>
      </c>
      <c r="B4154" t="s" s="10">
        <v>21033</v>
      </c>
      <c r="C4154" t="s" s="10">
        <v>27</v>
      </c>
      <c r="D4154" t="s" s="10">
        <v>28</v>
      </c>
      <c r="E4154" t="s" s="10">
        <v>137</v>
      </c>
      <c r="F4154" t="s" s="27">
        <v>30</v>
      </c>
      <c r="G4154" t="s" s="10">
        <v>607</v>
      </c>
      <c r="H4154" s="42">
        <v>0.01</v>
      </c>
      <c r="I4154" t="s" s="42">
        <v>30</v>
      </c>
      <c r="J4154" t="s" s="10">
        <v>21034</v>
      </c>
      <c r="K4154" t="s" s="10">
        <v>21035</v>
      </c>
      <c r="L4154" s="16">
        <f>HYPERLINK("http://www.akua.la", "www.akua.la")</f>
      </c>
      <c r="M4154" s="16">
        <f>HYPERLINK("https://my.pitchbook.com?c=615623-59", "View Company Online")</f>
      </c>
    </row>
    <row r="4155">
      <c r="A4155" t="s" s="11">
        <v>21037</v>
      </c>
      <c r="B4155" t="s" s="11">
        <v>21038</v>
      </c>
      <c r="C4155" t="s" s="11">
        <v>46</v>
      </c>
      <c r="D4155" t="s" s="11">
        <v>47</v>
      </c>
      <c r="E4155" t="s" s="11">
        <v>193</v>
      </c>
      <c r="F4155" t="s" s="28">
        <v>30</v>
      </c>
      <c r="G4155" t="s" s="11">
        <v>40</v>
      </c>
      <c r="H4155" t="s" s="43">
        <v>30</v>
      </c>
      <c r="I4155" t="s" s="43">
        <v>30</v>
      </c>
      <c r="J4155" t="s" s="11">
        <v>21039</v>
      </c>
      <c r="K4155" t="s" s="11">
        <v>21040</v>
      </c>
      <c r="L4155" s="17">
        <f>HYPERLINK("http://www.akun.biz", "www.akun.biz")</f>
      </c>
      <c r="M4155" s="17">
        <f>HYPERLINK("https://my.pitchbook.com?c=493011-37", "View Company Online")</f>
      </c>
    </row>
    <row r="4156">
      <c r="A4156" t="s" s="10">
        <v>21042</v>
      </c>
      <c r="B4156" t="s" s="10">
        <v>21043</v>
      </c>
      <c r="C4156" t="s" s="10">
        <v>46</v>
      </c>
      <c r="D4156" t="s" s="10">
        <v>47</v>
      </c>
      <c r="E4156" t="s" s="10">
        <v>373</v>
      </c>
      <c r="F4156" s="27">
        <v>45874</v>
      </c>
      <c r="G4156" t="s" s="10">
        <v>146</v>
      </c>
      <c r="H4156" s="42">
        <v>48</v>
      </c>
      <c r="I4156" t="s" s="42">
        <v>30</v>
      </c>
      <c r="J4156" t="s" s="10">
        <v>21044</v>
      </c>
      <c r="K4156" t="s" s="10">
        <v>21045</v>
      </c>
      <c r="L4156" s="16">
        <f>HYPERLINK("http://www.alaan.com", "www.alaan.com")</f>
      </c>
      <c r="M4156" s="16">
        <f>HYPERLINK("https://my.pitchbook.com?c=491413-15", "View Company Online")</f>
      </c>
    </row>
    <row r="4157">
      <c r="A4157" t="s" s="11">
        <v>21047</v>
      </c>
      <c r="B4157" t="s" s="11">
        <v>21048</v>
      </c>
      <c r="C4157" t="s" s="11">
        <v>27</v>
      </c>
      <c r="D4157" t="s" s="11">
        <v>28</v>
      </c>
      <c r="E4157" t="s" s="11">
        <v>193</v>
      </c>
      <c r="F4157" s="28">
        <v>46100</v>
      </c>
      <c r="G4157" t="s" s="11">
        <v>40</v>
      </c>
      <c r="H4157" s="43">
        <v>50</v>
      </c>
      <c r="I4157" t="s" s="43">
        <v>30</v>
      </c>
      <c r="J4157" t="s" s="11">
        <v>21049</v>
      </c>
      <c r="K4157" t="s" s="11">
        <v>21050</v>
      </c>
      <c r="L4157" s="17">
        <f>HYPERLINK("http://www.alacriti.com", "www.alacriti.com")</f>
      </c>
      <c r="M4157" s="17">
        <f>HYPERLINK("https://my.pitchbook.com?c=236049-31", "View Company Online")</f>
      </c>
    </row>
    <row r="4158">
      <c r="A4158" t="s" s="10">
        <v>21052</v>
      </c>
      <c r="B4158" t="s" s="10">
        <v>21053</v>
      </c>
      <c r="C4158" t="s" s="10">
        <v>144</v>
      </c>
      <c r="D4158" t="s" s="10">
        <v>38</v>
      </c>
      <c r="E4158" t="s" s="10">
        <v>193</v>
      </c>
      <c r="F4158" s="27">
        <v>45779</v>
      </c>
      <c r="G4158" t="s" s="10">
        <v>40</v>
      </c>
      <c r="H4158" t="s" s="42">
        <v>30</v>
      </c>
      <c r="I4158" t="s" s="42">
        <v>30</v>
      </c>
      <c r="J4158" t="s" s="10">
        <v>21054</v>
      </c>
      <c r="K4158" t="s" s="10">
        <v>21055</v>
      </c>
      <c r="L4158" s="16">
        <f>HYPERLINK("http://www.albo.com", "www.albo.com")</f>
      </c>
      <c r="M4158" s="16">
        <f>HYPERLINK("https://my.pitchbook.com?c=172659-16", "View Company Online")</f>
      </c>
    </row>
    <row r="4159">
      <c r="A4159" t="s" s="11">
        <v>21057</v>
      </c>
      <c r="B4159" t="s" s="11">
        <v>21058</v>
      </c>
      <c r="C4159" t="s" s="11">
        <v>172</v>
      </c>
      <c r="D4159" t="s" s="11">
        <v>338</v>
      </c>
      <c r="E4159" t="s" s="11">
        <v>367</v>
      </c>
      <c r="F4159" s="28">
        <v>45869</v>
      </c>
      <c r="G4159" t="s" s="11">
        <v>146</v>
      </c>
      <c r="H4159" s="43">
        <v>0.12</v>
      </c>
      <c r="I4159" t="s" s="43">
        <v>30</v>
      </c>
      <c r="J4159" t="s" s="11">
        <v>21059</v>
      </c>
      <c r="K4159" t="s" s="11">
        <v>15996</v>
      </c>
      <c r="L4159" s="17">
        <f>HYPERLINK("http://www.alfiwealth.com", "www.alfiwealth.com")</f>
      </c>
      <c r="M4159" s="17">
        <f>HYPERLINK("https://my.pitchbook.com?c=866000-71", "View Company Online")</f>
      </c>
    </row>
    <row r="4160">
      <c r="A4160" t="s" s="10">
        <v>21061</v>
      </c>
      <c r="B4160" t="s" s="10">
        <v>21062</v>
      </c>
      <c r="C4160" t="s" s="10">
        <v>128</v>
      </c>
      <c r="D4160" t="s" s="10">
        <v>276</v>
      </c>
      <c r="E4160" t="s" s="10">
        <v>193</v>
      </c>
      <c r="F4160" s="27">
        <v>46049</v>
      </c>
      <c r="G4160" t="s" s="10">
        <v>40</v>
      </c>
      <c r="H4160" s="42">
        <v>15</v>
      </c>
      <c r="I4160" t="s" s="42">
        <v>30</v>
      </c>
      <c r="J4160" t="s" s="10">
        <v>21063</v>
      </c>
      <c r="K4160" t="s" s="10">
        <v>21064</v>
      </c>
      <c r="L4160" s="16">
        <f>HYPERLINK("http://www.alfredpay.io", "www.alfredpay.io")</f>
      </c>
      <c r="M4160" s="16">
        <f>HYPERLINK("https://my.pitchbook.com?c=497367-82", "View Company Online")</f>
      </c>
    </row>
    <row r="4161">
      <c r="A4161" t="s" s="11">
        <v>21066</v>
      </c>
      <c r="B4161" t="s" s="11">
        <v>21067</v>
      </c>
      <c r="C4161" t="s" s="11">
        <v>164</v>
      </c>
      <c r="D4161" t="s" s="11">
        <v>165</v>
      </c>
      <c r="E4161" t="s" s="11">
        <v>5386</v>
      </c>
      <c r="F4161" s="28">
        <v>45600</v>
      </c>
      <c r="G4161" t="s" s="11">
        <v>146</v>
      </c>
      <c r="H4161" s="43">
        <v>4</v>
      </c>
      <c r="I4161" t="s" s="43">
        <v>30</v>
      </c>
      <c r="J4161" t="s" s="11">
        <v>21068</v>
      </c>
      <c r="K4161" t="s" s="11">
        <v>21069</v>
      </c>
      <c r="L4161" s="17">
        <f>HYPERLINK("http://www.algebrik.ai", "www.algebrik.ai")</f>
      </c>
      <c r="M4161" s="17">
        <f>HYPERLINK("https://my.pitchbook.com?c=707307-94", "View Company Online")</f>
      </c>
    </row>
    <row r="4162">
      <c r="A4162" t="s" s="10">
        <v>21071</v>
      </c>
      <c r="B4162" t="s" s="10">
        <v>21072</v>
      </c>
      <c r="C4162" t="s" s="10">
        <v>60</v>
      </c>
      <c r="D4162" t="s" s="10">
        <v>192</v>
      </c>
      <c r="E4162" t="s" s="10">
        <v>253</v>
      </c>
      <c r="F4162" s="27">
        <v>44832</v>
      </c>
      <c r="G4162" t="s" s="10">
        <v>146</v>
      </c>
      <c r="H4162" t="s" s="42">
        <v>30</v>
      </c>
      <c r="I4162" t="s" s="42">
        <v>30</v>
      </c>
      <c r="J4162" t="s" s="10">
        <v>21073</v>
      </c>
      <c r="K4162" t="s" s="10">
        <v>21074</v>
      </c>
      <c r="L4162" s="16">
        <f>HYPERLINK("http://www.algotest.in", "www.algotest.in")</f>
      </c>
      <c r="M4162" s="16">
        <f>HYPERLINK("https://my.pitchbook.com?c=507142-36", "View Company Online")</f>
      </c>
    </row>
    <row r="4163">
      <c r="A4163" t="s" s="11">
        <v>21076</v>
      </c>
      <c r="B4163" t="s" s="11">
        <v>21077</v>
      </c>
      <c r="C4163" t="s" s="11">
        <v>27</v>
      </c>
      <c r="D4163" t="s" s="11">
        <v>70</v>
      </c>
      <c r="E4163" t="s" s="11">
        <v>253</v>
      </c>
      <c r="F4163" s="28">
        <v>45925</v>
      </c>
      <c r="G4163" t="s" s="11">
        <v>4267</v>
      </c>
      <c r="H4163" s="43">
        <v>4</v>
      </c>
      <c r="I4163" t="s" s="43">
        <v>30</v>
      </c>
      <c r="J4163" t="s" s="11">
        <v>21078</v>
      </c>
      <c r="K4163" t="s" s="11">
        <v>21079</v>
      </c>
      <c r="L4163" s="17">
        <f>HYPERLINK("http://www.alguna.com", "www.alguna.com")</f>
      </c>
      <c r="M4163" s="17">
        <f>HYPERLINK("https://my.pitchbook.com?c=534487-15", "View Company Online")</f>
      </c>
    </row>
    <row r="4164">
      <c r="A4164" t="s" s="10">
        <v>21081</v>
      </c>
      <c r="B4164" t="s" s="10">
        <v>21082</v>
      </c>
      <c r="C4164" t="s" s="10">
        <v>172</v>
      </c>
      <c r="D4164" t="s" s="10">
        <v>338</v>
      </c>
      <c r="E4164" t="s" s="10">
        <v>367</v>
      </c>
      <c r="F4164" s="27">
        <v>43676</v>
      </c>
      <c r="G4164" t="s" s="10">
        <v>4267</v>
      </c>
      <c r="H4164" s="42">
        <v>3</v>
      </c>
      <c r="I4164" t="s" s="42">
        <v>30</v>
      </c>
      <c r="J4164" t="s" s="10">
        <v>21083</v>
      </c>
      <c r="K4164" t="s" s="10">
        <v>30</v>
      </c>
      <c r="L4164" s="16">
        <f>HYPERLINK("http://www.aliya.com", "www.aliya.com")</f>
      </c>
      <c r="M4164" s="16">
        <f>HYPERLINK("https://my.pitchbook.com?c=154085-86", "View Company Online")</f>
      </c>
    </row>
    <row r="4165">
      <c r="A4165" t="s" s="11">
        <v>21085</v>
      </c>
      <c r="B4165" t="s" s="11">
        <v>21086</v>
      </c>
      <c r="C4165" t="s" s="11">
        <v>222</v>
      </c>
      <c r="D4165" t="s" s="11">
        <v>235</v>
      </c>
      <c r="E4165" t="s" s="11">
        <v>137</v>
      </c>
      <c r="F4165" t="s" s="28">
        <v>30</v>
      </c>
      <c r="G4165" t="s" s="11">
        <v>31</v>
      </c>
      <c r="H4165" s="43">
        <v>0.29</v>
      </c>
      <c r="I4165" t="s" s="43">
        <v>30</v>
      </c>
      <c r="J4165" t="s" s="11">
        <v>21087</v>
      </c>
      <c r="K4165" t="s" s="11">
        <v>21088</v>
      </c>
      <c r="L4165" s="17">
        <f>HYPERLINK("http://www.allstructurednotes.com", "www.allstructurednotes.com")</f>
      </c>
      <c r="M4165" s="17">
        <f>HYPERLINK("https://my.pitchbook.com?c=530283-25", "View Company Online")</f>
      </c>
    </row>
    <row r="4166">
      <c r="A4166" t="s" s="10">
        <v>21090</v>
      </c>
      <c r="B4166" t="s" s="10">
        <v>21091</v>
      </c>
      <c r="C4166" t="s" s="10">
        <v>114</v>
      </c>
      <c r="D4166" t="s" s="10">
        <v>870</v>
      </c>
      <c r="E4166" t="s" s="10">
        <v>4013</v>
      </c>
      <c r="F4166" s="27">
        <v>42995</v>
      </c>
      <c r="G4166" t="s" s="10">
        <v>146</v>
      </c>
      <c r="H4166" s="42">
        <v>8</v>
      </c>
      <c r="I4166" t="s" s="42">
        <v>30</v>
      </c>
      <c r="J4166" t="s" s="10">
        <v>21092</v>
      </c>
      <c r="K4166" t="s" s="10">
        <v>21093</v>
      </c>
      <c r="L4166" s="16">
        <f>HYPERLINK("http://alliance-mm.com", "alliance-mm.com")</f>
      </c>
      <c r="M4166" s="16">
        <f>HYPERLINK("https://my.pitchbook.com?c=186593-50", "View Company Online")</f>
      </c>
    </row>
    <row r="4167">
      <c r="A4167" t="s" s="11">
        <v>21095</v>
      </c>
      <c r="B4167" t="s" s="11">
        <v>21096</v>
      </c>
      <c r="C4167" t="s" s="11">
        <v>172</v>
      </c>
      <c r="D4167" t="s" s="11">
        <v>338</v>
      </c>
      <c r="E4167" t="s" s="11">
        <v>1131</v>
      </c>
      <c r="F4167" s="28">
        <v>45819</v>
      </c>
      <c r="G4167" t="s" s="11">
        <v>607</v>
      </c>
      <c r="H4167" t="s" s="43">
        <v>30</v>
      </c>
      <c r="I4167" t="s" s="43">
        <v>30</v>
      </c>
      <c r="J4167" t="s" s="11">
        <v>21097</v>
      </c>
      <c r="K4167" t="s" s="11">
        <v>21098</v>
      </c>
      <c r="L4167" s="17">
        <f>HYPERLINK("http://www.allpass.ai", "www.allpass.ai")</f>
      </c>
      <c r="M4167" s="17">
        <f>HYPERLINK("https://my.pitchbook.com?c=491516-20", "View Company Online")</f>
      </c>
    </row>
    <row r="4168">
      <c r="A4168" t="s" s="10">
        <v>21100</v>
      </c>
      <c r="B4168" t="s" s="10">
        <v>21101</v>
      </c>
      <c r="C4168" t="s" s="10">
        <v>27</v>
      </c>
      <c r="D4168" t="s" s="10">
        <v>28</v>
      </c>
      <c r="E4168" t="s" s="10">
        <v>137</v>
      </c>
      <c r="F4168" s="27">
        <v>45681</v>
      </c>
      <c r="G4168" t="s" s="10">
        <v>40</v>
      </c>
      <c r="H4168" s="42">
        <v>8.2</v>
      </c>
      <c r="I4168" t="s" s="42">
        <v>30</v>
      </c>
      <c r="J4168" t="s" s="10">
        <v>21102</v>
      </c>
      <c r="K4168" t="s" s="10">
        <v>21103</v>
      </c>
      <c r="L4168" s="16">
        <f>HYPERLINK("http://www.allra.co.kr", "www.allra.co.kr")</f>
      </c>
      <c r="M4168" s="16">
        <f>HYPERLINK("https://my.pitchbook.com?c=497789-83", "View Company Online")</f>
      </c>
    </row>
    <row r="4169">
      <c r="A4169" t="s" s="11">
        <v>21105</v>
      </c>
      <c r="B4169" t="s" s="11">
        <v>21106</v>
      </c>
      <c r="C4169" t="s" s="11">
        <v>222</v>
      </c>
      <c r="D4169" t="s" s="11">
        <v>223</v>
      </c>
      <c r="E4169" t="s" s="11">
        <v>634</v>
      </c>
      <c r="F4169" s="28">
        <v>43438</v>
      </c>
      <c r="G4169" t="s" s="11">
        <v>4267</v>
      </c>
      <c r="H4169" s="43">
        <v>0.14</v>
      </c>
      <c r="I4169" t="s" s="43">
        <v>30</v>
      </c>
      <c r="J4169" t="s" s="11">
        <v>21107</v>
      </c>
      <c r="K4169" t="s" s="11">
        <v>21108</v>
      </c>
      <c r="L4169" s="17">
        <f>HYPERLINK("http://www.almug.ai", "www.almug.ai")</f>
      </c>
      <c r="M4169" s="17">
        <f>HYPERLINK("https://my.pitchbook.com?c=501296-59", "View Company Online")</f>
      </c>
    </row>
    <row r="4170">
      <c r="A4170" t="s" s="10">
        <v>21110</v>
      </c>
      <c r="B4170" t="s" s="10">
        <v>21111</v>
      </c>
      <c r="C4170" t="s" s="10">
        <v>60</v>
      </c>
      <c r="D4170" t="s" s="10">
        <v>246</v>
      </c>
      <c r="E4170" t="s" s="10">
        <v>414</v>
      </c>
      <c r="F4170" s="27">
        <v>45664</v>
      </c>
      <c r="G4170" t="s" s="10">
        <v>146</v>
      </c>
      <c r="H4170" t="s" s="42">
        <v>30</v>
      </c>
      <c r="I4170" t="s" s="42">
        <v>30</v>
      </c>
      <c r="J4170" t="s" s="10">
        <v>21112</v>
      </c>
      <c r="K4170" t="s" s="10">
        <v>21113</v>
      </c>
      <c r="L4170" s="16">
        <f>HYPERLINK("http://www.alphabridge.co.kr", "www.alphabridge.co.kr")</f>
      </c>
      <c r="M4170" s="16">
        <f>HYPERLINK("https://my.pitchbook.com?c=530907-67", "View Company Online")</f>
      </c>
    </row>
    <row r="4171">
      <c r="A4171" t="s" s="11">
        <v>21115</v>
      </c>
      <c r="B4171" t="s" s="11">
        <v>21116</v>
      </c>
      <c r="C4171" t="s" s="11">
        <v>114</v>
      </c>
      <c r="D4171" t="s" s="11">
        <v>1386</v>
      </c>
      <c r="E4171" t="s" s="11">
        <v>367</v>
      </c>
      <c r="F4171" s="28">
        <v>45840</v>
      </c>
      <c r="G4171" t="s" s="11">
        <v>40</v>
      </c>
      <c r="H4171" s="43">
        <v>4.22</v>
      </c>
      <c r="I4171" t="s" s="43">
        <v>30</v>
      </c>
      <c r="J4171" t="s" s="11">
        <v>21117</v>
      </c>
      <c r="K4171" t="s" s="11">
        <v>21118</v>
      </c>
      <c r="L4171" s="17">
        <f>HYPERLINK("http://www.alphaintelligence.co", "www.alphaintelligence.co")</f>
      </c>
      <c r="M4171" s="17">
        <f>HYPERLINK("https://my.pitchbook.com?c=529296-04", "View Company Online")</f>
      </c>
    </row>
    <row r="4172">
      <c r="A4172" t="s" s="10">
        <v>21120</v>
      </c>
      <c r="B4172" t="s" s="10">
        <v>21121</v>
      </c>
      <c r="C4172" t="s" s="10">
        <v>60</v>
      </c>
      <c r="D4172" t="s" s="10">
        <v>432</v>
      </c>
      <c r="E4172" t="s" s="10">
        <v>367</v>
      </c>
      <c r="F4172" s="27">
        <v>44470</v>
      </c>
      <c r="G4172" t="s" s="10">
        <v>40</v>
      </c>
      <c r="H4172" t="s" s="42">
        <v>30</v>
      </c>
      <c r="I4172" t="s" s="42">
        <v>30</v>
      </c>
      <c r="J4172" t="s" s="10">
        <v>21122</v>
      </c>
      <c r="K4172" t="s" s="10">
        <v>21123</v>
      </c>
      <c r="L4172" s="16">
        <f>HYPERLINK("http://www.alphavistafs.com", "www.alphavistafs.com")</f>
      </c>
      <c r="M4172" s="16">
        <f>HYPERLINK("https://my.pitchbook.com?c=482450-77", "View Company Online")</f>
      </c>
    </row>
    <row r="4173">
      <c r="A4173" t="s" s="11">
        <v>21125</v>
      </c>
      <c r="B4173" t="s" s="11">
        <v>21126</v>
      </c>
      <c r="C4173" t="s" s="11">
        <v>60</v>
      </c>
      <c r="D4173" t="s" s="11">
        <v>192</v>
      </c>
      <c r="E4173" t="s" s="11">
        <v>373</v>
      </c>
      <c r="F4173" s="28">
        <v>45391</v>
      </c>
      <c r="G4173" t="s" s="11">
        <v>4267</v>
      </c>
      <c r="H4173" s="43">
        <v>0.1</v>
      </c>
      <c r="I4173" t="s" s="43">
        <v>30</v>
      </c>
      <c r="J4173" t="s" s="11">
        <v>21127</v>
      </c>
      <c r="K4173" t="s" s="11">
        <v>21128</v>
      </c>
      <c r="L4173" s="17">
        <f>HYPERLINK("http://www.classic.alphanso.ai", "www.classic.alphanso.ai")</f>
      </c>
      <c r="M4173" s="17">
        <f>HYPERLINK("https://my.pitchbook.com?c=503120-35", "View Company Online")</f>
      </c>
    </row>
    <row r="4174">
      <c r="A4174" t="s" s="10">
        <v>21130</v>
      </c>
      <c r="B4174" t="s" s="10">
        <v>21131</v>
      </c>
      <c r="C4174" t="s" s="10">
        <v>222</v>
      </c>
      <c r="D4174" t="s" s="10">
        <v>223</v>
      </c>
      <c r="E4174" t="s" s="10">
        <v>916</v>
      </c>
      <c r="F4174" s="27">
        <v>45917</v>
      </c>
      <c r="G4174" t="s" s="10">
        <v>40</v>
      </c>
      <c r="H4174" t="s" s="42">
        <v>30</v>
      </c>
      <c r="I4174" t="s" s="42">
        <v>30</v>
      </c>
      <c r="J4174" t="s" s="10">
        <v>21132</v>
      </c>
      <c r="K4174" t="s" s="10">
        <v>21133</v>
      </c>
      <c r="L4174" s="16">
        <f>HYPERLINK("http://www.alphastream.ai", "www.alphastream.ai")</f>
      </c>
      <c r="M4174" s="16">
        <f>HYPERLINK("https://my.pitchbook.com?c=438789-88", "View Company Online")</f>
      </c>
    </row>
    <row r="4175">
      <c r="A4175" t="s" s="11">
        <v>21135</v>
      </c>
      <c r="B4175" t="s" s="11">
        <v>21136</v>
      </c>
      <c r="C4175" t="s" s="11">
        <v>114</v>
      </c>
      <c r="D4175" t="s" s="11">
        <v>136</v>
      </c>
      <c r="E4175" t="s" s="11">
        <v>137</v>
      </c>
      <c r="F4175" t="s" s="28">
        <v>30</v>
      </c>
      <c r="G4175" t="s" s="11">
        <v>607</v>
      </c>
      <c r="H4175" t="s" s="43">
        <v>30</v>
      </c>
      <c r="I4175" t="s" s="43">
        <v>30</v>
      </c>
      <c r="J4175" t="s" s="11">
        <v>21137</v>
      </c>
      <c r="K4175" t="s" s="11">
        <v>21138</v>
      </c>
      <c r="L4175" s="17">
        <f>HYPERLINK("http://www.alprestamo.com", "www.alprestamo.com")</f>
      </c>
      <c r="M4175" s="17">
        <f>HYPERLINK("https://my.pitchbook.com?c=497849-50", "View Company Online")</f>
      </c>
    </row>
    <row r="4176">
      <c r="A4176" t="s" s="10">
        <v>21140</v>
      </c>
      <c r="B4176" t="s" s="10">
        <v>21141</v>
      </c>
      <c r="C4176" t="s" s="10">
        <v>164</v>
      </c>
      <c r="D4176" t="s" s="10">
        <v>206</v>
      </c>
      <c r="E4176" t="s" s="10">
        <v>629</v>
      </c>
      <c r="F4176" s="27">
        <v>45166</v>
      </c>
      <c r="G4176" t="s" s="10">
        <v>607</v>
      </c>
      <c r="H4176" s="42">
        <v>0.05</v>
      </c>
      <c r="I4176" t="s" s="42">
        <v>30</v>
      </c>
      <c r="J4176" t="s" s="10">
        <v>21142</v>
      </c>
      <c r="K4176" t="s" s="10">
        <v>21143</v>
      </c>
      <c r="L4176" s="16">
        <f>HYPERLINK("http://www.alpyne.tech", "www.alpyne.tech")</f>
      </c>
      <c r="M4176" s="16">
        <f>HYPERLINK("https://my.pitchbook.com?c=518846-32", "View Company Online")</f>
      </c>
    </row>
    <row r="4177">
      <c r="A4177" t="s" s="11">
        <v>21145</v>
      </c>
      <c r="B4177" t="s" s="11">
        <v>21146</v>
      </c>
      <c r="C4177" t="s" s="11">
        <v>114</v>
      </c>
      <c r="D4177" t="s" s="11">
        <v>136</v>
      </c>
      <c r="E4177" t="s" s="11">
        <v>137</v>
      </c>
      <c r="F4177" s="28">
        <v>45962</v>
      </c>
      <c r="G4177" t="s" s="11">
        <v>146</v>
      </c>
      <c r="H4177" t="s" s="43">
        <v>30</v>
      </c>
      <c r="I4177" t="s" s="43">
        <v>30</v>
      </c>
      <c r="J4177" t="s" s="11">
        <v>21147</v>
      </c>
      <c r="K4177" t="s" s="11">
        <v>21148</v>
      </c>
      <c r="L4177" s="17">
        <f>HYPERLINK("http://www.altlendingllc.com", "www.altlendingllc.com")</f>
      </c>
      <c r="M4177" s="17">
        <f>HYPERLINK("https://my.pitchbook.com?c=758699-65", "View Company Online")</f>
      </c>
    </row>
    <row r="4178">
      <c r="A4178" t="s" s="10">
        <v>21150</v>
      </c>
      <c r="B4178" t="s" s="10">
        <v>21151</v>
      </c>
      <c r="C4178" t="s" s="10">
        <v>37</v>
      </c>
      <c r="D4178" t="s" s="10">
        <v>38</v>
      </c>
      <c r="E4178" t="s" s="10">
        <v>414</v>
      </c>
      <c r="F4178" s="27">
        <v>45823</v>
      </c>
      <c r="G4178" t="s" s="10">
        <v>40</v>
      </c>
      <c r="H4178" s="42">
        <v>1.8</v>
      </c>
      <c r="I4178" t="s" s="42">
        <v>30</v>
      </c>
      <c r="J4178" t="s" s="10">
        <v>21152</v>
      </c>
      <c r="K4178" t="s" s="10">
        <v>21153</v>
      </c>
      <c r="L4178" s="16">
        <f>HYPERLINK("http://www.altbank.ai", "www.altbank.ai")</f>
      </c>
      <c r="M4178" s="16">
        <f>HYPERLINK("https://my.pitchbook.com?c=433645-66", "View Company Online")</f>
      </c>
    </row>
    <row r="4179">
      <c r="A4179" t="s" s="11">
        <v>21155</v>
      </c>
      <c r="B4179" t="s" s="11">
        <v>21156</v>
      </c>
      <c r="C4179" t="s" s="11">
        <v>128</v>
      </c>
      <c r="D4179" t="s" s="11">
        <v>276</v>
      </c>
      <c r="E4179" t="s" s="11">
        <v>137</v>
      </c>
      <c r="F4179" s="28">
        <v>44440</v>
      </c>
      <c r="G4179" t="s" s="11">
        <v>40</v>
      </c>
      <c r="H4179" s="43">
        <v>0.01</v>
      </c>
      <c r="I4179" t="s" s="43">
        <v>30</v>
      </c>
      <c r="J4179" t="s" s="11">
        <v>21157</v>
      </c>
      <c r="K4179" t="s" s="11">
        <v>21158</v>
      </c>
      <c r="L4179" s="17">
        <f>HYPERLINK("http://www.alternacard.com", "www.alternacard.com")</f>
      </c>
      <c r="M4179" s="17">
        <f>HYPERLINK("https://my.pitchbook.com?c=143108-65", "View Company Online")</f>
      </c>
    </row>
    <row r="4180">
      <c r="A4180" t="s" s="10">
        <v>21160</v>
      </c>
      <c r="B4180" t="s" s="10">
        <v>21161</v>
      </c>
      <c r="C4180" t="s" s="10">
        <v>60</v>
      </c>
      <c r="D4180" t="s" s="10">
        <v>192</v>
      </c>
      <c r="E4180" t="s" s="10">
        <v>1859</v>
      </c>
      <c r="F4180" s="27">
        <v>45108</v>
      </c>
      <c r="G4180" t="s" s="10">
        <v>146</v>
      </c>
      <c r="H4180" t="s" s="42">
        <v>30</v>
      </c>
      <c r="I4180" t="s" s="42">
        <v>30</v>
      </c>
      <c r="J4180" t="s" s="10">
        <v>21162</v>
      </c>
      <c r="K4180" t="s" s="10">
        <v>21163</v>
      </c>
      <c r="L4180" s="16">
        <f>HYPERLINK("http://www.altir.app", "www.altir.app")</f>
      </c>
      <c r="M4180" s="16">
        <f>HYPERLINK("https://my.pitchbook.com?c=530505-28", "View Company Online")</f>
      </c>
    </row>
    <row r="4181">
      <c r="A4181" t="s" s="11">
        <v>21165</v>
      </c>
      <c r="B4181" t="s" s="11">
        <v>21166</v>
      </c>
      <c r="C4181" t="s" s="11">
        <v>164</v>
      </c>
      <c r="D4181" t="s" s="11">
        <v>206</v>
      </c>
      <c r="E4181" t="s" s="11">
        <v>373</v>
      </c>
      <c r="F4181" s="28">
        <v>45764</v>
      </c>
      <c r="G4181" t="s" s="11">
        <v>146</v>
      </c>
      <c r="H4181" s="43">
        <v>2.59</v>
      </c>
      <c r="I4181" t="s" s="43">
        <v>30</v>
      </c>
      <c r="J4181" t="s" s="11">
        <v>21167</v>
      </c>
      <c r="K4181" t="s" s="11">
        <v>21168</v>
      </c>
      <c r="L4181" s="17">
        <f>HYPERLINK("http://www.altis.online", "www.altis.online")</f>
      </c>
      <c r="M4181" s="17">
        <f>HYPERLINK("https://my.pitchbook.com?c=641790-01", "View Company Online")</f>
      </c>
    </row>
    <row r="4182">
      <c r="A4182" t="s" s="10">
        <v>21170</v>
      </c>
      <c r="B4182" t="s" s="10">
        <v>21171</v>
      </c>
      <c r="C4182" t="s" s="10">
        <v>27</v>
      </c>
      <c r="D4182" t="s" s="10">
        <v>70</v>
      </c>
      <c r="E4182" t="s" s="10">
        <v>1859</v>
      </c>
      <c r="F4182" s="27">
        <v>43647</v>
      </c>
      <c r="G4182" t="s" s="10">
        <v>40</v>
      </c>
      <c r="H4182" s="42">
        <v>4.57</v>
      </c>
      <c r="I4182" t="s" s="42">
        <v>30</v>
      </c>
      <c r="J4182" t="s" s="10">
        <v>21172</v>
      </c>
      <c r="K4182" t="s" s="10">
        <v>21173</v>
      </c>
      <c r="L4182" s="16">
        <f>HYPERLINK("http://www.alto.id", "www.alto.id")</f>
      </c>
      <c r="M4182" s="16">
        <f>HYPERLINK("https://my.pitchbook.com?c=231848-74", "View Company Online")</f>
      </c>
    </row>
    <row r="4183">
      <c r="A4183" t="s" s="11">
        <v>21175</v>
      </c>
      <c r="B4183" t="s" s="11">
        <v>21176</v>
      </c>
      <c r="C4183" t="s" s="11">
        <v>164</v>
      </c>
      <c r="D4183" t="s" s="11">
        <v>206</v>
      </c>
      <c r="E4183" t="s" s="11">
        <v>29</v>
      </c>
      <c r="F4183" s="28">
        <v>45540</v>
      </c>
      <c r="G4183" t="s" s="11">
        <v>146</v>
      </c>
      <c r="H4183" s="43">
        <v>8.5</v>
      </c>
      <c r="I4183" t="s" s="43">
        <v>30</v>
      </c>
      <c r="J4183" t="s" s="11">
        <v>21177</v>
      </c>
      <c r="K4183" t="s" s="11">
        <v>21178</v>
      </c>
      <c r="L4183" s="17">
        <f>HYPERLINK("http://www.altscore.ai", "www.altscore.ai")</f>
      </c>
      <c r="M4183" s="17">
        <f>HYPERLINK("https://my.pitchbook.com?c=468948-79", "View Company Online")</f>
      </c>
    </row>
    <row r="4184">
      <c r="A4184" t="s" s="10">
        <v>21180</v>
      </c>
      <c r="B4184" t="s" s="10">
        <v>21181</v>
      </c>
      <c r="C4184" t="s" s="10">
        <v>128</v>
      </c>
      <c r="D4184" t="s" s="10">
        <v>276</v>
      </c>
      <c r="E4184" t="s" s="10">
        <v>253</v>
      </c>
      <c r="F4184" s="27">
        <v>45778</v>
      </c>
      <c r="G4184" t="s" s="10">
        <v>146</v>
      </c>
      <c r="H4184" t="s" s="42">
        <v>30</v>
      </c>
      <c r="I4184" t="s" s="42">
        <v>30</v>
      </c>
      <c r="J4184" t="s" s="10">
        <v>21182</v>
      </c>
      <c r="K4184" t="s" s="10">
        <v>21183</v>
      </c>
      <c r="L4184" s="16">
        <f>HYPERLINK("http://www.alunafi.com", "www.alunafi.com")</f>
      </c>
      <c r="M4184" s="16">
        <f>HYPERLINK("https://my.pitchbook.com?c=845215-75", "View Company Online")</f>
      </c>
    </row>
    <row r="4185">
      <c r="A4185" t="s" s="11">
        <v>21185</v>
      </c>
      <c r="B4185" t="s" s="11">
        <v>21186</v>
      </c>
      <c r="C4185" t="s" s="11">
        <v>114</v>
      </c>
      <c r="D4185" t="s" s="11">
        <v>136</v>
      </c>
      <c r="E4185" t="s" s="11">
        <v>137</v>
      </c>
      <c r="F4185" s="28">
        <v>45056</v>
      </c>
      <c r="G4185" t="s" s="11">
        <v>607</v>
      </c>
      <c r="H4185" t="s" s="43">
        <v>30</v>
      </c>
      <c r="I4185" t="s" s="43">
        <v>30</v>
      </c>
      <c r="J4185" t="s" s="11">
        <v>21187</v>
      </c>
      <c r="K4185" t="s" s="11">
        <v>21188</v>
      </c>
      <c r="L4185" s="17">
        <f>HYPERLINK("http://www.alvva.co", "www.alvva.co")</f>
      </c>
      <c r="M4185" s="17">
        <f>HYPERLINK("https://my.pitchbook.com?c=472039-48", "View Company Online")</f>
      </c>
    </row>
    <row r="4186">
      <c r="A4186" t="s" s="10">
        <v>21190</v>
      </c>
      <c r="B4186" t="s" s="10">
        <v>21191</v>
      </c>
      <c r="C4186" t="s" s="10">
        <v>60</v>
      </c>
      <c r="D4186" t="s" s="10">
        <v>246</v>
      </c>
      <c r="E4186" t="s" s="10">
        <v>193</v>
      </c>
      <c r="F4186" s="27">
        <v>44743</v>
      </c>
      <c r="G4186" t="s" s="10">
        <v>146</v>
      </c>
      <c r="H4186" s="42">
        <v>0.15</v>
      </c>
      <c r="I4186" t="s" s="42">
        <v>30</v>
      </c>
      <c r="J4186" t="s" s="10">
        <v>21192</v>
      </c>
      <c r="K4186" t="s" s="10">
        <v>21193</v>
      </c>
      <c r="L4186" s="16">
        <f>HYPERLINK("http://www.alwy.se", "www.alwy.se")</f>
      </c>
      <c r="M4186" s="16">
        <f>HYPERLINK("https://my.pitchbook.com?c=491074-93", "View Company Online")</f>
      </c>
    </row>
    <row r="4187">
      <c r="A4187" t="s" s="11">
        <v>21195</v>
      </c>
      <c r="B4187" t="s" s="11">
        <v>21196</v>
      </c>
      <c r="C4187" t="s" s="11">
        <v>60</v>
      </c>
      <c r="D4187" t="s" s="11">
        <v>246</v>
      </c>
      <c r="E4187" t="s" s="11">
        <v>145</v>
      </c>
      <c r="F4187" s="28">
        <v>46164</v>
      </c>
      <c r="G4187" t="s" s="11">
        <v>40</v>
      </c>
      <c r="H4187" s="43">
        <v>0.11</v>
      </c>
      <c r="I4187" t="s" s="43">
        <v>30</v>
      </c>
      <c r="J4187" t="s" s="11">
        <v>21197</v>
      </c>
      <c r="K4187" t="s" s="11">
        <v>21198</v>
      </c>
      <c r="L4187" s="17">
        <f>HYPERLINK("http://www.amcryptoteam.com", "www.amcryptoteam.com")</f>
      </c>
      <c r="M4187" s="17">
        <f>HYPERLINK("https://my.pitchbook.com?c=502873-30", "View Company Online")</f>
      </c>
    </row>
    <row r="4188">
      <c r="A4188" t="s" s="10">
        <v>21200</v>
      </c>
      <c r="B4188" t="s" s="10">
        <v>21201</v>
      </c>
      <c r="C4188" t="s" s="10">
        <v>60</v>
      </c>
      <c r="D4188" t="s" s="10">
        <v>246</v>
      </c>
      <c r="E4188" t="s" s="10">
        <v>253</v>
      </c>
      <c r="F4188" s="27">
        <v>44866</v>
      </c>
      <c r="G4188" t="s" s="10">
        <v>146</v>
      </c>
      <c r="H4188" t="s" s="42">
        <v>30</v>
      </c>
      <c r="I4188" t="s" s="42">
        <v>30</v>
      </c>
      <c r="J4188" t="s" s="10">
        <v>21202</v>
      </c>
      <c r="K4188" t="s" s="10">
        <v>21203</v>
      </c>
      <c r="L4188" s="16">
        <f>HYPERLINK("http://www.amalinvest.com", "www.amalinvest.com")</f>
      </c>
      <c r="M4188" s="16">
        <f>HYPERLINK("https://my.pitchbook.com?c=494568-37", "View Company Online")</f>
      </c>
    </row>
    <row r="4189">
      <c r="A4189" t="s" s="11">
        <v>21205</v>
      </c>
      <c r="B4189" t="s" s="11">
        <v>21206</v>
      </c>
      <c r="C4189" t="s" s="11">
        <v>114</v>
      </c>
      <c r="D4189" t="s" s="11">
        <v>136</v>
      </c>
      <c r="E4189" t="s" s="11">
        <v>3433</v>
      </c>
      <c r="F4189" t="s" s="28">
        <v>30</v>
      </c>
      <c r="G4189" t="s" s="11">
        <v>4267</v>
      </c>
      <c r="H4189" t="s" s="43">
        <v>30</v>
      </c>
      <c r="I4189" t="s" s="43">
        <v>30</v>
      </c>
      <c r="J4189" t="s" s="11">
        <v>21207</v>
      </c>
      <c r="K4189" t="s" s="11">
        <v>21208</v>
      </c>
      <c r="L4189" s="17">
        <f>HYPERLINK("http://amalan.com", "amalan.com")</f>
      </c>
      <c r="M4189" s="17">
        <f>HYPERLINK("https://my.pitchbook.com?c=264736-36", "View Company Online")</f>
      </c>
    </row>
    <row r="4190">
      <c r="A4190" t="s" s="10">
        <v>21210</v>
      </c>
      <c r="B4190" t="s" s="10">
        <v>21211</v>
      </c>
      <c r="C4190" t="s" s="10">
        <v>27</v>
      </c>
      <c r="D4190" t="s" s="10">
        <v>28</v>
      </c>
      <c r="E4190" t="s" s="10">
        <v>137</v>
      </c>
      <c r="F4190" s="27">
        <v>45658</v>
      </c>
      <c r="G4190" t="s" s="10">
        <v>40</v>
      </c>
      <c r="H4190" t="s" s="42">
        <v>30</v>
      </c>
      <c r="I4190" t="s" s="42">
        <v>30</v>
      </c>
      <c r="J4190" t="s" s="10">
        <v>21212</v>
      </c>
      <c r="K4190" t="s" s="10">
        <v>21213</v>
      </c>
      <c r="L4190" s="16">
        <f>HYPERLINK("http://www.aman.eg", "www.aman.eg")</f>
      </c>
      <c r="M4190" s="16">
        <f>HYPERLINK("https://my.pitchbook.com?c=546691-24", "View Company Online")</f>
      </c>
    </row>
    <row r="4191">
      <c r="A4191" t="s" s="11">
        <v>21215</v>
      </c>
      <c r="B4191" t="s" s="11">
        <v>21216</v>
      </c>
      <c r="C4191" t="s" s="11">
        <v>128</v>
      </c>
      <c r="D4191" t="s" s="11">
        <v>129</v>
      </c>
      <c r="E4191" t="s" s="11">
        <v>414</v>
      </c>
      <c r="F4191" t="s" s="28">
        <v>30</v>
      </c>
      <c r="G4191" t="s" s="11">
        <v>4267</v>
      </c>
      <c r="H4191" s="43">
        <v>5</v>
      </c>
      <c r="I4191" t="s" s="43">
        <v>30</v>
      </c>
      <c r="J4191" t="s" s="11">
        <v>21217</v>
      </c>
      <c r="K4191" t="s" s="11">
        <v>21218</v>
      </c>
      <c r="L4191" s="17">
        <f>HYPERLINK("http://www.amararewards.com", "www.amararewards.com")</f>
      </c>
      <c r="M4191" s="17">
        <f>HYPERLINK("https://my.pitchbook.com?c=1167530-32", "View Company Online")</f>
      </c>
    </row>
    <row r="4192">
      <c r="A4192" t="s" s="10">
        <v>21220</v>
      </c>
      <c r="B4192" t="s" s="10">
        <v>21221</v>
      </c>
      <c r="C4192" t="s" s="10">
        <v>27</v>
      </c>
      <c r="D4192" t="s" s="10">
        <v>28</v>
      </c>
      <c r="E4192" t="s" s="10">
        <v>259</v>
      </c>
      <c r="F4192" s="27">
        <v>44562</v>
      </c>
      <c r="G4192" t="s" s="10">
        <v>40</v>
      </c>
      <c r="H4192" s="42">
        <v>10</v>
      </c>
      <c r="I4192" t="s" s="42">
        <v>30</v>
      </c>
      <c r="J4192" t="s" s="10">
        <v>21222</v>
      </c>
      <c r="K4192" t="s" s="10">
        <v>21223</v>
      </c>
      <c r="L4192" s="16">
        <f>HYPERLINK("http://www.amaryllispay.com", "www.amaryllispay.com")</f>
      </c>
      <c r="M4192" s="16">
        <f>HYPERLINK("https://my.pitchbook.com?c=155920-78", "View Company Online")</f>
      </c>
    </row>
    <row r="4193">
      <c r="A4193" t="s" s="11">
        <v>21225</v>
      </c>
      <c r="B4193" t="s" s="11">
        <v>21226</v>
      </c>
      <c r="C4193" t="s" s="11">
        <v>222</v>
      </c>
      <c r="D4193" t="s" s="11">
        <v>235</v>
      </c>
      <c r="E4193" t="s" s="11">
        <v>253</v>
      </c>
      <c r="F4193" s="28">
        <v>45689</v>
      </c>
      <c r="G4193" t="s" s="11">
        <v>146</v>
      </c>
      <c r="H4193" t="s" s="43">
        <v>30</v>
      </c>
      <c r="I4193" t="s" s="43">
        <v>30</v>
      </c>
      <c r="J4193" t="s" s="11">
        <v>21227</v>
      </c>
      <c r="K4193" t="s" s="11">
        <v>21228</v>
      </c>
      <c r="L4193" s="17">
        <f>HYPERLINK("http://www.americanoperator.com", "www.americanoperator.com")</f>
      </c>
      <c r="M4193" s="17">
        <f>HYPERLINK("https://my.pitchbook.com?c=607867-84", "View Company Online")</f>
      </c>
    </row>
    <row r="4194">
      <c r="A4194" t="s" s="10">
        <v>21230</v>
      </c>
      <c r="B4194" t="s" s="10">
        <v>21231</v>
      </c>
      <c r="C4194" t="s" s="10">
        <v>172</v>
      </c>
      <c r="D4194" t="s" s="10">
        <v>173</v>
      </c>
      <c r="E4194" t="s" s="10">
        <v>3277</v>
      </c>
      <c r="F4194" s="27">
        <v>45567</v>
      </c>
      <c r="G4194" t="s" s="10">
        <v>4267</v>
      </c>
      <c r="H4194" s="42">
        <v>2.61</v>
      </c>
      <c r="I4194" t="s" s="42">
        <v>30</v>
      </c>
      <c r="J4194" t="s" s="10">
        <v>21232</v>
      </c>
      <c r="K4194" t="s" s="10">
        <v>21233</v>
      </c>
      <c r="L4194" s="16">
        <f>HYPERLINK("http://www.amlyze.com", "www.amlyze.com")</f>
      </c>
      <c r="M4194" s="16">
        <f>HYPERLINK("https://my.pitchbook.com?c=517911-67", "View Company Online")</f>
      </c>
    </row>
    <row r="4195">
      <c r="A4195" t="s" s="11">
        <v>21235</v>
      </c>
      <c r="B4195" t="s" s="11">
        <v>21236</v>
      </c>
      <c r="C4195" t="s" s="11">
        <v>114</v>
      </c>
      <c r="D4195" t="s" s="11">
        <v>136</v>
      </c>
      <c r="E4195" t="s" s="11">
        <v>137</v>
      </c>
      <c r="F4195" s="28">
        <v>46148</v>
      </c>
      <c r="G4195" t="s" s="11">
        <v>2051</v>
      </c>
      <c r="H4195" t="s" s="43">
        <v>30</v>
      </c>
      <c r="I4195" t="s" s="43">
        <v>30</v>
      </c>
      <c r="J4195" t="s" s="11">
        <v>21237</v>
      </c>
      <c r="K4195" t="s" s="11">
        <v>30</v>
      </c>
      <c r="L4195" s="17">
        <f>HYPERLINK("http://www.amwal.com.eg", "www.amwal.com.eg")</f>
      </c>
      <c r="M4195" s="17">
        <f>HYPERLINK("https://my.pitchbook.com?c=490782-52", "View Company Online")</f>
      </c>
    </row>
    <row r="4196">
      <c r="A4196" t="s" s="10">
        <v>21239</v>
      </c>
      <c r="B4196" t="s" s="10">
        <v>21240</v>
      </c>
      <c r="C4196" t="s" s="10">
        <v>27</v>
      </c>
      <c r="D4196" t="s" s="10">
        <v>28</v>
      </c>
      <c r="E4196" t="s" s="10">
        <v>21241</v>
      </c>
      <c r="F4196" s="27">
        <v>45774</v>
      </c>
      <c r="G4196" t="s" s="10">
        <v>146</v>
      </c>
      <c r="H4196" t="s" s="42">
        <v>30</v>
      </c>
      <c r="I4196" t="s" s="42">
        <v>30</v>
      </c>
      <c r="J4196" t="s" s="10">
        <v>21242</v>
      </c>
      <c r="K4196" t="s" s="10">
        <v>21243</v>
      </c>
      <c r="L4196" s="16">
        <f>HYPERLINK("http://www.amwal.tech", "www.amwal.tech")</f>
      </c>
      <c r="M4196" s="16">
        <f>HYPERLINK("https://my.pitchbook.com?c=496695-70", "View Company Online")</f>
      </c>
    </row>
    <row r="4197">
      <c r="A4197" t="s" s="11">
        <v>21245</v>
      </c>
      <c r="B4197" t="s" s="11">
        <v>21246</v>
      </c>
      <c r="C4197" t="s" s="11">
        <v>27</v>
      </c>
      <c r="D4197" t="s" s="11">
        <v>28</v>
      </c>
      <c r="E4197" t="s" s="11">
        <v>137</v>
      </c>
      <c r="F4197" s="28">
        <v>45292</v>
      </c>
      <c r="G4197" t="s" s="11">
        <v>607</v>
      </c>
      <c r="H4197" t="s" s="43">
        <v>30</v>
      </c>
      <c r="I4197" t="s" s="43">
        <v>30</v>
      </c>
      <c r="J4197" t="s" s="11">
        <v>21247</v>
      </c>
      <c r="K4197" t="s" s="11">
        <v>21248</v>
      </c>
      <c r="L4197" s="17">
        <f>HYPERLINK("http://www.anansii.com", "www.anansii.com")</f>
      </c>
      <c r="M4197" s="17">
        <f>HYPERLINK("https://my.pitchbook.com?c=538232-05", "View Company Online")</f>
      </c>
    </row>
    <row r="4198">
      <c r="A4198" t="s" s="10">
        <v>21250</v>
      </c>
      <c r="B4198" t="s" s="10">
        <v>21251</v>
      </c>
      <c r="C4198" t="s" s="10">
        <v>222</v>
      </c>
      <c r="D4198" t="s" s="10">
        <v>223</v>
      </c>
      <c r="E4198" t="s" s="10">
        <v>634</v>
      </c>
      <c r="F4198" t="s" s="27">
        <v>30</v>
      </c>
      <c r="G4198" t="s" s="10">
        <v>48</v>
      </c>
      <c r="H4198" t="s" s="42">
        <v>30</v>
      </c>
      <c r="I4198" t="s" s="42">
        <v>30</v>
      </c>
      <c r="J4198" t="s" s="10">
        <v>21252</v>
      </c>
      <c r="K4198" t="s" s="10">
        <v>21253</v>
      </c>
      <c r="L4198" s="16">
        <f>HYPERLINK("http://www.anastrat.com", "www.anastrat.com")</f>
      </c>
      <c r="M4198" s="16">
        <f>HYPERLINK("https://my.pitchbook.com?c=495053-38", "View Company Online")</f>
      </c>
    </row>
    <row r="4199">
      <c r="A4199" t="s" s="11">
        <v>21255</v>
      </c>
      <c r="B4199" t="s" s="11">
        <v>21256</v>
      </c>
      <c r="C4199" t="s" s="11">
        <v>46</v>
      </c>
      <c r="D4199" t="s" s="11">
        <v>397</v>
      </c>
      <c r="E4199" t="s" s="11">
        <v>137</v>
      </c>
      <c r="F4199" s="28">
        <v>45468</v>
      </c>
      <c r="G4199" t="s" s="11">
        <v>4267</v>
      </c>
      <c r="H4199" s="43">
        <v>8</v>
      </c>
      <c r="I4199" t="s" s="43">
        <v>30</v>
      </c>
      <c r="J4199" t="s" s="11">
        <v>21257</v>
      </c>
      <c r="K4199" t="s" s="11">
        <v>21258</v>
      </c>
      <c r="L4199" s="17">
        <f>HYPERLINK("http://www.anchorzero.com", "www.anchorzero.com")</f>
      </c>
      <c r="M4199" s="17">
        <f>HYPERLINK("https://my.pitchbook.com?c=533313-01", "View Company Online")</f>
      </c>
    </row>
    <row r="4200">
      <c r="A4200" t="s" s="10">
        <v>21260</v>
      </c>
      <c r="B4200" t="s" s="10">
        <v>21261</v>
      </c>
      <c r="C4200" t="s" s="10">
        <v>114</v>
      </c>
      <c r="D4200" t="s" s="10">
        <v>136</v>
      </c>
      <c r="E4200" t="s" s="10">
        <v>270</v>
      </c>
      <c r="F4200" s="27">
        <v>46156</v>
      </c>
      <c r="G4200" t="s" s="10">
        <v>391</v>
      </c>
      <c r="H4200" t="s" s="42">
        <v>30</v>
      </c>
      <c r="I4200" t="s" s="42">
        <v>30</v>
      </c>
      <c r="J4200" t="s" s="10">
        <v>21262</v>
      </c>
      <c r="K4200" t="s" s="10">
        <v>30</v>
      </c>
      <c r="L4200" s="16">
        <f>HYPERLINK("http://www.andeno.com", "www.andeno.com")</f>
      </c>
      <c r="M4200" s="16">
        <f>HYPERLINK("https://my.pitchbook.com?c=469896-04", "View Company Online")</f>
      </c>
    </row>
    <row r="4201">
      <c r="A4201" t="s" s="11">
        <v>21264</v>
      </c>
      <c r="B4201" t="s" s="11">
        <v>21265</v>
      </c>
      <c r="C4201" t="s" s="11">
        <v>46</v>
      </c>
      <c r="D4201" t="s" s="11">
        <v>397</v>
      </c>
      <c r="E4201" t="s" s="11">
        <v>373</v>
      </c>
      <c r="F4201" s="28">
        <v>46190</v>
      </c>
      <c r="G4201" t="s" s="11">
        <v>146</v>
      </c>
      <c r="H4201" s="43">
        <v>37</v>
      </c>
      <c r="I4201" t="s" s="43">
        <v>30</v>
      </c>
      <c r="J4201" t="s" s="11">
        <v>21266</v>
      </c>
      <c r="K4201" t="s" s="11">
        <v>21267</v>
      </c>
      <c r="L4201" s="17">
        <f>HYPERLINK("http://www.andera.ai", "www.andera.ai")</f>
      </c>
      <c r="M4201" s="17">
        <f>HYPERLINK("https://my.pitchbook.com?c=711470-26", "View Company Online")</f>
      </c>
    </row>
    <row r="4202">
      <c r="A4202" t="s" s="10">
        <v>21269</v>
      </c>
      <c r="B4202" t="s" s="10">
        <v>21270</v>
      </c>
      <c r="C4202" t="s" s="10">
        <v>222</v>
      </c>
      <c r="D4202" t="s" s="10">
        <v>235</v>
      </c>
      <c r="E4202" t="s" s="10">
        <v>137</v>
      </c>
      <c r="F4202" s="27">
        <v>44936</v>
      </c>
      <c r="G4202" t="s" s="10">
        <v>4267</v>
      </c>
      <c r="H4202" t="s" s="42">
        <v>30</v>
      </c>
      <c r="I4202" t="s" s="42">
        <v>30</v>
      </c>
      <c r="J4202" t="s" s="10">
        <v>21271</v>
      </c>
      <c r="K4202" t="s" s="10">
        <v>21272</v>
      </c>
      <c r="L4202" s="16">
        <f>HYPERLINK("http://www.angelounge.com", "www.angelounge.com")</f>
      </c>
      <c r="M4202" s="16">
        <f>HYPERLINK("https://my.pitchbook.com?c=518062-24", "View Company Online")</f>
      </c>
    </row>
    <row r="4203">
      <c r="A4203" t="s" s="11">
        <v>21274</v>
      </c>
      <c r="B4203" t="s" s="11">
        <v>21275</v>
      </c>
      <c r="C4203" t="s" s="11">
        <v>46</v>
      </c>
      <c r="D4203" t="s" s="11">
        <v>47</v>
      </c>
      <c r="E4203" t="s" s="11">
        <v>373</v>
      </c>
      <c r="F4203" s="28">
        <v>45832</v>
      </c>
      <c r="G4203" t="s" s="11">
        <v>4267</v>
      </c>
      <c r="H4203" s="43">
        <v>1.3</v>
      </c>
      <c r="I4203" t="s" s="43">
        <v>30</v>
      </c>
      <c r="J4203" t="s" s="11">
        <v>21276</v>
      </c>
      <c r="K4203" t="s" s="11">
        <v>21277</v>
      </c>
      <c r="L4203" s="17">
        <f>HYPERLINK("http://www.ankor.app", "www.ankor.app")</f>
      </c>
      <c r="M4203" s="17">
        <f>HYPERLINK("https://my.pitchbook.com?c=546654-79", "View Company Online")</f>
      </c>
    </row>
    <row r="4204">
      <c r="A4204" t="s" s="10">
        <v>21279</v>
      </c>
      <c r="B4204" t="s" s="10">
        <v>21280</v>
      </c>
      <c r="C4204" t="s" s="10">
        <v>114</v>
      </c>
      <c r="D4204" t="s" s="10">
        <v>852</v>
      </c>
      <c r="E4204" t="s" s="10">
        <v>30</v>
      </c>
      <c r="F4204" s="27">
        <v>45671</v>
      </c>
      <c r="G4204" t="s" s="10">
        <v>40</v>
      </c>
      <c r="H4204" s="42">
        <v>4</v>
      </c>
      <c r="I4204" t="s" s="42">
        <v>30</v>
      </c>
      <c r="J4204" t="s" s="10">
        <v>21281</v>
      </c>
      <c r="K4204" t="s" s="10">
        <v>21282</v>
      </c>
      <c r="L4204" t="s" s="10">
        <v>30</v>
      </c>
      <c r="M4204" s="16">
        <f>HYPERLINK("https://my.pitchbook.com?c=732114-91", "View Company Online")</f>
      </c>
    </row>
    <row r="4205">
      <c r="A4205" t="s" s="11">
        <v>21283</v>
      </c>
      <c r="B4205" t="s" s="11">
        <v>21284</v>
      </c>
      <c r="C4205" t="s" s="11">
        <v>164</v>
      </c>
      <c r="D4205" t="s" s="11">
        <v>206</v>
      </c>
      <c r="E4205" t="s" s="11">
        <v>21285</v>
      </c>
      <c r="F4205" s="28">
        <v>45813</v>
      </c>
      <c r="G4205" t="s" s="11">
        <v>146</v>
      </c>
      <c r="H4205" s="43">
        <v>4</v>
      </c>
      <c r="I4205" t="s" s="43">
        <v>30</v>
      </c>
      <c r="J4205" t="s" s="11">
        <v>21286</v>
      </c>
      <c r="K4205" t="s" s="11">
        <v>21287</v>
      </c>
      <c r="L4205" s="17">
        <f>HYPERLINK("http://outcome.com", "outcome.com")</f>
      </c>
      <c r="M4205" s="17">
        <f>HYPERLINK("https://my.pitchbook.com?c=533453-77", "View Company Online")</f>
      </c>
    </row>
    <row r="4206">
      <c r="A4206" t="s" s="10">
        <v>21289</v>
      </c>
      <c r="B4206" t="s" s="10">
        <v>21290</v>
      </c>
      <c r="C4206" t="s" s="10">
        <v>46</v>
      </c>
      <c r="D4206" t="s" s="10">
        <v>397</v>
      </c>
      <c r="E4206" t="s" s="10">
        <v>253</v>
      </c>
      <c r="F4206" s="27">
        <v>45854</v>
      </c>
      <c r="G4206" t="s" s="10">
        <v>4267</v>
      </c>
      <c r="H4206" s="42">
        <v>1.17</v>
      </c>
      <c r="I4206" t="s" s="42">
        <v>30</v>
      </c>
      <c r="J4206" t="s" s="10">
        <v>21291</v>
      </c>
      <c r="K4206" t="s" s="10">
        <v>21292</v>
      </c>
      <c r="L4206" s="16">
        <f>HYPERLINK("http://www.anytax.io", "www.anytax.io")</f>
      </c>
      <c r="M4206" s="16">
        <f>HYPERLINK("https://my.pitchbook.com?c=897452-74", "View Company Online")</f>
      </c>
    </row>
    <row r="4207">
      <c r="A4207" t="s" s="11">
        <v>21294</v>
      </c>
      <c r="B4207" t="s" s="11">
        <v>21295</v>
      </c>
      <c r="C4207" t="s" s="11">
        <v>27</v>
      </c>
      <c r="D4207" t="s" s="11">
        <v>70</v>
      </c>
      <c r="E4207" t="s" s="11">
        <v>108</v>
      </c>
      <c r="F4207" s="28">
        <v>46082</v>
      </c>
      <c r="G4207" t="s" s="11">
        <v>146</v>
      </c>
      <c r="H4207" t="s" s="43">
        <v>30</v>
      </c>
      <c r="I4207" t="s" s="43">
        <v>30</v>
      </c>
      <c r="J4207" t="s" s="11">
        <v>21296</v>
      </c>
      <c r="K4207" t="s" s="11">
        <v>21297</v>
      </c>
      <c r="L4207" s="17">
        <f>HYPERLINK("http://www.anyway.sh", "www.anyway.sh")</f>
      </c>
      <c r="M4207" s="17">
        <f>HYPERLINK("https://my.pitchbook.com?c=1326816-19", "View Company Online")</f>
      </c>
    </row>
    <row r="4208">
      <c r="A4208" t="s" s="10">
        <v>21299</v>
      </c>
      <c r="B4208" t="s" s="10">
        <v>21300</v>
      </c>
      <c r="C4208" t="s" s="10">
        <v>60</v>
      </c>
      <c r="D4208" t="s" s="10">
        <v>727</v>
      </c>
      <c r="E4208" t="s" s="10">
        <v>137</v>
      </c>
      <c r="F4208" s="27">
        <v>45748</v>
      </c>
      <c r="G4208" t="s" s="10">
        <v>146</v>
      </c>
      <c r="H4208" t="s" s="42">
        <v>30</v>
      </c>
      <c r="I4208" t="s" s="42">
        <v>30</v>
      </c>
      <c r="J4208" t="s" s="10">
        <v>21301</v>
      </c>
      <c r="K4208" t="s" s="10">
        <v>21302</v>
      </c>
      <c r="L4208" s="16">
        <f>HYPERLINK("http://www.aparta.com", "www.aparta.com")</f>
      </c>
      <c r="M4208" s="16">
        <f>HYPERLINK("https://my.pitchbook.com?c=741584-26", "View Company Online")</f>
      </c>
    </row>
    <row r="4209">
      <c r="A4209" t="s" s="11">
        <v>21304</v>
      </c>
      <c r="B4209" t="s" s="11">
        <v>21305</v>
      </c>
      <c r="C4209" t="s" s="11">
        <v>164</v>
      </c>
      <c r="D4209" t="s" s="11">
        <v>206</v>
      </c>
      <c r="E4209" t="s" s="11">
        <v>1800</v>
      </c>
      <c r="F4209" s="28">
        <v>44971</v>
      </c>
      <c r="G4209" t="s" s="11">
        <v>607</v>
      </c>
      <c r="H4209" t="s" s="43">
        <v>30</v>
      </c>
      <c r="I4209" t="s" s="43">
        <v>30</v>
      </c>
      <c r="J4209" t="s" s="11">
        <v>21306</v>
      </c>
      <c r="K4209" t="s" s="11">
        <v>21307</v>
      </c>
      <c r="L4209" s="17">
        <f>HYPERLINK("http://www.apaya.io", "www.apaya.io")</f>
      </c>
      <c r="M4209" s="17">
        <f>HYPERLINK("https://my.pitchbook.com?c=491519-53", "View Company Online")</f>
      </c>
    </row>
    <row r="4210">
      <c r="A4210" t="s" s="10">
        <v>21309</v>
      </c>
      <c r="B4210" t="s" s="10">
        <v>21310</v>
      </c>
      <c r="C4210" t="s" s="10">
        <v>164</v>
      </c>
      <c r="D4210" t="s" s="10">
        <v>206</v>
      </c>
      <c r="E4210" t="s" s="10">
        <v>821</v>
      </c>
      <c r="F4210" s="27">
        <v>44476</v>
      </c>
      <c r="G4210" t="s" s="10">
        <v>40</v>
      </c>
      <c r="H4210" s="42">
        <v>15.61</v>
      </c>
      <c r="I4210" t="s" s="42">
        <v>30</v>
      </c>
      <c r="J4210" t="s" s="10">
        <v>21311</v>
      </c>
      <c r="K4210" t="s" s="10">
        <v>21312</v>
      </c>
      <c r="L4210" s="16">
        <f>HYPERLINK("http://www.aper.com", "www.aper.com")</f>
      </c>
      <c r="M4210" s="16">
        <f>HYPERLINK("https://my.pitchbook.com?c=462671-47", "View Company Online")</f>
      </c>
    </row>
    <row r="4211">
      <c r="A4211" t="s" s="11">
        <v>21314</v>
      </c>
      <c r="B4211" t="s" s="11">
        <v>21315</v>
      </c>
      <c r="C4211" t="s" s="11">
        <v>60</v>
      </c>
      <c r="D4211" t="s" s="11">
        <v>246</v>
      </c>
      <c r="E4211" t="s" s="11">
        <v>253</v>
      </c>
      <c r="F4211" s="28">
        <v>44581</v>
      </c>
      <c r="G4211" t="s" s="11">
        <v>4267</v>
      </c>
      <c r="H4211" s="43">
        <v>4</v>
      </c>
      <c r="I4211" t="s" s="43">
        <v>30</v>
      </c>
      <c r="J4211" t="s" s="11">
        <v>21316</v>
      </c>
      <c r="K4211" t="s" s="11">
        <v>21317</v>
      </c>
      <c r="L4211" s="17">
        <f>HYPERLINK("http://www.apexedge.com", "www.apexedge.com")</f>
      </c>
      <c r="M4211" s="17">
        <f>HYPERLINK("https://my.pitchbook.com?c=490338-10", "View Company Online")</f>
      </c>
    </row>
    <row r="4212">
      <c r="A4212" t="s" s="10">
        <v>21319</v>
      </c>
      <c r="B4212" t="s" s="10">
        <v>21320</v>
      </c>
      <c r="C4212" t="s" s="10">
        <v>164</v>
      </c>
      <c r="D4212" t="s" s="10">
        <v>206</v>
      </c>
      <c r="E4212" t="s" s="10">
        <v>137</v>
      </c>
      <c r="F4212" t="s" s="27">
        <v>30</v>
      </c>
      <c r="G4212" t="s" s="10">
        <v>40</v>
      </c>
      <c r="H4212" s="42">
        <v>5</v>
      </c>
      <c r="I4212" t="s" s="42">
        <v>30</v>
      </c>
      <c r="J4212" t="s" s="10">
        <v>21321</v>
      </c>
      <c r="K4212" t="s" s="10">
        <v>21322</v>
      </c>
      <c r="L4212" s="16">
        <f>HYPERLINK("http://www.apibank.club", "www.apibank.club")</f>
      </c>
      <c r="M4212" s="16">
        <f>HYPERLINK("https://my.pitchbook.com?c=453378-79", "View Company Online")</f>
      </c>
    </row>
    <row r="4213">
      <c r="A4213" t="s" s="11">
        <v>21324</v>
      </c>
      <c r="B4213" t="s" s="11">
        <v>21325</v>
      </c>
      <c r="C4213" t="s" s="11">
        <v>37</v>
      </c>
      <c r="D4213" t="s" s="11">
        <v>304</v>
      </c>
      <c r="E4213" t="s" s="11">
        <v>3138</v>
      </c>
      <c r="F4213" s="28">
        <v>46105</v>
      </c>
      <c r="G4213" t="s" s="11">
        <v>31</v>
      </c>
      <c r="H4213" t="s" s="43">
        <v>30</v>
      </c>
      <c r="I4213" t="s" s="43">
        <v>30</v>
      </c>
      <c r="J4213" t="s" s="11">
        <v>21326</v>
      </c>
      <c r="K4213" t="s" s="11">
        <v>21327</v>
      </c>
      <c r="L4213" s="17">
        <f>HYPERLINK("http://www.aplazo.mx", "www.aplazo.mx")</f>
      </c>
      <c r="M4213" s="17">
        <f>HYPERLINK("https://my.pitchbook.com?c=461803-87", "View Company Online")</f>
      </c>
    </row>
    <row r="4214">
      <c r="A4214" t="s" s="10">
        <v>21329</v>
      </c>
      <c r="B4214" t="s" s="10">
        <v>21330</v>
      </c>
      <c r="C4214" t="s" s="10">
        <v>164</v>
      </c>
      <c r="D4214" t="s" s="10">
        <v>165</v>
      </c>
      <c r="E4214" t="s" s="10">
        <v>634</v>
      </c>
      <c r="F4214" t="s" s="27">
        <v>30</v>
      </c>
      <c r="G4214" t="s" s="10">
        <v>48</v>
      </c>
      <c r="H4214" t="s" s="42">
        <v>30</v>
      </c>
      <c r="I4214" t="s" s="42">
        <v>30</v>
      </c>
      <c r="J4214" t="s" s="10">
        <v>21331</v>
      </c>
      <c r="K4214" t="s" s="10">
        <v>21332</v>
      </c>
      <c r="L4214" s="16">
        <f>HYPERLINK("http://www.apoidea.ai", "www.apoidea.ai")</f>
      </c>
      <c r="M4214" s="16">
        <f>HYPERLINK("https://my.pitchbook.com?c=442346-68", "View Company Online")</f>
      </c>
    </row>
    <row r="4215">
      <c r="A4215" t="s" s="11">
        <v>21334</v>
      </c>
      <c r="B4215" t="s" s="11">
        <v>21335</v>
      </c>
      <c r="C4215" t="s" s="11">
        <v>46</v>
      </c>
      <c r="D4215" t="s" s="11">
        <v>47</v>
      </c>
      <c r="E4215" t="s" s="11">
        <v>253</v>
      </c>
      <c r="F4215" s="28">
        <v>45597</v>
      </c>
      <c r="G4215" t="s" s="11">
        <v>40</v>
      </c>
      <c r="H4215" s="43">
        <v>13.04</v>
      </c>
      <c r="I4215" t="s" s="43">
        <v>30</v>
      </c>
      <c r="J4215" t="s" s="11">
        <v>21336</v>
      </c>
      <c r="K4215" t="s" s="11">
        <v>21337</v>
      </c>
      <c r="L4215" s="17">
        <f>HYPERLINK("http://www.approvalmax.com", "www.approvalmax.com")</f>
      </c>
      <c r="M4215" s="17">
        <f>HYPERLINK("https://my.pitchbook.com?c=481175-92", "View Company Online")</f>
      </c>
    </row>
    <row r="4216">
      <c r="A4216" t="s" s="10">
        <v>21339</v>
      </c>
      <c r="B4216" t="s" s="10">
        <v>21340</v>
      </c>
      <c r="C4216" t="s" s="10">
        <v>27</v>
      </c>
      <c r="D4216" t="s" s="10">
        <v>28</v>
      </c>
      <c r="E4216" t="s" s="10">
        <v>21341</v>
      </c>
      <c r="F4216" s="27">
        <v>44349</v>
      </c>
      <c r="G4216" t="s" s="10">
        <v>40</v>
      </c>
      <c r="H4216" s="42">
        <v>1</v>
      </c>
      <c r="I4216" t="s" s="42">
        <v>30</v>
      </c>
      <c r="J4216" t="s" s="10">
        <v>21342</v>
      </c>
      <c r="K4216" t="s" s="10">
        <v>21343</v>
      </c>
      <c r="L4216" s="16">
        <f>HYPERLINK("http://www.appsnmobilesolutions.com", "www.appsnmobilesolutions.com")</f>
      </c>
      <c r="M4216" s="16">
        <f>HYPERLINK("https://my.pitchbook.com?c=467099-74", "View Company Online")</f>
      </c>
    </row>
    <row r="4217">
      <c r="A4217" t="s" s="11">
        <v>21345</v>
      </c>
      <c r="B4217" t="s" s="11">
        <v>21346</v>
      </c>
      <c r="C4217" t="s" s="11">
        <v>60</v>
      </c>
      <c r="D4217" t="s" s="11">
        <v>246</v>
      </c>
      <c r="E4217" t="s" s="11">
        <v>253</v>
      </c>
      <c r="F4217" s="28">
        <v>45953</v>
      </c>
      <c r="G4217" t="s" s="11">
        <v>4267</v>
      </c>
      <c r="H4217" s="43">
        <v>2.3</v>
      </c>
      <c r="I4217" t="s" s="43">
        <v>30</v>
      </c>
      <c r="J4217" t="s" s="11">
        <v>21347</v>
      </c>
      <c r="K4217" t="s" s="11">
        <v>21348</v>
      </c>
      <c r="L4217" s="17">
        <f>HYPERLINK("http://www.apriority.ai", "www.apriority.ai")</f>
      </c>
      <c r="M4217" s="17">
        <f>HYPERLINK("https://my.pitchbook.com?c=553900-60", "View Company Online")</f>
      </c>
    </row>
    <row r="4218">
      <c r="A4218" t="s" s="10">
        <v>21350</v>
      </c>
      <c r="B4218" t="s" s="10">
        <v>21351</v>
      </c>
      <c r="C4218" t="s" s="10">
        <v>27</v>
      </c>
      <c r="D4218" t="s" s="10">
        <v>28</v>
      </c>
      <c r="E4218" t="s" s="10">
        <v>200</v>
      </c>
      <c r="F4218" s="27">
        <v>44817</v>
      </c>
      <c r="G4218" t="s" s="10">
        <v>40</v>
      </c>
      <c r="H4218" t="s" s="42">
        <v>30</v>
      </c>
      <c r="I4218" t="s" s="42">
        <v>30</v>
      </c>
      <c r="J4218" t="s" s="10">
        <v>21352</v>
      </c>
      <c r="K4218" t="s" s="10">
        <v>21353</v>
      </c>
      <c r="L4218" s="16">
        <f>HYPERLINK("http://www.aptyssolutions.com", "www.aptyssolutions.com")</f>
      </c>
      <c r="M4218" s="16">
        <f>HYPERLINK("https://my.pitchbook.com?c=353908-99", "View Company Online")</f>
      </c>
    </row>
    <row r="4219">
      <c r="A4219" t="s" s="11">
        <v>21355</v>
      </c>
      <c r="B4219" t="s" s="11">
        <v>21356</v>
      </c>
      <c r="C4219" t="s" s="11">
        <v>222</v>
      </c>
      <c r="D4219" t="s" s="11">
        <v>223</v>
      </c>
      <c r="E4219" t="s" s="11">
        <v>116</v>
      </c>
      <c r="F4219" s="28">
        <v>45728</v>
      </c>
      <c r="G4219" t="s" s="11">
        <v>607</v>
      </c>
      <c r="H4219" t="s" s="43">
        <v>30</v>
      </c>
      <c r="I4219" t="s" s="43">
        <v>30</v>
      </c>
      <c r="J4219" t="s" s="11">
        <v>21357</v>
      </c>
      <c r="K4219" t="s" s="11">
        <v>21358</v>
      </c>
      <c r="L4219" s="17">
        <f>HYPERLINK("http://www.aquaty.capital", "www.aquaty.capital")</f>
      </c>
      <c r="M4219" s="17">
        <f>HYPERLINK("https://my.pitchbook.com?c=462786-58", "View Company Online")</f>
      </c>
    </row>
    <row r="4220">
      <c r="A4220" t="s" s="10">
        <v>21360</v>
      </c>
      <c r="B4220" t="s" s="10">
        <v>21361</v>
      </c>
      <c r="C4220" t="s" s="10">
        <v>37</v>
      </c>
      <c r="D4220" t="s" s="10">
        <v>304</v>
      </c>
      <c r="E4220" t="s" s="10">
        <v>137</v>
      </c>
      <c r="F4220" s="27">
        <v>45740</v>
      </c>
      <c r="G4220" t="s" s="10">
        <v>4267</v>
      </c>
      <c r="H4220" t="s" s="42">
        <v>30</v>
      </c>
      <c r="I4220" t="s" s="42">
        <v>30</v>
      </c>
      <c r="J4220" t="s" s="10">
        <v>21362</v>
      </c>
      <c r="K4220" t="s" s="10">
        <v>21363</v>
      </c>
      <c r="L4220" s="16">
        <f>HYPERLINK("http://arabianpay.net", "arabianpay.net")</f>
      </c>
      <c r="M4220" s="16">
        <f>HYPERLINK("https://my.pitchbook.com?c=769429-63", "View Company Online")</f>
      </c>
    </row>
    <row r="4221">
      <c r="A4221" t="s" s="11">
        <v>21365</v>
      </c>
      <c r="B4221" t="s" s="11">
        <v>21366</v>
      </c>
      <c r="C4221" t="s" s="11">
        <v>114</v>
      </c>
      <c r="D4221" t="s" s="11">
        <v>1386</v>
      </c>
      <c r="E4221" t="s" s="11">
        <v>414</v>
      </c>
      <c r="F4221" s="28">
        <v>44803</v>
      </c>
      <c r="G4221" t="s" s="11">
        <v>146</v>
      </c>
      <c r="H4221" s="43">
        <v>0.27</v>
      </c>
      <c r="I4221" t="s" s="43">
        <v>30</v>
      </c>
      <c r="J4221" t="s" s="11">
        <v>21367</v>
      </c>
      <c r="K4221" t="s" s="11">
        <v>30</v>
      </c>
      <c r="L4221" s="17">
        <f>HYPERLINK("http://www.aracargroup.com", "www.aracargroup.com")</f>
      </c>
      <c r="M4221" s="17">
        <f>HYPERLINK("https://my.pitchbook.com?c=434065-24", "View Company Online")</f>
      </c>
    </row>
    <row r="4222">
      <c r="A4222" t="s" s="10">
        <v>21369</v>
      </c>
      <c r="B4222" t="s" s="10">
        <v>21370</v>
      </c>
      <c r="C4222" t="s" s="10">
        <v>60</v>
      </c>
      <c r="D4222" t="s" s="10">
        <v>192</v>
      </c>
      <c r="E4222" t="s" s="10">
        <v>634</v>
      </c>
      <c r="F4222" s="27">
        <v>45323</v>
      </c>
      <c r="G4222" t="s" s="10">
        <v>146</v>
      </c>
      <c r="H4222" t="s" s="42">
        <v>30</v>
      </c>
      <c r="I4222" t="s" s="42">
        <v>30</v>
      </c>
      <c r="J4222" t="s" s="10">
        <v>21371</v>
      </c>
      <c r="K4222" t="s" s="10">
        <v>21372</v>
      </c>
      <c r="L4222" s="16">
        <f>HYPERLINK("http://arbela.io", "arbela.io")</f>
      </c>
      <c r="M4222" s="16">
        <f>HYPERLINK("https://my.pitchbook.com?c=572177-62", "View Company Online")</f>
      </c>
    </row>
    <row r="4223">
      <c r="A4223" t="s" s="11">
        <v>21374</v>
      </c>
      <c r="B4223" t="s" s="11">
        <v>21375</v>
      </c>
      <c r="C4223" t="s" s="11">
        <v>27</v>
      </c>
      <c r="D4223" t="s" s="11">
        <v>70</v>
      </c>
      <c r="E4223" t="s" s="11">
        <v>859</v>
      </c>
      <c r="F4223" s="28">
        <v>45992</v>
      </c>
      <c r="G4223" t="s" s="11">
        <v>146</v>
      </c>
      <c r="H4223" t="s" s="43">
        <v>30</v>
      </c>
      <c r="I4223" t="s" s="43">
        <v>30</v>
      </c>
      <c r="J4223" t="s" s="11">
        <v>21376</v>
      </c>
      <c r="K4223" t="s" s="11">
        <v>21377</v>
      </c>
      <c r="L4223" s="17">
        <f>HYPERLINK("http://www.arc.xyz", "www.arc.xyz")</f>
      </c>
      <c r="M4223" s="17">
        <f>HYPERLINK("https://my.pitchbook.com?c=556685-20", "View Company Online")</f>
      </c>
    </row>
    <row r="4224">
      <c r="A4224" t="s" s="10">
        <v>21379</v>
      </c>
      <c r="B4224" t="s" s="10">
        <v>21380</v>
      </c>
      <c r="C4224" t="s" s="10">
        <v>144</v>
      </c>
      <c r="D4224" t="s" s="10">
        <v>297</v>
      </c>
      <c r="E4224" t="s" s="10">
        <v>373</v>
      </c>
      <c r="F4224" s="27">
        <v>46211</v>
      </c>
      <c r="G4224" t="s" s="10">
        <v>391</v>
      </c>
      <c r="H4224" t="s" s="42">
        <v>30</v>
      </c>
      <c r="I4224" t="s" s="42">
        <v>30</v>
      </c>
      <c r="J4224" t="s" s="10">
        <v>21381</v>
      </c>
      <c r="K4224" t="s" s="10">
        <v>21382</v>
      </c>
      <c r="L4224" s="16">
        <f>HYPERLINK("http://www.joinarc.com", "www.joinarc.com")</f>
      </c>
      <c r="M4224" s="16">
        <f>HYPERLINK("https://my.pitchbook.com?c=470917-72", "View Company Online")</f>
      </c>
    </row>
    <row r="4225">
      <c r="A4225" t="s" s="11">
        <v>21384</v>
      </c>
      <c r="B4225" t="s" s="11">
        <v>21385</v>
      </c>
      <c r="C4225" t="s" s="11">
        <v>164</v>
      </c>
      <c r="D4225" t="s" s="11">
        <v>206</v>
      </c>
      <c r="E4225" t="s" s="11">
        <v>259</v>
      </c>
      <c r="F4225" s="28">
        <v>46120</v>
      </c>
      <c r="G4225" t="s" s="11">
        <v>494</v>
      </c>
      <c r="H4225" s="43">
        <v>50</v>
      </c>
      <c r="I4225" t="s" s="43">
        <v>30</v>
      </c>
      <c r="J4225" t="s" s="11">
        <v>21386</v>
      </c>
      <c r="K4225" t="s" s="11">
        <v>21387</v>
      </c>
      <c r="L4225" s="17">
        <f>HYPERLINK("http://www.archa.com.au", "www.archa.com.au")</f>
      </c>
      <c r="M4225" s="17">
        <f>HYPERLINK("https://my.pitchbook.com?c=481728-79", "View Company Online")</f>
      </c>
    </row>
    <row r="4226">
      <c r="A4226" t="s" s="10">
        <v>21389</v>
      </c>
      <c r="B4226" t="s" s="10">
        <v>21390</v>
      </c>
      <c r="C4226" t="s" s="10">
        <v>60</v>
      </c>
      <c r="D4226" t="s" s="10">
        <v>727</v>
      </c>
      <c r="E4226" t="s" s="10">
        <v>2293</v>
      </c>
      <c r="F4226" s="27">
        <v>45454</v>
      </c>
      <c r="G4226" t="s" s="10">
        <v>40</v>
      </c>
      <c r="H4226" t="s" s="42">
        <v>30</v>
      </c>
      <c r="I4226" t="s" s="42">
        <v>30</v>
      </c>
      <c r="J4226" t="s" s="10">
        <v>21391</v>
      </c>
      <c r="K4226" t="s" s="10">
        <v>21392</v>
      </c>
      <c r="L4226" s="16">
        <f>HYPERLINK("http://www.archer.re", "www.archer.re")</f>
      </c>
      <c r="M4226" s="16">
        <f>HYPERLINK("https://my.pitchbook.com?c=434177-38", "View Company Online")</f>
      </c>
    </row>
    <row r="4227">
      <c r="A4227" t="s" s="11">
        <v>21394</v>
      </c>
      <c r="B4227" t="s" s="11">
        <v>21395</v>
      </c>
      <c r="C4227" t="s" s="11">
        <v>222</v>
      </c>
      <c r="D4227" t="s" s="11">
        <v>252</v>
      </c>
      <c r="E4227" t="s" s="11">
        <v>137</v>
      </c>
      <c r="F4227" s="28">
        <v>44915</v>
      </c>
      <c r="G4227" t="s" s="11">
        <v>40</v>
      </c>
      <c r="H4227" t="s" s="43">
        <v>30</v>
      </c>
      <c r="I4227" t="s" s="43">
        <v>30</v>
      </c>
      <c r="J4227" t="s" s="11">
        <v>21396</v>
      </c>
      <c r="K4227" t="s" s="11">
        <v>21397</v>
      </c>
      <c r="L4227" s="17">
        <f>HYPERLINK("http://www.archforce.cn", "www.archforce.cn")</f>
      </c>
      <c r="M4227" s="17">
        <f>HYPERLINK("https://my.pitchbook.com?c=433614-97", "View Company Online")</f>
      </c>
    </row>
    <row r="4228">
      <c r="A4228" t="s" s="10">
        <v>21399</v>
      </c>
      <c r="B4228" t="s" s="10">
        <v>21400</v>
      </c>
      <c r="C4228" t="s" s="10">
        <v>222</v>
      </c>
      <c r="D4228" t="s" s="10">
        <v>252</v>
      </c>
      <c r="E4228" t="s" s="10">
        <v>270</v>
      </c>
      <c r="F4228" s="27">
        <v>45444</v>
      </c>
      <c r="G4228" t="s" s="10">
        <v>40</v>
      </c>
      <c r="H4228" t="s" s="42">
        <v>30</v>
      </c>
      <c r="I4228" t="s" s="42">
        <v>30</v>
      </c>
      <c r="J4228" t="s" s="10">
        <v>21401</v>
      </c>
      <c r="K4228" t="s" s="10">
        <v>21402</v>
      </c>
      <c r="L4228" s="16">
        <f>HYPERLINK("http://www.arf.one", "www.arf.one")</f>
      </c>
      <c r="M4228" s="16">
        <f>HYPERLINK("https://my.pitchbook.com?c=431726-05", "View Company Online")</f>
      </c>
    </row>
    <row r="4229">
      <c r="A4229" t="s" s="11">
        <v>21404</v>
      </c>
      <c r="B4229" t="s" s="11">
        <v>21405</v>
      </c>
      <c r="C4229" t="s" s="11">
        <v>46</v>
      </c>
      <c r="D4229" t="s" s="11">
        <v>47</v>
      </c>
      <c r="E4229" t="s" s="11">
        <v>137</v>
      </c>
      <c r="F4229" s="28">
        <v>45292</v>
      </c>
      <c r="G4229" t="s" s="11">
        <v>146</v>
      </c>
      <c r="H4229" t="s" s="43">
        <v>30</v>
      </c>
      <c r="I4229" t="s" s="43">
        <v>30</v>
      </c>
      <c r="J4229" t="s" s="11">
        <v>21406</v>
      </c>
      <c r="K4229" t="s" s="11">
        <v>21407</v>
      </c>
      <c r="L4229" s="17">
        <f>HYPERLINK("http://www.getargentum.com", "www.getargentum.com")</f>
      </c>
      <c r="M4229" s="17">
        <f>HYPERLINK("https://my.pitchbook.com?c=568909-09", "View Company Online")</f>
      </c>
    </row>
    <row r="4230">
      <c r="A4230" t="s" s="10">
        <v>21409</v>
      </c>
      <c r="B4230" t="s" s="10">
        <v>21410</v>
      </c>
      <c r="C4230" t="s" s="10">
        <v>164</v>
      </c>
      <c r="D4230" t="s" s="10">
        <v>165</v>
      </c>
      <c r="E4230" t="s" s="10">
        <v>3825</v>
      </c>
      <c r="F4230" s="27">
        <v>46219</v>
      </c>
      <c r="G4230" t="s" s="10">
        <v>391</v>
      </c>
      <c r="H4230" t="s" s="42">
        <v>30</v>
      </c>
      <c r="I4230" t="s" s="42">
        <v>30</v>
      </c>
      <c r="J4230" t="s" s="10">
        <v>21411</v>
      </c>
      <c r="K4230" t="s" s="10">
        <v>30</v>
      </c>
      <c r="L4230" s="16">
        <f>HYPERLINK("http://www.arkpes.com", "www.arkpes.com")</f>
      </c>
      <c r="M4230" s="16">
        <f>HYPERLINK("https://my.pitchbook.com?c=462987-10", "View Company Online")</f>
      </c>
    </row>
    <row r="4231">
      <c r="A4231" t="s" s="11">
        <v>21413</v>
      </c>
      <c r="B4231" t="s" s="11">
        <v>21414</v>
      </c>
      <c r="C4231" t="s" s="11">
        <v>60</v>
      </c>
      <c r="D4231" t="s" s="11">
        <v>727</v>
      </c>
      <c r="E4231" t="s" s="11">
        <v>2782</v>
      </c>
      <c r="F4231" s="28">
        <v>45594</v>
      </c>
      <c r="G4231" t="s" s="11">
        <v>4267</v>
      </c>
      <c r="H4231" s="43">
        <v>1</v>
      </c>
      <c r="I4231" t="s" s="43">
        <v>30</v>
      </c>
      <c r="J4231" t="s" s="11">
        <v>21415</v>
      </c>
      <c r="K4231" t="s" s="11">
        <v>21416</v>
      </c>
      <c r="L4231" s="17">
        <f>HYPERLINK("http://www.arktec.sa", "www.arktec.sa")</f>
      </c>
      <c r="M4231" s="17">
        <f>HYPERLINK("https://my.pitchbook.com?c=706772-62", "View Company Online")</f>
      </c>
    </row>
    <row r="4232">
      <c r="A4232" t="s" s="10">
        <v>21418</v>
      </c>
      <c r="B4232" t="s" s="10">
        <v>21419</v>
      </c>
      <c r="C4232" t="s" s="10">
        <v>222</v>
      </c>
      <c r="D4232" t="s" s="10">
        <v>252</v>
      </c>
      <c r="E4232" t="s" s="10">
        <v>859</v>
      </c>
      <c r="F4232" s="27">
        <v>46093</v>
      </c>
      <c r="G4232" t="s" s="10">
        <v>4267</v>
      </c>
      <c r="H4232" s="42">
        <v>5.2</v>
      </c>
      <c r="I4232" t="s" s="42">
        <v>30</v>
      </c>
      <c r="J4232" t="s" s="10">
        <v>21420</v>
      </c>
      <c r="K4232" t="s" s="10">
        <v>21421</v>
      </c>
      <c r="L4232" s="16">
        <f>HYPERLINK("http://www.arklabs.xyz", "www.arklabs.xyz")</f>
      </c>
      <c r="M4232" s="16">
        <f>HYPERLINK("https://my.pitchbook.com?c=638886-61", "View Company Online")</f>
      </c>
    </row>
    <row r="4233">
      <c r="A4233" t="s" s="11">
        <v>21423</v>
      </c>
      <c r="B4233" t="s" s="11">
        <v>21424</v>
      </c>
      <c r="C4233" t="s" s="11">
        <v>60</v>
      </c>
      <c r="D4233" t="s" s="11">
        <v>727</v>
      </c>
      <c r="E4233" t="s" s="11">
        <v>130</v>
      </c>
      <c r="F4233" s="28">
        <v>44740</v>
      </c>
      <c r="G4233" t="s" s="11">
        <v>146</v>
      </c>
      <c r="H4233" s="43">
        <v>9.01</v>
      </c>
      <c r="I4233" t="s" s="43">
        <v>30</v>
      </c>
      <c r="J4233" t="s" s="11">
        <v>21425</v>
      </c>
      <c r="K4233" t="s" s="11">
        <v>21426</v>
      </c>
      <c r="L4233" s="17">
        <f>HYPERLINK("http://www.ark7.com", "www.ark7.com")</f>
      </c>
      <c r="M4233" s="17">
        <f>HYPERLINK("https://my.pitchbook.com?c=462801-70", "View Company Online")</f>
      </c>
    </row>
    <row r="4234">
      <c r="A4234" t="s" s="10">
        <v>21428</v>
      </c>
      <c r="B4234" t="s" s="10">
        <v>21429</v>
      </c>
      <c r="C4234" t="s" s="10">
        <v>144</v>
      </c>
      <c r="D4234" t="s" s="10">
        <v>297</v>
      </c>
      <c r="E4234" t="s" s="10">
        <v>2226</v>
      </c>
      <c r="F4234" s="27">
        <v>45506</v>
      </c>
      <c r="G4234" t="s" s="10">
        <v>607</v>
      </c>
      <c r="H4234" t="s" s="42">
        <v>30</v>
      </c>
      <c r="I4234" t="s" s="42">
        <v>30</v>
      </c>
      <c r="J4234" t="s" s="10">
        <v>21430</v>
      </c>
      <c r="K4234" t="s" s="10">
        <v>21431</v>
      </c>
      <c r="L4234" s="16">
        <f>HYPERLINK("http://www.arkopay.com", "www.arkopay.com")</f>
      </c>
      <c r="M4234" s="16">
        <f>HYPERLINK("https://my.pitchbook.com?c=528395-05", "View Company Online")</f>
      </c>
    </row>
    <row r="4235">
      <c r="A4235" t="s" s="11">
        <v>21433</v>
      </c>
      <c r="B4235" t="s" s="11">
        <v>21434</v>
      </c>
      <c r="C4235" t="s" s="11">
        <v>114</v>
      </c>
      <c r="D4235" t="s" s="11">
        <v>136</v>
      </c>
      <c r="E4235" t="s" s="11">
        <v>137</v>
      </c>
      <c r="F4235" s="28">
        <v>46125</v>
      </c>
      <c r="G4235" t="s" s="11">
        <v>4267</v>
      </c>
      <c r="H4235" s="43">
        <v>2.5</v>
      </c>
      <c r="I4235" t="s" s="43">
        <v>30</v>
      </c>
      <c r="J4235" t="s" s="11">
        <v>21435</v>
      </c>
      <c r="K4235" t="s" s="11">
        <v>21436</v>
      </c>
      <c r="L4235" s="17">
        <f>HYPERLINK("http://aro.ia.br", "aro.ia.br")</f>
      </c>
      <c r="M4235" s="17">
        <f>HYPERLINK("https://my.pitchbook.com?c=1165509-64", "View Company Online")</f>
      </c>
    </row>
    <row r="4236">
      <c r="A4236" t="s" s="10">
        <v>21438</v>
      </c>
      <c r="B4236" t="s" s="10">
        <v>21439</v>
      </c>
      <c r="C4236" t="s" s="10">
        <v>144</v>
      </c>
      <c r="D4236" t="s" s="10">
        <v>38</v>
      </c>
      <c r="E4236" t="s" s="10">
        <v>253</v>
      </c>
      <c r="F4236" s="27">
        <v>45491</v>
      </c>
      <c r="G4236" t="s" s="10">
        <v>146</v>
      </c>
      <c r="H4236" s="42">
        <v>4.11</v>
      </c>
      <c r="I4236" t="s" s="42">
        <v>30</v>
      </c>
      <c r="J4236" t="s" s="10">
        <v>21440</v>
      </c>
      <c r="K4236" t="s" s="10">
        <v>21441</v>
      </c>
      <c r="L4236" s="16">
        <f>HYPERLINK("http://www.arpari.com", "www.arpari.com")</f>
      </c>
      <c r="M4236" s="16">
        <f>HYPERLINK("https://my.pitchbook.com?c=495776-98", "View Company Online")</f>
      </c>
    </row>
    <row r="4237">
      <c r="A4237" t="s" s="11">
        <v>21443</v>
      </c>
      <c r="B4237" t="s" s="11">
        <v>21444</v>
      </c>
      <c r="C4237" t="s" s="11">
        <v>60</v>
      </c>
      <c r="D4237" t="s" s="11">
        <v>432</v>
      </c>
      <c r="E4237" t="s" s="11">
        <v>414</v>
      </c>
      <c r="F4237" s="28">
        <v>45884</v>
      </c>
      <c r="G4237" t="s" s="11">
        <v>4267</v>
      </c>
      <c r="H4237" s="43">
        <v>4.7</v>
      </c>
      <c r="I4237" t="s" s="43">
        <v>30</v>
      </c>
      <c r="J4237" t="s" s="11">
        <v>21445</v>
      </c>
      <c r="K4237" t="s" s="11">
        <v>30</v>
      </c>
      <c r="L4237" s="17">
        <f>HYPERLINK("http://www.arqa.ai", "www.arqa.ai")</f>
      </c>
      <c r="M4237" s="17">
        <f>HYPERLINK("https://my.pitchbook.com?c=571527-10", "View Company Online")</f>
      </c>
    </row>
    <row r="4238">
      <c r="A4238" t="s" s="10">
        <v>21447</v>
      </c>
      <c r="B4238" t="s" s="10">
        <v>21448</v>
      </c>
      <c r="C4238" t="s" s="10">
        <v>222</v>
      </c>
      <c r="D4238" t="s" s="10">
        <v>252</v>
      </c>
      <c r="E4238" t="s" s="10">
        <v>629</v>
      </c>
      <c r="F4238" s="27">
        <v>46062</v>
      </c>
      <c r="G4238" t="s" s="10">
        <v>146</v>
      </c>
      <c r="H4238" s="42">
        <v>7.96</v>
      </c>
      <c r="I4238" t="s" s="42">
        <v>30</v>
      </c>
      <c r="J4238" t="s" s="10">
        <v>21449</v>
      </c>
      <c r="K4238" t="s" s="10">
        <v>21450</v>
      </c>
      <c r="L4238" s="16">
        <f>HYPERLINK("http://www.arqitech.com", "www.arqitech.com")</f>
      </c>
      <c r="M4238" s="16">
        <f>HYPERLINK("https://my.pitchbook.com?c=1308531-25", "View Company Online")</f>
      </c>
    </row>
    <row r="4239">
      <c r="A4239" t="s" s="11">
        <v>21452</v>
      </c>
      <c r="B4239" t="s" s="11">
        <v>21453</v>
      </c>
      <c r="C4239" t="s" s="11">
        <v>144</v>
      </c>
      <c r="D4239" t="s" s="11">
        <v>297</v>
      </c>
      <c r="E4239" t="s" s="11">
        <v>253</v>
      </c>
      <c r="F4239" s="28">
        <v>46153</v>
      </c>
      <c r="G4239" t="s" s="11">
        <v>2051</v>
      </c>
      <c r="H4239" t="s" s="43">
        <v>30</v>
      </c>
      <c r="I4239" t="s" s="43">
        <v>30</v>
      </c>
      <c r="J4239" t="s" s="11">
        <v>21454</v>
      </c>
      <c r="K4239" t="s" s="11">
        <v>30</v>
      </c>
      <c r="L4239" s="17">
        <f>HYPERLINK("http://www.arrsquared.com", "www.arrsquared.com")</f>
      </c>
      <c r="M4239" s="17">
        <f>HYPERLINK("https://my.pitchbook.com?c=509725-09", "View Company Online")</f>
      </c>
    </row>
    <row r="4240">
      <c r="A4240" t="s" s="10">
        <v>21456</v>
      </c>
      <c r="B4240" t="s" s="10">
        <v>21457</v>
      </c>
      <c r="C4240" t="s" s="10">
        <v>222</v>
      </c>
      <c r="D4240" t="s" s="10">
        <v>223</v>
      </c>
      <c r="E4240" t="s" s="10">
        <v>21458</v>
      </c>
      <c r="F4240" s="27">
        <v>46054</v>
      </c>
      <c r="G4240" t="s" s="10">
        <v>146</v>
      </c>
      <c r="H4240" t="s" s="42">
        <v>30</v>
      </c>
      <c r="I4240" t="s" s="42">
        <v>30</v>
      </c>
      <c r="J4240" t="s" s="10">
        <v>21459</v>
      </c>
      <c r="K4240" t="s" s="10">
        <v>21460</v>
      </c>
      <c r="L4240" s="16">
        <f>HYPERLINK("http://www.arra.energy", "www.arra.energy")</f>
      </c>
      <c r="M4240" s="16">
        <f>HYPERLINK("https://my.pitchbook.com?c=865616-41", "View Company Online")</f>
      </c>
    </row>
    <row r="4241">
      <c r="A4241" t="s" s="11">
        <v>21462</v>
      </c>
      <c r="B4241" t="s" s="11">
        <v>21463</v>
      </c>
      <c r="C4241" t="s" s="11">
        <v>114</v>
      </c>
      <c r="D4241" t="s" s="11">
        <v>115</v>
      </c>
      <c r="E4241" t="s" s="11">
        <v>1625</v>
      </c>
      <c r="F4241" s="28">
        <v>45993</v>
      </c>
      <c r="G4241" t="s" s="11">
        <v>40</v>
      </c>
      <c r="H4241" s="43">
        <v>3.12</v>
      </c>
      <c r="I4241" t="s" s="43">
        <v>30</v>
      </c>
      <c r="J4241" t="s" s="11">
        <v>21464</v>
      </c>
      <c r="K4241" t="s" s="11">
        <v>21465</v>
      </c>
      <c r="L4241" s="17">
        <f>HYPERLINK("http://www.arrago.fr", "www.arrago.fr")</f>
      </c>
      <c r="M4241" s="17">
        <f>HYPERLINK("https://my.pitchbook.com?c=528233-77", "View Company Online")</f>
      </c>
    </row>
    <row r="4242">
      <c r="A4242" t="s" s="10">
        <v>21467</v>
      </c>
      <c r="B4242" t="s" s="10">
        <v>21468</v>
      </c>
      <c r="C4242" t="s" s="10">
        <v>164</v>
      </c>
      <c r="D4242" t="s" s="10">
        <v>165</v>
      </c>
      <c r="E4242" t="s" s="10">
        <v>414</v>
      </c>
      <c r="F4242" s="27">
        <v>45052</v>
      </c>
      <c r="G4242" t="s" s="10">
        <v>146</v>
      </c>
      <c r="H4242" t="s" s="42">
        <v>30</v>
      </c>
      <c r="I4242" t="s" s="42">
        <v>30</v>
      </c>
      <c r="J4242" t="s" s="10">
        <v>21469</v>
      </c>
      <c r="K4242" t="s" s="10">
        <v>21470</v>
      </c>
      <c r="L4242" s="16">
        <f>HYPERLINK("http://www.arre.co", "www.arre.co")</f>
      </c>
      <c r="M4242" s="16">
        <f>HYPERLINK("https://my.pitchbook.com?c=529052-41", "View Company Online")</f>
      </c>
    </row>
    <row r="4243">
      <c r="A4243" t="s" s="11">
        <v>21472</v>
      </c>
      <c r="B4243" t="s" s="11">
        <v>21473</v>
      </c>
      <c r="C4243" t="s" s="11">
        <v>46</v>
      </c>
      <c r="D4243" t="s" s="11">
        <v>397</v>
      </c>
      <c r="E4243" t="s" s="11">
        <v>373</v>
      </c>
      <c r="F4243" s="28">
        <v>45960</v>
      </c>
      <c r="G4243" t="s" s="11">
        <v>4267</v>
      </c>
      <c r="H4243" s="43">
        <v>1</v>
      </c>
      <c r="I4243" t="s" s="43">
        <v>30</v>
      </c>
      <c r="J4243" t="s" s="11">
        <v>21474</v>
      </c>
      <c r="K4243" t="s" s="11">
        <v>21475</v>
      </c>
      <c r="L4243" s="17">
        <f>HYPERLINK("http://www.arrive.accountants", "www.arrive.accountants")</f>
      </c>
      <c r="M4243" s="17">
        <f>HYPERLINK("https://my.pitchbook.com?c=1158132-70", "View Company Online")</f>
      </c>
    </row>
    <row r="4244">
      <c r="A4244" t="s" s="10">
        <v>21477</v>
      </c>
      <c r="B4244" t="s" s="10">
        <v>21478</v>
      </c>
      <c r="C4244" t="s" s="10">
        <v>37</v>
      </c>
      <c r="D4244" t="s" s="10">
        <v>304</v>
      </c>
      <c r="E4244" t="s" s="10">
        <v>2146</v>
      </c>
      <c r="F4244" s="27">
        <v>44927</v>
      </c>
      <c r="G4244" t="s" s="10">
        <v>146</v>
      </c>
      <c r="H4244" t="s" s="42">
        <v>30</v>
      </c>
      <c r="I4244" t="s" s="42">
        <v>30</v>
      </c>
      <c r="J4244" t="s" s="10">
        <v>21479</v>
      </c>
      <c r="K4244" t="s" s="10">
        <v>21480</v>
      </c>
      <c r="L4244" s="16">
        <f>HYPERLINK("http://www.arrowhq.com", "www.arrowhq.com")</f>
      </c>
      <c r="M4244" s="16">
        <f>HYPERLINK("https://my.pitchbook.com?c=459754-30", "View Company Online")</f>
      </c>
    </row>
    <row r="4245">
      <c r="A4245" t="s" s="11">
        <v>21482</v>
      </c>
      <c r="B4245" t="s" s="11">
        <v>21483</v>
      </c>
      <c r="C4245" t="s" s="11">
        <v>60</v>
      </c>
      <c r="D4245" t="s" s="11">
        <v>727</v>
      </c>
      <c r="E4245" t="s" s="11">
        <v>634</v>
      </c>
      <c r="F4245" s="28">
        <v>45546</v>
      </c>
      <c r="G4245" t="s" s="11">
        <v>146</v>
      </c>
      <c r="H4245" t="s" s="43">
        <v>30</v>
      </c>
      <c r="I4245" t="s" s="43">
        <v>30</v>
      </c>
      <c r="J4245" t="s" s="11">
        <v>21484</v>
      </c>
      <c r="K4245" t="s" s="11">
        <v>21485</v>
      </c>
      <c r="L4245" s="17">
        <f>HYPERLINK("http://www.artafinance.com", "www.artafinance.com")</f>
      </c>
      <c r="M4245" s="17">
        <f>HYPERLINK("https://my.pitchbook.com?c=483207-31", "View Company Online")</f>
      </c>
    </row>
    <row r="4246">
      <c r="A4246" t="s" s="10">
        <v>21487</v>
      </c>
      <c r="B4246" t="s" s="10">
        <v>21488</v>
      </c>
      <c r="C4246" t="s" s="10">
        <v>60</v>
      </c>
      <c r="D4246" t="s" s="10">
        <v>727</v>
      </c>
      <c r="E4246" t="s" s="10">
        <v>859</v>
      </c>
      <c r="F4246" s="27">
        <v>45977</v>
      </c>
      <c r="G4246" t="s" s="10">
        <v>146</v>
      </c>
      <c r="H4246" t="s" s="42">
        <v>30</v>
      </c>
      <c r="I4246" t="s" s="42">
        <v>30</v>
      </c>
      <c r="J4246" t="s" s="10">
        <v>21489</v>
      </c>
      <c r="K4246" t="s" s="10">
        <v>30</v>
      </c>
      <c r="L4246" s="16">
        <f>HYPERLINK("http://www.artexgm.com", "www.artexgm.com")</f>
      </c>
      <c r="M4246" s="16">
        <f>HYPERLINK("https://my.pitchbook.com?c=656423-65", "View Company Online")</f>
      </c>
    </row>
    <row r="4247">
      <c r="A4247" t="s" s="11">
        <v>21491</v>
      </c>
      <c r="B4247" t="s" s="11">
        <v>21492</v>
      </c>
      <c r="C4247" t="s" s="11">
        <v>114</v>
      </c>
      <c r="D4247" t="s" s="11">
        <v>852</v>
      </c>
      <c r="E4247" t="s" s="11">
        <v>137</v>
      </c>
      <c r="F4247" t="s" s="28">
        <v>30</v>
      </c>
      <c r="G4247" t="s" s="11">
        <v>31</v>
      </c>
      <c r="H4247" t="s" s="43">
        <v>30</v>
      </c>
      <c r="I4247" t="s" s="43">
        <v>30</v>
      </c>
      <c r="J4247" t="s" s="11">
        <v>21493</v>
      </c>
      <c r="K4247" t="s" s="11">
        <v>21494</v>
      </c>
      <c r="L4247" s="17">
        <f>HYPERLINK("http://www.arthimpact.in", "www.arthimpact.in")</f>
      </c>
      <c r="M4247" s="17">
        <f>HYPERLINK("https://my.pitchbook.com?c=497983-87", "View Company Online")</f>
      </c>
    </row>
    <row r="4248">
      <c r="A4248" t="s" s="10">
        <v>21496</v>
      </c>
      <c r="B4248" t="s" s="10">
        <v>21497</v>
      </c>
      <c r="C4248" t="s" s="10">
        <v>46</v>
      </c>
      <c r="D4248" t="s" s="10">
        <v>397</v>
      </c>
      <c r="E4248" t="s" s="10">
        <v>414</v>
      </c>
      <c r="F4248" s="27">
        <v>45764</v>
      </c>
      <c r="G4248" t="s" s="10">
        <v>146</v>
      </c>
      <c r="H4248" s="42">
        <v>0.27</v>
      </c>
      <c r="I4248" t="s" s="42">
        <v>30</v>
      </c>
      <c r="J4248" t="s" s="10">
        <v>21498</v>
      </c>
      <c r="K4248" t="s" s="10">
        <v>21499</v>
      </c>
      <c r="L4248" s="16">
        <f>HYPERLINK("http://getartifact.com", "getartifact.com")</f>
      </c>
      <c r="M4248" s="16">
        <f>HYPERLINK("https://my.pitchbook.com?c=711796-42", "View Company Online")</f>
      </c>
    </row>
    <row r="4249">
      <c r="A4249" t="s" s="11">
        <v>21501</v>
      </c>
      <c r="B4249" t="s" s="11">
        <v>21502</v>
      </c>
      <c r="C4249" t="s" s="11">
        <v>144</v>
      </c>
      <c r="D4249" t="s" s="11">
        <v>38</v>
      </c>
      <c r="E4249" t="s" s="11">
        <v>137</v>
      </c>
      <c r="F4249" s="28">
        <v>44652</v>
      </c>
      <c r="G4249" t="s" s="11">
        <v>4267</v>
      </c>
      <c r="H4249" s="43">
        <v>1.05</v>
      </c>
      <c r="I4249" t="s" s="43">
        <v>30</v>
      </c>
      <c r="J4249" t="s" s="11">
        <v>21503</v>
      </c>
      <c r="K4249" t="s" s="11">
        <v>21504</v>
      </c>
      <c r="L4249" s="17">
        <f>HYPERLINK("http://www.artoh.com", "www.artoh.com")</f>
      </c>
      <c r="M4249" s="17">
        <f>HYPERLINK("https://my.pitchbook.com?c=512561-53", "View Company Online")</f>
      </c>
    </row>
    <row r="4250">
      <c r="A4250" t="s" s="10">
        <v>21506</v>
      </c>
      <c r="B4250" t="s" s="10">
        <v>21507</v>
      </c>
      <c r="C4250" t="s" s="10">
        <v>46</v>
      </c>
      <c r="D4250" t="s" s="10">
        <v>47</v>
      </c>
      <c r="E4250" t="s" s="10">
        <v>259</v>
      </c>
      <c r="F4250" s="27">
        <v>45909</v>
      </c>
      <c r="G4250" t="s" s="10">
        <v>40</v>
      </c>
      <c r="H4250" s="42">
        <v>6.44</v>
      </c>
      <c r="I4250" t="s" s="42">
        <v>30</v>
      </c>
      <c r="J4250" t="s" s="10">
        <v>21508</v>
      </c>
      <c r="K4250" t="s" s="10">
        <v>21509</v>
      </c>
      <c r="L4250" s="16">
        <f>HYPERLINK("http://www.asaas.com", "www.asaas.com")</f>
      </c>
      <c r="M4250" s="16">
        <f>HYPERLINK("https://my.pitchbook.com?c=82912-15", "View Company Online")</f>
      </c>
    </row>
    <row r="4251">
      <c r="A4251" t="s" s="11">
        <v>21511</v>
      </c>
      <c r="B4251" t="s" s="11">
        <v>21512</v>
      </c>
      <c r="C4251" t="s" s="11">
        <v>114</v>
      </c>
      <c r="D4251" t="s" s="11">
        <v>852</v>
      </c>
      <c r="E4251" t="s" s="11">
        <v>2824</v>
      </c>
      <c r="F4251" s="28">
        <v>46156</v>
      </c>
      <c r="G4251" t="s" s="11">
        <v>138</v>
      </c>
      <c r="H4251" t="s" s="43">
        <v>30</v>
      </c>
      <c r="I4251" t="s" s="43">
        <v>30</v>
      </c>
      <c r="J4251" t="s" s="11">
        <v>21513</v>
      </c>
      <c r="K4251" t="s" s="11">
        <v>21514</v>
      </c>
      <c r="L4251" s="17">
        <f>HYPERLINK("http://www.useascend.com", "www.useascend.com")</f>
      </c>
      <c r="M4251" s="17">
        <f>HYPERLINK("https://my.pitchbook.com?c=465522-49", "View Company Online")</f>
      </c>
    </row>
    <row r="4252">
      <c r="A4252" t="s" s="10">
        <v>21516</v>
      </c>
      <c r="B4252" t="s" s="10">
        <v>21517</v>
      </c>
      <c r="C4252" t="s" s="10">
        <v>27</v>
      </c>
      <c r="D4252" t="s" s="10">
        <v>122</v>
      </c>
      <c r="E4252" t="s" s="10">
        <v>137</v>
      </c>
      <c r="F4252" s="27">
        <v>45187</v>
      </c>
      <c r="G4252" t="s" s="10">
        <v>138</v>
      </c>
      <c r="H4252" t="s" s="42">
        <v>30</v>
      </c>
      <c r="I4252" t="s" s="42">
        <v>30</v>
      </c>
      <c r="J4252" t="s" s="10">
        <v>21518</v>
      </c>
      <c r="K4252" t="s" s="10">
        <v>21519</v>
      </c>
      <c r="L4252" s="16">
        <f>HYPERLINK("http://www.ascendant.world", "www.ascendant.world")</f>
      </c>
      <c r="M4252" s="16">
        <f>HYPERLINK("https://my.pitchbook.com?c=264609-82", "View Company Online")</f>
      </c>
    </row>
    <row r="4253">
      <c r="A4253" t="s" s="11">
        <v>21521</v>
      </c>
      <c r="B4253" t="s" s="11">
        <v>21522</v>
      </c>
      <c r="C4253" t="s" s="11">
        <v>164</v>
      </c>
      <c r="D4253" t="s" s="11">
        <v>165</v>
      </c>
      <c r="E4253" t="s" s="11">
        <v>1349</v>
      </c>
      <c r="F4253" s="28">
        <v>45566</v>
      </c>
      <c r="G4253" t="s" s="11">
        <v>146</v>
      </c>
      <c r="H4253" t="s" s="43">
        <v>30</v>
      </c>
      <c r="I4253" t="s" s="43">
        <v>30</v>
      </c>
      <c r="J4253" t="s" s="11">
        <v>21523</v>
      </c>
      <c r="K4253" t="s" s="11">
        <v>21524</v>
      </c>
      <c r="L4253" s="17">
        <f>HYPERLINK("http://www.ascensiondata.co", "www.ascensiondata.co")</f>
      </c>
      <c r="M4253" s="17">
        <f>HYPERLINK("https://my.pitchbook.com?c=706205-89", "View Company Online")</f>
      </c>
    </row>
    <row r="4254">
      <c r="A4254" t="s" s="10">
        <v>21526</v>
      </c>
      <c r="B4254" t="s" s="10">
        <v>21527</v>
      </c>
      <c r="C4254" t="s" s="10">
        <v>114</v>
      </c>
      <c r="D4254" t="s" s="10">
        <v>136</v>
      </c>
      <c r="E4254" t="s" s="10">
        <v>137</v>
      </c>
      <c r="F4254" s="27">
        <v>46072</v>
      </c>
      <c r="G4254" t="s" s="10">
        <v>40</v>
      </c>
      <c r="H4254" s="42">
        <v>45.69</v>
      </c>
      <c r="I4254" t="s" s="42">
        <v>30</v>
      </c>
      <c r="J4254" t="s" s="10">
        <v>21528</v>
      </c>
      <c r="K4254" t="s" s="10">
        <v>21529</v>
      </c>
      <c r="L4254" s="16">
        <f>HYPERLINK("http://www.ascentfunding.com", "www.ascentfunding.com")</f>
      </c>
      <c r="M4254" s="16">
        <f>HYPERLINK("https://my.pitchbook.com?c=458201-35", "View Company Online")</f>
      </c>
    </row>
    <row r="4255">
      <c r="A4255" t="s" s="11">
        <v>21531</v>
      </c>
      <c r="B4255" t="s" s="11">
        <v>21532</v>
      </c>
      <c r="C4255" t="s" s="11">
        <v>222</v>
      </c>
      <c r="D4255" t="s" s="11">
        <v>537</v>
      </c>
      <c r="E4255" t="s" s="11">
        <v>71</v>
      </c>
      <c r="F4255" s="28">
        <v>45999</v>
      </c>
      <c r="G4255" t="s" s="11">
        <v>4267</v>
      </c>
      <c r="H4255" s="43">
        <v>2.2</v>
      </c>
      <c r="I4255" t="s" s="43">
        <v>30</v>
      </c>
      <c r="J4255" t="s" s="11">
        <v>21533</v>
      </c>
      <c r="K4255" t="s" s="11">
        <v>21534</v>
      </c>
      <c r="L4255" s="17">
        <f>HYPERLINK("http://www.asgard.finance", "www.asgard.finance")</f>
      </c>
      <c r="M4255" s="17">
        <f>HYPERLINK("https://my.pitchbook.com?c=1168886-98", "View Company Online")</f>
      </c>
    </row>
    <row r="4256">
      <c r="A4256" t="s" s="10">
        <v>21536</v>
      </c>
      <c r="B4256" t="s" s="10">
        <v>21537</v>
      </c>
      <c r="C4256" t="s" s="10">
        <v>46</v>
      </c>
      <c r="D4256" t="s" s="10">
        <v>397</v>
      </c>
      <c r="E4256" t="s" s="10">
        <v>373</v>
      </c>
      <c r="F4256" s="27">
        <v>45809</v>
      </c>
      <c r="G4256" t="s" s="10">
        <v>4267</v>
      </c>
      <c r="H4256" t="s" s="42">
        <v>30</v>
      </c>
      <c r="I4256" t="s" s="42">
        <v>30</v>
      </c>
      <c r="J4256" t="s" s="10">
        <v>21538</v>
      </c>
      <c r="K4256" t="s" s="10">
        <v>21539</v>
      </c>
      <c r="L4256" s="16">
        <f>HYPERLINK("http://www.getasset.com", "www.getasset.com")</f>
      </c>
      <c r="M4256" s="16">
        <f>HYPERLINK("https://my.pitchbook.com?c=893665-72", "View Company Online")</f>
      </c>
    </row>
    <row r="4257">
      <c r="A4257" t="s" s="11">
        <v>21541</v>
      </c>
      <c r="B4257" t="s" s="11">
        <v>21542</v>
      </c>
      <c r="C4257" t="s" s="11">
        <v>60</v>
      </c>
      <c r="D4257" t="s" s="11">
        <v>432</v>
      </c>
      <c r="E4257" t="s" s="11">
        <v>2782</v>
      </c>
      <c r="F4257" s="28">
        <v>43790</v>
      </c>
      <c r="G4257" t="s" s="11">
        <v>40</v>
      </c>
      <c r="H4257" s="43">
        <v>35</v>
      </c>
      <c r="I4257" t="s" s="43">
        <v>30</v>
      </c>
      <c r="J4257" t="s" s="11">
        <v>21543</v>
      </c>
      <c r="K4257" t="s" s="11">
        <v>21544</v>
      </c>
      <c r="L4257" s="17">
        <f>HYPERLINK("http://www.lxjcf.com", "www.lxjcf.com")</f>
      </c>
      <c r="M4257" s="17">
        <f>HYPERLINK("https://my.pitchbook.com?c=268691-32", "View Company Online")</f>
      </c>
    </row>
    <row r="4258">
      <c r="A4258" t="s" s="10">
        <v>21546</v>
      </c>
      <c r="B4258" t="s" s="10">
        <v>21547</v>
      </c>
      <c r="C4258" t="s" s="10">
        <v>164</v>
      </c>
      <c r="D4258" t="s" s="10">
        <v>165</v>
      </c>
      <c r="E4258" t="s" s="10">
        <v>634</v>
      </c>
      <c r="F4258" s="27">
        <v>44559</v>
      </c>
      <c r="G4258" t="s" s="10">
        <v>4267</v>
      </c>
      <c r="H4258" s="42">
        <v>1.84</v>
      </c>
      <c r="I4258" t="s" s="42">
        <v>30</v>
      </c>
      <c r="J4258" t="s" s="10">
        <v>21548</v>
      </c>
      <c r="K4258" t="s" s="10">
        <v>21549</v>
      </c>
      <c r="L4258" s="16">
        <f>HYPERLINK("http://www.assette.com", "www.assette.com")</f>
      </c>
      <c r="M4258" s="16">
        <f>HYPERLINK("https://my.pitchbook.com?c=186558-04", "View Company Online")</f>
      </c>
    </row>
    <row r="4259">
      <c r="A4259" t="s" s="11">
        <v>21551</v>
      </c>
      <c r="B4259" t="s" s="11">
        <v>21552</v>
      </c>
      <c r="C4259" t="s" s="11">
        <v>172</v>
      </c>
      <c r="D4259" t="s" s="11">
        <v>1454</v>
      </c>
      <c r="E4259" t="s" s="11">
        <v>634</v>
      </c>
      <c r="F4259" s="28">
        <v>46023</v>
      </c>
      <c r="G4259" t="s" s="11">
        <v>146</v>
      </c>
      <c r="H4259" t="s" s="43">
        <v>30</v>
      </c>
      <c r="I4259" t="s" s="43">
        <v>30</v>
      </c>
      <c r="J4259" t="s" s="11">
        <v>21553</v>
      </c>
      <c r="K4259" t="s" s="11">
        <v>21554</v>
      </c>
      <c r="L4259" s="17">
        <f>HYPERLINK("http://www.athelas.co.uk", "www.athelas.co.uk")</f>
      </c>
      <c r="M4259" s="17">
        <f>HYPERLINK("https://my.pitchbook.com?c=1261293-76", "View Company Online")</f>
      </c>
    </row>
    <row r="4260">
      <c r="A4260" t="s" s="10">
        <v>21556</v>
      </c>
      <c r="B4260" t="s" s="10">
        <v>21557</v>
      </c>
      <c r="C4260" t="s" s="10">
        <v>222</v>
      </c>
      <c r="D4260" t="s" s="10">
        <v>235</v>
      </c>
      <c r="E4260" t="s" s="10">
        <v>414</v>
      </c>
      <c r="F4260" t="s" s="27">
        <v>30</v>
      </c>
      <c r="G4260" t="s" s="10">
        <v>146</v>
      </c>
      <c r="H4260" s="42">
        <v>900.95</v>
      </c>
      <c r="I4260" t="s" s="42">
        <v>30</v>
      </c>
      <c r="J4260" t="s" s="10">
        <v>21558</v>
      </c>
      <c r="K4260" t="s" s="10">
        <v>21559</v>
      </c>
      <c r="L4260" s="16">
        <f>HYPERLINK("http://atlasinc.global", "atlasinc.global")</f>
      </c>
      <c r="M4260" s="16">
        <f>HYPERLINK("https://my.pitchbook.com?c=1240741-72", "View Company Online")</f>
      </c>
    </row>
    <row r="4261">
      <c r="A4261" t="s" s="11">
        <v>21561</v>
      </c>
      <c r="B4261" t="s" s="11">
        <v>21562</v>
      </c>
      <c r="C4261" t="s" s="11">
        <v>114</v>
      </c>
      <c r="D4261" t="s" s="11">
        <v>115</v>
      </c>
      <c r="E4261" t="s" s="11">
        <v>3604</v>
      </c>
      <c r="F4261" s="28">
        <v>46042</v>
      </c>
      <c r="G4261" t="s" s="11">
        <v>146</v>
      </c>
      <c r="H4261" s="43">
        <v>25</v>
      </c>
      <c r="I4261" t="s" s="43">
        <v>30</v>
      </c>
      <c r="J4261" t="s" s="11">
        <v>21563</v>
      </c>
      <c r="K4261" t="s" s="11">
        <v>21564</v>
      </c>
      <c r="L4261" s="17">
        <f>HYPERLINK("http://www.atlas-invest.co", "www.atlas-invest.co")</f>
      </c>
      <c r="M4261" s="17">
        <f>HYPERLINK("https://my.pitchbook.com?c=541184-68", "View Company Online")</f>
      </c>
    </row>
    <row r="4262">
      <c r="A4262" t="s" s="10">
        <v>21566</v>
      </c>
      <c r="B4262" t="s" s="10">
        <v>21567</v>
      </c>
      <c r="C4262" t="s" s="10">
        <v>60</v>
      </c>
      <c r="D4262" t="s" s="10">
        <v>432</v>
      </c>
      <c r="E4262" t="s" s="10">
        <v>253</v>
      </c>
      <c r="F4262" s="27">
        <v>44939</v>
      </c>
      <c r="G4262" t="s" s="10">
        <v>4267</v>
      </c>
      <c r="H4262" s="42">
        <v>2.05</v>
      </c>
      <c r="I4262" t="s" s="42">
        <v>30</v>
      </c>
      <c r="J4262" t="s" s="10">
        <v>21568</v>
      </c>
      <c r="K4262" t="s" s="10">
        <v>30</v>
      </c>
      <c r="L4262" s="16">
        <f>HYPERLINK("http://www.theatlaspoint.com", "www.theatlaspoint.com")</f>
      </c>
      <c r="M4262" s="16">
        <f>HYPERLINK("https://my.pitchbook.com?c=518225-95", "View Company Online")</f>
      </c>
    </row>
    <row r="4263">
      <c r="A4263" t="s" s="11">
        <v>21570</v>
      </c>
      <c r="B4263" t="s" s="11">
        <v>21571</v>
      </c>
      <c r="C4263" t="s" s="11">
        <v>37</v>
      </c>
      <c r="D4263" t="s" s="11">
        <v>304</v>
      </c>
      <c r="E4263" t="s" s="11">
        <v>137</v>
      </c>
      <c r="F4263" s="28">
        <v>46035</v>
      </c>
      <c r="G4263" t="s" s="11">
        <v>584</v>
      </c>
      <c r="H4263" s="43">
        <v>145</v>
      </c>
      <c r="I4263" t="s" s="43">
        <v>30</v>
      </c>
      <c r="J4263" t="s" s="11">
        <v>21572</v>
      </c>
      <c r="K4263" t="s" s="11">
        <v>21573</v>
      </c>
      <c r="L4263" s="17">
        <f>HYPERLINK("http://www.atome.sg", "www.atome.sg")</f>
      </c>
      <c r="M4263" s="17">
        <f>HYPERLINK("https://my.pitchbook.com?c=460212-40", "View Company Online")</f>
      </c>
    </row>
    <row r="4264">
      <c r="A4264" t="s" s="10">
        <v>21575</v>
      </c>
      <c r="B4264" t="s" s="10">
        <v>21576</v>
      </c>
      <c r="C4264" t="s" s="10">
        <v>60</v>
      </c>
      <c r="D4264" t="s" s="10">
        <v>432</v>
      </c>
      <c r="E4264" t="s" s="10">
        <v>373</v>
      </c>
      <c r="F4264" s="27">
        <v>46036</v>
      </c>
      <c r="G4264" t="s" s="10">
        <v>4267</v>
      </c>
      <c r="H4264" s="42">
        <v>10</v>
      </c>
      <c r="I4264" t="s" s="42">
        <v>30</v>
      </c>
      <c r="J4264" t="s" s="10">
        <v>21577</v>
      </c>
      <c r="K4264" t="s" s="10">
        <v>21578</v>
      </c>
      <c r="L4264" s="16">
        <f>HYPERLINK("http://www.atomicinsights.io", "www.atomicinsights.io")</f>
      </c>
      <c r="M4264" s="16">
        <f>HYPERLINK("https://my.pitchbook.com?c=623792-62", "View Company Online")</f>
      </c>
    </row>
    <row r="4265">
      <c r="A4265" t="s" s="11">
        <v>21580</v>
      </c>
      <c r="B4265" t="s" s="11">
        <v>21581</v>
      </c>
      <c r="C4265" t="s" s="11">
        <v>60</v>
      </c>
      <c r="D4265" t="s" s="11">
        <v>432</v>
      </c>
      <c r="E4265" t="s" s="11">
        <v>137</v>
      </c>
      <c r="F4265" s="28">
        <v>45901</v>
      </c>
      <c r="G4265" t="s" s="11">
        <v>146</v>
      </c>
      <c r="H4265" t="s" s="43">
        <v>30</v>
      </c>
      <c r="I4265" t="s" s="43">
        <v>30</v>
      </c>
      <c r="J4265" t="s" s="11">
        <v>21582</v>
      </c>
      <c r="K4265" t="s" s="11">
        <v>21583</v>
      </c>
      <c r="L4265" s="17">
        <f>HYPERLINK("http://www.atomicvaults.com", "www.atomicvaults.com")</f>
      </c>
      <c r="M4265" s="17">
        <f>HYPERLINK("https://my.pitchbook.com?c=596866-33", "View Company Online")</f>
      </c>
    </row>
    <row r="4266">
      <c r="A4266" t="s" s="10">
        <v>21585</v>
      </c>
      <c r="B4266" t="s" s="10">
        <v>21586</v>
      </c>
      <c r="C4266" t="s" s="10">
        <v>114</v>
      </c>
      <c r="D4266" t="s" s="10">
        <v>136</v>
      </c>
      <c r="E4266" t="s" s="10">
        <v>253</v>
      </c>
      <c r="F4266" s="27">
        <v>44882</v>
      </c>
      <c r="G4266" t="s" s="10">
        <v>4267</v>
      </c>
      <c r="H4266" s="42">
        <v>3.1</v>
      </c>
      <c r="I4266" t="s" s="42">
        <v>30</v>
      </c>
      <c r="J4266" t="s" s="10">
        <v>21587</v>
      </c>
      <c r="K4266" t="s" s="10">
        <v>21588</v>
      </c>
      <c r="L4266" s="16">
        <f>HYPERLINK("http://www.atria.la", "www.atria.la")</f>
      </c>
      <c r="M4266" s="16">
        <f>HYPERLINK("https://my.pitchbook.com?c=515526-22", "View Company Online")</f>
      </c>
    </row>
    <row r="4267">
      <c r="A4267" t="s" s="11">
        <v>21590</v>
      </c>
      <c r="B4267" t="s" s="11">
        <v>21591</v>
      </c>
      <c r="C4267" t="s" s="11">
        <v>114</v>
      </c>
      <c r="D4267" t="s" s="11">
        <v>1386</v>
      </c>
      <c r="E4267" t="s" s="11">
        <v>29</v>
      </c>
      <c r="F4267" s="28">
        <v>45952</v>
      </c>
      <c r="G4267" t="s" s="11">
        <v>4267</v>
      </c>
      <c r="H4267" s="43">
        <v>4</v>
      </c>
      <c r="I4267" t="s" s="43">
        <v>30</v>
      </c>
      <c r="J4267" t="s" s="11">
        <v>21592</v>
      </c>
      <c r="K4267" t="s" s="11">
        <v>21593</v>
      </c>
      <c r="L4267" s="17">
        <f>HYPERLINK("http://www.atriumdata.ai", "www.atriumdata.ai")</f>
      </c>
      <c r="M4267" s="17">
        <f>HYPERLINK("https://my.pitchbook.com?c=675370-90", "View Company Online")</f>
      </c>
    </row>
    <row r="4268">
      <c r="A4268" t="s" s="10">
        <v>21595</v>
      </c>
      <c r="B4268" t="s" s="10">
        <v>21596</v>
      </c>
      <c r="C4268" t="s" s="10">
        <v>27</v>
      </c>
      <c r="D4268" t="s" s="10">
        <v>70</v>
      </c>
      <c r="E4268" t="s" s="10">
        <v>137</v>
      </c>
      <c r="F4268" s="27">
        <v>45966</v>
      </c>
      <c r="G4268" t="s" s="10">
        <v>4267</v>
      </c>
      <c r="H4268" s="42">
        <v>1.75</v>
      </c>
      <c r="I4268" t="s" s="42">
        <v>30</v>
      </c>
      <c r="J4268" t="s" s="10">
        <v>21597</v>
      </c>
      <c r="K4268" t="s" s="10">
        <v>21598</v>
      </c>
      <c r="L4268" s="16">
        <f>HYPERLINK("http://atrya.io", "atrya.io")</f>
      </c>
      <c r="M4268" s="16">
        <f>HYPERLINK("https://my.pitchbook.com?c=593887-42", "View Company Online")</f>
      </c>
    </row>
    <row r="4269">
      <c r="A4269" t="s" s="11">
        <v>21600</v>
      </c>
      <c r="B4269" t="s" s="11">
        <v>21601</v>
      </c>
      <c r="C4269" t="s" s="11">
        <v>60</v>
      </c>
      <c r="D4269" t="s" s="11">
        <v>246</v>
      </c>
      <c r="E4269" t="s" s="11">
        <v>3604</v>
      </c>
      <c r="F4269" s="28">
        <v>45597</v>
      </c>
      <c r="G4269" t="s" s="11">
        <v>146</v>
      </c>
      <c r="H4269" t="s" s="43">
        <v>30</v>
      </c>
      <c r="I4269" t="s" s="43">
        <v>30</v>
      </c>
      <c r="J4269" t="s" s="11">
        <v>21602</v>
      </c>
      <c r="K4269" t="s" s="11">
        <v>21603</v>
      </c>
      <c r="L4269" s="17">
        <f>HYPERLINK("http://www.attain.app", "www.attain.app")</f>
      </c>
      <c r="M4269" s="17">
        <f>HYPERLINK("https://my.pitchbook.com?c=489809-08", "View Company Online")</f>
      </c>
    </row>
    <row r="4270">
      <c r="A4270" t="s" s="10">
        <v>21605</v>
      </c>
      <c r="B4270" t="s" s="10">
        <v>21606</v>
      </c>
      <c r="C4270" t="s" s="10">
        <v>222</v>
      </c>
      <c r="D4270" t="s" s="10">
        <v>223</v>
      </c>
      <c r="E4270" t="s" s="10">
        <v>414</v>
      </c>
      <c r="F4270" s="27">
        <v>45645</v>
      </c>
      <c r="G4270" t="s" s="10">
        <v>4267</v>
      </c>
      <c r="H4270" s="42">
        <v>10</v>
      </c>
      <c r="I4270" t="s" s="42">
        <v>30</v>
      </c>
      <c r="J4270" t="s" s="10">
        <v>21607</v>
      </c>
      <c r="K4270" t="s" s="10">
        <v>21608</v>
      </c>
      <c r="L4270" s="16">
        <f>HYPERLINK("http://www.attimet.com", "www.attimet.com")</f>
      </c>
      <c r="M4270" s="16">
        <f>HYPERLINK("https://my.pitchbook.com?c=865915-75", "View Company Online")</f>
      </c>
    </row>
    <row r="4271">
      <c r="A4271" t="s" s="11">
        <v>21610</v>
      </c>
      <c r="B4271" t="s" s="11">
        <v>21611</v>
      </c>
      <c r="C4271" t="s" s="11">
        <v>46</v>
      </c>
      <c r="D4271" t="s" s="11">
        <v>915</v>
      </c>
      <c r="E4271" t="s" s="11">
        <v>253</v>
      </c>
      <c r="F4271" s="28">
        <v>46210</v>
      </c>
      <c r="G4271" t="s" s="11">
        <v>138</v>
      </c>
      <c r="H4271" t="s" s="43">
        <v>30</v>
      </c>
      <c r="I4271" t="s" s="43">
        <v>30</v>
      </c>
      <c r="J4271" t="s" s="11">
        <v>21612</v>
      </c>
      <c r="K4271" t="s" s="11">
        <v>30</v>
      </c>
      <c r="L4271" s="17">
        <f>HYPERLINK("http://www.attrb.io", "www.attrb.io")</f>
      </c>
      <c r="M4271" s="17">
        <f>HYPERLINK("https://my.pitchbook.com?c=664280-38", "View Company Online")</f>
      </c>
    </row>
    <row r="4272">
      <c r="A4272" t="s" s="10">
        <v>21614</v>
      </c>
      <c r="B4272" t="s" s="10">
        <v>21615</v>
      </c>
      <c r="C4272" t="s" s="10">
        <v>27</v>
      </c>
      <c r="D4272" t="s" s="10">
        <v>28</v>
      </c>
      <c r="E4272" t="s" s="10">
        <v>1859</v>
      </c>
      <c r="F4272" s="27">
        <v>44439</v>
      </c>
      <c r="G4272" t="s" s="10">
        <v>607</v>
      </c>
      <c r="H4272" t="s" s="42">
        <v>30</v>
      </c>
      <c r="I4272" t="s" s="42">
        <v>30</v>
      </c>
      <c r="J4272" t="s" s="10">
        <v>21616</v>
      </c>
      <c r="K4272" t="s" s="10">
        <v>21617</v>
      </c>
      <c r="L4272" s="16">
        <f>HYPERLINK("http://attrus.com", "attrus.com")</f>
      </c>
      <c r="M4272" s="16">
        <f>HYPERLINK("https://my.pitchbook.com?c=439455-16", "View Company Online")</f>
      </c>
    </row>
    <row r="4273">
      <c r="A4273" t="s" s="11">
        <v>21619</v>
      </c>
      <c r="B4273" t="s" s="11">
        <v>21620</v>
      </c>
      <c r="C4273" t="s" s="11">
        <v>164</v>
      </c>
      <c r="D4273" t="s" s="11">
        <v>206</v>
      </c>
      <c r="E4273" t="s" s="11">
        <v>253</v>
      </c>
      <c r="F4273" s="28">
        <v>45698</v>
      </c>
      <c r="G4273" t="s" s="11">
        <v>146</v>
      </c>
      <c r="H4273" t="s" s="43">
        <v>30</v>
      </c>
      <c r="I4273" t="s" s="43">
        <v>30</v>
      </c>
      <c r="J4273" t="s" s="11">
        <v>21621</v>
      </c>
      <c r="K4273" t="s" s="11">
        <v>21622</v>
      </c>
      <c r="L4273" s="17">
        <f>HYPERLINK("http://www.audax.io", "www.audax.io")</f>
      </c>
      <c r="M4273" s="17">
        <f>HYPERLINK("https://my.pitchbook.com?c=535567-42", "View Company Online")</f>
      </c>
    </row>
    <row r="4274">
      <c r="A4274" t="s" s="10">
        <v>21624</v>
      </c>
      <c r="B4274" t="s" s="10">
        <v>21625</v>
      </c>
      <c r="C4274" t="s" s="10">
        <v>27</v>
      </c>
      <c r="D4274" t="s" s="10">
        <v>28</v>
      </c>
      <c r="E4274" t="s" s="10">
        <v>259</v>
      </c>
      <c r="F4274" s="27">
        <v>45800</v>
      </c>
      <c r="G4274" t="s" s="10">
        <v>40</v>
      </c>
      <c r="H4274" s="42">
        <v>26</v>
      </c>
      <c r="I4274" t="s" s="42">
        <v>30</v>
      </c>
      <c r="J4274" t="s" s="10">
        <v>21626</v>
      </c>
      <c r="K4274" t="s" s="10">
        <v>21627</v>
      </c>
      <c r="L4274" s="16">
        <f>HYPERLINK("http://www.aufinity.com", "www.aufinity.com")</f>
      </c>
      <c r="M4274" s="16">
        <f>HYPERLINK("https://my.pitchbook.com?c=459306-01", "View Company Online")</f>
      </c>
    </row>
    <row r="4275">
      <c r="A4275" t="s" s="11">
        <v>21629</v>
      </c>
      <c r="B4275" t="s" s="11">
        <v>21630</v>
      </c>
      <c r="C4275" t="s" s="11">
        <v>60</v>
      </c>
      <c r="D4275" t="s" s="11">
        <v>727</v>
      </c>
      <c r="E4275" t="s" s="11">
        <v>21631</v>
      </c>
      <c r="F4275" t="s" s="28">
        <v>30</v>
      </c>
      <c r="G4275" t="s" s="11">
        <v>40</v>
      </c>
      <c r="H4275" s="43">
        <v>0.54</v>
      </c>
      <c r="I4275" t="s" s="43">
        <v>30</v>
      </c>
      <c r="J4275" t="s" s="11">
        <v>21632</v>
      </c>
      <c r="K4275" t="s" s="11">
        <v>21633</v>
      </c>
      <c r="L4275" s="17">
        <f>HYPERLINK("http://www.aufort.gold", "www.aufort.gold")</f>
      </c>
      <c r="M4275" s="17">
        <f>HYPERLINK("https://my.pitchbook.com?c=469635-76", "View Company Online")</f>
      </c>
    </row>
    <row r="4276">
      <c r="A4276" t="s" s="10">
        <v>21635</v>
      </c>
      <c r="B4276" t="s" s="10">
        <v>21636</v>
      </c>
      <c r="C4276" t="s" s="10">
        <v>222</v>
      </c>
      <c r="D4276" t="s" s="10">
        <v>252</v>
      </c>
      <c r="E4276" t="s" s="10">
        <v>859</v>
      </c>
      <c r="F4276" s="27">
        <v>46114</v>
      </c>
      <c r="G4276" t="s" s="10">
        <v>40</v>
      </c>
      <c r="H4276" s="42">
        <v>16.16</v>
      </c>
      <c r="I4276" t="s" s="42">
        <v>30</v>
      </c>
      <c r="J4276" t="s" s="10">
        <v>21637</v>
      </c>
      <c r="K4276" t="s" s="10">
        <v>21638</v>
      </c>
      <c r="L4276" s="16">
        <f>HYPERLINK("http://www.augustdigital.io", "www.augustdigital.io")</f>
      </c>
      <c r="M4276" s="16">
        <f>HYPERLINK("https://my.pitchbook.com?c=513391-96", "View Company Online")</f>
      </c>
    </row>
    <row r="4277">
      <c r="A4277" t="s" s="11">
        <v>21640</v>
      </c>
      <c r="B4277" t="s" s="11">
        <v>21641</v>
      </c>
      <c r="C4277" t="s" s="11">
        <v>46</v>
      </c>
      <c r="D4277" t="s" s="11">
        <v>397</v>
      </c>
      <c r="E4277" t="s" s="11">
        <v>137</v>
      </c>
      <c r="F4277" s="28">
        <v>45442</v>
      </c>
      <c r="G4277" t="s" s="11">
        <v>4267</v>
      </c>
      <c r="H4277" s="43">
        <v>1.1</v>
      </c>
      <c r="I4277" t="s" s="43">
        <v>30</v>
      </c>
      <c r="J4277" t="s" s="11">
        <v>21642</v>
      </c>
      <c r="K4277" t="s" s="11">
        <v>21643</v>
      </c>
      <c r="L4277" s="17">
        <f>HYPERLINK("http://aumico.io", "aumico.io")</f>
      </c>
      <c r="M4277" s="17">
        <f>HYPERLINK("https://my.pitchbook.com?c=555595-75", "View Company Online")</f>
      </c>
    </row>
    <row r="4278">
      <c r="A4278" t="s" s="10">
        <v>21645</v>
      </c>
      <c r="B4278" t="s" s="10">
        <v>21646</v>
      </c>
      <c r="C4278" t="s" s="10">
        <v>172</v>
      </c>
      <c r="D4278" t="s" s="10">
        <v>338</v>
      </c>
      <c r="E4278" t="s" s="10">
        <v>253</v>
      </c>
      <c r="F4278" s="27">
        <v>45343</v>
      </c>
      <c r="G4278" t="s" s="10">
        <v>4267</v>
      </c>
      <c r="H4278" t="s" s="42">
        <v>30</v>
      </c>
      <c r="I4278" t="s" s="42">
        <v>30</v>
      </c>
      <c r="J4278" t="s" s="10">
        <v>21647</v>
      </c>
      <c r="K4278" t="s" s="10">
        <v>21648</v>
      </c>
      <c r="L4278" s="16">
        <f>HYPERLINK("http://www.auptimate.com", "www.auptimate.com")</f>
      </c>
      <c r="M4278" s="16">
        <f>HYPERLINK("https://my.pitchbook.com?c=515242-90", "View Company Online")</f>
      </c>
    </row>
    <row r="4279">
      <c r="A4279" t="s" s="11">
        <v>21650</v>
      </c>
      <c r="B4279" t="s" s="11">
        <v>21651</v>
      </c>
      <c r="C4279" t="s" s="11">
        <v>46</v>
      </c>
      <c r="D4279" t="s" s="11">
        <v>47</v>
      </c>
      <c r="E4279" t="s" s="11">
        <v>253</v>
      </c>
      <c r="F4279" s="28">
        <v>45768</v>
      </c>
      <c r="G4279" t="s" s="11">
        <v>4267</v>
      </c>
      <c r="H4279" t="s" s="43">
        <v>30</v>
      </c>
      <c r="I4279" t="s" s="43">
        <v>30</v>
      </c>
      <c r="J4279" t="s" s="11">
        <v>21652</v>
      </c>
      <c r="K4279" t="s" s="11">
        <v>21653</v>
      </c>
      <c r="L4279" s="17">
        <f>HYPERLINK("http://www.aurafinance.me", "www.aurafinance.me")</f>
      </c>
      <c r="M4279" s="17">
        <f>HYPERLINK("https://my.pitchbook.com?c=542252-53", "View Company Online")</f>
      </c>
    </row>
    <row r="4280">
      <c r="A4280" t="s" s="10">
        <v>21655</v>
      </c>
      <c r="B4280" t="s" s="10">
        <v>21656</v>
      </c>
      <c r="C4280" t="s" s="10">
        <v>164</v>
      </c>
      <c r="D4280" t="s" s="10">
        <v>206</v>
      </c>
      <c r="E4280" t="s" s="10">
        <v>137</v>
      </c>
      <c r="F4280" s="27">
        <v>45698</v>
      </c>
      <c r="G4280" t="s" s="10">
        <v>607</v>
      </c>
      <c r="H4280" s="42">
        <v>0.07</v>
      </c>
      <c r="I4280" t="s" s="42">
        <v>30</v>
      </c>
      <c r="J4280" t="s" s="10">
        <v>21657</v>
      </c>
      <c r="K4280" t="s" s="10">
        <v>21658</v>
      </c>
      <c r="L4280" s="16">
        <f>HYPERLINK("http://www.aurem.tech", "www.aurem.tech")</f>
      </c>
      <c r="M4280" s="16">
        <f>HYPERLINK("https://my.pitchbook.com?c=510169-06", "View Company Online")</f>
      </c>
    </row>
    <row r="4281">
      <c r="A4281" t="s" s="11">
        <v>21660</v>
      </c>
      <c r="B4281" t="s" s="11">
        <v>21661</v>
      </c>
      <c r="C4281" t="s" s="11">
        <v>60</v>
      </c>
      <c r="D4281" t="s" s="11">
        <v>61</v>
      </c>
      <c r="E4281" t="s" s="11">
        <v>859</v>
      </c>
      <c r="F4281" s="28">
        <v>45949</v>
      </c>
      <c r="G4281" t="s" s="11">
        <v>4267</v>
      </c>
      <c r="H4281" s="43">
        <v>1.1</v>
      </c>
      <c r="I4281" t="s" s="43">
        <v>30</v>
      </c>
      <c r="J4281" t="s" s="11">
        <v>21662</v>
      </c>
      <c r="K4281" t="s" s="11">
        <v>21663</v>
      </c>
      <c r="L4281" s="17">
        <f>HYPERLINK("http://www.aureobitcoin.com", "www.aureobitcoin.com")</f>
      </c>
      <c r="M4281" s="17">
        <f>HYPERLINK("https://my.pitchbook.com?c=1153688-50", "View Company Online")</f>
      </c>
    </row>
    <row r="4282">
      <c r="A4282" t="s" s="10">
        <v>21665</v>
      </c>
      <c r="B4282" t="s" s="10">
        <v>21666</v>
      </c>
      <c r="C4282" t="s" s="10">
        <v>27</v>
      </c>
      <c r="D4282" t="s" s="10">
        <v>28</v>
      </c>
      <c r="E4282" t="s" s="10">
        <v>2184</v>
      </c>
      <c r="F4282" s="27">
        <v>45627</v>
      </c>
      <c r="G4282" t="s" s="10">
        <v>607</v>
      </c>
      <c r="H4282" t="s" s="42">
        <v>30</v>
      </c>
      <c r="I4282" t="s" s="42">
        <v>30</v>
      </c>
      <c r="J4282" t="s" s="10">
        <v>21667</v>
      </c>
      <c r="K4282" t="s" s="10">
        <v>21668</v>
      </c>
      <c r="L4282" s="16">
        <f>HYPERLINK("http://www.authpay.ai", "www.authpay.ai")</f>
      </c>
      <c r="M4282" s="16">
        <f>HYPERLINK("https://my.pitchbook.com?c=590210-47", "View Company Online")</f>
      </c>
    </row>
    <row r="4283">
      <c r="A4283" t="s" s="11">
        <v>21670</v>
      </c>
      <c r="B4283" t="s" s="11">
        <v>21671</v>
      </c>
      <c r="C4283" t="s" s="11">
        <v>114</v>
      </c>
      <c r="D4283" t="s" s="11">
        <v>136</v>
      </c>
      <c r="E4283" t="s" s="11">
        <v>253</v>
      </c>
      <c r="F4283" s="28">
        <v>43935</v>
      </c>
      <c r="G4283" t="s" s="11">
        <v>5311</v>
      </c>
      <c r="H4283" s="43">
        <v>1.75</v>
      </c>
      <c r="I4283" t="s" s="43">
        <v>30</v>
      </c>
      <c r="J4283" t="s" s="11">
        <v>21672</v>
      </c>
      <c r="K4283" t="s" s="11">
        <v>21673</v>
      </c>
      <c r="L4283" t="s" s="11">
        <v>30</v>
      </c>
      <c r="M4283" s="17">
        <f>HYPERLINK("https://my.pitchbook.com?c=58085-83", "View Company Online")</f>
      </c>
    </row>
    <row r="4284">
      <c r="A4284" t="s" s="10">
        <v>21674</v>
      </c>
      <c r="B4284" t="s" s="10">
        <v>21675</v>
      </c>
      <c r="C4284" t="s" s="10">
        <v>222</v>
      </c>
      <c r="D4284" t="s" s="10">
        <v>235</v>
      </c>
      <c r="E4284" t="s" s="10">
        <v>4013</v>
      </c>
      <c r="F4284" s="27">
        <v>44601</v>
      </c>
      <c r="G4284" t="s" s="10">
        <v>40</v>
      </c>
      <c r="H4284" s="42">
        <v>30</v>
      </c>
      <c r="I4284" t="s" s="42">
        <v>30</v>
      </c>
      <c r="J4284" t="s" s="10">
        <v>21676</v>
      </c>
      <c r="K4284" t="s" s="10">
        <v>21677</v>
      </c>
      <c r="L4284" s="16">
        <f>HYPERLINK("http://www.autotechvc.com", "www.autotechvc.com")</f>
      </c>
      <c r="M4284" s="16">
        <f>HYPERLINK("https://my.pitchbook.com?c=83255-32", "View Company Online")</f>
      </c>
    </row>
    <row r="4285">
      <c r="A4285" t="s" s="11">
        <v>21679</v>
      </c>
      <c r="B4285" t="s" s="11">
        <v>21680</v>
      </c>
      <c r="C4285" t="s" s="11">
        <v>172</v>
      </c>
      <c r="D4285" t="s" s="11">
        <v>173</v>
      </c>
      <c r="E4285" t="s" s="11">
        <v>367</v>
      </c>
      <c r="F4285" s="28">
        <v>45903</v>
      </c>
      <c r="G4285" t="s" s="11">
        <v>4267</v>
      </c>
      <c r="H4285" t="s" s="43">
        <v>30</v>
      </c>
      <c r="I4285" t="s" s="43">
        <v>30</v>
      </c>
      <c r="J4285" t="s" s="11">
        <v>21681</v>
      </c>
      <c r="K4285" t="s" s="11">
        <v>21682</v>
      </c>
      <c r="L4285" s="17">
        <f>HYPERLINK("http://www.useautumn.com", "www.useautumn.com")</f>
      </c>
      <c r="M4285" s="17">
        <f>HYPERLINK("https://my.pitchbook.com?c=711514-09", "View Company Online")</f>
      </c>
    </row>
    <row r="4286">
      <c r="A4286" t="s" s="10">
        <v>21684</v>
      </c>
      <c r="B4286" t="s" s="10">
        <v>21685</v>
      </c>
      <c r="C4286" t="s" s="10">
        <v>46</v>
      </c>
      <c r="D4286" t="s" s="10">
        <v>47</v>
      </c>
      <c r="E4286" t="s" s="10">
        <v>21686</v>
      </c>
      <c r="F4286" s="27">
        <v>46042</v>
      </c>
      <c r="G4286" t="s" s="10">
        <v>40</v>
      </c>
      <c r="H4286" t="s" s="42">
        <v>30</v>
      </c>
      <c r="I4286" t="s" s="42">
        <v>30</v>
      </c>
      <c r="J4286" t="s" s="10">
        <v>21687</v>
      </c>
      <c r="K4286" t="s" s="10">
        <v>21688</v>
      </c>
      <c r="L4286" s="16">
        <f>HYPERLINK("http://www.auvo.com", "www.auvo.com")</f>
      </c>
      <c r="M4286" s="16">
        <f>HYPERLINK("https://my.pitchbook.com?c=224427-25", "View Company Online")</f>
      </c>
    </row>
    <row r="4287">
      <c r="A4287" t="s" s="11">
        <v>21690</v>
      </c>
      <c r="B4287" t="s" s="11">
        <v>21691</v>
      </c>
      <c r="C4287" t="s" s="11">
        <v>114</v>
      </c>
      <c r="D4287" t="s" s="11">
        <v>852</v>
      </c>
      <c r="E4287" t="s" s="11">
        <v>137</v>
      </c>
      <c r="F4287" s="28">
        <v>45637</v>
      </c>
      <c r="G4287" t="s" s="11">
        <v>40</v>
      </c>
      <c r="H4287" s="43">
        <v>14.2</v>
      </c>
      <c r="I4287" t="s" s="43">
        <v>30</v>
      </c>
      <c r="J4287" t="s" s="11">
        <v>21692</v>
      </c>
      <c r="K4287" t="s" s="11">
        <v>21693</v>
      </c>
      <c r="L4287" s="17">
        <f>HYPERLINK("http://www.avantifinance.in", "www.avantifinance.in")</f>
      </c>
      <c r="M4287" s="17">
        <f>HYPERLINK("https://my.pitchbook.com?c=398901-52", "View Company Online")</f>
      </c>
    </row>
    <row r="4288">
      <c r="A4288" t="s" s="10">
        <v>21695</v>
      </c>
      <c r="B4288" t="s" s="10">
        <v>21696</v>
      </c>
      <c r="C4288" t="s" s="10">
        <v>37</v>
      </c>
      <c r="D4288" t="s" s="10">
        <v>304</v>
      </c>
      <c r="E4288" t="s" s="10">
        <v>1541</v>
      </c>
      <c r="F4288" s="27">
        <v>43741</v>
      </c>
      <c r="G4288" t="s" s="10">
        <v>146</v>
      </c>
      <c r="H4288" t="s" s="42">
        <v>30</v>
      </c>
      <c r="I4288" t="s" s="42">
        <v>30</v>
      </c>
      <c r="J4288" t="s" s="10">
        <v>21697</v>
      </c>
      <c r="K4288" t="s" s="10">
        <v>21698</v>
      </c>
      <c r="L4288" s="16">
        <f>HYPERLINK("http://www.avendi.me", "www.avendi.me")</f>
      </c>
      <c r="M4288" s="16">
        <f>HYPERLINK("https://my.pitchbook.com?c=470106-46", "View Company Online")</f>
      </c>
    </row>
    <row r="4289">
      <c r="A4289" t="s" s="11">
        <v>21700</v>
      </c>
      <c r="B4289" t="s" s="11">
        <v>21701</v>
      </c>
      <c r="C4289" t="s" s="11">
        <v>27</v>
      </c>
      <c r="D4289" t="s" s="11">
        <v>122</v>
      </c>
      <c r="E4289" t="s" s="11">
        <v>137</v>
      </c>
      <c r="F4289" s="28">
        <v>46053</v>
      </c>
      <c r="G4289" t="s" s="11">
        <v>146</v>
      </c>
      <c r="H4289" s="43">
        <v>17</v>
      </c>
      <c r="I4289" t="s" s="43">
        <v>30</v>
      </c>
      <c r="J4289" t="s" s="11">
        <v>21702</v>
      </c>
      <c r="K4289" t="s" s="11">
        <v>21703</v>
      </c>
      <c r="L4289" s="17">
        <f>HYPERLINK("http://www.avenia.io", "www.avenia.io")</f>
      </c>
      <c r="M4289" s="17">
        <f>HYPERLINK("https://my.pitchbook.com?c=538148-89", "View Company Online")</f>
      </c>
    </row>
    <row r="4290">
      <c r="A4290" t="s" s="10">
        <v>21705</v>
      </c>
      <c r="B4290" t="s" s="10">
        <v>21706</v>
      </c>
      <c r="C4290" t="s" s="10">
        <v>114</v>
      </c>
      <c r="D4290" t="s" s="10">
        <v>852</v>
      </c>
      <c r="E4290" t="s" s="10">
        <v>137</v>
      </c>
      <c r="F4290" s="27">
        <v>45355</v>
      </c>
      <c r="G4290" t="s" s="10">
        <v>40</v>
      </c>
      <c r="H4290" s="42">
        <v>17.7</v>
      </c>
      <c r="I4290" t="s" s="42">
        <v>30</v>
      </c>
      <c r="J4290" t="s" s="10">
        <v>21707</v>
      </c>
      <c r="K4290" t="s" s="10">
        <v>21708</v>
      </c>
      <c r="L4290" s="16">
        <f>HYPERLINK("http://www.avenuebank.com.au", "www.avenuebank.com.au")</f>
      </c>
      <c r="M4290" s="16">
        <f>HYPERLINK("https://my.pitchbook.com?c=437283-91", "View Company Online")</f>
      </c>
    </row>
    <row r="4291">
      <c r="A4291" t="s" s="11">
        <v>21710</v>
      </c>
      <c r="B4291" t="s" s="11">
        <v>21711</v>
      </c>
      <c r="C4291" t="s" s="11">
        <v>128</v>
      </c>
      <c r="D4291" t="s" s="11">
        <v>276</v>
      </c>
      <c r="E4291" t="s" s="11">
        <v>137</v>
      </c>
      <c r="F4291" s="28">
        <v>45356</v>
      </c>
      <c r="G4291" t="s" s="11">
        <v>146</v>
      </c>
      <c r="H4291" s="43">
        <v>15</v>
      </c>
      <c r="I4291" t="s" s="43">
        <v>30</v>
      </c>
      <c r="J4291" t="s" s="11">
        <v>21712</v>
      </c>
      <c r="K4291" t="s" s="11">
        <v>21713</v>
      </c>
      <c r="L4291" s="17">
        <f>HYPERLINK("http://www.avianlabs.net", "www.avianlabs.net")</f>
      </c>
      <c r="M4291" s="17">
        <f>HYPERLINK("https://my.pitchbook.com?c=519227-56", "View Company Online")</f>
      </c>
    </row>
    <row r="4292">
      <c r="A4292" t="s" s="10">
        <v>21715</v>
      </c>
      <c r="B4292" t="s" s="10">
        <v>21716</v>
      </c>
      <c r="C4292" t="s" s="10">
        <v>60</v>
      </c>
      <c r="D4292" t="s" s="10">
        <v>246</v>
      </c>
      <c r="E4292" t="s" s="10">
        <v>367</v>
      </c>
      <c r="F4292" s="27">
        <v>44927</v>
      </c>
      <c r="G4292" t="s" s="10">
        <v>4267</v>
      </c>
      <c r="H4292" s="42">
        <v>3</v>
      </c>
      <c r="I4292" t="s" s="42">
        <v>30</v>
      </c>
      <c r="J4292" t="s" s="10">
        <v>21717</v>
      </c>
      <c r="K4292" t="s" s="10">
        <v>21718</v>
      </c>
      <c r="L4292" s="16">
        <f>HYPERLINK("http://www.helloaviary.ai", "www.helloaviary.ai")</f>
      </c>
      <c r="M4292" s="16">
        <f>HYPERLINK("https://my.pitchbook.com?c=439545-88", "View Company Online")</f>
      </c>
    </row>
    <row r="4293">
      <c r="A4293" t="s" s="11">
        <v>21720</v>
      </c>
      <c r="B4293" t="s" s="11">
        <v>21721</v>
      </c>
      <c r="C4293" t="s" s="11">
        <v>222</v>
      </c>
      <c r="D4293" t="s" s="11">
        <v>223</v>
      </c>
      <c r="E4293" t="s" s="11">
        <v>414</v>
      </c>
      <c r="F4293" t="s" s="28">
        <v>30</v>
      </c>
      <c r="G4293" t="s" s="11">
        <v>146</v>
      </c>
      <c r="H4293" s="43">
        <v>15</v>
      </c>
      <c r="I4293" t="s" s="43">
        <v>30</v>
      </c>
      <c r="J4293" t="s" s="11">
        <v>21722</v>
      </c>
      <c r="K4293" t="s" s="11">
        <v>21723</v>
      </c>
      <c r="L4293" s="17">
        <f>HYPERLINK("http://www.aviato.co", "www.aviato.co")</f>
      </c>
      <c r="M4293" s="17">
        <f>HYPERLINK("https://my.pitchbook.com?c=495798-67", "View Company Online")</f>
      </c>
    </row>
    <row r="4294">
      <c r="A4294" t="s" s="10">
        <v>21725</v>
      </c>
      <c r="B4294" t="s" s="10">
        <v>21726</v>
      </c>
      <c r="C4294" t="s" s="10">
        <v>60</v>
      </c>
      <c r="D4294" t="s" s="10">
        <v>61</v>
      </c>
      <c r="E4294" t="s" s="10">
        <v>62</v>
      </c>
      <c r="F4294" s="27">
        <v>45948</v>
      </c>
      <c r="G4294" t="s" s="10">
        <v>146</v>
      </c>
      <c r="H4294" s="42">
        <v>3.5</v>
      </c>
      <c r="I4294" t="s" s="42">
        <v>30</v>
      </c>
      <c r="J4294" t="s" s="10">
        <v>21727</v>
      </c>
      <c r="K4294" t="s" s="10">
        <v>30</v>
      </c>
      <c r="L4294" s="16">
        <f>HYPERLINK("http://www.avici.money", "www.avici.money")</f>
      </c>
      <c r="M4294" s="16">
        <f>HYPERLINK("https://my.pitchbook.com?c=1153683-19", "View Company Online")</f>
      </c>
    </row>
    <row r="4295">
      <c r="A4295" t="s" s="11">
        <v>21729</v>
      </c>
      <c r="B4295" t="s" s="11">
        <v>21730</v>
      </c>
      <c r="C4295" t="s" s="11">
        <v>222</v>
      </c>
      <c r="D4295" t="s" s="11">
        <v>252</v>
      </c>
      <c r="E4295" t="s" s="11">
        <v>253</v>
      </c>
      <c r="F4295" s="28">
        <v>43683</v>
      </c>
      <c r="G4295" t="s" s="11">
        <v>4267</v>
      </c>
      <c r="H4295" s="43">
        <v>4.78</v>
      </c>
      <c r="I4295" t="s" s="43">
        <v>30</v>
      </c>
      <c r="J4295" t="s" s="11">
        <v>21731</v>
      </c>
      <c r="K4295" t="s" s="11">
        <v>30</v>
      </c>
      <c r="L4295" s="17">
        <f>HYPERLINK("http://www.axeltechnologiesgroup.com", "www.axeltechnologiesgroup.com")</f>
      </c>
      <c r="M4295" s="17">
        <f>HYPERLINK("https://my.pitchbook.com?c=277753-24", "View Company Online")</f>
      </c>
    </row>
    <row r="4296">
      <c r="A4296" t="s" s="10">
        <v>21733</v>
      </c>
      <c r="B4296" t="s" s="10">
        <v>21734</v>
      </c>
      <c r="C4296" t="s" s="10">
        <v>46</v>
      </c>
      <c r="D4296" t="s" s="10">
        <v>47</v>
      </c>
      <c r="E4296" t="s" s="10">
        <v>193</v>
      </c>
      <c r="F4296" t="s" s="27">
        <v>30</v>
      </c>
      <c r="G4296" t="s" s="10">
        <v>48</v>
      </c>
      <c r="H4296" t="s" s="42">
        <v>30</v>
      </c>
      <c r="I4296" t="s" s="42">
        <v>30</v>
      </c>
      <c r="J4296" t="s" s="10">
        <v>21735</v>
      </c>
      <c r="K4296" t="s" s="10">
        <v>21736</v>
      </c>
      <c r="L4296" s="16">
        <f>HYPERLINK("http://www.axela-tech.com", "www.axela-tech.com")</f>
      </c>
      <c r="M4296" s="16">
        <f>HYPERLINK("https://my.pitchbook.com?c=228915-37", "View Company Online")</f>
      </c>
    </row>
    <row r="4297">
      <c r="A4297" t="s" s="11">
        <v>21738</v>
      </c>
      <c r="B4297" t="s" s="11">
        <v>21739</v>
      </c>
      <c r="C4297" t="s" s="11">
        <v>114</v>
      </c>
      <c r="D4297" t="s" s="11">
        <v>136</v>
      </c>
      <c r="E4297" t="s" s="11">
        <v>137</v>
      </c>
      <c r="F4297" s="28">
        <v>43300</v>
      </c>
      <c r="G4297" t="s" s="11">
        <v>146</v>
      </c>
      <c r="H4297" s="43">
        <v>0.15</v>
      </c>
      <c r="I4297" t="s" s="43">
        <v>30</v>
      </c>
      <c r="J4297" t="s" s="11">
        <v>21740</v>
      </c>
      <c r="K4297" t="s" s="11">
        <v>21741</v>
      </c>
      <c r="L4297" s="17">
        <f>HYPERLINK("http://axend.io", "axend.io")</f>
      </c>
      <c r="M4297" s="17">
        <f>HYPERLINK("https://my.pitchbook.com?c=170382-07", "View Company Online")</f>
      </c>
    </row>
    <row r="4298">
      <c r="A4298" t="s" s="10">
        <v>21743</v>
      </c>
      <c r="B4298" t="s" s="10">
        <v>21744</v>
      </c>
      <c r="C4298" t="s" s="10">
        <v>27</v>
      </c>
      <c r="D4298" t="s" s="10">
        <v>70</v>
      </c>
      <c r="E4298" t="s" s="10">
        <v>21745</v>
      </c>
      <c r="F4298" s="27">
        <v>45552</v>
      </c>
      <c r="G4298" t="s" s="10">
        <v>607</v>
      </c>
      <c r="H4298" t="s" s="42">
        <v>30</v>
      </c>
      <c r="I4298" t="s" s="42">
        <v>30</v>
      </c>
      <c r="J4298" t="s" s="10">
        <v>21746</v>
      </c>
      <c r="K4298" t="s" s="10">
        <v>21747</v>
      </c>
      <c r="L4298" s="16">
        <f>HYPERLINK("http://www.ayacare.com", "www.ayacare.com")</f>
      </c>
      <c r="M4298" s="16">
        <f>HYPERLINK("https://my.pitchbook.com?c=267046-57", "View Company Online")</f>
      </c>
    </row>
    <row r="4299">
      <c r="A4299" t="s" s="11">
        <v>21749</v>
      </c>
      <c r="B4299" t="s" s="11">
        <v>21750</v>
      </c>
      <c r="C4299" t="s" s="11">
        <v>27</v>
      </c>
      <c r="D4299" t="s" s="11">
        <v>28</v>
      </c>
      <c r="E4299" t="s" s="11">
        <v>21751</v>
      </c>
      <c r="F4299" t="s" s="28">
        <v>30</v>
      </c>
      <c r="G4299" t="s" s="11">
        <v>48</v>
      </c>
      <c r="H4299" t="s" s="43">
        <v>30</v>
      </c>
      <c r="I4299" t="s" s="43">
        <v>30</v>
      </c>
      <c r="J4299" t="s" s="11">
        <v>21752</v>
      </c>
      <c r="K4299" t="s" s="11">
        <v>21753</v>
      </c>
      <c r="L4299" s="17">
        <f>HYPERLINK("http://www.ayannah.com", "www.ayannah.com")</f>
      </c>
      <c r="M4299" s="17">
        <f>HYPERLINK("https://my.pitchbook.com?c=54182-98", "View Company Online")</f>
      </c>
    </row>
    <row r="4300">
      <c r="A4300" t="s" s="10">
        <v>21755</v>
      </c>
      <c r="B4300" t="s" s="10">
        <v>21756</v>
      </c>
      <c r="C4300" t="s" s="10">
        <v>222</v>
      </c>
      <c r="D4300" t="s" s="10">
        <v>235</v>
      </c>
      <c r="E4300" t="s" s="10">
        <v>6920</v>
      </c>
      <c r="F4300" s="27">
        <v>44197</v>
      </c>
      <c r="G4300" t="s" s="10">
        <v>138</v>
      </c>
      <c r="H4300" t="s" s="42">
        <v>30</v>
      </c>
      <c r="I4300" t="s" s="42">
        <v>30</v>
      </c>
      <c r="J4300" t="s" s="10">
        <v>21757</v>
      </c>
      <c r="K4300" t="s" s="10">
        <v>30</v>
      </c>
      <c r="L4300" s="16">
        <f>HYPERLINK("http://www.backstopsolutions.com", "www.backstopsolutions.com")</f>
      </c>
      <c r="M4300" s="16">
        <f>HYPERLINK("https://my.pitchbook.com?c=56846-98", "View Company Online")</f>
      </c>
    </row>
    <row r="4301">
      <c r="A4301" t="s" s="11">
        <v>21759</v>
      </c>
      <c r="B4301" t="s" s="11">
        <v>21760</v>
      </c>
      <c r="C4301" t="s" s="11">
        <v>114</v>
      </c>
      <c r="D4301" t="s" s="11">
        <v>136</v>
      </c>
      <c r="E4301" t="s" s="11">
        <v>373</v>
      </c>
      <c r="F4301" s="28">
        <v>45999</v>
      </c>
      <c r="G4301" t="s" s="11">
        <v>40</v>
      </c>
      <c r="H4301" s="43">
        <v>2.75</v>
      </c>
      <c r="I4301" t="s" s="43">
        <v>30</v>
      </c>
      <c r="J4301" t="s" s="11">
        <v>21761</v>
      </c>
      <c r="K4301" t="s" s="11">
        <v>21762</v>
      </c>
      <c r="L4301" s="17">
        <f>HYPERLINK("http://www.securebags.com", "www.securebags.com")</f>
      </c>
      <c r="M4301" s="17">
        <f>HYPERLINK("https://my.pitchbook.com?c=502711-30", "View Company Online")</f>
      </c>
    </row>
    <row r="4302">
      <c r="A4302" t="s" s="10">
        <v>21764</v>
      </c>
      <c r="B4302" t="s" s="10">
        <v>21765</v>
      </c>
      <c r="C4302" t="s" s="10">
        <v>27</v>
      </c>
      <c r="D4302" t="s" s="10">
        <v>28</v>
      </c>
      <c r="E4302" t="s" s="10">
        <v>3782</v>
      </c>
      <c r="F4302" s="27">
        <v>45398</v>
      </c>
      <c r="G4302" t="s" s="10">
        <v>146</v>
      </c>
      <c r="H4302" s="42">
        <v>3.46</v>
      </c>
      <c r="I4302" t="s" s="42">
        <v>30</v>
      </c>
      <c r="J4302" t="s" s="10">
        <v>21766</v>
      </c>
      <c r="K4302" t="s" s="10">
        <v>30</v>
      </c>
      <c r="L4302" s="16">
        <f>HYPERLINK("http://www.52zhifu.com", "www.52zhifu.com")</f>
      </c>
      <c r="M4302" s="16">
        <f>HYPERLINK("https://my.pitchbook.com?c=594088-84", "View Company Online")</f>
      </c>
    </row>
    <row r="4303">
      <c r="A4303" t="s" s="11">
        <v>21768</v>
      </c>
      <c r="B4303" t="s" s="11">
        <v>21769</v>
      </c>
      <c r="C4303" t="s" s="11">
        <v>60</v>
      </c>
      <c r="D4303" t="s" s="11">
        <v>61</v>
      </c>
      <c r="E4303" t="s" s="11">
        <v>193</v>
      </c>
      <c r="F4303" s="28">
        <v>46023</v>
      </c>
      <c r="G4303" t="s" s="11">
        <v>607</v>
      </c>
      <c r="H4303" t="s" s="43">
        <v>30</v>
      </c>
      <c r="I4303" t="s" s="43">
        <v>30</v>
      </c>
      <c r="J4303" t="s" s="11">
        <v>21770</v>
      </c>
      <c r="K4303" t="s" s="11">
        <v>21771</v>
      </c>
      <c r="L4303" s="17">
        <f>HYPERLINK("http://www.bakksy.com", "www.bakksy.com")</f>
      </c>
      <c r="M4303" s="17">
        <f>HYPERLINK("https://my.pitchbook.com?c=528773-77", "View Company Online")</f>
      </c>
    </row>
    <row r="4304">
      <c r="A4304" t="s" s="10">
        <v>21773</v>
      </c>
      <c r="B4304" t="s" s="10">
        <v>21774</v>
      </c>
      <c r="C4304" t="s" s="10">
        <v>27</v>
      </c>
      <c r="D4304" t="s" s="10">
        <v>122</v>
      </c>
      <c r="E4304" t="s" s="10">
        <v>311</v>
      </c>
      <c r="F4304" s="27">
        <v>45343</v>
      </c>
      <c r="G4304" t="s" s="10">
        <v>271</v>
      </c>
      <c r="H4304" s="42">
        <v>0.01</v>
      </c>
      <c r="I4304" t="s" s="42">
        <v>30</v>
      </c>
      <c r="J4304" t="s" s="10">
        <v>21775</v>
      </c>
      <c r="K4304" t="s" s="10">
        <v>21776</v>
      </c>
      <c r="L4304" s="16">
        <f>HYPERLINK("http://www.getbalam.com.mx", "www.getbalam.com.mx")</f>
      </c>
      <c r="M4304" s="16">
        <f>HYPERLINK("https://my.pitchbook.com?c=538190-02", "View Company Online")</f>
      </c>
    </row>
    <row r="4305">
      <c r="A4305" t="s" s="11">
        <v>21778</v>
      </c>
      <c r="B4305" t="s" s="11">
        <v>21779</v>
      </c>
      <c r="C4305" t="s" s="11">
        <v>172</v>
      </c>
      <c r="D4305" t="s" s="11">
        <v>338</v>
      </c>
      <c r="E4305" t="s" s="11">
        <v>137</v>
      </c>
      <c r="F4305" s="28">
        <v>46085</v>
      </c>
      <c r="G4305" t="s" s="11">
        <v>5274</v>
      </c>
      <c r="H4305" s="43">
        <v>0.1</v>
      </c>
      <c r="I4305" t="s" s="43">
        <v>30</v>
      </c>
      <c r="J4305" t="s" s="11">
        <v>21780</v>
      </c>
      <c r="K4305" t="s" s="11">
        <v>30</v>
      </c>
      <c r="L4305" s="17">
        <f>HYPERLINK("http://www.balanced-trust.com", "www.balanced-trust.com")</f>
      </c>
      <c r="M4305" s="17">
        <f>HYPERLINK("https://my.pitchbook.com?c=1325183-68", "View Company Online")</f>
      </c>
    </row>
    <row r="4306">
      <c r="A4306" t="s" s="10">
        <v>21782</v>
      </c>
      <c r="B4306" t="s" s="10">
        <v>21783</v>
      </c>
      <c r="C4306" t="s" s="10">
        <v>60</v>
      </c>
      <c r="D4306" t="s" s="10">
        <v>727</v>
      </c>
      <c r="E4306" t="s" s="10">
        <v>6595</v>
      </c>
      <c r="F4306" s="27">
        <v>45200</v>
      </c>
      <c r="G4306" t="s" s="10">
        <v>146</v>
      </c>
      <c r="H4306" t="s" s="42">
        <v>30</v>
      </c>
      <c r="I4306" t="s" s="42">
        <v>30</v>
      </c>
      <c r="J4306" t="s" s="10">
        <v>21784</v>
      </c>
      <c r="K4306" t="s" s="10">
        <v>21785</v>
      </c>
      <c r="L4306" s="16">
        <f>HYPERLINK("http://www.balize.com", "www.balize.com")</f>
      </c>
      <c r="M4306" s="16">
        <f>HYPERLINK("https://my.pitchbook.com?c=523413-91", "View Company Online")</f>
      </c>
    </row>
    <row r="4307">
      <c r="A4307" t="s" s="11">
        <v>21787</v>
      </c>
      <c r="B4307" t="s" s="11">
        <v>21788</v>
      </c>
      <c r="C4307" t="s" s="11">
        <v>60</v>
      </c>
      <c r="D4307" t="s" s="11">
        <v>727</v>
      </c>
      <c r="E4307" t="s" s="11">
        <v>6584</v>
      </c>
      <c r="F4307" s="28">
        <v>43804</v>
      </c>
      <c r="G4307" t="s" s="11">
        <v>4267</v>
      </c>
      <c r="H4307" s="43">
        <v>1.15</v>
      </c>
      <c r="I4307" t="s" s="43">
        <v>30</v>
      </c>
      <c r="J4307" t="s" s="11">
        <v>21789</v>
      </c>
      <c r="K4307" t="s" s="11">
        <v>30</v>
      </c>
      <c r="L4307" s="17">
        <f>HYPERLINK("http://www.balko.com.br", "www.balko.com.br")</f>
      </c>
      <c r="M4307" s="17">
        <f>HYPERLINK("https://my.pitchbook.com?c=460141-93", "View Company Online")</f>
      </c>
    </row>
    <row r="4308">
      <c r="A4308" t="s" s="10">
        <v>21791</v>
      </c>
      <c r="B4308" t="s" s="10">
        <v>21792</v>
      </c>
      <c r="C4308" t="s" s="10">
        <v>114</v>
      </c>
      <c r="D4308" t="s" s="10">
        <v>852</v>
      </c>
      <c r="E4308" t="s" s="10">
        <v>137</v>
      </c>
      <c r="F4308" s="27">
        <v>45455</v>
      </c>
      <c r="G4308" t="s" s="10">
        <v>40</v>
      </c>
      <c r="H4308" s="42">
        <v>17.35</v>
      </c>
      <c r="I4308" t="s" s="42">
        <v>30</v>
      </c>
      <c r="J4308" t="s" s="10">
        <v>21793</v>
      </c>
      <c r="K4308" t="s" s="10">
        <v>21794</v>
      </c>
      <c r="L4308" s="16">
        <f>HYPERLINK("http://www.aidexa.it", "www.aidexa.it")</f>
      </c>
      <c r="M4308" s="16">
        <f>HYPERLINK("https://my.pitchbook.com?c=436623-58", "View Company Online")</f>
      </c>
    </row>
    <row r="4309">
      <c r="A4309" t="s" s="11">
        <v>21796</v>
      </c>
      <c r="B4309" t="s" s="11">
        <v>21797</v>
      </c>
      <c r="C4309" t="s" s="11">
        <v>27</v>
      </c>
      <c r="D4309" t="s" s="11">
        <v>28</v>
      </c>
      <c r="E4309" t="s" s="11">
        <v>721</v>
      </c>
      <c r="F4309" s="28">
        <v>46133</v>
      </c>
      <c r="G4309" t="s" s="11">
        <v>607</v>
      </c>
      <c r="H4309" t="s" s="43">
        <v>30</v>
      </c>
      <c r="I4309" t="s" s="43">
        <v>30</v>
      </c>
      <c r="J4309" t="s" s="11">
        <v>21798</v>
      </c>
      <c r="K4309" t="s" s="11">
        <v>21799</v>
      </c>
      <c r="L4309" s="17">
        <f>HYPERLINK("http://www.bani.africa", "www.bani.africa")</f>
      </c>
      <c r="M4309" s="17">
        <f>HYPERLINK("https://my.pitchbook.com?c=540873-55", "View Company Online")</f>
      </c>
    </row>
    <row r="4310">
      <c r="A4310" t="s" s="10">
        <v>21801</v>
      </c>
      <c r="B4310" t="s" s="10">
        <v>21802</v>
      </c>
      <c r="C4310" t="s" s="10">
        <v>164</v>
      </c>
      <c r="D4310" t="s" s="10">
        <v>206</v>
      </c>
      <c r="E4310" t="s" s="10">
        <v>259</v>
      </c>
      <c r="F4310" t="s" s="27">
        <v>30</v>
      </c>
      <c r="G4310" t="s" s="10">
        <v>48</v>
      </c>
      <c r="H4310" t="s" s="42">
        <v>30</v>
      </c>
      <c r="I4310" t="s" s="42">
        <v>30</v>
      </c>
      <c r="J4310" t="s" s="10">
        <v>21803</v>
      </c>
      <c r="K4310" t="s" s="10">
        <v>30</v>
      </c>
      <c r="L4310" s="16">
        <f>HYPERLINK("http://www.bankinvoice.com", "www.bankinvoice.com")</f>
      </c>
      <c r="M4310" s="16">
        <f>HYPERLINK("https://my.pitchbook.com?c=455029-57", "View Company Online")</f>
      </c>
    </row>
    <row r="4311">
      <c r="A4311" t="s" s="11">
        <v>21805</v>
      </c>
      <c r="B4311" t="s" s="11">
        <v>21806</v>
      </c>
      <c r="C4311" t="s" s="11">
        <v>37</v>
      </c>
      <c r="D4311" t="s" s="11">
        <v>38</v>
      </c>
      <c r="E4311" t="s" s="11">
        <v>158</v>
      </c>
      <c r="F4311" s="28">
        <v>45044</v>
      </c>
      <c r="G4311" t="s" s="11">
        <v>40</v>
      </c>
      <c r="H4311" s="43">
        <v>30</v>
      </c>
      <c r="I4311" t="s" s="43">
        <v>30</v>
      </c>
      <c r="J4311" t="s" s="11">
        <v>21807</v>
      </c>
      <c r="K4311" t="s" s="11">
        <v>21808</v>
      </c>
      <c r="L4311" s="17">
        <f>HYPERLINK("http://www.hijra.id", "www.hijra.id")</f>
      </c>
      <c r="M4311" s="17">
        <f>HYPERLINK("https://my.pitchbook.com?c=463094-74", "View Company Online")</f>
      </c>
    </row>
    <row r="4312">
      <c r="A4312" t="s" s="10">
        <v>21810</v>
      </c>
      <c r="B4312" t="s" s="10">
        <v>21811</v>
      </c>
      <c r="C4312" t="s" s="10">
        <v>37</v>
      </c>
      <c r="D4312" t="s" s="10">
        <v>304</v>
      </c>
      <c r="E4312" t="s" s="10">
        <v>137</v>
      </c>
      <c r="F4312" s="27">
        <v>45707</v>
      </c>
      <c r="G4312" t="s" s="10">
        <v>271</v>
      </c>
      <c r="H4312" t="s" s="42">
        <v>30</v>
      </c>
      <c r="I4312" t="s" s="42">
        <v>30</v>
      </c>
      <c r="J4312" t="s" s="10">
        <v>21812</v>
      </c>
      <c r="K4312" t="s" s="10">
        <v>21813</v>
      </c>
      <c r="L4312" s="16">
        <f>HYPERLINK("http://www.bankata.ro", "www.bankata.ro")</f>
      </c>
      <c r="M4312" s="16">
        <f>HYPERLINK("https://my.pitchbook.com?c=471927-16", "View Company Online")</f>
      </c>
    </row>
    <row r="4313">
      <c r="A4313" t="s" s="11">
        <v>21815</v>
      </c>
      <c r="B4313" t="s" s="11">
        <v>21816</v>
      </c>
      <c r="C4313" t="s" s="11">
        <v>114</v>
      </c>
      <c r="D4313" t="s" s="11">
        <v>136</v>
      </c>
      <c r="E4313" t="s" s="11">
        <v>270</v>
      </c>
      <c r="F4313" s="28">
        <v>46113</v>
      </c>
      <c r="G4313" t="s" s="11">
        <v>40</v>
      </c>
      <c r="H4313" s="43">
        <v>4.69</v>
      </c>
      <c r="I4313" t="s" s="43">
        <v>30</v>
      </c>
      <c r="J4313" t="s" s="11">
        <v>21817</v>
      </c>
      <c r="K4313" t="s" s="11">
        <v>21818</v>
      </c>
      <c r="L4313" s="17">
        <f>HYPERLINK("http://www.bankcow.co.kr", "www.bankcow.co.kr")</f>
      </c>
      <c r="M4313" s="17">
        <f>HYPERLINK("https://my.pitchbook.com?c=490852-00", "View Company Online")</f>
      </c>
    </row>
    <row r="4314">
      <c r="A4314" t="s" s="10">
        <v>21820</v>
      </c>
      <c r="B4314" t="s" s="10">
        <v>21821</v>
      </c>
      <c r="C4314" t="s" s="10">
        <v>222</v>
      </c>
      <c r="D4314" t="s" s="10">
        <v>235</v>
      </c>
      <c r="E4314" t="s" s="10">
        <v>253</v>
      </c>
      <c r="F4314" s="27">
        <v>44896</v>
      </c>
      <c r="G4314" t="s" s="10">
        <v>48</v>
      </c>
      <c r="H4314" t="s" s="42">
        <v>30</v>
      </c>
      <c r="I4314" t="s" s="42">
        <v>30</v>
      </c>
      <c r="J4314" t="s" s="10">
        <v>21822</v>
      </c>
      <c r="K4314" t="s" s="10">
        <v>21823</v>
      </c>
      <c r="L4314" s="16">
        <f>HYPERLINK("http://www.bankers.co.jp", "www.bankers.co.jp")</f>
      </c>
      <c r="M4314" s="16">
        <f>HYPERLINK("https://my.pitchbook.com?c=469950-94", "View Company Online")</f>
      </c>
    </row>
    <row r="4315">
      <c r="A4315" t="s" s="11">
        <v>21825</v>
      </c>
      <c r="B4315" t="s" s="11">
        <v>21826</v>
      </c>
      <c r="C4315" t="s" s="11">
        <v>164</v>
      </c>
      <c r="D4315" t="s" s="11">
        <v>206</v>
      </c>
      <c r="E4315" t="s" s="11">
        <v>21827</v>
      </c>
      <c r="F4315" s="28">
        <v>46143</v>
      </c>
      <c r="G4315" t="s" s="11">
        <v>48</v>
      </c>
      <c r="H4315" t="s" s="43">
        <v>30</v>
      </c>
      <c r="I4315" t="s" s="43">
        <v>30</v>
      </c>
      <c r="J4315" t="s" s="11">
        <v>21828</v>
      </c>
      <c r="K4315" t="s" s="11">
        <v>21829</v>
      </c>
      <c r="L4315" s="17">
        <f>HYPERLINK("http://www.bankingly.com", "www.bankingly.com")</f>
      </c>
      <c r="M4315" s="17">
        <f>HYPERLINK("https://my.pitchbook.com?c=264568-33", "View Company Online")</f>
      </c>
    </row>
    <row r="4316">
      <c r="A4316" t="s" s="10">
        <v>21831</v>
      </c>
      <c r="B4316" t="s" s="10">
        <v>21832</v>
      </c>
      <c r="C4316" t="s" s="10">
        <v>164</v>
      </c>
      <c r="D4316" t="s" s="10">
        <v>165</v>
      </c>
      <c r="E4316" t="s" s="10">
        <v>253</v>
      </c>
      <c r="F4316" s="27">
        <v>44834</v>
      </c>
      <c r="G4316" t="s" s="10">
        <v>4267</v>
      </c>
      <c r="H4316" s="42">
        <v>2.98</v>
      </c>
      <c r="I4316" t="s" s="42">
        <v>30</v>
      </c>
      <c r="J4316" t="s" s="10">
        <v>21833</v>
      </c>
      <c r="K4316" t="s" s="10">
        <v>21834</v>
      </c>
      <c r="L4316" s="16">
        <f>HYPERLINK("http://www.bankish.eu", "www.bankish.eu")</f>
      </c>
      <c r="M4316" s="16">
        <f>HYPERLINK("https://my.pitchbook.com?c=469953-37", "View Company Online")</f>
      </c>
    </row>
    <row r="4317">
      <c r="A4317" t="s" s="11">
        <v>21836</v>
      </c>
      <c r="B4317" t="s" s="11">
        <v>21837</v>
      </c>
      <c r="C4317" t="s" s="11">
        <v>164</v>
      </c>
      <c r="D4317" t="s" s="11">
        <v>165</v>
      </c>
      <c r="E4317" t="s" s="11">
        <v>3825</v>
      </c>
      <c r="F4317" s="28">
        <v>45635</v>
      </c>
      <c r="G4317" t="s" s="11">
        <v>40</v>
      </c>
      <c r="H4317" s="43">
        <v>3.31</v>
      </c>
      <c r="I4317" t="s" s="43">
        <v>30</v>
      </c>
      <c r="J4317" t="s" s="11">
        <v>21838</v>
      </c>
      <c r="K4317" t="s" s="11">
        <v>21839</v>
      </c>
      <c r="L4317" s="17">
        <f>HYPERLINK("http://www.banklabs.com", "www.banklabs.com")</f>
      </c>
      <c r="M4317" s="17">
        <f>HYPERLINK("https://my.pitchbook.com?c=143796-34", "View Company Online")</f>
      </c>
    </row>
    <row r="4318">
      <c r="A4318" t="s" s="10">
        <v>21841</v>
      </c>
      <c r="B4318" t="s" s="10">
        <v>21842</v>
      </c>
      <c r="C4318" t="s" s="10">
        <v>60</v>
      </c>
      <c r="D4318" t="s" s="10">
        <v>432</v>
      </c>
      <c r="E4318" t="s" s="10">
        <v>137</v>
      </c>
      <c r="F4318" s="27">
        <v>42975</v>
      </c>
      <c r="G4318" t="s" s="10">
        <v>4267</v>
      </c>
      <c r="H4318" s="42">
        <v>1.5</v>
      </c>
      <c r="I4318" t="s" s="42">
        <v>30</v>
      </c>
      <c r="J4318" t="s" s="10">
        <v>21843</v>
      </c>
      <c r="K4318" t="s" s="10">
        <v>30</v>
      </c>
      <c r="L4318" s="16">
        <f>HYPERLINK("http://www.beikelin.com", "www.beikelin.com")</f>
      </c>
      <c r="M4318" s="16">
        <f>HYPERLINK("https://my.pitchbook.com?c=434233-63", "View Company Online")</f>
      </c>
    </row>
    <row r="4319">
      <c r="A4319" t="s" s="11">
        <v>21845</v>
      </c>
      <c r="B4319" t="s" s="11">
        <v>21846</v>
      </c>
      <c r="C4319" t="s" s="11">
        <v>60</v>
      </c>
      <c r="D4319" t="s" s="11">
        <v>246</v>
      </c>
      <c r="E4319" t="s" s="11">
        <v>137</v>
      </c>
      <c r="F4319" s="28">
        <v>45447</v>
      </c>
      <c r="G4319" t="s" s="11">
        <v>391</v>
      </c>
      <c r="H4319" t="s" s="43">
        <v>30</v>
      </c>
      <c r="I4319" t="s" s="43">
        <v>30</v>
      </c>
      <c r="J4319" t="s" s="11">
        <v>21847</v>
      </c>
      <c r="K4319" t="s" s="11">
        <v>21848</v>
      </c>
      <c r="L4319" s="17">
        <f>HYPERLINK("http://www.banksathi.com", "www.banksathi.com")</f>
      </c>
      <c r="M4319" s="17">
        <f>HYPERLINK("https://my.pitchbook.com?c=437292-91", "View Company Online")</f>
      </c>
    </row>
    <row r="4320">
      <c r="A4320" t="s" s="10">
        <v>21850</v>
      </c>
      <c r="B4320" t="s" s="10">
        <v>21851</v>
      </c>
      <c r="C4320" t="s" s="10">
        <v>60</v>
      </c>
      <c r="D4320" t="s" s="10">
        <v>246</v>
      </c>
      <c r="E4320" t="s" s="10">
        <v>373</v>
      </c>
      <c r="F4320" s="27">
        <v>45440</v>
      </c>
      <c r="G4320" t="s" s="10">
        <v>146</v>
      </c>
      <c r="H4320" s="42">
        <v>8.64</v>
      </c>
      <c r="I4320" t="s" s="42">
        <v>30</v>
      </c>
      <c r="J4320" t="s" s="10">
        <v>21852</v>
      </c>
      <c r="K4320" t="s" s="10">
        <v>21853</v>
      </c>
      <c r="L4320" s="16">
        <f>HYPERLINK("http://www.banktrack.com", "www.banktrack.com")</f>
      </c>
      <c r="M4320" s="16">
        <f>HYPERLINK("https://my.pitchbook.com?c=503005-24", "View Company Online")</f>
      </c>
    </row>
    <row r="4321">
      <c r="A4321" t="s" s="11">
        <v>21855</v>
      </c>
      <c r="B4321" t="s" s="11">
        <v>21856</v>
      </c>
      <c r="C4321" t="s" s="11">
        <v>128</v>
      </c>
      <c r="D4321" t="s" s="11">
        <v>129</v>
      </c>
      <c r="E4321" t="s" s="11">
        <v>253</v>
      </c>
      <c r="F4321" s="28">
        <v>45972</v>
      </c>
      <c r="G4321" t="s" s="11">
        <v>4267</v>
      </c>
      <c r="H4321" t="s" s="43">
        <v>30</v>
      </c>
      <c r="I4321" t="s" s="43">
        <v>30</v>
      </c>
      <c r="J4321" t="s" s="11">
        <v>21857</v>
      </c>
      <c r="K4321" t="s" s="11">
        <v>21858</v>
      </c>
      <c r="L4321" s="17">
        <f>HYPERLINK("http://www.barq.com", "www.barq.com")</f>
      </c>
      <c r="M4321" s="17">
        <f>HYPERLINK("https://my.pitchbook.com?c=720126-91", "View Company Online")</f>
      </c>
    </row>
    <row r="4322">
      <c r="A4322" t="s" s="10">
        <v>21860</v>
      </c>
      <c r="B4322" t="s" s="10">
        <v>21861</v>
      </c>
      <c r="C4322" t="s" s="10">
        <v>60</v>
      </c>
      <c r="D4322" t="s" s="10">
        <v>420</v>
      </c>
      <c r="E4322" t="s" s="10">
        <v>253</v>
      </c>
      <c r="F4322" t="s" s="27">
        <v>30</v>
      </c>
      <c r="G4322" t="s" s="10">
        <v>146</v>
      </c>
      <c r="H4322" s="42">
        <v>35</v>
      </c>
      <c r="I4322" t="s" s="42">
        <v>30</v>
      </c>
      <c r="J4322" t="s" s="10">
        <v>21862</v>
      </c>
      <c r="K4322" t="s" s="10">
        <v>21863</v>
      </c>
      <c r="L4322" s="16">
        <f>HYPERLINK("http://www.basiccapital.com", "www.basiccapital.com")</f>
      </c>
      <c r="M4322" s="16">
        <f>HYPERLINK("https://my.pitchbook.com?c=538019-11", "View Company Online")</f>
      </c>
    </row>
    <row r="4323">
      <c r="A4323" t="s" s="11">
        <v>21865</v>
      </c>
      <c r="B4323" t="s" s="11">
        <v>21866</v>
      </c>
      <c r="C4323" t="s" s="11">
        <v>114</v>
      </c>
      <c r="D4323" t="s" s="11">
        <v>1386</v>
      </c>
      <c r="E4323" t="s" s="11">
        <v>634</v>
      </c>
      <c r="F4323" t="s" s="28">
        <v>30</v>
      </c>
      <c r="G4323" t="s" s="11">
        <v>4267</v>
      </c>
      <c r="H4323" t="s" s="43">
        <v>30</v>
      </c>
      <c r="I4323" t="s" s="43">
        <v>30</v>
      </c>
      <c r="J4323" t="s" s="11">
        <v>21867</v>
      </c>
      <c r="K4323" t="s" s="11">
        <v>21868</v>
      </c>
      <c r="L4323" s="17">
        <f>HYPERLINK("http://www.usebasis.co", "www.usebasis.co")</f>
      </c>
      <c r="M4323" s="17">
        <f>HYPERLINK("https://my.pitchbook.com?c=512825-86", "View Company Online")</f>
      </c>
    </row>
    <row r="4324">
      <c r="A4324" t="s" s="10">
        <v>21870</v>
      </c>
      <c r="B4324" t="s" s="10">
        <v>21871</v>
      </c>
      <c r="C4324" t="s" s="10">
        <v>128</v>
      </c>
      <c r="D4324" t="s" s="10">
        <v>129</v>
      </c>
      <c r="E4324" t="s" s="10">
        <v>1266</v>
      </c>
      <c r="F4324" s="27">
        <v>44592</v>
      </c>
      <c r="G4324" t="s" s="10">
        <v>146</v>
      </c>
      <c r="H4324" s="42">
        <v>0.01</v>
      </c>
      <c r="I4324" t="s" s="42">
        <v>30</v>
      </c>
      <c r="J4324" t="s" s="10">
        <v>21872</v>
      </c>
      <c r="K4324" t="s" s="10">
        <v>21873</v>
      </c>
      <c r="L4324" s="16">
        <f>HYPERLINK("http://www.basisfoundation.in", "www.basisfoundation.in")</f>
      </c>
      <c r="M4324" s="16">
        <f>HYPERLINK("https://my.pitchbook.com?c=266073-31", "View Company Online")</f>
      </c>
    </row>
    <row r="4325">
      <c r="A4325" t="s" s="11">
        <v>21875</v>
      </c>
      <c r="B4325" t="s" s="11">
        <v>21876</v>
      </c>
      <c r="C4325" t="s" s="11">
        <v>37</v>
      </c>
      <c r="D4325" t="s" s="11">
        <v>38</v>
      </c>
      <c r="E4325" t="s" s="11">
        <v>137</v>
      </c>
      <c r="F4325" t="s" s="28">
        <v>30</v>
      </c>
      <c r="G4325" t="s" s="11">
        <v>146</v>
      </c>
      <c r="H4325" s="43">
        <v>22</v>
      </c>
      <c r="I4325" t="s" s="43">
        <v>30</v>
      </c>
      <c r="J4325" t="s" s="11">
        <v>21877</v>
      </c>
      <c r="K4325" t="s" s="11">
        <v>21878</v>
      </c>
      <c r="L4325" s="17">
        <f>HYPERLINK("http://www.battlebank.com", "www.battlebank.com")</f>
      </c>
      <c r="M4325" s="17">
        <f>HYPERLINK("https://my.pitchbook.com?c=507092-41", "View Company Online")</f>
      </c>
    </row>
    <row r="4326">
      <c r="A4326" t="s" s="10">
        <v>21880</v>
      </c>
      <c r="B4326" t="s" s="10">
        <v>21881</v>
      </c>
      <c r="C4326" t="s" s="10">
        <v>114</v>
      </c>
      <c r="D4326" t="s" s="10">
        <v>136</v>
      </c>
      <c r="E4326" t="s" s="10">
        <v>270</v>
      </c>
      <c r="F4326" s="27">
        <v>46203</v>
      </c>
      <c r="G4326" t="s" s="10">
        <v>31</v>
      </c>
      <c r="H4326" s="42">
        <v>23</v>
      </c>
      <c r="I4326" t="s" s="42">
        <v>30</v>
      </c>
      <c r="J4326" t="s" s="10">
        <v>21882</v>
      </c>
      <c r="K4326" t="s" s="10">
        <v>21883</v>
      </c>
      <c r="L4326" s="16">
        <f>HYPERLINK("http://www.baubap.com", "www.baubap.com")</f>
      </c>
      <c r="M4326" s="16">
        <f>HYPERLINK("https://my.pitchbook.com?c=327494-62", "View Company Online")</f>
      </c>
    </row>
    <row r="4327">
      <c r="A4327" t="s" s="11">
        <v>21885</v>
      </c>
      <c r="B4327" t="s" s="11">
        <v>21886</v>
      </c>
      <c r="C4327" t="s" s="11">
        <v>164</v>
      </c>
      <c r="D4327" t="s" s="11">
        <v>206</v>
      </c>
      <c r="E4327" t="s" s="11">
        <v>373</v>
      </c>
      <c r="F4327" s="28">
        <v>45379</v>
      </c>
      <c r="G4327" t="s" s="11">
        <v>40</v>
      </c>
      <c r="H4327" s="43">
        <v>1.2</v>
      </c>
      <c r="I4327" t="s" s="43">
        <v>30</v>
      </c>
      <c r="J4327" t="s" s="11">
        <v>21887</v>
      </c>
      <c r="K4327" t="s" s="11">
        <v>21888</v>
      </c>
      <c r="L4327" s="17">
        <f>HYPERLINK("http://www.bavest.co", "www.bavest.co")</f>
      </c>
      <c r="M4327" s="17">
        <f>HYPERLINK("https://my.pitchbook.com?c=537349-42", "View Company Online")</f>
      </c>
    </row>
    <row r="4328">
      <c r="A4328" t="s" s="10">
        <v>21890</v>
      </c>
      <c r="B4328" t="s" s="10">
        <v>21891</v>
      </c>
      <c r="C4328" t="s" s="10">
        <v>46</v>
      </c>
      <c r="D4328" t="s" s="10">
        <v>47</v>
      </c>
      <c r="E4328" t="s" s="10">
        <v>1038</v>
      </c>
      <c r="F4328" s="27">
        <v>45870</v>
      </c>
      <c r="G4328" t="s" s="10">
        <v>146</v>
      </c>
      <c r="H4328" t="s" s="42">
        <v>30</v>
      </c>
      <c r="I4328" t="s" s="42">
        <v>30</v>
      </c>
      <c r="J4328" t="s" s="10">
        <v>21892</v>
      </c>
      <c r="K4328" t="s" s="10">
        <v>21893</v>
      </c>
      <c r="L4328" s="16">
        <f>HYPERLINK("http://www.baya.biz", "www.baya.biz")</f>
      </c>
      <c r="M4328" s="16">
        <f>HYPERLINK("https://my.pitchbook.com?c=518469-04", "View Company Online")</f>
      </c>
    </row>
    <row r="4329">
      <c r="A4329" t="s" s="11">
        <v>21895</v>
      </c>
      <c r="B4329" t="s" s="11">
        <v>21896</v>
      </c>
      <c r="C4329" t="s" s="11">
        <v>172</v>
      </c>
      <c r="D4329" t="s" s="11">
        <v>1454</v>
      </c>
      <c r="E4329" t="s" s="11">
        <v>493</v>
      </c>
      <c r="F4329" s="28">
        <v>46157</v>
      </c>
      <c r="G4329" t="s" s="11">
        <v>4267</v>
      </c>
      <c r="H4329" s="43">
        <v>5.79</v>
      </c>
      <c r="I4329" t="s" s="43">
        <v>30</v>
      </c>
      <c r="J4329" t="s" s="11">
        <v>21897</v>
      </c>
      <c r="K4329" t="s" s="11">
        <v>21898</v>
      </c>
      <c r="L4329" s="17">
        <f>HYPERLINK("http://www.bayesline.com", "www.bayesline.com")</f>
      </c>
      <c r="M4329" s="17">
        <f>HYPERLINK("https://my.pitchbook.com?c=600366-79", "View Company Online")</f>
      </c>
    </row>
    <row r="4330">
      <c r="A4330" t="s" s="10">
        <v>21900</v>
      </c>
      <c r="B4330" t="s" s="10">
        <v>21901</v>
      </c>
      <c r="C4330" t="s" s="10">
        <v>27</v>
      </c>
      <c r="D4330" t="s" s="10">
        <v>70</v>
      </c>
      <c r="E4330" t="s" s="10">
        <v>193</v>
      </c>
      <c r="F4330" s="27">
        <v>45079</v>
      </c>
      <c r="G4330" t="s" s="10">
        <v>40</v>
      </c>
      <c r="H4330" s="42">
        <v>2.21</v>
      </c>
      <c r="I4330" t="s" s="42">
        <v>30</v>
      </c>
      <c r="J4330" t="s" s="10">
        <v>21902</v>
      </c>
      <c r="K4330" t="s" s="10">
        <v>21903</v>
      </c>
      <c r="L4330" s="16">
        <f>HYPERLINK("http://bayo.my", "bayo.my")</f>
      </c>
      <c r="M4330" s="16">
        <f>HYPERLINK("https://my.pitchbook.com?c=528661-90", "View Company Online")</f>
      </c>
    </row>
    <row r="4331">
      <c r="A4331" t="s" s="11">
        <v>21905</v>
      </c>
      <c r="B4331" t="s" s="11">
        <v>21906</v>
      </c>
      <c r="C4331" t="s" s="11">
        <v>46</v>
      </c>
      <c r="D4331" t="s" s="11">
        <v>78</v>
      </c>
      <c r="E4331" t="s" s="11">
        <v>21907</v>
      </c>
      <c r="F4331" s="28">
        <v>45292</v>
      </c>
      <c r="G4331" t="s" s="11">
        <v>40</v>
      </c>
      <c r="H4331" t="s" s="43">
        <v>30</v>
      </c>
      <c r="I4331" t="s" s="43">
        <v>30</v>
      </c>
      <c r="J4331" t="s" s="11">
        <v>21908</v>
      </c>
      <c r="K4331" t="s" s="11">
        <v>21909</v>
      </c>
      <c r="L4331" s="17">
        <f>HYPERLINK("http://www.bayzat.com", "www.bayzat.com")</f>
      </c>
      <c r="M4331" s="17">
        <f>HYPERLINK("https://my.pitchbook.com?c=104234-86", "View Company Online")</f>
      </c>
    </row>
    <row r="4332">
      <c r="A4332" t="s" s="10">
        <v>21911</v>
      </c>
      <c r="B4332" t="s" s="10">
        <v>21912</v>
      </c>
      <c r="C4332" t="s" s="10">
        <v>164</v>
      </c>
      <c r="D4332" t="s" s="10">
        <v>206</v>
      </c>
      <c r="E4332" t="s" s="10">
        <v>311</v>
      </c>
      <c r="F4332" s="27">
        <v>45748</v>
      </c>
      <c r="G4332" t="s" s="10">
        <v>146</v>
      </c>
      <c r="H4332" t="s" s="42">
        <v>30</v>
      </c>
      <c r="I4332" t="s" s="42">
        <v>30</v>
      </c>
      <c r="J4332" t="s" s="10">
        <v>21913</v>
      </c>
      <c r="K4332" t="s" s="10">
        <v>21914</v>
      </c>
      <c r="L4332" s="16">
        <f>HYPERLINK("http://www.bbrtek.com", "www.bbrtek.com")</f>
      </c>
      <c r="M4332" s="16">
        <f>HYPERLINK("https://my.pitchbook.com?c=812048-50", "View Company Online")</f>
      </c>
    </row>
    <row r="4333">
      <c r="A4333" t="s" s="11">
        <v>21916</v>
      </c>
      <c r="B4333" t="s" s="11">
        <v>21917</v>
      </c>
      <c r="C4333" t="s" s="11">
        <v>37</v>
      </c>
      <c r="D4333" t="s" s="11">
        <v>304</v>
      </c>
      <c r="E4333" t="s" s="11">
        <v>137</v>
      </c>
      <c r="F4333" s="28">
        <v>46057</v>
      </c>
      <c r="G4333" t="s" s="11">
        <v>31</v>
      </c>
      <c r="H4333" s="43">
        <v>35.23</v>
      </c>
      <c r="I4333" t="s" s="43">
        <v>30</v>
      </c>
      <c r="J4333" t="s" s="11">
        <v>21918</v>
      </c>
      <c r="K4333" t="s" s="11">
        <v>21919</v>
      </c>
      <c r="L4333" s="17">
        <f>HYPERLINK("http://www.bcasapp.com", "www.bcasapp.com")</f>
      </c>
      <c r="M4333" s="17">
        <f>HYPERLINK("https://my.pitchbook.com?c=518178-97", "View Company Online")</f>
      </c>
    </row>
    <row r="4334">
      <c r="A4334" t="s" s="10">
        <v>21921</v>
      </c>
      <c r="B4334" t="s" s="10">
        <v>21922</v>
      </c>
      <c r="C4334" t="s" s="10">
        <v>114</v>
      </c>
      <c r="D4334" t="s" s="10">
        <v>136</v>
      </c>
      <c r="E4334" t="s" s="10">
        <v>137</v>
      </c>
      <c r="F4334" s="27">
        <v>45567</v>
      </c>
      <c r="G4334" t="s" s="10">
        <v>40</v>
      </c>
      <c r="H4334" s="42">
        <v>5.22</v>
      </c>
      <c r="I4334" t="s" s="42">
        <v>30</v>
      </c>
      <c r="J4334" t="s" s="10">
        <v>21923</v>
      </c>
      <c r="K4334" t="s" s="10">
        <v>21924</v>
      </c>
      <c r="L4334" s="16">
        <f>HYPERLINK("http://start.bcause.com", "start.bcause.com")</f>
      </c>
      <c r="M4334" s="16">
        <f>HYPERLINK("https://my.pitchbook.com?c=121270-15", "View Company Online")</f>
      </c>
    </row>
    <row r="4335">
      <c r="A4335" t="s" s="11">
        <v>21926</v>
      </c>
      <c r="B4335" t="s" s="11">
        <v>21927</v>
      </c>
      <c r="C4335" t="s" s="11">
        <v>114</v>
      </c>
      <c r="D4335" t="s" s="11">
        <v>136</v>
      </c>
      <c r="E4335" t="s" s="11">
        <v>373</v>
      </c>
      <c r="F4335" s="28">
        <v>45630</v>
      </c>
      <c r="G4335" t="s" s="11">
        <v>4267</v>
      </c>
      <c r="H4335" s="43">
        <v>0.1</v>
      </c>
      <c r="I4335" t="s" s="43">
        <v>30</v>
      </c>
      <c r="J4335" t="s" s="11">
        <v>21928</v>
      </c>
      <c r="K4335" t="s" s="11">
        <v>21929</v>
      </c>
      <c r="L4335" s="17">
        <f>HYPERLINK("http://www.bckrs.ai", "www.bckrs.ai")</f>
      </c>
      <c r="M4335" s="17">
        <f>HYPERLINK("https://my.pitchbook.com?c=657492-31", "View Company Online")</f>
      </c>
    </row>
    <row r="4336">
      <c r="A4336" t="s" s="10">
        <v>21931</v>
      </c>
      <c r="B4336" t="s" s="10">
        <v>21932</v>
      </c>
      <c r="C4336" t="s" s="10">
        <v>222</v>
      </c>
      <c r="D4336" t="s" s="10">
        <v>223</v>
      </c>
      <c r="E4336" t="s" s="10">
        <v>373</v>
      </c>
      <c r="F4336" s="27">
        <v>44693</v>
      </c>
      <c r="G4336" t="s" s="10">
        <v>2651</v>
      </c>
      <c r="H4336" s="42">
        <v>0.08</v>
      </c>
      <c r="I4336" t="s" s="42">
        <v>30</v>
      </c>
      <c r="J4336" t="s" s="10">
        <v>21933</v>
      </c>
      <c r="K4336" t="s" s="10">
        <v>21934</v>
      </c>
      <c r="L4336" s="16">
        <f>HYPERLINK("http://www.bcmstrategy2.com", "www.bcmstrategy2.com")</f>
      </c>
      <c r="M4336" s="16">
        <f>HYPERLINK("https://my.pitchbook.com?c=469897-84", "View Company Online")</f>
      </c>
    </row>
    <row r="4337">
      <c r="A4337" t="s" s="11">
        <v>21936</v>
      </c>
      <c r="B4337" t="s" s="11">
        <v>21937</v>
      </c>
      <c r="C4337" t="s" s="11">
        <v>27</v>
      </c>
      <c r="D4337" t="s" s="11">
        <v>28</v>
      </c>
      <c r="E4337" t="s" s="11">
        <v>3138</v>
      </c>
      <c r="F4337" s="28">
        <v>44880</v>
      </c>
      <c r="G4337" t="s" s="11">
        <v>4267</v>
      </c>
      <c r="H4337" s="43">
        <v>2.5</v>
      </c>
      <c r="I4337" t="s" s="43">
        <v>30</v>
      </c>
      <c r="J4337" t="s" s="11">
        <v>21938</v>
      </c>
      <c r="K4337" t="s" s="11">
        <v>21939</v>
      </c>
      <c r="L4337" s="17">
        <f>HYPERLINK("http://www.beamcheckout.com", "www.beamcheckout.com")</f>
      </c>
      <c r="M4337" s="17">
        <f>HYPERLINK("https://my.pitchbook.com?c=493895-89", "View Company Online")</f>
      </c>
    </row>
    <row r="4338">
      <c r="A4338" t="s" s="10">
        <v>21941</v>
      </c>
      <c r="B4338" t="s" s="10">
        <v>21942</v>
      </c>
      <c r="C4338" t="s" s="10">
        <v>60</v>
      </c>
      <c r="D4338" t="s" s="10">
        <v>192</v>
      </c>
      <c r="E4338" t="s" s="10">
        <v>270</v>
      </c>
      <c r="F4338" t="s" s="27">
        <v>30</v>
      </c>
      <c r="G4338" t="s" s="10">
        <v>607</v>
      </c>
      <c r="H4338" t="s" s="42">
        <v>30</v>
      </c>
      <c r="I4338" t="s" s="42">
        <v>30</v>
      </c>
      <c r="J4338" t="s" s="10">
        <v>21943</v>
      </c>
      <c r="K4338" t="s" s="10">
        <v>21944</v>
      </c>
      <c r="L4338" s="16">
        <f>HYPERLINK("http://www.beatvest.com", "www.beatvest.com")</f>
      </c>
      <c r="M4338" s="16">
        <f>HYPERLINK("https://my.pitchbook.com?c=489958-21", "View Company Online")</f>
      </c>
    </row>
    <row r="4339">
      <c r="A4339" t="s" s="11">
        <v>21946</v>
      </c>
      <c r="B4339" t="s" s="11">
        <v>21947</v>
      </c>
      <c r="C4339" t="s" s="11">
        <v>46</v>
      </c>
      <c r="D4339" t="s" s="11">
        <v>47</v>
      </c>
      <c r="E4339" t="s" s="11">
        <v>193</v>
      </c>
      <c r="F4339" s="28">
        <v>45432</v>
      </c>
      <c r="G4339" t="s" s="11">
        <v>146</v>
      </c>
      <c r="H4339" t="s" s="43">
        <v>30</v>
      </c>
      <c r="I4339" t="s" s="43">
        <v>30</v>
      </c>
      <c r="J4339" t="s" s="11">
        <v>21948</v>
      </c>
      <c r="K4339" t="s" s="11">
        <v>21949</v>
      </c>
      <c r="L4339" s="17">
        <f>HYPERLINK("http://site.beevale.com.br", "site.beevale.com.br")</f>
      </c>
      <c r="M4339" s="17">
        <f>HYPERLINK("https://my.pitchbook.com?c=469332-37", "View Company Online")</f>
      </c>
    </row>
    <row r="4340">
      <c r="A4340" t="s" s="10">
        <v>21951</v>
      </c>
      <c r="B4340" t="s" s="10">
        <v>21952</v>
      </c>
      <c r="C4340" t="s" s="10">
        <v>114</v>
      </c>
      <c r="D4340" t="s" s="10">
        <v>852</v>
      </c>
      <c r="E4340" t="s" s="10">
        <v>137</v>
      </c>
      <c r="F4340" s="27">
        <v>45946</v>
      </c>
      <c r="G4340" t="s" s="10">
        <v>4267</v>
      </c>
      <c r="H4340" s="42">
        <v>5.85</v>
      </c>
      <c r="I4340" t="s" s="42">
        <v>30</v>
      </c>
      <c r="J4340" t="s" s="10">
        <v>21953</v>
      </c>
      <c r="K4340" t="s" s="10">
        <v>21954</v>
      </c>
      <c r="L4340" s="16">
        <f>HYPERLINK("http://www.beesandbears.com", "www.beesandbears.com")</f>
      </c>
      <c r="M4340" s="16">
        <f>HYPERLINK("https://my.pitchbook.com?c=545249-98", "View Company Online")</f>
      </c>
    </row>
    <row r="4341">
      <c r="A4341" t="s" s="11">
        <v>21956</v>
      </c>
      <c r="B4341" t="s" s="11">
        <v>21957</v>
      </c>
      <c r="C4341" t="s" s="11">
        <v>46</v>
      </c>
      <c r="D4341" t="s" s="11">
        <v>397</v>
      </c>
      <c r="E4341" t="s" s="11">
        <v>270</v>
      </c>
      <c r="F4341" s="28">
        <v>44930</v>
      </c>
      <c r="G4341" t="s" s="11">
        <v>4267</v>
      </c>
      <c r="H4341" s="43">
        <v>1.5</v>
      </c>
      <c r="I4341" t="s" s="43">
        <v>30</v>
      </c>
      <c r="J4341" t="s" s="11">
        <v>21958</v>
      </c>
      <c r="K4341" t="s" s="11">
        <v>21959</v>
      </c>
      <c r="L4341" s="17">
        <f>HYPERLINK("http://www.befiler.com", "www.befiler.com")</f>
      </c>
      <c r="M4341" s="17">
        <f>HYPERLINK("https://my.pitchbook.com?c=509618-62", "View Company Online")</f>
      </c>
    </row>
    <row r="4342">
      <c r="A4342" t="s" s="10">
        <v>21961</v>
      </c>
      <c r="B4342" t="s" s="10">
        <v>21962</v>
      </c>
      <c r="C4342" t="s" s="10">
        <v>172</v>
      </c>
      <c r="D4342" t="s" s="10">
        <v>1454</v>
      </c>
      <c r="E4342" t="s" s="10">
        <v>2741</v>
      </c>
      <c r="F4342" s="27">
        <v>44740</v>
      </c>
      <c r="G4342" t="s" s="10">
        <v>4267</v>
      </c>
      <c r="H4342" s="42">
        <v>4.58</v>
      </c>
      <c r="I4342" t="s" s="42">
        <v>30</v>
      </c>
      <c r="J4342" t="s" s="10">
        <v>21963</v>
      </c>
      <c r="K4342" t="s" s="10">
        <v>21964</v>
      </c>
      <c r="L4342" s="16">
        <f>HYPERLINK("http://www.withbelay.com", "www.withbelay.com")</f>
      </c>
      <c r="M4342" s="16">
        <f>HYPERLINK("https://my.pitchbook.com?c=493237-45", "View Company Online")</f>
      </c>
    </row>
    <row r="4343">
      <c r="A4343" t="s" s="11">
        <v>21966</v>
      </c>
      <c r="B4343" t="s" s="11">
        <v>21967</v>
      </c>
      <c r="C4343" t="s" s="11">
        <v>128</v>
      </c>
      <c r="D4343" t="s" s="11">
        <v>199</v>
      </c>
      <c r="E4343" t="s" s="11">
        <v>62</v>
      </c>
      <c r="F4343" s="28">
        <v>46141</v>
      </c>
      <c r="G4343" t="s" s="11">
        <v>40</v>
      </c>
      <c r="H4343" s="43">
        <v>14</v>
      </c>
      <c r="I4343" t="s" s="43">
        <v>30</v>
      </c>
      <c r="J4343" t="s" s="11">
        <v>21968</v>
      </c>
      <c r="K4343" t="s" s="11">
        <v>21969</v>
      </c>
      <c r="L4343" s="17">
        <f>HYPERLINK("http://www.belo.app", "www.belo.app")</f>
      </c>
      <c r="M4343" s="17">
        <f>HYPERLINK("https://my.pitchbook.com?c=492878-89", "View Company Online")</f>
      </c>
    </row>
    <row r="4344">
      <c r="A4344" t="s" s="10">
        <v>21971</v>
      </c>
      <c r="B4344" t="s" s="10">
        <v>21972</v>
      </c>
      <c r="C4344" t="s" s="10">
        <v>60</v>
      </c>
      <c r="D4344" t="s" s="10">
        <v>246</v>
      </c>
      <c r="E4344" t="s" s="10">
        <v>137</v>
      </c>
      <c r="F4344" s="27">
        <v>45847</v>
      </c>
      <c r="G4344" t="s" s="10">
        <v>146</v>
      </c>
      <c r="H4344" s="42">
        <v>5</v>
      </c>
      <c r="I4344" t="s" s="42">
        <v>30</v>
      </c>
      <c r="J4344" t="s" s="10">
        <v>21973</v>
      </c>
      <c r="K4344" t="s" s="10">
        <v>21974</v>
      </c>
      <c r="L4344" s="16">
        <f>HYPERLINK("http://www.getbelong.com", "www.getbelong.com")</f>
      </c>
      <c r="M4344" s="16">
        <f>HYPERLINK("https://my.pitchbook.com?c=707457-88", "View Company Online")</f>
      </c>
    </row>
    <row r="4345">
      <c r="A4345" t="s" s="11">
        <v>21976</v>
      </c>
      <c r="B4345" t="s" s="11">
        <v>21977</v>
      </c>
      <c r="C4345" t="s" s="11">
        <v>172</v>
      </c>
      <c r="D4345" t="s" s="11">
        <v>338</v>
      </c>
      <c r="E4345" t="s" s="11">
        <v>373</v>
      </c>
      <c r="F4345" s="28">
        <v>45903</v>
      </c>
      <c r="G4345" t="s" s="11">
        <v>4267</v>
      </c>
      <c r="H4345" s="43">
        <v>1.5</v>
      </c>
      <c r="I4345" t="s" s="43">
        <v>30</v>
      </c>
      <c r="J4345" t="s" s="11">
        <v>21978</v>
      </c>
      <c r="K4345" t="s" s="11">
        <v>21979</v>
      </c>
      <c r="L4345" s="17">
        <f>HYPERLINK("http://www.beltic.com", "www.beltic.com")</f>
      </c>
      <c r="M4345" s="17">
        <f>HYPERLINK("https://my.pitchbook.com?c=956925-37", "View Company Online")</f>
      </c>
    </row>
    <row r="4346">
      <c r="A4346" t="s" s="10">
        <v>21981</v>
      </c>
      <c r="B4346" t="s" s="10">
        <v>21982</v>
      </c>
      <c r="C4346" t="s" s="10">
        <v>27</v>
      </c>
      <c r="D4346" t="s" s="10">
        <v>28</v>
      </c>
      <c r="E4346" t="s" s="10">
        <v>12050</v>
      </c>
      <c r="F4346" s="27">
        <v>45428</v>
      </c>
      <c r="G4346" t="s" s="10">
        <v>146</v>
      </c>
      <c r="H4346" t="s" s="42">
        <v>30</v>
      </c>
      <c r="I4346" t="s" s="42">
        <v>30</v>
      </c>
      <c r="J4346" t="s" s="10">
        <v>21983</v>
      </c>
      <c r="K4346" t="s" s="10">
        <v>21984</v>
      </c>
      <c r="L4346" s="16">
        <f>HYPERLINK("http://www.benjicard.com", "www.benjicard.com")</f>
      </c>
      <c r="M4346" s="16">
        <f>HYPERLINK("https://my.pitchbook.com?c=554913-82", "View Company Online")</f>
      </c>
    </row>
    <row r="4347">
      <c r="A4347" t="s" s="11">
        <v>21986</v>
      </c>
      <c r="B4347" t="s" s="11">
        <v>21987</v>
      </c>
      <c r="C4347" t="s" s="11">
        <v>46</v>
      </c>
      <c r="D4347" t="s" s="11">
        <v>47</v>
      </c>
      <c r="E4347" t="s" s="11">
        <v>29</v>
      </c>
      <c r="F4347" s="28">
        <v>45544</v>
      </c>
      <c r="G4347" t="s" s="11">
        <v>146</v>
      </c>
      <c r="H4347" t="s" s="43">
        <v>30</v>
      </c>
      <c r="I4347" t="s" s="43">
        <v>30</v>
      </c>
      <c r="J4347" t="s" s="11">
        <v>21988</v>
      </c>
      <c r="K4347" t="s" s="11">
        <v>21989</v>
      </c>
      <c r="L4347" s="17">
        <f>HYPERLINK("http://www.benjipays.com", "www.benjipays.com")</f>
      </c>
      <c r="M4347" s="17">
        <f>HYPERLINK("https://my.pitchbook.com?c=530003-62", "View Company Online")</f>
      </c>
    </row>
    <row r="4348">
      <c r="A4348" t="s" s="10">
        <v>21991</v>
      </c>
      <c r="B4348" t="s" s="10">
        <v>21992</v>
      </c>
      <c r="C4348" t="s" s="10">
        <v>46</v>
      </c>
      <c r="D4348" t="s" s="10">
        <v>397</v>
      </c>
      <c r="E4348" t="s" s="10">
        <v>253</v>
      </c>
      <c r="F4348" s="27">
        <v>45441</v>
      </c>
      <c r="G4348" t="s" s="10">
        <v>146</v>
      </c>
      <c r="H4348" t="s" s="42">
        <v>30</v>
      </c>
      <c r="I4348" t="s" s="42">
        <v>30</v>
      </c>
      <c r="J4348" t="s" s="10">
        <v>21993</v>
      </c>
      <c r="K4348" t="s" s="10">
        <v>21994</v>
      </c>
      <c r="L4348" s="16">
        <f>HYPERLINK("http://www.beppo.com", "www.beppo.com")</f>
      </c>
      <c r="M4348" s="16">
        <f>HYPERLINK("https://my.pitchbook.com?c=503385-67", "View Company Online")</f>
      </c>
    </row>
    <row r="4349">
      <c r="A4349" t="s" s="11">
        <v>21996</v>
      </c>
      <c r="B4349" t="s" s="11">
        <v>21997</v>
      </c>
      <c r="C4349" t="s" s="11">
        <v>60</v>
      </c>
      <c r="D4349" t="s" s="11">
        <v>727</v>
      </c>
      <c r="E4349" t="s" s="11">
        <v>2782</v>
      </c>
      <c r="F4349" s="28">
        <v>43494</v>
      </c>
      <c r="G4349" t="s" s="11">
        <v>40</v>
      </c>
      <c r="H4349" t="s" s="43">
        <v>30</v>
      </c>
      <c r="I4349" t="s" s="43">
        <v>30</v>
      </c>
      <c r="J4349" t="s" s="11">
        <v>21998</v>
      </c>
      <c r="K4349" t="s" s="11">
        <v>21999</v>
      </c>
      <c r="L4349" s="17">
        <f>HYPERLINK("http://bergfuerst.com", "bergfuerst.com")</f>
      </c>
      <c r="M4349" s="17">
        <f>HYPERLINK("https://my.pitchbook.com?c=108793-90", "View Company Online")</f>
      </c>
    </row>
    <row r="4350">
      <c r="A4350" t="s" s="10">
        <v>22001</v>
      </c>
      <c r="B4350" t="s" s="10">
        <v>22002</v>
      </c>
      <c r="C4350" t="s" s="10">
        <v>114</v>
      </c>
      <c r="D4350" t="s" s="10">
        <v>852</v>
      </c>
      <c r="E4350" t="s" s="10">
        <v>8353</v>
      </c>
      <c r="F4350" t="s" s="27">
        <v>30</v>
      </c>
      <c r="G4350" t="s" s="10">
        <v>48</v>
      </c>
      <c r="H4350" t="s" s="42">
        <v>30</v>
      </c>
      <c r="I4350" t="s" s="42">
        <v>30</v>
      </c>
      <c r="J4350" t="s" s="10">
        <v>22003</v>
      </c>
      <c r="K4350" t="s" s="10">
        <v>22004</v>
      </c>
      <c r="L4350" s="16">
        <f>HYPERLINK("http://www.bespokefinancial.com", "www.bespokefinancial.com")</f>
      </c>
      <c r="M4350" s="16">
        <f>HYPERLINK("https://my.pitchbook.com?c=338643-37", "View Company Online")</f>
      </c>
    </row>
    <row r="4351">
      <c r="A4351" t="s" s="11">
        <v>22006</v>
      </c>
      <c r="B4351" t="s" s="11">
        <v>22007</v>
      </c>
      <c r="C4351" t="s" s="11">
        <v>128</v>
      </c>
      <c r="D4351" t="s" s="11">
        <v>276</v>
      </c>
      <c r="E4351" t="s" s="11">
        <v>270</v>
      </c>
      <c r="F4351" s="28">
        <v>45413</v>
      </c>
      <c r="G4351" t="s" s="11">
        <v>40</v>
      </c>
      <c r="H4351" t="s" s="43">
        <v>30</v>
      </c>
      <c r="I4351" t="s" s="43">
        <v>30</v>
      </c>
      <c r="J4351" t="s" s="11">
        <v>22008</v>
      </c>
      <c r="K4351" t="s" s="11">
        <v>22009</v>
      </c>
      <c r="L4351" s="17">
        <f>HYPERLINK("http://www.bestowpayments.com", "www.bestowpayments.com")</f>
      </c>
      <c r="M4351" s="17">
        <f>HYPERLINK("https://my.pitchbook.com?c=532803-79", "View Company Online")</f>
      </c>
    </row>
    <row r="4352">
      <c r="A4352" t="s" s="10">
        <v>22011</v>
      </c>
      <c r="B4352" t="s" s="10">
        <v>22012</v>
      </c>
      <c r="C4352" t="s" s="10">
        <v>60</v>
      </c>
      <c r="D4352" t="s" s="10">
        <v>432</v>
      </c>
      <c r="E4352" t="s" s="10">
        <v>137</v>
      </c>
      <c r="F4352" s="27">
        <v>42856</v>
      </c>
      <c r="G4352" t="s" s="10">
        <v>4267</v>
      </c>
      <c r="H4352" s="42">
        <v>0.87</v>
      </c>
      <c r="I4352" t="s" s="42">
        <v>30</v>
      </c>
      <c r="J4352" t="s" s="10">
        <v>22013</v>
      </c>
      <c r="K4352" t="s" s="10">
        <v>22014</v>
      </c>
      <c r="L4352" s="16">
        <f>HYPERLINK("http://www.betago2016.com", "www.betago2016.com")</f>
      </c>
      <c r="M4352" s="16">
        <f>HYPERLINK("https://my.pitchbook.com?c=442180-81", "View Company Online")</f>
      </c>
    </row>
    <row r="4353">
      <c r="A4353" t="s" s="11">
        <v>22016</v>
      </c>
      <c r="B4353" t="s" s="11">
        <v>22017</v>
      </c>
      <c r="C4353" t="s" s="11">
        <v>27</v>
      </c>
      <c r="D4353" t="s" s="11">
        <v>70</v>
      </c>
      <c r="E4353" t="s" s="11">
        <v>859</v>
      </c>
      <c r="F4353" s="28">
        <v>45946</v>
      </c>
      <c r="G4353" t="s" s="11">
        <v>4267</v>
      </c>
      <c r="H4353" s="43">
        <v>50</v>
      </c>
      <c r="I4353" t="s" s="43">
        <v>30</v>
      </c>
      <c r="J4353" t="s" s="11">
        <v>22018</v>
      </c>
      <c r="K4353" t="s" s="11">
        <v>22019</v>
      </c>
      <c r="L4353" s="17">
        <f>HYPERLINK("http://www.bpn.finance", "www.bpn.finance")</f>
      </c>
      <c r="M4353" s="17">
        <f>HYPERLINK("https://my.pitchbook.com?c=1153109-98", "View Company Online")</f>
      </c>
    </row>
    <row r="4354">
      <c r="A4354" t="s" s="10">
        <v>22021</v>
      </c>
      <c r="B4354" t="s" s="10">
        <v>22022</v>
      </c>
      <c r="C4354" t="s" s="10">
        <v>27</v>
      </c>
      <c r="D4354" t="s" s="10">
        <v>28</v>
      </c>
      <c r="E4354" t="s" s="10">
        <v>634</v>
      </c>
      <c r="F4354" s="27">
        <v>44896</v>
      </c>
      <c r="G4354" t="s" s="10">
        <v>4267</v>
      </c>
      <c r="H4354" t="s" s="42">
        <v>30</v>
      </c>
      <c r="I4354" t="s" s="42">
        <v>30</v>
      </c>
      <c r="J4354" t="s" s="10">
        <v>22023</v>
      </c>
      <c r="K4354" t="s" s="10">
        <v>22024</v>
      </c>
      <c r="L4354" s="16">
        <f>HYPERLINK("http://www.bettercode.kr", "www.bettercode.kr")</f>
      </c>
      <c r="M4354" s="16">
        <f>HYPERLINK("https://my.pitchbook.com?c=517405-15", "View Company Online")</f>
      </c>
    </row>
    <row r="4355">
      <c r="A4355" t="s" s="11">
        <v>22026</v>
      </c>
      <c r="B4355" t="s" s="11">
        <v>22027</v>
      </c>
      <c r="C4355" t="s" s="11">
        <v>60</v>
      </c>
      <c r="D4355" t="s" s="11">
        <v>192</v>
      </c>
      <c r="E4355" t="s" s="11">
        <v>270</v>
      </c>
      <c r="F4355" t="s" s="28">
        <v>30</v>
      </c>
      <c r="G4355" t="s" s="11">
        <v>48</v>
      </c>
      <c r="H4355" t="s" s="43">
        <v>30</v>
      </c>
      <c r="I4355" t="s" s="43">
        <v>30</v>
      </c>
      <c r="J4355" t="s" s="11">
        <v>22028</v>
      </c>
      <c r="K4355" t="s" s="11">
        <v>22029</v>
      </c>
      <c r="L4355" s="17">
        <f>HYPERLINK("http://www.betterplan.cl", "www.betterplan.cl")</f>
      </c>
      <c r="M4355" s="17">
        <f>HYPERLINK("https://my.pitchbook.com?c=509386-96", "View Company Online")</f>
      </c>
    </row>
    <row r="4356">
      <c r="A4356" t="s" s="10">
        <v>22031</v>
      </c>
      <c r="B4356" t="s" s="10">
        <v>22032</v>
      </c>
      <c r="C4356" t="s" s="10">
        <v>37</v>
      </c>
      <c r="D4356" t="s" s="10">
        <v>304</v>
      </c>
      <c r="E4356" t="s" s="10">
        <v>116</v>
      </c>
      <c r="F4356" s="27">
        <v>46197</v>
      </c>
      <c r="G4356" t="s" s="10">
        <v>2051</v>
      </c>
      <c r="H4356" t="s" s="42">
        <v>30</v>
      </c>
      <c r="I4356" t="s" s="42">
        <v>30</v>
      </c>
      <c r="J4356" t="s" s="10">
        <v>22033</v>
      </c>
      <c r="K4356" t="s" s="10">
        <v>30</v>
      </c>
      <c r="L4356" s="16">
        <f>HYPERLINK("http://www.bettr.co.in", "www.bettr.co.in")</f>
      </c>
      <c r="M4356" s="16">
        <f>HYPERLINK("https://my.pitchbook.com?c=466902-01", "View Company Online")</f>
      </c>
    </row>
    <row r="4357">
      <c r="A4357" t="s" s="11">
        <v>22035</v>
      </c>
      <c r="B4357" t="s" s="11">
        <v>22036</v>
      </c>
      <c r="C4357" t="s" s="11">
        <v>144</v>
      </c>
      <c r="D4357" t="s" s="11">
        <v>297</v>
      </c>
      <c r="E4357" t="s" s="11">
        <v>137</v>
      </c>
      <c r="F4357" t="s" s="28">
        <v>30</v>
      </c>
      <c r="G4357" t="s" s="11">
        <v>48</v>
      </c>
      <c r="H4357" t="s" s="43">
        <v>30</v>
      </c>
      <c r="I4357" t="s" s="43">
        <v>30</v>
      </c>
      <c r="J4357" t="s" s="11">
        <v>22037</v>
      </c>
      <c r="K4357" t="s" s="11">
        <v>8364</v>
      </c>
      <c r="L4357" s="17">
        <f>HYPERLINK("http://www.beyondequity.co", "www.beyondequity.co")</f>
      </c>
      <c r="M4357" s="17">
        <f>HYPERLINK("https://my.pitchbook.com?c=470749-87", "View Company Online")</f>
      </c>
    </row>
    <row r="4358">
      <c r="A4358" t="s" s="10">
        <v>22039</v>
      </c>
      <c r="B4358" t="s" s="10">
        <v>22040</v>
      </c>
      <c r="C4358" t="s" s="10">
        <v>60</v>
      </c>
      <c r="D4358" t="s" s="10">
        <v>246</v>
      </c>
      <c r="E4358" t="s" s="10">
        <v>29</v>
      </c>
      <c r="F4358" s="27">
        <v>45033</v>
      </c>
      <c r="G4358" t="s" s="10">
        <v>146</v>
      </c>
      <c r="H4358" s="42">
        <v>0.13</v>
      </c>
      <c r="I4358" t="s" s="42">
        <v>30</v>
      </c>
      <c r="J4358" t="s" s="10">
        <v>22041</v>
      </c>
      <c r="K4358" t="s" s="10">
        <v>22042</v>
      </c>
      <c r="L4358" s="16">
        <f>HYPERLINK("http://bibit.id", "bibit.id")</f>
      </c>
      <c r="M4358" s="16">
        <f>HYPERLINK("https://my.pitchbook.com?c=458339-95", "View Company Online")</f>
      </c>
    </row>
    <row r="4359">
      <c r="A4359" t="s" s="11">
        <v>22044</v>
      </c>
      <c r="B4359" t="s" s="11">
        <v>22045</v>
      </c>
      <c r="C4359" t="s" s="11">
        <v>60</v>
      </c>
      <c r="D4359" t="s" s="11">
        <v>246</v>
      </c>
      <c r="E4359" t="s" s="11">
        <v>137</v>
      </c>
      <c r="F4359" s="28">
        <v>43949</v>
      </c>
      <c r="G4359" t="s" s="11">
        <v>40</v>
      </c>
      <c r="H4359" s="43">
        <v>14.13</v>
      </c>
      <c r="I4359" t="s" s="43">
        <v>30</v>
      </c>
      <c r="J4359" t="s" s="11">
        <v>22046</v>
      </c>
      <c r="K4359" t="s" s="11">
        <v>22047</v>
      </c>
      <c r="L4359" s="17">
        <f>HYPERLINK("http://www.bicai365.com", "www.bicai365.com")</f>
      </c>
      <c r="M4359" s="17">
        <f>HYPERLINK("https://my.pitchbook.com?c=432705-16", "View Company Online")</f>
      </c>
    </row>
    <row r="4360">
      <c r="A4360" t="s" s="10">
        <v>22049</v>
      </c>
      <c r="B4360" t="s" s="10">
        <v>22050</v>
      </c>
      <c r="C4360" t="s" s="10">
        <v>144</v>
      </c>
      <c r="D4360" t="s" s="10">
        <v>297</v>
      </c>
      <c r="E4360" t="s" s="10">
        <v>137</v>
      </c>
      <c r="F4360" s="27">
        <v>45762</v>
      </c>
      <c r="G4360" t="s" s="10">
        <v>146</v>
      </c>
      <c r="H4360" s="42">
        <v>1.82</v>
      </c>
      <c r="I4360" t="s" s="42">
        <v>30</v>
      </c>
      <c r="J4360" t="s" s="10">
        <v>22051</v>
      </c>
      <c r="K4360" t="s" s="10">
        <v>22052</v>
      </c>
      <c r="L4360" s="16">
        <f>HYPERLINK("http://www.bidfinance.eu", "www.bidfinance.eu")</f>
      </c>
      <c r="M4360" s="16">
        <f>HYPERLINK("https://my.pitchbook.com?c=534828-07", "View Company Online")</f>
      </c>
    </row>
    <row r="4361">
      <c r="A4361" t="s" s="11">
        <v>22054</v>
      </c>
      <c r="B4361" t="s" s="11">
        <v>22055</v>
      </c>
      <c r="C4361" t="s" s="11">
        <v>222</v>
      </c>
      <c r="D4361" t="s" s="11">
        <v>223</v>
      </c>
      <c r="E4361" t="s" s="11">
        <v>253</v>
      </c>
      <c r="F4361" t="s" s="28">
        <v>30</v>
      </c>
      <c r="G4361" t="s" s="11">
        <v>607</v>
      </c>
      <c r="H4361" t="s" s="43">
        <v>30</v>
      </c>
      <c r="I4361" t="s" s="43">
        <v>30</v>
      </c>
      <c r="J4361" t="s" s="11">
        <v>22056</v>
      </c>
      <c r="K4361" t="s" s="11">
        <v>22057</v>
      </c>
      <c r="L4361" s="17">
        <f>HYPERLINK("http://www.xyt.one", "www.xyt.one")</f>
      </c>
      <c r="M4361" s="17">
        <f>HYPERLINK("https://my.pitchbook.com?c=463901-50", "View Company Online")</f>
      </c>
    </row>
    <row r="4362">
      <c r="A4362" t="s" s="10">
        <v>22059</v>
      </c>
      <c r="B4362" t="s" s="10">
        <v>22060</v>
      </c>
      <c r="C4362" t="s" s="10">
        <v>222</v>
      </c>
      <c r="D4362" t="s" s="10">
        <v>537</v>
      </c>
      <c r="E4362" t="s" s="10">
        <v>367</v>
      </c>
      <c r="F4362" s="27">
        <v>42979</v>
      </c>
      <c r="G4362" t="s" s="10">
        <v>4267</v>
      </c>
      <c r="H4362" s="42">
        <v>1.5</v>
      </c>
      <c r="I4362" t="s" s="42">
        <v>30</v>
      </c>
      <c r="J4362" t="s" s="10">
        <v>22061</v>
      </c>
      <c r="K4362" t="s" s="10">
        <v>22062</v>
      </c>
      <c r="L4362" s="16">
        <f>HYPERLINK("http://www.bigquant.com", "www.bigquant.com")</f>
      </c>
      <c r="M4362" s="16">
        <f>HYPERLINK("https://my.pitchbook.com?c=431585-83", "View Company Online")</f>
      </c>
    </row>
    <row r="4363">
      <c r="A4363" t="s" s="11">
        <v>22064</v>
      </c>
      <c r="B4363" t="s" s="11">
        <v>22065</v>
      </c>
      <c r="C4363" t="s" s="11">
        <v>164</v>
      </c>
      <c r="D4363" t="s" s="11">
        <v>206</v>
      </c>
      <c r="E4363" t="s" s="11">
        <v>373</v>
      </c>
      <c r="F4363" s="28">
        <v>45432</v>
      </c>
      <c r="G4363" t="s" s="11">
        <v>4267</v>
      </c>
      <c r="H4363" t="s" s="43">
        <v>30</v>
      </c>
      <c r="I4363" t="s" s="43">
        <v>30</v>
      </c>
      <c r="J4363" t="s" s="11">
        <v>22066</v>
      </c>
      <c r="K4363" t="s" s="11">
        <v>22067</v>
      </c>
      <c r="L4363" s="17">
        <f>HYPERLINK("http://www.bilanc.co", "www.bilanc.co")</f>
      </c>
      <c r="M4363" s="17">
        <f>HYPERLINK("https://my.pitchbook.com?c=541274-68", "View Company Online")</f>
      </c>
    </row>
    <row r="4364">
      <c r="A4364" t="s" s="10">
        <v>22069</v>
      </c>
      <c r="B4364" t="s" s="10">
        <v>22070</v>
      </c>
      <c r="C4364" t="s" s="10">
        <v>46</v>
      </c>
      <c r="D4364" t="s" s="10">
        <v>397</v>
      </c>
      <c r="E4364" t="s" s="10">
        <v>253</v>
      </c>
      <c r="F4364" s="27">
        <v>45637</v>
      </c>
      <c r="G4364" t="s" s="10">
        <v>4267</v>
      </c>
      <c r="H4364" s="42">
        <v>1.6</v>
      </c>
      <c r="I4364" t="s" s="42">
        <v>30</v>
      </c>
      <c r="J4364" t="s" s="10">
        <v>22071</v>
      </c>
      <c r="K4364" t="s" s="10">
        <v>22072</v>
      </c>
      <c r="L4364" s="16">
        <f>HYPERLINK("http://www.billboxx.com", "www.billboxx.com")</f>
      </c>
      <c r="M4364" s="16">
        <f>HYPERLINK("https://my.pitchbook.com?c=529980-40", "View Company Online")</f>
      </c>
    </row>
    <row r="4365">
      <c r="A4365" t="s" s="11">
        <v>22074</v>
      </c>
      <c r="B4365" t="s" s="11">
        <v>22075</v>
      </c>
      <c r="C4365" t="s" s="11">
        <v>46</v>
      </c>
      <c r="D4365" t="s" s="11">
        <v>47</v>
      </c>
      <c r="E4365" t="s" s="11">
        <v>10577</v>
      </c>
      <c r="F4365" s="28">
        <v>46184</v>
      </c>
      <c r="G4365" t="s" s="11">
        <v>146</v>
      </c>
      <c r="H4365" t="s" s="43">
        <v>30</v>
      </c>
      <c r="I4365" t="s" s="43">
        <v>30</v>
      </c>
      <c r="J4365" t="s" s="11">
        <v>22076</v>
      </c>
      <c r="K4365" t="s" s="11">
        <v>22077</v>
      </c>
      <c r="L4365" s="17">
        <f>HYPERLINK("http://www.billor.us", "www.billor.us")</f>
      </c>
      <c r="M4365" s="17">
        <f>HYPERLINK("https://my.pitchbook.com?c=658274-23", "View Company Online")</f>
      </c>
    </row>
    <row r="4366">
      <c r="A4366" t="s" s="10">
        <v>22079</v>
      </c>
      <c r="B4366" t="s" s="10">
        <v>22080</v>
      </c>
      <c r="C4366" t="s" s="10">
        <v>46</v>
      </c>
      <c r="D4366" t="s" s="10">
        <v>915</v>
      </c>
      <c r="E4366" t="s" s="10">
        <v>22081</v>
      </c>
      <c r="F4366" s="27">
        <v>46235</v>
      </c>
      <c r="G4366" t="s" s="10">
        <v>607</v>
      </c>
      <c r="H4366" s="42">
        <v>0.5</v>
      </c>
      <c r="I4366" t="s" s="42">
        <v>30</v>
      </c>
      <c r="J4366" t="s" s="10">
        <v>22082</v>
      </c>
      <c r="K4366" t="s" s="10">
        <v>22083</v>
      </c>
      <c r="L4366" s="16">
        <f>HYPERLINK("http://www.thebillow.ai", "www.thebillow.ai")</f>
      </c>
      <c r="M4366" s="16">
        <f>HYPERLINK("https://my.pitchbook.com?c=897242-41", "View Company Online")</f>
      </c>
    </row>
    <row r="4367">
      <c r="A4367" t="s" s="11">
        <v>22085</v>
      </c>
      <c r="B4367" t="s" s="11">
        <v>22086</v>
      </c>
      <c r="C4367" t="s" s="11">
        <v>27</v>
      </c>
      <c r="D4367" t="s" s="11">
        <v>28</v>
      </c>
      <c r="E4367" t="s" s="11">
        <v>193</v>
      </c>
      <c r="F4367" t="s" s="28">
        <v>30</v>
      </c>
      <c r="G4367" t="s" s="11">
        <v>48</v>
      </c>
      <c r="H4367" t="s" s="43">
        <v>30</v>
      </c>
      <c r="I4367" t="s" s="43">
        <v>30</v>
      </c>
      <c r="J4367" t="s" s="11">
        <v>22087</v>
      </c>
      <c r="K4367" t="s" s="11">
        <v>22088</v>
      </c>
      <c r="L4367" s="17">
        <f>HYPERLINK("http://main.billplz.com", "main.billplz.com")</f>
      </c>
      <c r="M4367" s="17">
        <f>HYPERLINK("https://my.pitchbook.com?c=156172-24", "View Company Online")</f>
      </c>
    </row>
    <row r="4368">
      <c r="A4368" t="s" s="10">
        <v>22090</v>
      </c>
      <c r="B4368" t="s" s="10">
        <v>22091</v>
      </c>
      <c r="C4368" t="s" s="10">
        <v>114</v>
      </c>
      <c r="D4368" t="s" s="10">
        <v>136</v>
      </c>
      <c r="E4368" t="s" s="10">
        <v>137</v>
      </c>
      <c r="F4368" t="s" s="27">
        <v>30</v>
      </c>
      <c r="G4368" t="s" s="10">
        <v>146</v>
      </c>
      <c r="H4368" t="s" s="42">
        <v>30</v>
      </c>
      <c r="I4368" t="s" s="42">
        <v>30</v>
      </c>
      <c r="J4368" t="s" s="10">
        <v>22092</v>
      </c>
      <c r="K4368" t="s" s="10">
        <v>22093</v>
      </c>
      <c r="L4368" s="16">
        <f>HYPERLINK("http://bimapay.in", "bimapay.in")</f>
      </c>
      <c r="M4368" s="16">
        <f>HYPERLINK("https://my.pitchbook.com?c=592114-15", "View Company Online")</f>
      </c>
    </row>
    <row r="4369">
      <c r="A4369" t="s" s="11">
        <v>22095</v>
      </c>
      <c r="B4369" t="s" s="11">
        <v>22096</v>
      </c>
      <c r="C4369" t="s" s="11">
        <v>27</v>
      </c>
      <c r="D4369" t="s" s="11">
        <v>122</v>
      </c>
      <c r="E4369" t="s" s="11">
        <v>332</v>
      </c>
      <c r="F4369" t="s" s="28">
        <v>30</v>
      </c>
      <c r="G4369" t="s" s="11">
        <v>146</v>
      </c>
      <c r="H4369" t="s" s="43">
        <v>30</v>
      </c>
      <c r="I4369" t="s" s="43">
        <v>30</v>
      </c>
      <c r="J4369" t="s" s="11">
        <v>22097</v>
      </c>
      <c r="K4369" t="s" s="11">
        <v>22098</v>
      </c>
      <c r="L4369" s="17">
        <f>HYPERLINK("http://www.bingtellar.com", "www.bingtellar.com")</f>
      </c>
      <c r="M4369" s="17">
        <f>HYPERLINK("https://my.pitchbook.com?c=554741-11", "View Company Online")</f>
      </c>
    </row>
    <row r="4370">
      <c r="A4370" t="s" s="10">
        <v>22100</v>
      </c>
      <c r="B4370" t="s" s="10">
        <v>22101</v>
      </c>
      <c r="C4370" t="s" s="10">
        <v>60</v>
      </c>
      <c r="D4370" t="s" s="10">
        <v>61</v>
      </c>
      <c r="E4370" t="s" s="10">
        <v>193</v>
      </c>
      <c r="F4370" s="27">
        <v>45413</v>
      </c>
      <c r="G4370" t="s" s="10">
        <v>40</v>
      </c>
      <c r="H4370" t="s" s="42">
        <v>30</v>
      </c>
      <c r="I4370" t="s" s="42">
        <v>30</v>
      </c>
      <c r="J4370" t="s" s="10">
        <v>22102</v>
      </c>
      <c r="K4370" t="s" s="10">
        <v>22103</v>
      </c>
      <c r="L4370" s="16">
        <f>HYPERLINK("http://www.binomo.com", "www.binomo.com")</f>
      </c>
      <c r="M4370" s="16">
        <f>HYPERLINK("https://my.pitchbook.com?c=599786-83", "View Company Online")</f>
      </c>
    </row>
    <row r="4371">
      <c r="A4371" t="s" s="11">
        <v>22105</v>
      </c>
      <c r="B4371" t="s" s="11">
        <v>22106</v>
      </c>
      <c r="C4371" t="s" s="11">
        <v>60</v>
      </c>
      <c r="D4371" t="s" s="11">
        <v>246</v>
      </c>
      <c r="E4371" t="s" s="11">
        <v>253</v>
      </c>
      <c r="F4371" s="28">
        <v>45932</v>
      </c>
      <c r="G4371" t="s" s="11">
        <v>607</v>
      </c>
      <c r="H4371" s="43">
        <v>0.08</v>
      </c>
      <c r="I4371" t="s" s="43">
        <v>30</v>
      </c>
      <c r="J4371" t="s" s="11">
        <v>22107</v>
      </c>
      <c r="K4371" t="s" s="11">
        <v>22108</v>
      </c>
      <c r="L4371" s="17">
        <f>HYPERLINK("http://www.bintafinancial.com", "www.bintafinancial.com")</f>
      </c>
      <c r="M4371" s="17">
        <f>HYPERLINK("https://my.pitchbook.com?c=552827-44", "View Company Online")</f>
      </c>
    </row>
    <row r="4372">
      <c r="A4372" t="s" s="10">
        <v>22110</v>
      </c>
      <c r="B4372" t="s" s="10">
        <v>22111</v>
      </c>
      <c r="C4372" t="s" s="10">
        <v>114</v>
      </c>
      <c r="D4372" t="s" s="10">
        <v>136</v>
      </c>
      <c r="E4372" t="s" s="10">
        <v>137</v>
      </c>
      <c r="F4372" s="27">
        <v>46140</v>
      </c>
      <c r="G4372" t="s" s="10">
        <v>2051</v>
      </c>
      <c r="H4372" t="s" s="42">
        <v>30</v>
      </c>
      <c r="I4372" t="s" s="42">
        <v>30</v>
      </c>
      <c r="J4372" t="s" s="10">
        <v>22112</v>
      </c>
      <c r="K4372" t="s" s="10">
        <v>30</v>
      </c>
      <c r="L4372" s="16">
        <f>HYPERLINK("http://www.bipsai.com", "www.bipsai.com")</f>
      </c>
      <c r="M4372" s="16">
        <f>HYPERLINK("https://my.pitchbook.com?c=292476-34", "View Company Online")</f>
      </c>
    </row>
    <row r="4373">
      <c r="A4373" t="s" s="11">
        <v>22114</v>
      </c>
      <c r="B4373" t="s" s="11">
        <v>22115</v>
      </c>
      <c r="C4373" t="s" s="11">
        <v>222</v>
      </c>
      <c r="D4373" t="s" s="11">
        <v>252</v>
      </c>
      <c r="E4373" t="s" s="11">
        <v>859</v>
      </c>
      <c r="F4373" s="28">
        <v>46064</v>
      </c>
      <c r="G4373" t="s" s="11">
        <v>4267</v>
      </c>
      <c r="H4373" s="43">
        <v>2.5</v>
      </c>
      <c r="I4373" t="s" s="43">
        <v>30</v>
      </c>
      <c r="J4373" t="s" s="11">
        <v>22116</v>
      </c>
      <c r="K4373" t="s" s="11">
        <v>22117</v>
      </c>
      <c r="L4373" s="17">
        <f>HYPERLINK("http://www.birchhill.io", "www.birchhill.io")</f>
      </c>
      <c r="M4373" s="17">
        <f>HYPERLINK("https://my.pitchbook.com?c=1153168-39", "View Company Online")</f>
      </c>
    </row>
    <row r="4374">
      <c r="A4374" t="s" s="10">
        <v>22119</v>
      </c>
      <c r="B4374" t="s" s="10">
        <v>22120</v>
      </c>
      <c r="C4374" t="s" s="10">
        <v>222</v>
      </c>
      <c r="D4374" t="s" s="10">
        <v>235</v>
      </c>
      <c r="E4374" t="s" s="10">
        <v>253</v>
      </c>
      <c r="F4374" s="27">
        <v>45930</v>
      </c>
      <c r="G4374" t="s" s="10">
        <v>40</v>
      </c>
      <c r="H4374" s="42">
        <v>25</v>
      </c>
      <c r="I4374" t="s" s="42">
        <v>30</v>
      </c>
      <c r="J4374" t="s" s="10">
        <v>22121</v>
      </c>
      <c r="K4374" t="s" s="10">
        <v>22122</v>
      </c>
      <c r="L4374" s="16">
        <f>HYPERLINK("http://www.biteinvestments.com", "www.biteinvestments.com")</f>
      </c>
      <c r="M4374" s="16">
        <f>HYPERLINK("https://my.pitchbook.com?c=343202-05", "View Company Online")</f>
      </c>
    </row>
    <row r="4375">
      <c r="A4375" t="s" s="11">
        <v>22124</v>
      </c>
      <c r="B4375" t="s" s="11">
        <v>22125</v>
      </c>
      <c r="C4375" t="s" s="11">
        <v>27</v>
      </c>
      <c r="D4375" t="s" s="11">
        <v>70</v>
      </c>
      <c r="E4375" t="s" s="11">
        <v>62</v>
      </c>
      <c r="F4375" s="28">
        <v>45870</v>
      </c>
      <c r="G4375" t="s" s="11">
        <v>40</v>
      </c>
      <c r="H4375" t="s" s="43">
        <v>30</v>
      </c>
      <c r="I4375" t="s" s="43">
        <v>30</v>
      </c>
      <c r="J4375" t="s" s="11">
        <v>22126</v>
      </c>
      <c r="K4375" t="s" s="11">
        <v>22127</v>
      </c>
      <c r="L4375" s="17">
        <f>HYPERLINK("http://www.bitnob.com", "www.bitnob.com")</f>
      </c>
      <c r="M4375" s="17">
        <f>HYPERLINK("https://my.pitchbook.com?c=467851-69", "View Company Online")</f>
      </c>
    </row>
    <row r="4376">
      <c r="A4376" t="s" s="10">
        <v>22129</v>
      </c>
      <c r="B4376" t="s" s="10">
        <v>22130</v>
      </c>
      <c r="C4376" t="s" s="10">
        <v>46</v>
      </c>
      <c r="D4376" t="s" s="10">
        <v>47</v>
      </c>
      <c r="E4376" t="s" s="10">
        <v>634</v>
      </c>
      <c r="F4376" s="27">
        <v>45658</v>
      </c>
      <c r="G4376" t="s" s="10">
        <v>40</v>
      </c>
      <c r="H4376" t="s" s="42">
        <v>30</v>
      </c>
      <c r="I4376" t="s" s="42">
        <v>30</v>
      </c>
      <c r="J4376" t="s" s="10">
        <v>22131</v>
      </c>
      <c r="K4376" t="s" s="10">
        <v>22132</v>
      </c>
      <c r="L4376" s="16">
        <f>HYPERLINK("http://www.bizzi.vn", "www.bizzi.vn")</f>
      </c>
      <c r="M4376" s="16">
        <f>HYPERLINK("https://my.pitchbook.com?c=437187-34", "View Company Online")</f>
      </c>
    </row>
    <row r="4377">
      <c r="A4377" t="s" s="11">
        <v>22134</v>
      </c>
      <c r="B4377" t="s" s="11">
        <v>22135</v>
      </c>
      <c r="C4377" t="s" s="11">
        <v>114</v>
      </c>
      <c r="D4377" t="s" s="11">
        <v>115</v>
      </c>
      <c r="E4377" t="s" s="11">
        <v>137</v>
      </c>
      <c r="F4377" s="28">
        <v>45976</v>
      </c>
      <c r="G4377" t="s" s="11">
        <v>64</v>
      </c>
      <c r="H4377" t="s" s="43">
        <v>30</v>
      </c>
      <c r="I4377" t="s" s="43">
        <v>30</v>
      </c>
      <c r="J4377" t="s" s="11">
        <v>22136</v>
      </c>
      <c r="K4377" t="s" s="11">
        <v>22137</v>
      </c>
      <c r="L4377" s="17">
        <f>HYPERLINK("http://blackopalgroup.in", "blackopalgroup.in")</f>
      </c>
      <c r="M4377" s="17">
        <f>HYPERLINK("https://my.pitchbook.com?c=570796-21", "View Company Online")</f>
      </c>
    </row>
    <row r="4378">
      <c r="A4378" t="s" s="10">
        <v>22139</v>
      </c>
      <c r="B4378" t="s" s="10">
        <v>22140</v>
      </c>
      <c r="C4378" t="s" s="10">
        <v>37</v>
      </c>
      <c r="D4378" t="s" s="10">
        <v>304</v>
      </c>
      <c r="E4378" t="s" s="10">
        <v>22141</v>
      </c>
      <c r="F4378" t="s" s="27">
        <v>30</v>
      </c>
      <c r="G4378" t="s" s="10">
        <v>146</v>
      </c>
      <c r="H4378" t="s" s="42">
        <v>30</v>
      </c>
      <c r="I4378" t="s" s="42">
        <v>30</v>
      </c>
      <c r="J4378" t="s" s="10">
        <v>22142</v>
      </c>
      <c r="K4378" t="s" s="10">
        <v>22143</v>
      </c>
      <c r="L4378" s="16">
        <f>HYPERLINK("http://www.xhy.com", "www.xhy.com")</f>
      </c>
      <c r="M4378" s="16">
        <f>HYPERLINK("https://my.pitchbook.com?c=277809-85", "View Company Online")</f>
      </c>
    </row>
    <row r="4379">
      <c r="A4379" t="s" s="11">
        <v>22145</v>
      </c>
      <c r="B4379" t="s" s="11">
        <v>22146</v>
      </c>
      <c r="C4379" t="s" s="11">
        <v>60</v>
      </c>
      <c r="D4379" t="s" s="11">
        <v>432</v>
      </c>
      <c r="E4379" t="s" s="11">
        <v>1207</v>
      </c>
      <c r="F4379" s="28">
        <v>44617</v>
      </c>
      <c r="G4379" t="s" s="11">
        <v>40</v>
      </c>
      <c r="H4379" s="43">
        <v>3.4</v>
      </c>
      <c r="I4379" t="s" s="43">
        <v>30</v>
      </c>
      <c r="J4379" t="s" s="11">
        <v>22147</v>
      </c>
      <c r="K4379" t="s" s="11">
        <v>22148</v>
      </c>
      <c r="L4379" s="17">
        <f>HYPERLINK("http://www.useblanco.com", "www.useblanco.com")</f>
      </c>
      <c r="M4379" s="17">
        <f>HYPERLINK("https://my.pitchbook.com?c=233067-88", "View Company Online")</f>
      </c>
    </row>
    <row r="4380">
      <c r="A4380" t="s" s="10">
        <v>22150</v>
      </c>
      <c r="B4380" t="s" s="10">
        <v>22151</v>
      </c>
      <c r="C4380" t="s" s="10">
        <v>128</v>
      </c>
      <c r="D4380" t="s" s="10">
        <v>276</v>
      </c>
      <c r="E4380" t="s" s="10">
        <v>1859</v>
      </c>
      <c r="F4380" s="27">
        <v>45597</v>
      </c>
      <c r="G4380" t="s" s="10">
        <v>146</v>
      </c>
      <c r="H4380" t="s" s="42">
        <v>30</v>
      </c>
      <c r="I4380" t="s" s="42">
        <v>30</v>
      </c>
      <c r="J4380" t="s" s="10">
        <v>22152</v>
      </c>
      <c r="K4380" t="s" s="10">
        <v>22153</v>
      </c>
      <c r="L4380" s="16">
        <f>HYPERLINK("http://www.blaze.money", "www.blaze.money")</f>
      </c>
      <c r="M4380" s="16">
        <f>HYPERLINK("https://my.pitchbook.com?c=597117-79", "View Company Online")</f>
      </c>
    </row>
    <row r="4381">
      <c r="A4381" t="s" s="11">
        <v>22155</v>
      </c>
      <c r="B4381" t="s" s="11">
        <v>22156</v>
      </c>
      <c r="C4381" t="s" s="11">
        <v>172</v>
      </c>
      <c r="D4381" t="s" s="11">
        <v>338</v>
      </c>
      <c r="E4381" t="s" s="11">
        <v>22157</v>
      </c>
      <c r="F4381" s="28">
        <v>45823</v>
      </c>
      <c r="G4381" t="s" s="11">
        <v>146</v>
      </c>
      <c r="H4381" t="s" s="43">
        <v>30</v>
      </c>
      <c r="I4381" t="s" s="43">
        <v>30</v>
      </c>
      <c r="J4381" t="s" s="11">
        <v>22158</v>
      </c>
      <c r="K4381" t="s" s="11">
        <v>22159</v>
      </c>
      <c r="L4381" s="17">
        <f>HYPERLINK("http://www.blerify.com", "www.blerify.com")</f>
      </c>
      <c r="M4381" s="17">
        <f>HYPERLINK("https://my.pitchbook.com?c=539989-57", "View Company Online")</f>
      </c>
    </row>
    <row r="4382">
      <c r="A4382" t="s" s="10">
        <v>22161</v>
      </c>
      <c r="B4382" t="s" s="10">
        <v>22162</v>
      </c>
      <c r="C4382" t="s" s="10">
        <v>27</v>
      </c>
      <c r="D4382" t="s" s="10">
        <v>28</v>
      </c>
      <c r="E4382" t="s" s="10">
        <v>22163</v>
      </c>
      <c r="F4382" s="27">
        <v>45800</v>
      </c>
      <c r="G4382" t="s" s="10">
        <v>40</v>
      </c>
      <c r="H4382" t="s" s="42">
        <v>30</v>
      </c>
      <c r="I4382" t="s" s="42">
        <v>30</v>
      </c>
      <c r="J4382" t="s" s="10">
        <v>22164</v>
      </c>
      <c r="K4382" t="s" s="10">
        <v>22165</v>
      </c>
      <c r="L4382" s="16">
        <f>HYPERLINK("http://www.blimboo.com", "www.blimboo.com")</f>
      </c>
      <c r="M4382" s="16">
        <f>HYPERLINK("https://my.pitchbook.com?c=522921-79", "View Company Online")</f>
      </c>
    </row>
    <row r="4383">
      <c r="A4383" t="s" s="11">
        <v>22167</v>
      </c>
      <c r="B4383" t="s" s="11">
        <v>22168</v>
      </c>
      <c r="C4383" t="s" s="11">
        <v>27</v>
      </c>
      <c r="D4383" t="s" s="11">
        <v>70</v>
      </c>
      <c r="E4383" t="s" s="11">
        <v>887</v>
      </c>
      <c r="F4383" s="28">
        <v>45723</v>
      </c>
      <c r="G4383" t="s" s="11">
        <v>4267</v>
      </c>
      <c r="H4383" s="43">
        <v>3.3</v>
      </c>
      <c r="I4383" t="s" s="43">
        <v>30</v>
      </c>
      <c r="J4383" t="s" s="11">
        <v>22169</v>
      </c>
      <c r="K4383" t="s" s="11">
        <v>22170</v>
      </c>
      <c r="L4383" s="17">
        <f>HYPERLINK("http://blindpay.com", "blindpay.com")</f>
      </c>
      <c r="M4383" s="17">
        <f>HYPERLINK("https://my.pitchbook.com?c=722269-27", "View Company Online")</f>
      </c>
    </row>
    <row r="4384">
      <c r="A4384" t="s" s="10">
        <v>22172</v>
      </c>
      <c r="B4384" t="s" s="10">
        <v>22173</v>
      </c>
      <c r="C4384" t="s" s="10">
        <v>128</v>
      </c>
      <c r="D4384" t="s" s="10">
        <v>276</v>
      </c>
      <c r="E4384" t="s" s="10">
        <v>116</v>
      </c>
      <c r="F4384" s="27">
        <v>46113</v>
      </c>
      <c r="G4384" t="s" s="10">
        <v>40</v>
      </c>
      <c r="H4384" t="s" s="42">
        <v>30</v>
      </c>
      <c r="I4384" t="s" s="42">
        <v>30</v>
      </c>
      <c r="J4384" t="s" s="10">
        <v>22174</v>
      </c>
      <c r="K4384" t="s" s="10">
        <v>22175</v>
      </c>
      <c r="L4384" s="16">
        <f>HYPERLINK("http://www.bling.de", "www.bling.de")</f>
      </c>
      <c r="M4384" s="16">
        <f>HYPERLINK("https://my.pitchbook.com?c=491727-16", "View Company Online")</f>
      </c>
    </row>
    <row r="4385">
      <c r="A4385" t="s" s="11">
        <v>22177</v>
      </c>
      <c r="B4385" t="s" s="11">
        <v>22178</v>
      </c>
      <c r="C4385" t="s" s="11">
        <v>27</v>
      </c>
      <c r="D4385" t="s" s="11">
        <v>28</v>
      </c>
      <c r="E4385" t="s" s="11">
        <v>30</v>
      </c>
      <c r="F4385" t="s" s="28">
        <v>30</v>
      </c>
      <c r="G4385" t="s" s="11">
        <v>48</v>
      </c>
      <c r="H4385" t="s" s="43">
        <v>30</v>
      </c>
      <c r="I4385" t="s" s="43">
        <v>30</v>
      </c>
      <c r="J4385" t="s" s="11">
        <v>22179</v>
      </c>
      <c r="K4385" t="s" s="11">
        <v>22180</v>
      </c>
      <c r="L4385" s="17">
        <f>HYPERLINK("http://www.blink.net", "www.blink.net")</f>
      </c>
      <c r="M4385" s="17">
        <f>HYPERLINK("https://my.pitchbook.com?c=265200-94", "View Company Online")</f>
      </c>
    </row>
    <row r="4386">
      <c r="A4386" t="s" s="10">
        <v>22182</v>
      </c>
      <c r="B4386" t="s" s="10">
        <v>22183</v>
      </c>
      <c r="C4386" t="s" s="10">
        <v>46</v>
      </c>
      <c r="D4386" t="s" s="10">
        <v>78</v>
      </c>
      <c r="E4386" t="s" s="10">
        <v>270</v>
      </c>
      <c r="F4386" s="27">
        <v>46204</v>
      </c>
      <c r="G4386" t="s" s="10">
        <v>391</v>
      </c>
      <c r="H4386" t="s" s="42">
        <v>30</v>
      </c>
      <c r="I4386" t="s" s="42">
        <v>30</v>
      </c>
      <c r="J4386" t="s" s="10">
        <v>22184</v>
      </c>
      <c r="K4386" t="s" s="10">
        <v>30</v>
      </c>
      <c r="L4386" s="16">
        <f>HYPERLINK("http://www.blipay.com.br", "www.blipay.com.br")</f>
      </c>
      <c r="M4386" s="16">
        <f>HYPERLINK("https://my.pitchbook.com?c=513208-27", "View Company Online")</f>
      </c>
    </row>
    <row r="4387">
      <c r="A4387" t="s" s="11">
        <v>22186</v>
      </c>
      <c r="B4387" t="s" s="11">
        <v>22187</v>
      </c>
      <c r="C4387" t="s" s="11">
        <v>27</v>
      </c>
      <c r="D4387" t="s" s="11">
        <v>28</v>
      </c>
      <c r="E4387" t="s" s="11">
        <v>332</v>
      </c>
      <c r="F4387" s="28">
        <v>44384</v>
      </c>
      <c r="G4387" t="s" s="11">
        <v>4267</v>
      </c>
      <c r="H4387" s="43">
        <v>1.6</v>
      </c>
      <c r="I4387" t="s" s="43">
        <v>30</v>
      </c>
      <c r="J4387" t="s" s="11">
        <v>22188</v>
      </c>
      <c r="K4387" t="s" s="11">
        <v>22189</v>
      </c>
      <c r="L4387" s="17">
        <f>HYPERLINK("http://www.bllink.co", "www.bllink.co")</f>
      </c>
      <c r="M4387" s="17">
        <f>HYPERLINK("https://my.pitchbook.com?c=432814-60", "View Company Online")</f>
      </c>
    </row>
    <row r="4388">
      <c r="A4388" t="s" s="10">
        <v>22191</v>
      </c>
      <c r="B4388" t="s" s="10">
        <v>22192</v>
      </c>
      <c r="C4388" t="s" s="10">
        <v>114</v>
      </c>
      <c r="D4388" t="s" s="10">
        <v>870</v>
      </c>
      <c r="E4388" t="s" s="10">
        <v>253</v>
      </c>
      <c r="F4388" s="27">
        <v>46181</v>
      </c>
      <c r="G4388" t="s" s="10">
        <v>40</v>
      </c>
      <c r="H4388" s="42">
        <v>37.1</v>
      </c>
      <c r="I4388" t="s" s="42">
        <v>30</v>
      </c>
      <c r="J4388" t="s" s="10">
        <v>22193</v>
      </c>
      <c r="K4388" t="s" s="10">
        <v>22194</v>
      </c>
      <c r="L4388" s="16">
        <f>HYPERLINK("http://www.blnk.ai", "www.blnk.ai")</f>
      </c>
      <c r="M4388" s="16">
        <f>HYPERLINK("https://my.pitchbook.com?c=510431-14", "View Company Online")</f>
      </c>
    </row>
    <row r="4389">
      <c r="A4389" t="s" s="11">
        <v>22196</v>
      </c>
      <c r="B4389" t="s" s="11">
        <v>22197</v>
      </c>
      <c r="C4389" t="s" s="11">
        <v>222</v>
      </c>
      <c r="D4389" t="s" s="11">
        <v>252</v>
      </c>
      <c r="E4389" t="s" s="11">
        <v>137</v>
      </c>
      <c r="F4389" s="28">
        <v>46023</v>
      </c>
      <c r="G4389" t="s" s="11">
        <v>146</v>
      </c>
      <c r="H4389" t="s" s="43">
        <v>30</v>
      </c>
      <c r="I4389" t="s" s="43">
        <v>30</v>
      </c>
      <c r="J4389" t="s" s="11">
        <v>22198</v>
      </c>
      <c r="K4389" t="s" s="11">
        <v>22199</v>
      </c>
      <c r="L4389" s="17">
        <f>HYPERLINK("http://www.blockbr.com.br", "www.blockbr.com.br")</f>
      </c>
      <c r="M4389" s="17">
        <f>HYPERLINK("https://my.pitchbook.com?c=556966-81", "View Company Online")</f>
      </c>
    </row>
    <row r="4390">
      <c r="A4390" t="s" s="10">
        <v>22201</v>
      </c>
      <c r="B4390" t="s" s="10">
        <v>22202</v>
      </c>
      <c r="C4390" t="s" s="10">
        <v>222</v>
      </c>
      <c r="D4390" t="s" s="10">
        <v>223</v>
      </c>
      <c r="E4390" t="s" s="10">
        <v>311</v>
      </c>
      <c r="F4390" s="27">
        <v>45902</v>
      </c>
      <c r="G4390" t="s" s="10">
        <v>4267</v>
      </c>
      <c r="H4390" s="42">
        <v>2.5</v>
      </c>
      <c r="I4390" t="s" s="42">
        <v>30</v>
      </c>
      <c r="J4390" t="s" s="10">
        <v>22203</v>
      </c>
      <c r="K4390" t="s" s="10">
        <v>22204</v>
      </c>
      <c r="L4390" s="16">
        <f>HYPERLINK("http://www.blockhouse.app", "www.blockhouse.app")</f>
      </c>
      <c r="M4390" s="16">
        <f>HYPERLINK("https://my.pitchbook.com?c=594023-86", "View Company Online")</f>
      </c>
    </row>
    <row r="4391">
      <c r="A4391" t="s" s="11">
        <v>22206</v>
      </c>
      <c r="B4391" t="s" s="11">
        <v>22207</v>
      </c>
      <c r="C4391" t="s" s="11">
        <v>60</v>
      </c>
      <c r="D4391" t="s" s="11">
        <v>246</v>
      </c>
      <c r="E4391" t="s" s="11">
        <v>193</v>
      </c>
      <c r="F4391" s="28">
        <v>45734</v>
      </c>
      <c r="G4391" t="s" s="11">
        <v>40</v>
      </c>
      <c r="H4391" t="s" s="43">
        <v>30</v>
      </c>
      <c r="I4391" t="s" s="43">
        <v>30</v>
      </c>
      <c r="J4391" t="s" s="11">
        <v>22208</v>
      </c>
      <c r="K4391" t="s" s="11">
        <v>22209</v>
      </c>
      <c r="L4391" s="17">
        <f>HYPERLINK("http://www.blockpit.io", "www.blockpit.io")</f>
      </c>
      <c r="M4391" s="17">
        <f>HYPERLINK("https://my.pitchbook.com?c=263419-30", "View Company Online")</f>
      </c>
    </row>
    <row r="4392">
      <c r="A4392" t="s" s="10">
        <v>22211</v>
      </c>
      <c r="B4392" t="s" s="10">
        <v>22212</v>
      </c>
      <c r="C4392" t="s" s="10">
        <v>60</v>
      </c>
      <c r="D4392" t="s" s="10">
        <v>61</v>
      </c>
      <c r="E4392" t="s" s="10">
        <v>270</v>
      </c>
      <c r="F4392" s="27">
        <v>44657</v>
      </c>
      <c r="G4392" t="s" s="10">
        <v>146</v>
      </c>
      <c r="H4392" s="42">
        <v>3.3</v>
      </c>
      <c r="I4392" t="s" s="42">
        <v>30</v>
      </c>
      <c r="J4392" t="s" s="10">
        <v>22213</v>
      </c>
      <c r="K4392" t="s" s="10">
        <v>22214</v>
      </c>
      <c r="L4392" s="16">
        <f>HYPERLINK("http://www.bloomapp.com", "www.bloomapp.com")</f>
      </c>
      <c r="M4392" s="16">
        <f>HYPERLINK("https://my.pitchbook.com?c=491361-31", "View Company Online")</f>
      </c>
    </row>
    <row r="4393">
      <c r="A4393" t="s" s="11">
        <v>22216</v>
      </c>
      <c r="B4393" t="s" s="11">
        <v>22217</v>
      </c>
      <c r="C4393" t="s" s="11">
        <v>144</v>
      </c>
      <c r="D4393" t="s" s="11">
        <v>297</v>
      </c>
      <c r="E4393" t="s" s="11">
        <v>137</v>
      </c>
      <c r="F4393" s="28">
        <v>45231</v>
      </c>
      <c r="G4393" t="s" s="11">
        <v>48</v>
      </c>
      <c r="H4393" t="s" s="43">
        <v>30</v>
      </c>
      <c r="I4393" t="s" s="43">
        <v>30</v>
      </c>
      <c r="J4393" t="s" s="11">
        <v>22218</v>
      </c>
      <c r="K4393" t="s" s="11">
        <v>22219</v>
      </c>
      <c r="L4393" s="17">
        <f>HYPERLINK("http://www.letsbloom.com", "www.letsbloom.com")</f>
      </c>
      <c r="M4393" s="17">
        <f>HYPERLINK("https://my.pitchbook.com?c=465441-40", "View Company Online")</f>
      </c>
    </row>
    <row r="4394">
      <c r="A4394" t="s" s="10">
        <v>22221</v>
      </c>
      <c r="B4394" t="s" s="10">
        <v>22222</v>
      </c>
      <c r="C4394" t="s" s="10">
        <v>114</v>
      </c>
      <c r="D4394" t="s" s="10">
        <v>115</v>
      </c>
      <c r="E4394" t="s" s="10">
        <v>3433</v>
      </c>
      <c r="F4394" s="27">
        <v>45225</v>
      </c>
      <c r="G4394" t="s" s="10">
        <v>146</v>
      </c>
      <c r="H4394" s="42">
        <v>7</v>
      </c>
      <c r="I4394" t="s" s="42">
        <v>30</v>
      </c>
      <c r="J4394" t="s" s="10">
        <v>22223</v>
      </c>
      <c r="K4394" t="s" s="10">
        <v>22224</v>
      </c>
      <c r="L4394" s="16">
        <f>HYPERLINK("http://www.bloomfin.ca", "www.bloomfin.ca")</f>
      </c>
      <c r="M4394" s="16">
        <f>HYPERLINK("https://my.pitchbook.com?c=503320-24", "View Company Online")</f>
      </c>
    </row>
    <row r="4395">
      <c r="A4395" t="s" s="11">
        <v>22226</v>
      </c>
      <c r="B4395" t="s" s="11">
        <v>22227</v>
      </c>
      <c r="C4395" t="s" s="11">
        <v>144</v>
      </c>
      <c r="D4395" t="s" s="11">
        <v>297</v>
      </c>
      <c r="E4395" t="s" s="11">
        <v>414</v>
      </c>
      <c r="F4395" s="28">
        <v>45811</v>
      </c>
      <c r="G4395" t="s" s="11">
        <v>4267</v>
      </c>
      <c r="H4395" s="43">
        <v>2.81</v>
      </c>
      <c r="I4395" t="s" s="43">
        <v>30</v>
      </c>
      <c r="J4395" t="s" s="11">
        <v>22228</v>
      </c>
      <c r="K4395" t="s" s="11">
        <v>22229</v>
      </c>
      <c r="L4395" s="17">
        <f>HYPERLINK("http://www.bloomscapital.com", "www.bloomscapital.com")</f>
      </c>
      <c r="M4395" s="17">
        <f>HYPERLINK("https://my.pitchbook.com?c=616127-95", "View Company Online")</f>
      </c>
    </row>
    <row r="4396">
      <c r="A4396" t="s" s="10">
        <v>22231</v>
      </c>
      <c r="B4396" t="s" s="10">
        <v>22232</v>
      </c>
      <c r="C4396" t="s" s="10">
        <v>222</v>
      </c>
      <c r="D4396" t="s" s="10">
        <v>223</v>
      </c>
      <c r="E4396" t="s" s="10">
        <v>137</v>
      </c>
      <c r="F4396" t="s" s="27">
        <v>30</v>
      </c>
      <c r="G4396" t="s" s="10">
        <v>40</v>
      </c>
      <c r="H4396" s="42">
        <v>1.45</v>
      </c>
      <c r="I4396" t="s" s="42">
        <v>30</v>
      </c>
      <c r="J4396" t="s" s="10">
        <v>22233</v>
      </c>
      <c r="K4396" t="s" s="10">
        <v>22234</v>
      </c>
      <c r="L4396" s="16">
        <f>HYPERLINK("http://www.bloxs.com.br", "www.bloxs.com.br")</f>
      </c>
      <c r="M4396" s="16">
        <f>HYPERLINK("https://my.pitchbook.com?c=432461-26", "View Company Online")</f>
      </c>
    </row>
    <row r="4397">
      <c r="A4397" t="s" s="11">
        <v>22236</v>
      </c>
      <c r="B4397" t="s" s="11">
        <v>22237</v>
      </c>
      <c r="C4397" t="s" s="11">
        <v>27</v>
      </c>
      <c r="D4397" t="s" s="11">
        <v>70</v>
      </c>
      <c r="E4397" t="s" s="11">
        <v>253</v>
      </c>
      <c r="F4397" s="28">
        <v>44396</v>
      </c>
      <c r="G4397" t="s" s="11">
        <v>48</v>
      </c>
      <c r="H4397" s="43">
        <v>10.64</v>
      </c>
      <c r="I4397" t="s" s="43">
        <v>30</v>
      </c>
      <c r="J4397" t="s" s="11">
        <v>22238</v>
      </c>
      <c r="K4397" t="s" s="11">
        <v>22239</v>
      </c>
      <c r="L4397" s="17">
        <f>HYPERLINK("http://www.blu.com.br", "www.blu.com.br")</f>
      </c>
      <c r="M4397" s="17">
        <f>HYPERLINK("https://my.pitchbook.com?c=470486-62", "View Company Online")</f>
      </c>
    </row>
    <row r="4398">
      <c r="A4398" t="s" s="10">
        <v>22241</v>
      </c>
      <c r="B4398" t="s" s="10">
        <v>22242</v>
      </c>
      <c r="C4398" t="s" s="10">
        <v>164</v>
      </c>
      <c r="D4398" t="s" s="10">
        <v>206</v>
      </c>
      <c r="E4398" t="s" s="10">
        <v>137</v>
      </c>
      <c r="F4398" s="27">
        <v>46065</v>
      </c>
      <c r="G4398" t="s" s="10">
        <v>48</v>
      </c>
      <c r="H4398" s="42">
        <v>3.79</v>
      </c>
      <c r="I4398" t="s" s="42">
        <v>30</v>
      </c>
      <c r="J4398" t="s" s="10">
        <v>22243</v>
      </c>
      <c r="K4398" t="s" s="10">
        <v>22244</v>
      </c>
      <c r="L4398" s="16">
        <f>HYPERLINK("http://www.blu365.com.br", "www.blu365.com.br")</f>
      </c>
      <c r="M4398" s="16">
        <f>HYPERLINK("https://my.pitchbook.com?c=166933-36", "View Company Online")</f>
      </c>
    </row>
    <row r="4399">
      <c r="A4399" t="s" s="11">
        <v>22246</v>
      </c>
      <c r="B4399" t="s" s="11">
        <v>22247</v>
      </c>
      <c r="C4399" t="s" s="11">
        <v>172</v>
      </c>
      <c r="D4399" t="s" s="11">
        <v>338</v>
      </c>
      <c r="E4399" t="s" s="11">
        <v>859</v>
      </c>
      <c r="F4399" s="28">
        <v>44944</v>
      </c>
      <c r="G4399" t="s" s="11">
        <v>4267</v>
      </c>
      <c r="H4399" s="43">
        <v>3.2</v>
      </c>
      <c r="I4399" t="s" s="43">
        <v>30</v>
      </c>
      <c r="J4399" t="s" s="11">
        <v>22248</v>
      </c>
      <c r="K4399" t="s" s="11">
        <v>22249</v>
      </c>
      <c r="L4399" s="17">
        <f>HYPERLINK("http://www.blue.fi", "www.blue.fi")</f>
      </c>
      <c r="M4399" s="17">
        <f>HYPERLINK("https://my.pitchbook.com?c=498198-61", "View Company Online")</f>
      </c>
    </row>
    <row r="4400">
      <c r="A4400" t="s" s="10">
        <v>22251</v>
      </c>
      <c r="B4400" t="s" s="10">
        <v>22252</v>
      </c>
      <c r="C4400" t="s" s="10">
        <v>46</v>
      </c>
      <c r="D4400" t="s" s="10">
        <v>397</v>
      </c>
      <c r="E4400" t="s" s="10">
        <v>916</v>
      </c>
      <c r="F4400" s="27">
        <v>45749</v>
      </c>
      <c r="G4400" t="s" s="10">
        <v>146</v>
      </c>
      <c r="H4400" t="s" s="42">
        <v>30</v>
      </c>
      <c r="I4400" t="s" s="42">
        <v>30</v>
      </c>
      <c r="J4400" t="s" s="10">
        <v>22253</v>
      </c>
      <c r="K4400" t="s" s="10">
        <v>22254</v>
      </c>
      <c r="L4400" s="16">
        <f>HYPERLINK("http://blue-inspect.com", "blue-inspect.com")</f>
      </c>
      <c r="M4400" s="16">
        <f>HYPERLINK("https://my.pitchbook.com?c=659496-79", "View Company Online")</f>
      </c>
    </row>
    <row r="4401">
      <c r="A4401" t="s" s="11">
        <v>22256</v>
      </c>
      <c r="B4401" t="s" s="11">
        <v>22257</v>
      </c>
      <c r="C4401" t="s" s="11">
        <v>60</v>
      </c>
      <c r="D4401" t="s" s="11">
        <v>192</v>
      </c>
      <c r="E4401" t="s" s="11">
        <v>30</v>
      </c>
      <c r="F4401" s="28">
        <v>45644</v>
      </c>
      <c r="G4401" t="s" s="11">
        <v>4267</v>
      </c>
      <c r="H4401" s="43">
        <v>5</v>
      </c>
      <c r="I4401" t="s" s="43">
        <v>30</v>
      </c>
      <c r="J4401" t="s" s="11">
        <v>22258</v>
      </c>
      <c r="K4401" t="s" s="11">
        <v>30</v>
      </c>
      <c r="L4401" t="s" s="11">
        <v>30</v>
      </c>
      <c r="M4401" s="17">
        <f>HYPERLINK("https://my.pitchbook.com?c=533106-19", "View Company Online")</f>
      </c>
    </row>
    <row r="4402">
      <c r="A4402" t="s" s="10">
        <v>22259</v>
      </c>
      <c r="B4402" t="s" s="10">
        <v>22260</v>
      </c>
      <c r="C4402" t="s" s="10">
        <v>60</v>
      </c>
      <c r="D4402" t="s" s="10">
        <v>246</v>
      </c>
      <c r="E4402" t="s" s="10">
        <v>270</v>
      </c>
      <c r="F4402" s="27">
        <v>45662</v>
      </c>
      <c r="G4402" t="s" s="10">
        <v>607</v>
      </c>
      <c r="H4402" t="s" s="42">
        <v>30</v>
      </c>
      <c r="I4402" t="s" s="42">
        <v>30</v>
      </c>
      <c r="J4402" t="s" s="10">
        <v>22261</v>
      </c>
      <c r="K4402" t="s" s="10">
        <v>22262</v>
      </c>
      <c r="L4402" s="16">
        <f>HYPERLINK("http://www.bluelions.kr", "www.bluelions.kr")</f>
      </c>
      <c r="M4402" s="16">
        <f>HYPERLINK("https://my.pitchbook.com?c=731581-75", "View Company Online")</f>
      </c>
    </row>
    <row r="4403">
      <c r="A4403" t="s" s="11">
        <v>22264</v>
      </c>
      <c r="B4403" t="s" s="11">
        <v>22265</v>
      </c>
      <c r="C4403" t="s" s="11">
        <v>27</v>
      </c>
      <c r="D4403" t="s" s="11">
        <v>28</v>
      </c>
      <c r="E4403" t="s" s="11">
        <v>137</v>
      </c>
      <c r="F4403" s="28">
        <v>44473</v>
      </c>
      <c r="G4403" t="s" s="11">
        <v>391</v>
      </c>
      <c r="H4403" t="s" s="43">
        <v>30</v>
      </c>
      <c r="I4403" t="s" s="43">
        <v>30</v>
      </c>
      <c r="J4403" t="s" s="11">
        <v>22266</v>
      </c>
      <c r="K4403" t="s" s="11">
        <v>22267</v>
      </c>
      <c r="L4403" s="17">
        <f>HYPERLINK("http://cn.mart.blue", "cn.mart.blue")</f>
      </c>
      <c r="M4403" s="17">
        <f>HYPERLINK("https://my.pitchbook.com?c=308330-20", "View Company Online")</f>
      </c>
    </row>
    <row r="4404">
      <c r="A4404" t="s" s="10">
        <v>22269</v>
      </c>
      <c r="B4404" t="s" s="10">
        <v>22270</v>
      </c>
      <c r="C4404" t="s" s="10">
        <v>27</v>
      </c>
      <c r="D4404" t="s" s="10">
        <v>70</v>
      </c>
      <c r="E4404" t="s" s="10">
        <v>311</v>
      </c>
      <c r="F4404" s="27">
        <v>45895</v>
      </c>
      <c r="G4404" t="s" s="10">
        <v>4267</v>
      </c>
      <c r="H4404" t="s" s="42">
        <v>30</v>
      </c>
      <c r="I4404" t="s" s="42">
        <v>30</v>
      </c>
      <c r="J4404" t="s" s="10">
        <v>22271</v>
      </c>
      <c r="K4404" t="s" s="10">
        <v>22272</v>
      </c>
      <c r="L4404" s="16">
        <f>HYPERLINK("http://www.bluerails.com", "www.bluerails.com")</f>
      </c>
      <c r="M4404" s="16">
        <f>HYPERLINK("https://my.pitchbook.com?c=960430-33", "View Company Online")</f>
      </c>
    </row>
    <row r="4405">
      <c r="A4405" t="s" s="11">
        <v>22274</v>
      </c>
      <c r="B4405" t="s" s="11">
        <v>22275</v>
      </c>
      <c r="C4405" t="s" s="11">
        <v>27</v>
      </c>
      <c r="D4405" t="s" s="11">
        <v>28</v>
      </c>
      <c r="E4405" t="s" s="11">
        <v>253</v>
      </c>
      <c r="F4405" s="28">
        <v>45383</v>
      </c>
      <c r="G4405" t="s" s="11">
        <v>607</v>
      </c>
      <c r="H4405" t="s" s="43">
        <v>30</v>
      </c>
      <c r="I4405" t="s" s="43">
        <v>30</v>
      </c>
      <c r="J4405" t="s" s="11">
        <v>22276</v>
      </c>
      <c r="K4405" t="s" s="11">
        <v>22277</v>
      </c>
      <c r="L4405" s="17">
        <f>HYPERLINK("http://www.goblueswipe.com", "www.goblueswipe.com")</f>
      </c>
      <c r="M4405" s="17">
        <f>HYPERLINK("https://my.pitchbook.com?c=168032-26", "View Company Online")</f>
      </c>
    </row>
    <row r="4406">
      <c r="A4406" t="s" s="10">
        <v>22279</v>
      </c>
      <c r="B4406" t="s" s="10">
        <v>22280</v>
      </c>
      <c r="C4406" t="s" s="10">
        <v>172</v>
      </c>
      <c r="D4406" t="s" s="10">
        <v>338</v>
      </c>
      <c r="E4406" t="s" s="10">
        <v>145</v>
      </c>
      <c r="F4406" s="27">
        <v>46079</v>
      </c>
      <c r="G4406" t="s" s="10">
        <v>4267</v>
      </c>
      <c r="H4406" s="42">
        <v>4.25</v>
      </c>
      <c r="I4406" t="s" s="42">
        <v>30</v>
      </c>
      <c r="J4406" t="s" s="10">
        <v>22281</v>
      </c>
      <c r="K4406" t="s" s="10">
        <v>22282</v>
      </c>
      <c r="L4406" s="16">
        <f>HYPERLINK("http://www.bluprynt.com", "www.bluprynt.com")</f>
      </c>
      <c r="M4406" s="16">
        <f>HYPERLINK("https://my.pitchbook.com?c=597732-13", "View Company Online")</f>
      </c>
    </row>
    <row r="4407">
      <c r="A4407" t="s" s="11">
        <v>22284</v>
      </c>
      <c r="B4407" t="s" s="11">
        <v>22285</v>
      </c>
      <c r="C4407" t="s" s="11">
        <v>27</v>
      </c>
      <c r="D4407" t="s" s="11">
        <v>28</v>
      </c>
      <c r="E4407" t="s" s="11">
        <v>345</v>
      </c>
      <c r="F4407" t="s" s="28">
        <v>30</v>
      </c>
      <c r="G4407" t="s" s="11">
        <v>48</v>
      </c>
      <c r="H4407" t="s" s="43">
        <v>30</v>
      </c>
      <c r="I4407" t="s" s="43">
        <v>30</v>
      </c>
      <c r="J4407" t="s" s="11">
        <v>22286</v>
      </c>
      <c r="K4407" t="s" s="11">
        <v>30</v>
      </c>
      <c r="L4407" s="17">
        <f>HYPERLINK("http://www.blytzpay.com", "www.blytzpay.com")</f>
      </c>
      <c r="M4407" s="17">
        <f>HYPERLINK("https://my.pitchbook.com?c=277109-11", "View Company Online")</f>
      </c>
    </row>
    <row r="4408">
      <c r="A4408" t="s" s="10">
        <v>22288</v>
      </c>
      <c r="B4408" t="s" s="10">
        <v>22289</v>
      </c>
      <c r="C4408" t="s" s="10">
        <v>37</v>
      </c>
      <c r="D4408" t="s" s="10">
        <v>38</v>
      </c>
      <c r="E4408" t="s" s="10">
        <v>859</v>
      </c>
      <c r="F4408" s="27">
        <v>45950</v>
      </c>
      <c r="G4408" t="s" s="10">
        <v>146</v>
      </c>
      <c r="H4408" t="s" s="42">
        <v>30</v>
      </c>
      <c r="I4408" t="s" s="42">
        <v>30</v>
      </c>
      <c r="J4408" t="s" s="10">
        <v>22290</v>
      </c>
      <c r="K4408" t="s" s="10">
        <v>22291</v>
      </c>
      <c r="L4408" s="16">
        <f>HYPERLINK("http://www.bmoni.com", "www.bmoni.com")</f>
      </c>
      <c r="M4408" s="16">
        <f>HYPERLINK("https://my.pitchbook.com?c=1157791-42", "View Company Online")</f>
      </c>
    </row>
    <row r="4409">
      <c r="A4409" t="s" s="11">
        <v>22293</v>
      </c>
      <c r="B4409" t="s" s="11">
        <v>22294</v>
      </c>
      <c r="C4409" t="s" s="11">
        <v>46</v>
      </c>
      <c r="D4409" t="s" s="11">
        <v>397</v>
      </c>
      <c r="E4409" t="s" s="11">
        <v>253</v>
      </c>
      <c r="F4409" s="28">
        <v>44244</v>
      </c>
      <c r="G4409" t="s" s="11">
        <v>31</v>
      </c>
      <c r="H4409" s="43">
        <v>100</v>
      </c>
      <c r="I4409" t="s" s="43">
        <v>30</v>
      </c>
      <c r="J4409" t="s" s="11">
        <v>22295</v>
      </c>
      <c r="K4409" t="s" s="11">
        <v>22296</v>
      </c>
      <c r="L4409" s="17">
        <f>HYPERLINK("http://www.boast.ai", "www.boast.ai")</f>
      </c>
      <c r="M4409" s="17">
        <f>HYPERLINK("https://my.pitchbook.com?c=100981-99", "View Company Online")</f>
      </c>
    </row>
    <row r="4410">
      <c r="A4410" t="s" s="10">
        <v>22298</v>
      </c>
      <c r="B4410" t="s" s="10">
        <v>22299</v>
      </c>
      <c r="C4410" t="s" s="10">
        <v>60</v>
      </c>
      <c r="D4410" t="s" s="10">
        <v>192</v>
      </c>
      <c r="E4410" t="s" s="10">
        <v>137</v>
      </c>
      <c r="F4410" s="27">
        <v>45992</v>
      </c>
      <c r="G4410" t="s" s="10">
        <v>40</v>
      </c>
      <c r="H4410" t="s" s="42">
        <v>30</v>
      </c>
      <c r="I4410" t="s" s="42">
        <v>30</v>
      </c>
      <c r="J4410" t="s" s="10">
        <v>22300</v>
      </c>
      <c r="K4410" t="s" s="10">
        <v>22301</v>
      </c>
      <c r="L4410" s="16">
        <f>HYPERLINK("http://www.boerse-stuttgart.de", "www.boerse-stuttgart.de")</f>
      </c>
      <c r="M4410" s="16">
        <f>HYPERLINK("https://my.pitchbook.com?c=168237-01", "View Company Online")</f>
      </c>
    </row>
    <row r="4411">
      <c r="A4411" t="s" s="11">
        <v>22303</v>
      </c>
      <c r="B4411" t="s" s="11">
        <v>22304</v>
      </c>
      <c r="C4411" t="s" s="11">
        <v>27</v>
      </c>
      <c r="D4411" t="s" s="11">
        <v>28</v>
      </c>
      <c r="E4411" t="s" s="11">
        <v>1800</v>
      </c>
      <c r="F4411" s="28">
        <v>45938</v>
      </c>
      <c r="G4411" t="s" s="11">
        <v>40</v>
      </c>
      <c r="H4411" s="43">
        <v>40</v>
      </c>
      <c r="I4411" t="s" s="43">
        <v>30</v>
      </c>
      <c r="J4411" t="s" s="11">
        <v>22305</v>
      </c>
      <c r="K4411" t="s" s="11">
        <v>22306</v>
      </c>
      <c r="L4411" s="17">
        <f>HYPERLINK("http://www.bold.co", "www.bold.co")</f>
      </c>
      <c r="M4411" s="17">
        <f>HYPERLINK("https://my.pitchbook.com?c=438050-26", "View Company Online")</f>
      </c>
    </row>
    <row r="4412">
      <c r="A4412" t="s" s="10">
        <v>22308</v>
      </c>
      <c r="B4412" t="s" s="10">
        <v>22309</v>
      </c>
      <c r="C4412" t="s" s="10">
        <v>46</v>
      </c>
      <c r="D4412" t="s" s="10">
        <v>397</v>
      </c>
      <c r="E4412" t="s" s="10">
        <v>137</v>
      </c>
      <c r="F4412" s="27">
        <v>45317</v>
      </c>
      <c r="G4412" t="s" s="10">
        <v>146</v>
      </c>
      <c r="H4412" t="s" s="42">
        <v>30</v>
      </c>
      <c r="I4412" t="s" s="42">
        <v>30</v>
      </c>
      <c r="J4412" t="s" s="10">
        <v>22310</v>
      </c>
      <c r="K4412" t="s" s="10">
        <v>22311</v>
      </c>
      <c r="L4412" s="16">
        <f>HYPERLINK("http://www.bolta.io", "www.bolta.io")</f>
      </c>
      <c r="M4412" s="16">
        <f>HYPERLINK("https://my.pitchbook.com?c=533102-05", "View Company Online")</f>
      </c>
    </row>
    <row r="4413">
      <c r="A4413" t="s" s="11">
        <v>22313</v>
      </c>
      <c r="B4413" t="s" s="11">
        <v>22314</v>
      </c>
      <c r="C4413" t="s" s="11">
        <v>222</v>
      </c>
      <c r="D4413" t="s" s="11">
        <v>537</v>
      </c>
      <c r="E4413" t="s" s="11">
        <v>29</v>
      </c>
      <c r="F4413" s="28">
        <v>44460</v>
      </c>
      <c r="G4413" t="s" s="11">
        <v>40</v>
      </c>
      <c r="H4413" s="43">
        <v>5.73</v>
      </c>
      <c r="I4413" t="s" s="43">
        <v>30</v>
      </c>
      <c r="J4413" t="s" s="11">
        <v>22315</v>
      </c>
      <c r="K4413" t="s" s="11">
        <v>22316</v>
      </c>
      <c r="L4413" s="17">
        <f>HYPERLINK("http://www.bomconsorcio.com.br", "www.bomconsorcio.com.br")</f>
      </c>
      <c r="M4413" s="17">
        <f>HYPERLINK("https://my.pitchbook.com?c=268187-95", "View Company Online")</f>
      </c>
    </row>
    <row r="4414">
      <c r="A4414" t="s" s="10">
        <v>22318</v>
      </c>
      <c r="B4414" t="s" s="10">
        <v>22319</v>
      </c>
      <c r="C4414" t="s" s="10">
        <v>60</v>
      </c>
      <c r="D4414" t="s" s="10">
        <v>246</v>
      </c>
      <c r="E4414" t="s" s="10">
        <v>12122</v>
      </c>
      <c r="F4414" s="27">
        <v>46000</v>
      </c>
      <c r="G4414" t="s" s="10">
        <v>4267</v>
      </c>
      <c r="H4414" s="42">
        <v>3.5</v>
      </c>
      <c r="I4414" t="s" s="42">
        <v>30</v>
      </c>
      <c r="J4414" t="s" s="10">
        <v>22320</v>
      </c>
      <c r="K4414" t="s" s="10">
        <v>22321</v>
      </c>
      <c r="L4414" s="16">
        <f>HYPERLINK("http://www.boncredit.ai", "www.boncredit.ai")</f>
      </c>
      <c r="M4414" s="16">
        <f>HYPERLINK("https://my.pitchbook.com?c=471340-81", "View Company Online")</f>
      </c>
    </row>
    <row r="4415">
      <c r="A4415" t="s" s="11">
        <v>22323</v>
      </c>
      <c r="B4415" t="s" s="11">
        <v>22324</v>
      </c>
      <c r="C4415" t="s" s="11">
        <v>172</v>
      </c>
      <c r="D4415" t="s" s="11">
        <v>338</v>
      </c>
      <c r="E4415" t="s" s="11">
        <v>137</v>
      </c>
      <c r="F4415" s="28">
        <v>46055</v>
      </c>
      <c r="G4415" t="s" s="11">
        <v>4267</v>
      </c>
      <c r="H4415" t="s" s="43">
        <v>30</v>
      </c>
      <c r="I4415" t="s" s="43">
        <v>30</v>
      </c>
      <c r="J4415" t="s" s="11">
        <v>22325</v>
      </c>
      <c r="K4415" t="s" s="11">
        <v>22326</v>
      </c>
      <c r="L4415" s="17">
        <f>HYPERLINK("http://www.bonanza-factory.co.kr", "www.bonanza-factory.co.kr")</f>
      </c>
      <c r="M4415" s="17">
        <f>HYPERLINK("https://my.pitchbook.com?c=969684-49", "View Company Online")</f>
      </c>
    </row>
    <row r="4416">
      <c r="A4416" t="s" s="10">
        <v>22328</v>
      </c>
      <c r="B4416" t="s" s="10">
        <v>22329</v>
      </c>
      <c r="C4416" t="s" s="10">
        <v>222</v>
      </c>
      <c r="D4416" t="s" s="10">
        <v>223</v>
      </c>
      <c r="E4416" t="s" s="10">
        <v>137</v>
      </c>
      <c r="F4416" s="27">
        <v>44622</v>
      </c>
      <c r="G4416" t="s" s="10">
        <v>40</v>
      </c>
      <c r="H4416" s="42">
        <v>9.82</v>
      </c>
      <c r="I4416" t="s" s="42">
        <v>30</v>
      </c>
      <c r="J4416" t="s" s="10">
        <v>22330</v>
      </c>
      <c r="K4416" t="s" s="10">
        <v>30</v>
      </c>
      <c r="L4416" s="16">
        <f>HYPERLINK("http://www.bondgoggles.com", "www.bondgoggles.com")</f>
      </c>
      <c r="M4416" s="16">
        <f>HYPERLINK("https://my.pitchbook.com?c=493161-76", "View Company Online")</f>
      </c>
    </row>
    <row r="4417">
      <c r="A4417" t="s" s="11">
        <v>22332</v>
      </c>
      <c r="B4417" t="s" s="11">
        <v>22333</v>
      </c>
      <c r="C4417" t="s" s="11">
        <v>222</v>
      </c>
      <c r="D4417" t="s" s="11">
        <v>223</v>
      </c>
      <c r="E4417" t="s" s="11">
        <v>373</v>
      </c>
      <c r="F4417" s="28">
        <v>45610</v>
      </c>
      <c r="G4417" t="s" s="11">
        <v>40</v>
      </c>
      <c r="H4417" s="43">
        <v>21</v>
      </c>
      <c r="I4417" t="s" s="43">
        <v>30</v>
      </c>
      <c r="J4417" t="s" s="11">
        <v>22334</v>
      </c>
      <c r="K4417" t="s" s="11">
        <v>22335</v>
      </c>
      <c r="L4417" s="17">
        <f>HYPERLINK("http://www.bonditglobal.com", "www.bonditglobal.com")</f>
      </c>
      <c r="M4417" s="17">
        <f>HYPERLINK("https://my.pitchbook.com?c=84282-85", "View Company Online")</f>
      </c>
    </row>
    <row r="4418">
      <c r="A4418" t="s" s="10">
        <v>22337</v>
      </c>
      <c r="B4418" t="s" s="10">
        <v>22338</v>
      </c>
      <c r="C4418" t="s" s="10">
        <v>164</v>
      </c>
      <c r="D4418" t="s" s="10">
        <v>165</v>
      </c>
      <c r="E4418" t="s" s="10">
        <v>116</v>
      </c>
      <c r="F4418" s="27">
        <v>45383</v>
      </c>
      <c r="G4418" t="s" s="10">
        <v>607</v>
      </c>
      <c r="H4418" t="s" s="42">
        <v>30</v>
      </c>
      <c r="I4418" t="s" s="42">
        <v>30</v>
      </c>
      <c r="J4418" t="s" s="10">
        <v>22339</v>
      </c>
      <c r="K4418" t="s" s="10">
        <v>22340</v>
      </c>
      <c r="L4418" s="16">
        <f>HYPERLINK("http://www.bond.ai", "www.bond.ai")</f>
      </c>
      <c r="M4418" s="16">
        <f>HYPERLINK("https://my.pitchbook.com?c=184037-41", "View Company Online")</f>
      </c>
    </row>
    <row r="4419">
      <c r="A4419" t="s" s="11">
        <v>22342</v>
      </c>
      <c r="B4419" t="s" s="11">
        <v>22343</v>
      </c>
      <c r="C4419" t="s" s="11">
        <v>60</v>
      </c>
      <c r="D4419" t="s" s="11">
        <v>727</v>
      </c>
      <c r="E4419" t="s" s="11">
        <v>137</v>
      </c>
      <c r="F4419" s="28">
        <v>44287</v>
      </c>
      <c r="G4419" t="s" s="11">
        <v>607</v>
      </c>
      <c r="H4419" s="43">
        <v>0.04</v>
      </c>
      <c r="I4419" t="s" s="43">
        <v>30</v>
      </c>
      <c r="J4419" t="s" s="11">
        <v>22344</v>
      </c>
      <c r="K4419" t="s" s="11">
        <v>22345</v>
      </c>
      <c r="L4419" s="17">
        <f>HYPERLINK("http://www.bondsmart.app", "www.bondsmart.app")</f>
      </c>
      <c r="M4419" s="17">
        <f>HYPERLINK("https://my.pitchbook.com?c=264557-71", "View Company Online")</f>
      </c>
    </row>
    <row r="4420">
      <c r="A4420" t="s" s="10">
        <v>22347</v>
      </c>
      <c r="B4420" t="s" s="10">
        <v>22348</v>
      </c>
      <c r="C4420" t="s" s="10">
        <v>222</v>
      </c>
      <c r="D4420" t="s" s="10">
        <v>223</v>
      </c>
      <c r="E4420" t="s" s="10">
        <v>634</v>
      </c>
      <c r="F4420" s="27">
        <v>45756</v>
      </c>
      <c r="G4420" t="s" s="10">
        <v>4267</v>
      </c>
      <c r="H4420" s="42">
        <v>6.39</v>
      </c>
      <c r="I4420" t="s" s="42">
        <v>30</v>
      </c>
      <c r="J4420" t="s" s="10">
        <v>22349</v>
      </c>
      <c r="K4420" t="s" s="10">
        <v>22350</v>
      </c>
      <c r="L4420" s="16">
        <f>HYPERLINK("http://bondway.ai", "bondway.ai")</f>
      </c>
      <c r="M4420" s="16">
        <f>HYPERLINK("https://my.pitchbook.com?c=638630-65", "View Company Online")</f>
      </c>
    </row>
    <row r="4421">
      <c r="A4421" t="s" s="11">
        <v>22352</v>
      </c>
      <c r="B4421" t="s" s="11">
        <v>22353</v>
      </c>
      <c r="C4421" t="s" s="11">
        <v>46</v>
      </c>
      <c r="D4421" t="s" s="11">
        <v>397</v>
      </c>
      <c r="E4421" t="s" s="11">
        <v>22354</v>
      </c>
      <c r="F4421" s="28">
        <v>44791</v>
      </c>
      <c r="G4421" t="s" s="11">
        <v>4267</v>
      </c>
      <c r="H4421" s="43">
        <v>3.5</v>
      </c>
      <c r="I4421" t="s" s="43">
        <v>30</v>
      </c>
      <c r="J4421" t="s" s="11">
        <v>22355</v>
      </c>
      <c r="K4421" t="s" s="11">
        <v>22356</v>
      </c>
      <c r="L4421" s="17">
        <f>HYPERLINK("http://www.bookkeeper360.com", "www.bookkeeper360.com")</f>
      </c>
      <c r="M4421" s="17">
        <f>HYPERLINK("https://my.pitchbook.com?c=136238-14", "View Company Online")</f>
      </c>
    </row>
    <row r="4422">
      <c r="A4422" t="s" s="10">
        <v>22358</v>
      </c>
      <c r="B4422" t="s" s="10">
        <v>22359</v>
      </c>
      <c r="C4422" t="s" s="10">
        <v>128</v>
      </c>
      <c r="D4422" t="s" s="10">
        <v>129</v>
      </c>
      <c r="E4422" t="s" s="10">
        <v>373</v>
      </c>
      <c r="F4422" s="27">
        <v>45679</v>
      </c>
      <c r="G4422" t="s" s="10">
        <v>4267</v>
      </c>
      <c r="H4422" s="42">
        <v>1.5</v>
      </c>
      <c r="I4422" t="s" s="42">
        <v>30</v>
      </c>
      <c r="J4422" t="s" s="10">
        <v>22360</v>
      </c>
      <c r="K4422" t="s" s="10">
        <v>22361</v>
      </c>
      <c r="L4422" s="16">
        <f>HYPERLINK("http://www.boomerangme.biz", "www.boomerangme.biz")</f>
      </c>
      <c r="M4422" s="16">
        <f>HYPERLINK("https://my.pitchbook.com?c=471755-53", "View Company Online")</f>
      </c>
    </row>
    <row r="4423">
      <c r="A4423" t="s" s="11">
        <v>22363</v>
      </c>
      <c r="B4423" t="s" s="11">
        <v>22364</v>
      </c>
      <c r="C4423" t="s" s="11">
        <v>60</v>
      </c>
      <c r="D4423" t="s" s="11">
        <v>432</v>
      </c>
      <c r="E4423" t="s" s="11">
        <v>414</v>
      </c>
      <c r="F4423" s="28">
        <v>45622</v>
      </c>
      <c r="G4423" t="s" s="11">
        <v>40</v>
      </c>
      <c r="H4423" s="43">
        <v>15</v>
      </c>
      <c r="I4423" t="s" s="43">
        <v>30</v>
      </c>
      <c r="J4423" t="s" s="11">
        <v>22365</v>
      </c>
      <c r="K4423" t="s" s="11">
        <v>22366</v>
      </c>
      <c r="L4423" s="17">
        <f>HYPERLINK("http://www.boosted.ai", "www.boosted.ai")</f>
      </c>
      <c r="M4423" s="17">
        <f>HYPERLINK("https://my.pitchbook.com?c=343350-01", "View Company Online")</f>
      </c>
    </row>
    <row r="4424">
      <c r="A4424" t="s" s="10">
        <v>22368</v>
      </c>
      <c r="B4424" t="s" s="10">
        <v>22369</v>
      </c>
      <c r="C4424" t="s" s="10">
        <v>60</v>
      </c>
      <c r="D4424" t="s" s="10">
        <v>727</v>
      </c>
      <c r="E4424" t="s" s="10">
        <v>193</v>
      </c>
      <c r="F4424" t="s" s="27">
        <v>30</v>
      </c>
      <c r="G4424" t="s" s="10">
        <v>40</v>
      </c>
      <c r="H4424" s="42">
        <v>14.08</v>
      </c>
      <c r="I4424" t="s" s="42">
        <v>30</v>
      </c>
      <c r="J4424" t="s" s="10">
        <v>22370</v>
      </c>
      <c r="K4424" t="s" s="10">
        <v>22371</v>
      </c>
      <c r="L4424" s="16">
        <f>HYPERLINK("http://www.borderless.world", "www.borderless.world")</f>
      </c>
      <c r="M4424" s="16">
        <f>HYPERLINK("https://my.pitchbook.com?c=120982-69", "View Company Online")</f>
      </c>
    </row>
    <row r="4425">
      <c r="A4425" t="s" s="11">
        <v>22373</v>
      </c>
      <c r="B4425" t="s" s="11">
        <v>22374</v>
      </c>
      <c r="C4425" t="s" s="11">
        <v>46</v>
      </c>
      <c r="D4425" t="s" s="11">
        <v>47</v>
      </c>
      <c r="E4425" t="s" s="11">
        <v>137</v>
      </c>
      <c r="F4425" s="28">
        <v>46082</v>
      </c>
      <c r="G4425" t="s" s="11">
        <v>146</v>
      </c>
      <c r="H4425" s="43">
        <v>2.88</v>
      </c>
      <c r="I4425" t="s" s="43">
        <v>30</v>
      </c>
      <c r="J4425" t="s" s="11">
        <v>22375</v>
      </c>
      <c r="K4425" t="s" s="11">
        <v>22376</v>
      </c>
      <c r="L4425" s="17">
        <f>HYPERLINK("http://www.bancoboreal.com.br", "www.bancoboreal.com.br")</f>
      </c>
      <c r="M4425" s="17">
        <f>HYPERLINK("https://my.pitchbook.com?c=1325108-89", "View Company Online")</f>
      </c>
    </row>
    <row r="4426">
      <c r="A4426" t="s" s="10">
        <v>22378</v>
      </c>
      <c r="B4426" t="s" s="10">
        <v>22379</v>
      </c>
      <c r="C4426" t="s" s="10">
        <v>60</v>
      </c>
      <c r="D4426" t="s" s="10">
        <v>246</v>
      </c>
      <c r="E4426" t="s" s="10">
        <v>3081</v>
      </c>
      <c r="F4426" s="27">
        <v>45162</v>
      </c>
      <c r="G4426" t="s" s="10">
        <v>40</v>
      </c>
      <c r="H4426" t="s" s="42">
        <v>30</v>
      </c>
      <c r="I4426" t="s" s="42">
        <v>30</v>
      </c>
      <c r="J4426" t="s" s="10">
        <v>22380</v>
      </c>
      <c r="K4426" t="s" s="10">
        <v>22381</v>
      </c>
      <c r="L4426" s="16">
        <f>HYPERLINK("http://www.borrowell.com", "www.borrowell.com")</f>
      </c>
      <c r="M4426" s="16">
        <f>HYPERLINK("https://my.pitchbook.com?c=100147-78", "View Company Online")</f>
      </c>
    </row>
    <row r="4427">
      <c r="A4427" t="s" s="11">
        <v>22383</v>
      </c>
      <c r="B4427" t="s" s="11">
        <v>22384</v>
      </c>
      <c r="C4427" t="s" s="11">
        <v>60</v>
      </c>
      <c r="D4427" t="s" s="11">
        <v>246</v>
      </c>
      <c r="E4427" t="s" s="11">
        <v>270</v>
      </c>
      <c r="F4427" s="28">
        <v>44684</v>
      </c>
      <c r="G4427" t="s" s="11">
        <v>4267</v>
      </c>
      <c r="H4427" s="43">
        <v>1.5</v>
      </c>
      <c r="I4427" t="s" s="43">
        <v>30</v>
      </c>
      <c r="J4427" t="s" s="11">
        <v>22385</v>
      </c>
      <c r="K4427" t="s" s="11">
        <v>22386</v>
      </c>
      <c r="L4427" s="17">
        <f>HYPERLINK("http://www.bosstaxapp.com", "www.bosstaxapp.com")</f>
      </c>
      <c r="M4427" s="17">
        <f>HYPERLINK("https://my.pitchbook.com?c=496064-98", "View Company Online")</f>
      </c>
    </row>
    <row r="4428">
      <c r="A4428" t="s" s="10">
        <v>22388</v>
      </c>
      <c r="B4428" t="s" s="10">
        <v>22389</v>
      </c>
      <c r="C4428" t="s" s="10">
        <v>60</v>
      </c>
      <c r="D4428" t="s" s="10">
        <v>61</v>
      </c>
      <c r="E4428" t="s" s="10">
        <v>859</v>
      </c>
      <c r="F4428" s="27">
        <v>45748</v>
      </c>
      <c r="G4428" t="s" s="10">
        <v>146</v>
      </c>
      <c r="H4428" t="s" s="42">
        <v>30</v>
      </c>
      <c r="I4428" t="s" s="42">
        <v>30</v>
      </c>
      <c r="J4428" t="s" s="10">
        <v>22390</v>
      </c>
      <c r="K4428" t="s" s="10">
        <v>22391</v>
      </c>
      <c r="L4428" s="16">
        <f>HYPERLINK("http://www.bouldertech.fi", "www.bouldertech.fi")</f>
      </c>
      <c r="M4428" s="16">
        <f>HYPERLINK("https://my.pitchbook.com?c=617190-40", "View Company Online")</f>
      </c>
    </row>
    <row r="4429">
      <c r="A4429" t="s" s="11">
        <v>22393</v>
      </c>
      <c r="B4429" t="s" s="11">
        <v>22394</v>
      </c>
      <c r="C4429" t="s" s="11">
        <v>164</v>
      </c>
      <c r="D4429" t="s" s="11">
        <v>206</v>
      </c>
      <c r="E4429" t="s" s="11">
        <v>414</v>
      </c>
      <c r="F4429" s="28">
        <v>44197</v>
      </c>
      <c r="G4429" t="s" s="11">
        <v>146</v>
      </c>
      <c r="H4429" t="s" s="43">
        <v>30</v>
      </c>
      <c r="I4429" t="s" s="43">
        <v>30</v>
      </c>
      <c r="J4429" t="s" s="11">
        <v>22395</v>
      </c>
      <c r="K4429" t="s" s="11">
        <v>22396</v>
      </c>
      <c r="L4429" s="17">
        <f>HYPERLINK("http://www.bounceai.com", "www.bounceai.com")</f>
      </c>
      <c r="M4429" s="17">
        <f>HYPERLINK("https://my.pitchbook.com?c=527361-49", "View Company Online")</f>
      </c>
    </row>
    <row r="4430">
      <c r="A4430" t="s" s="10">
        <v>22398</v>
      </c>
      <c r="B4430" t="s" s="10">
        <v>22399</v>
      </c>
      <c r="C4430" t="s" s="10">
        <v>114</v>
      </c>
      <c r="D4430" t="s" s="10">
        <v>136</v>
      </c>
      <c r="E4430" t="s" s="10">
        <v>137</v>
      </c>
      <c r="F4430" s="27">
        <v>44839</v>
      </c>
      <c r="G4430" t="s" s="10">
        <v>4267</v>
      </c>
      <c r="H4430" s="42">
        <v>0.5</v>
      </c>
      <c r="I4430" t="s" s="42">
        <v>30</v>
      </c>
      <c r="J4430" t="s" s="10">
        <v>22400</v>
      </c>
      <c r="K4430" t="s" s="10">
        <v>30</v>
      </c>
      <c r="L4430" s="16">
        <f>HYPERLINK("http://www.getboundless.ai", "www.getboundless.ai")</f>
      </c>
      <c r="M4430" s="16">
        <f>HYPERLINK("https://my.pitchbook.com?c=513477-10", "View Company Online")</f>
      </c>
    </row>
    <row r="4431">
      <c r="A4431" t="s" s="11">
        <v>22402</v>
      </c>
      <c r="B4431" t="s" s="11">
        <v>22403</v>
      </c>
      <c r="C4431" t="s" s="11">
        <v>27</v>
      </c>
      <c r="D4431" t="s" s="11">
        <v>28</v>
      </c>
      <c r="E4431" t="s" s="11">
        <v>259</v>
      </c>
      <c r="F4431" s="28">
        <v>45658</v>
      </c>
      <c r="G4431" t="s" s="11">
        <v>607</v>
      </c>
      <c r="H4431" t="s" s="43">
        <v>30</v>
      </c>
      <c r="I4431" t="s" s="43">
        <v>30</v>
      </c>
      <c r="J4431" t="s" s="11">
        <v>22404</v>
      </c>
      <c r="K4431" t="s" s="11">
        <v>22405</v>
      </c>
      <c r="L4431" s="17">
        <f>HYPERLINK("http://www.boxpay.tech", "www.boxpay.tech")</f>
      </c>
      <c r="M4431" s="17">
        <f>HYPERLINK("https://my.pitchbook.com?c=530242-39", "View Company Online")</f>
      </c>
    </row>
    <row r="4432">
      <c r="A4432" t="s" s="10">
        <v>22407</v>
      </c>
      <c r="B4432" t="s" s="10">
        <v>22408</v>
      </c>
      <c r="C4432" t="s" s="10">
        <v>27</v>
      </c>
      <c r="D4432" t="s" s="10">
        <v>70</v>
      </c>
      <c r="E4432" t="s" s="10">
        <v>951</v>
      </c>
      <c r="F4432" s="27">
        <v>44617</v>
      </c>
      <c r="G4432" t="s" s="10">
        <v>607</v>
      </c>
      <c r="H4432" s="42">
        <v>0.5</v>
      </c>
      <c r="I4432" t="s" s="42">
        <v>30</v>
      </c>
      <c r="J4432" t="s" s="10">
        <v>22409</v>
      </c>
      <c r="K4432" t="s" s="10">
        <v>22410</v>
      </c>
      <c r="L4432" s="16">
        <f>HYPERLINK("http://www.boyahq.com", "www.boyahq.com")</f>
      </c>
      <c r="M4432" s="16">
        <f>HYPERLINK("https://my.pitchbook.com?c=458726-14", "View Company Online")</f>
      </c>
    </row>
    <row r="4433">
      <c r="A4433" t="s" s="11">
        <v>22412</v>
      </c>
      <c r="B4433" t="s" s="11">
        <v>22413</v>
      </c>
      <c r="C4433" t="s" s="11">
        <v>37</v>
      </c>
      <c r="D4433" t="s" s="11">
        <v>38</v>
      </c>
      <c r="E4433" t="s" s="11">
        <v>116</v>
      </c>
      <c r="F4433" s="28">
        <v>45238</v>
      </c>
      <c r="G4433" t="s" s="11">
        <v>146</v>
      </c>
      <c r="H4433" t="s" s="43">
        <v>30</v>
      </c>
      <c r="I4433" t="s" s="43">
        <v>30</v>
      </c>
      <c r="J4433" t="s" s="11">
        <v>22414</v>
      </c>
      <c r="K4433" t="s" s="11">
        <v>22415</v>
      </c>
      <c r="L4433" s="17">
        <f>HYPERLINK("http://www.branchx.in", "www.branchx.in")</f>
      </c>
      <c r="M4433" s="17">
        <f>HYPERLINK("https://my.pitchbook.com?c=539613-10", "View Company Online")</f>
      </c>
    </row>
    <row r="4434">
      <c r="A4434" t="s" s="10">
        <v>22417</v>
      </c>
      <c r="B4434" t="s" s="10">
        <v>22418</v>
      </c>
      <c r="C4434" t="s" s="10">
        <v>46</v>
      </c>
      <c r="D4434" t="s" s="10">
        <v>397</v>
      </c>
      <c r="E4434" t="s" s="10">
        <v>29</v>
      </c>
      <c r="F4434" s="27">
        <v>45108</v>
      </c>
      <c r="G4434" t="s" s="10">
        <v>146</v>
      </c>
      <c r="H4434" t="s" s="42">
        <v>30</v>
      </c>
      <c r="I4434" t="s" s="42">
        <v>30</v>
      </c>
      <c r="J4434" t="s" s="10">
        <v>22419</v>
      </c>
      <c r="K4434" t="s" s="10">
        <v>22420</v>
      </c>
      <c r="L4434" s="16">
        <f>HYPERLINK("http://www.branddrive.co", "www.branddrive.co")</f>
      </c>
      <c r="M4434" s="16">
        <f>HYPERLINK("https://my.pitchbook.com?c=533003-59", "View Company Online")</f>
      </c>
    </row>
    <row r="4435">
      <c r="A4435" t="s" s="11">
        <v>22422</v>
      </c>
      <c r="B4435" t="s" s="11">
        <v>22423</v>
      </c>
      <c r="C4435" t="s" s="11">
        <v>164</v>
      </c>
      <c r="D4435" t="s" s="11">
        <v>165</v>
      </c>
      <c r="E4435" t="s" s="11">
        <v>6640</v>
      </c>
      <c r="F4435" s="28">
        <v>46189</v>
      </c>
      <c r="G4435" t="s" s="11">
        <v>4267</v>
      </c>
      <c r="H4435" s="43">
        <v>4.6</v>
      </c>
      <c r="I4435" t="s" s="43">
        <v>30</v>
      </c>
      <c r="J4435" t="s" s="11">
        <v>22424</v>
      </c>
      <c r="K4435" t="s" s="11">
        <v>22425</v>
      </c>
      <c r="L4435" s="17">
        <f>HYPERLINK("http://www.gobraven.com", "www.gobraven.com")</f>
      </c>
      <c r="M4435" s="17">
        <f>HYPERLINK("https://my.pitchbook.com?c=711780-31", "View Company Online")</f>
      </c>
    </row>
    <row r="4436">
      <c r="A4436" t="s" s="10">
        <v>22427</v>
      </c>
      <c r="B4436" t="s" s="10">
        <v>22428</v>
      </c>
      <c r="C4436" t="s" s="10">
        <v>128</v>
      </c>
      <c r="D4436" t="s" s="10">
        <v>129</v>
      </c>
      <c r="E4436" t="s" s="10">
        <v>270</v>
      </c>
      <c r="F4436" s="27">
        <v>45717</v>
      </c>
      <c r="G4436" t="s" s="10">
        <v>146</v>
      </c>
      <c r="H4436" t="s" s="42">
        <v>30</v>
      </c>
      <c r="I4436" t="s" s="42">
        <v>30</v>
      </c>
      <c r="J4436" t="s" s="10">
        <v>22429</v>
      </c>
      <c r="K4436" t="s" s="10">
        <v>22430</v>
      </c>
      <c r="L4436" s="16">
        <f>HYPERLINK("http://www.bravoup.ca", "www.bravoup.ca")</f>
      </c>
      <c r="M4436" s="16">
        <f>HYPERLINK("https://my.pitchbook.com?c=756334-90", "View Company Online")</f>
      </c>
    </row>
    <row r="4437">
      <c r="A4437" t="s" s="11">
        <v>22432</v>
      </c>
      <c r="B4437" t="s" s="11">
        <v>22433</v>
      </c>
      <c r="C4437" t="s" s="11">
        <v>60</v>
      </c>
      <c r="D4437" t="s" s="11">
        <v>727</v>
      </c>
      <c r="E4437" t="s" s="11">
        <v>2782</v>
      </c>
      <c r="F4437" s="28">
        <v>45323</v>
      </c>
      <c r="G4437" t="s" s="11">
        <v>391</v>
      </c>
      <c r="H4437" t="s" s="43">
        <v>30</v>
      </c>
      <c r="I4437" t="s" s="43">
        <v>30</v>
      </c>
      <c r="J4437" t="s" s="11">
        <v>22434</v>
      </c>
      <c r="K4437" t="s" s="11">
        <v>22435</v>
      </c>
      <c r="L4437" s="17">
        <f>HYPERLINK("http://www.bricklet.com.au", "www.bricklet.com.au")</f>
      </c>
      <c r="M4437" s="17">
        <f>HYPERLINK("https://my.pitchbook.com?c=465737-95", "View Company Online")</f>
      </c>
    </row>
    <row r="4438">
      <c r="A4438" t="s" s="10">
        <v>22437</v>
      </c>
      <c r="B4438" t="s" s="10">
        <v>22438</v>
      </c>
      <c r="C4438" t="s" s="10">
        <v>27</v>
      </c>
      <c r="D4438" t="s" s="10">
        <v>28</v>
      </c>
      <c r="E4438" t="s" s="10">
        <v>29</v>
      </c>
      <c r="F4438" t="s" s="27">
        <v>30</v>
      </c>
      <c r="G4438" t="s" s="10">
        <v>607</v>
      </c>
      <c r="H4438" t="s" s="42">
        <v>30</v>
      </c>
      <c r="I4438" t="s" s="42">
        <v>30</v>
      </c>
      <c r="J4438" t="s" s="10">
        <v>22439</v>
      </c>
      <c r="K4438" t="s" s="10">
        <v>22440</v>
      </c>
      <c r="L4438" s="16">
        <f>HYPERLINK("http://www.bridgerpay.com", "www.bridgerpay.com")</f>
      </c>
      <c r="M4438" s="16">
        <f>HYPERLINK("https://my.pitchbook.com?c=470723-86", "View Company Online")</f>
      </c>
    </row>
    <row r="4439">
      <c r="A4439" t="s" s="11">
        <v>22442</v>
      </c>
      <c r="B4439" t="s" s="11">
        <v>22443</v>
      </c>
      <c r="C4439" t="s" s="11">
        <v>144</v>
      </c>
      <c r="D4439" t="s" s="11">
        <v>297</v>
      </c>
      <c r="E4439" t="s" s="11">
        <v>137</v>
      </c>
      <c r="F4439" s="28">
        <v>44651</v>
      </c>
      <c r="G4439" t="s" s="11">
        <v>4267</v>
      </c>
      <c r="H4439" s="43">
        <v>1.05</v>
      </c>
      <c r="I4439" t="s" s="43">
        <v>30</v>
      </c>
      <c r="J4439" t="s" s="11">
        <v>22444</v>
      </c>
      <c r="K4439" t="s" s="11">
        <v>22445</v>
      </c>
      <c r="L4439" s="17">
        <f>HYPERLINK("http://www.bridgeup.com", "www.bridgeup.com")</f>
      </c>
      <c r="M4439" s="17">
        <f>HYPERLINK("https://my.pitchbook.com?c=494446-51", "View Company Online")</f>
      </c>
    </row>
    <row r="4440">
      <c r="A4440" t="s" s="10">
        <v>22447</v>
      </c>
      <c r="B4440" t="s" s="10">
        <v>22448</v>
      </c>
      <c r="C4440" t="s" s="10">
        <v>128</v>
      </c>
      <c r="D4440" t="s" s="10">
        <v>129</v>
      </c>
      <c r="E4440" t="s" s="10">
        <v>29</v>
      </c>
      <c r="F4440" s="27">
        <v>46140</v>
      </c>
      <c r="G4440" t="s" s="10">
        <v>146</v>
      </c>
      <c r="H4440" t="s" s="42">
        <v>30</v>
      </c>
      <c r="I4440" t="s" s="42">
        <v>30</v>
      </c>
      <c r="J4440" t="s" s="10">
        <v>22449</v>
      </c>
      <c r="K4440" t="s" s="10">
        <v>22450</v>
      </c>
      <c r="L4440" s="16">
        <f>HYPERLINK("http://www.cashmore.kr", "www.cashmore.kr")</f>
      </c>
      <c r="M4440" s="16">
        <f>HYPERLINK("https://my.pitchbook.com?c=731432-80", "View Company Online")</f>
      </c>
    </row>
    <row r="4441">
      <c r="A4441" t="s" s="11">
        <v>22452</v>
      </c>
      <c r="B4441" t="s" s="11">
        <v>22453</v>
      </c>
      <c r="C4441" t="s" s="11">
        <v>114</v>
      </c>
      <c r="D4441" t="s" s="11">
        <v>115</v>
      </c>
      <c r="E4441" t="s" s="11">
        <v>2782</v>
      </c>
      <c r="F4441" s="28">
        <v>45924</v>
      </c>
      <c r="G4441" t="s" s="11">
        <v>146</v>
      </c>
      <c r="H4441" t="s" s="43">
        <v>30</v>
      </c>
      <c r="I4441" t="s" s="43">
        <v>30</v>
      </c>
      <c r="J4441" t="s" s="11">
        <v>22454</v>
      </c>
      <c r="K4441" t="s" s="11">
        <v>22455</v>
      </c>
      <c r="L4441" s="17">
        <f>HYPERLINK("http://www.bridgit.com.au", "www.bridgit.com.au")</f>
      </c>
      <c r="M4441" s="17">
        <f>HYPERLINK("https://my.pitchbook.com?c=469852-30", "View Company Online")</f>
      </c>
    </row>
    <row r="4442">
      <c r="A4442" t="s" s="10">
        <v>22457</v>
      </c>
      <c r="B4442" t="s" s="10">
        <v>22458</v>
      </c>
      <c r="C4442" t="s" s="10">
        <v>46</v>
      </c>
      <c r="D4442" t="s" s="10">
        <v>397</v>
      </c>
      <c r="E4442" t="s" s="10">
        <v>493</v>
      </c>
      <c r="F4442" s="27">
        <v>44729</v>
      </c>
      <c r="G4442" t="s" s="10">
        <v>4267</v>
      </c>
      <c r="H4442" s="42">
        <v>0.13</v>
      </c>
      <c r="I4442" t="s" s="42">
        <v>30</v>
      </c>
      <c r="J4442" t="s" s="10">
        <v>22459</v>
      </c>
      <c r="K4442" t="s" s="10">
        <v>15996</v>
      </c>
      <c r="L4442" s="16">
        <f>HYPERLINK("http://www.brieff.io", "www.brieff.io")</f>
      </c>
      <c r="M4442" s="16">
        <f>HYPERLINK("https://my.pitchbook.com?c=515326-87", "View Company Online")</f>
      </c>
    </row>
    <row r="4443">
      <c r="A4443" t="s" s="11">
        <v>22461</v>
      </c>
      <c r="B4443" t="s" s="11">
        <v>22462</v>
      </c>
      <c r="C4443" t="s" s="11">
        <v>27</v>
      </c>
      <c r="D4443" t="s" s="11">
        <v>28</v>
      </c>
      <c r="E4443" t="s" s="11">
        <v>137</v>
      </c>
      <c r="F4443" s="28">
        <v>44562</v>
      </c>
      <c r="G4443" t="s" s="11">
        <v>4267</v>
      </c>
      <c r="H4443" s="43">
        <v>0.26</v>
      </c>
      <c r="I4443" t="s" s="43">
        <v>30</v>
      </c>
      <c r="J4443" t="s" s="11">
        <v>22463</v>
      </c>
      <c r="K4443" t="s" s="11">
        <v>30</v>
      </c>
      <c r="L4443" s="17">
        <f>HYPERLINK("http://www.brightcart.io", "www.brightcart.io")</f>
      </c>
      <c r="M4443" s="17">
        <f>HYPERLINK("https://my.pitchbook.com?c=510446-71", "View Company Online")</f>
      </c>
    </row>
    <row r="4444">
      <c r="A4444" t="s" s="10">
        <v>22465</v>
      </c>
      <c r="B4444" t="s" s="10">
        <v>22466</v>
      </c>
      <c r="C4444" t="s" s="10">
        <v>60</v>
      </c>
      <c r="D4444" t="s" s="10">
        <v>246</v>
      </c>
      <c r="E4444" t="s" s="10">
        <v>253</v>
      </c>
      <c r="F4444" s="27">
        <v>44493</v>
      </c>
      <c r="G4444" t="s" s="10">
        <v>607</v>
      </c>
      <c r="H4444" t="s" s="42">
        <v>30</v>
      </c>
      <c r="I4444" t="s" s="42">
        <v>30</v>
      </c>
      <c r="J4444" t="s" s="10">
        <v>22467</v>
      </c>
      <c r="K4444" t="s" s="10">
        <v>22468</v>
      </c>
      <c r="L4444" s="16">
        <f>HYPERLINK("http://www.brightdime.com", "www.brightdime.com")</f>
      </c>
      <c r="M4444" s="16">
        <f>HYPERLINK("https://my.pitchbook.com?c=164086-66", "View Company Online")</f>
      </c>
    </row>
    <row r="4445">
      <c r="A4445" t="s" s="11">
        <v>22470</v>
      </c>
      <c r="B4445" t="s" s="11">
        <v>22471</v>
      </c>
      <c r="C4445" t="s" s="11">
        <v>60</v>
      </c>
      <c r="D4445" t="s" s="11">
        <v>246</v>
      </c>
      <c r="E4445" t="s" s="11">
        <v>29</v>
      </c>
      <c r="F4445" s="28">
        <v>45231</v>
      </c>
      <c r="G4445" t="s" s="11">
        <v>146</v>
      </c>
      <c r="H4445" t="s" s="43">
        <v>30</v>
      </c>
      <c r="I4445" t="s" s="43">
        <v>30</v>
      </c>
      <c r="J4445" t="s" s="11">
        <v>22472</v>
      </c>
      <c r="K4445" t="s" s="11">
        <v>22473</v>
      </c>
      <c r="L4445" s="17">
        <f>HYPERLINK("http://brightup.life", "brightup.life")</f>
      </c>
      <c r="M4445" s="17">
        <f>HYPERLINK("https://my.pitchbook.com?c=467158-87", "View Company Online")</f>
      </c>
    </row>
    <row r="4446">
      <c r="A4446" t="s" s="10">
        <v>22475</v>
      </c>
      <c r="B4446" t="s" s="10">
        <v>22476</v>
      </c>
      <c r="C4446" t="s" s="10">
        <v>164</v>
      </c>
      <c r="D4446" t="s" s="10">
        <v>206</v>
      </c>
      <c r="E4446" t="s" s="10">
        <v>253</v>
      </c>
      <c r="F4446" s="27">
        <v>46007</v>
      </c>
      <c r="G4446" t="s" s="10">
        <v>31</v>
      </c>
      <c r="H4446" s="42">
        <v>300</v>
      </c>
      <c r="I4446" t="s" s="42">
        <v>30</v>
      </c>
      <c r="J4446" t="s" s="10">
        <v>22477</v>
      </c>
      <c r="K4446" t="s" s="10">
        <v>22478</v>
      </c>
      <c r="L4446" s="16">
        <f>HYPERLINK("http://www.brimfinancial.com", "www.brimfinancial.com")</f>
      </c>
      <c r="M4446" s="16">
        <f>HYPERLINK("https://my.pitchbook.com?c=169502-50", "View Company Online")</f>
      </c>
    </row>
    <row r="4447">
      <c r="A4447" t="s" s="11">
        <v>22480</v>
      </c>
      <c r="B4447" t="s" s="11">
        <v>22481</v>
      </c>
      <c r="C4447" t="s" s="11">
        <v>46</v>
      </c>
      <c r="D4447" t="s" s="11">
        <v>397</v>
      </c>
      <c r="E4447" t="s" s="11">
        <v>414</v>
      </c>
      <c r="F4447" s="28">
        <v>46082</v>
      </c>
      <c r="G4447" t="s" s="11">
        <v>391</v>
      </c>
      <c r="H4447" t="s" s="43">
        <v>30</v>
      </c>
      <c r="I4447" t="s" s="43">
        <v>30</v>
      </c>
      <c r="J4447" t="s" s="11">
        <v>22482</v>
      </c>
      <c r="K4447" t="s" s="11">
        <v>30</v>
      </c>
      <c r="L4447" s="17">
        <f>HYPERLINK("http://www.brinta.com", "www.brinta.com")</f>
      </c>
      <c r="M4447" s="17">
        <f>HYPERLINK("https://my.pitchbook.com?c=528794-65", "View Company Online")</f>
      </c>
    </row>
    <row r="4448">
      <c r="A4448" t="s" s="10">
        <v>22484</v>
      </c>
      <c r="B4448" t="s" s="10">
        <v>22485</v>
      </c>
      <c r="C4448" t="s" s="10">
        <v>222</v>
      </c>
      <c r="D4448" t="s" s="10">
        <v>235</v>
      </c>
      <c r="E4448" t="s" s="10">
        <v>137</v>
      </c>
      <c r="F4448" s="27">
        <v>45775</v>
      </c>
      <c r="G4448" t="s" s="10">
        <v>4267</v>
      </c>
      <c r="H4448" s="42">
        <v>2.13</v>
      </c>
      <c r="I4448" t="s" s="42">
        <v>30</v>
      </c>
      <c r="J4448" t="s" s="10">
        <v>22486</v>
      </c>
      <c r="K4448" t="s" s="10">
        <v>22487</v>
      </c>
      <c r="L4448" s="16">
        <f>HYPERLINK("http://www.brioplatform.com", "www.brioplatform.com")</f>
      </c>
      <c r="M4448" s="16">
        <f>HYPERLINK("https://my.pitchbook.com?c=818774-83", "View Company Online")</f>
      </c>
    </row>
    <row r="4449">
      <c r="A4449" t="s" s="11">
        <v>22489</v>
      </c>
      <c r="B4449" t="s" s="11">
        <v>22490</v>
      </c>
      <c r="C4449" t="s" s="11">
        <v>60</v>
      </c>
      <c r="D4449" t="s" s="11">
        <v>192</v>
      </c>
      <c r="E4449" t="s" s="11">
        <v>373</v>
      </c>
      <c r="F4449" s="28">
        <v>45839</v>
      </c>
      <c r="G4449" t="s" s="11">
        <v>146</v>
      </c>
      <c r="H4449" t="s" s="43">
        <v>30</v>
      </c>
      <c r="I4449" t="s" s="43">
        <v>30</v>
      </c>
      <c r="J4449" t="s" s="11">
        <v>22491</v>
      </c>
      <c r="K4449" t="s" s="11">
        <v>22492</v>
      </c>
      <c r="L4449" s="17">
        <f>HYPERLINK("http://www.brokerbotics.com", "www.brokerbotics.com")</f>
      </c>
      <c r="M4449" s="17">
        <f>HYPERLINK("https://my.pitchbook.com?c=546773-05", "View Company Online")</f>
      </c>
    </row>
    <row r="4450">
      <c r="A4450" t="s" s="10">
        <v>22494</v>
      </c>
      <c r="B4450" t="s" s="10">
        <v>22495</v>
      </c>
      <c r="C4450" t="s" s="10">
        <v>60</v>
      </c>
      <c r="D4450" t="s" s="10">
        <v>432</v>
      </c>
      <c r="E4450" t="s" s="10">
        <v>253</v>
      </c>
      <c r="F4450" s="27">
        <v>45856</v>
      </c>
      <c r="G4450" t="s" s="10">
        <v>607</v>
      </c>
      <c r="H4450" s="42">
        <v>0.03</v>
      </c>
      <c r="I4450" t="s" s="42">
        <v>30</v>
      </c>
      <c r="J4450" t="s" s="10">
        <v>22496</v>
      </c>
      <c r="K4450" t="s" s="10">
        <v>22497</v>
      </c>
      <c r="L4450" s="16">
        <f>HYPERLINK("http://www.brolly.cl", "www.brolly.cl")</f>
      </c>
      <c r="M4450" s="16">
        <f>HYPERLINK("https://my.pitchbook.com?c=510410-35", "View Company Online")</f>
      </c>
    </row>
    <row r="4451">
      <c r="A4451" t="s" s="11">
        <v>22499</v>
      </c>
      <c r="B4451" t="s" s="11">
        <v>22500</v>
      </c>
      <c r="C4451" t="s" s="11">
        <v>37</v>
      </c>
      <c r="D4451" t="s" s="11">
        <v>38</v>
      </c>
      <c r="E4451" t="s" s="11">
        <v>623</v>
      </c>
      <c r="F4451" t="s" s="28">
        <v>30</v>
      </c>
      <c r="G4451" t="s" s="11">
        <v>146</v>
      </c>
      <c r="H4451" t="s" s="43">
        <v>30</v>
      </c>
      <c r="I4451" t="s" s="43">
        <v>30</v>
      </c>
      <c r="J4451" t="s" s="11">
        <v>22501</v>
      </c>
      <c r="K4451" t="s" s="11">
        <v>22502</v>
      </c>
      <c r="L4451" s="17">
        <f>HYPERLINK("http://www.brubank.com", "www.brubank.com")</f>
      </c>
      <c r="M4451" s="17">
        <f>HYPERLINK("https://my.pitchbook.com?c=432661-87", "View Company Online")</f>
      </c>
    </row>
    <row r="4452">
      <c r="A4452" t="s" s="10">
        <v>22504</v>
      </c>
      <c r="B4452" t="s" s="10">
        <v>22505</v>
      </c>
      <c r="C4452" t="s" s="10">
        <v>164</v>
      </c>
      <c r="D4452" t="s" s="10">
        <v>206</v>
      </c>
      <c r="E4452" t="s" s="10">
        <v>414</v>
      </c>
      <c r="F4452" s="27">
        <v>45078</v>
      </c>
      <c r="G4452" t="s" s="10">
        <v>4267</v>
      </c>
      <c r="H4452" t="s" s="42">
        <v>30</v>
      </c>
      <c r="I4452" t="s" s="42">
        <v>30</v>
      </c>
      <c r="J4452" t="s" s="10">
        <v>22506</v>
      </c>
      <c r="K4452" t="s" s="10">
        <v>22507</v>
      </c>
      <c r="L4452" s="16">
        <f>HYPERLINK("http://www.bsktpay.co", "www.bsktpay.co")</f>
      </c>
      <c r="M4452" s="16">
        <f>HYPERLINK("https://my.pitchbook.com?c=528751-99", "View Company Online")</f>
      </c>
    </row>
    <row r="4453">
      <c r="A4453" t="s" s="11">
        <v>22509</v>
      </c>
      <c r="B4453" t="s" s="11">
        <v>22510</v>
      </c>
      <c r="C4453" t="s" s="11">
        <v>144</v>
      </c>
      <c r="D4453" t="s" s="11">
        <v>297</v>
      </c>
      <c r="E4453" t="s" s="11">
        <v>253</v>
      </c>
      <c r="F4453" s="28">
        <v>45428</v>
      </c>
      <c r="G4453" t="s" s="11">
        <v>4267</v>
      </c>
      <c r="H4453" s="43">
        <v>1.5</v>
      </c>
      <c r="I4453" t="s" s="43">
        <v>30</v>
      </c>
      <c r="J4453" t="s" s="11">
        <v>22511</v>
      </c>
      <c r="K4453" t="s" s="11">
        <v>22512</v>
      </c>
      <c r="L4453" s="17">
        <f>HYPERLINK("http://www.btrust.io", "www.btrust.io")</f>
      </c>
      <c r="M4453" s="17">
        <f>HYPERLINK("https://my.pitchbook.com?c=556227-01", "View Company Online")</f>
      </c>
    </row>
    <row r="4454">
      <c r="A4454" t="s" s="10">
        <v>22514</v>
      </c>
      <c r="B4454" t="s" s="10">
        <v>22515</v>
      </c>
      <c r="C4454" t="s" s="10">
        <v>164</v>
      </c>
      <c r="D4454" t="s" s="10">
        <v>206</v>
      </c>
      <c r="E4454" t="s" s="10">
        <v>22516</v>
      </c>
      <c r="F4454" s="27">
        <v>44400</v>
      </c>
      <c r="G4454" t="s" s="10">
        <v>4267</v>
      </c>
      <c r="H4454" s="42">
        <v>1.54</v>
      </c>
      <c r="I4454" t="s" s="42">
        <v>30</v>
      </c>
      <c r="J4454" t="s" s="10">
        <v>22517</v>
      </c>
      <c r="K4454" t="s" s="10">
        <v>30</v>
      </c>
      <c r="L4454" s="16">
        <f>HYPERLINK("http://www.bblian.cn", "www.bblian.cn")</f>
      </c>
      <c r="M4454" s="16">
        <f>HYPERLINK("https://my.pitchbook.com?c=470693-17", "View Company Online")</f>
      </c>
    </row>
    <row r="4455">
      <c r="A4455" t="s" s="11">
        <v>22519</v>
      </c>
      <c r="B4455" t="s" s="11">
        <v>22520</v>
      </c>
      <c r="C4455" t="s" s="11">
        <v>60</v>
      </c>
      <c r="D4455" t="s" s="11">
        <v>246</v>
      </c>
      <c r="E4455" t="s" s="11">
        <v>137</v>
      </c>
      <c r="F4455" s="28">
        <v>44993</v>
      </c>
      <c r="G4455" t="s" s="11">
        <v>4267</v>
      </c>
      <c r="H4455" s="43">
        <v>0.15</v>
      </c>
      <c r="I4455" t="s" s="43">
        <v>30</v>
      </c>
      <c r="J4455" t="s" s="11">
        <v>22521</v>
      </c>
      <c r="K4455" t="s" s="11">
        <v>22522</v>
      </c>
      <c r="L4455" s="17">
        <f>HYPERLINK("http://www.buckone.org", "www.buckone.org")</f>
      </c>
      <c r="M4455" s="17">
        <f>HYPERLINK("https://my.pitchbook.com?c=521376-04", "View Company Online")</f>
      </c>
    </row>
    <row r="4456">
      <c r="A4456" t="s" s="10">
        <v>22524</v>
      </c>
      <c r="B4456" t="s" s="10">
        <v>22525</v>
      </c>
      <c r="C4456" t="s" s="10">
        <v>27</v>
      </c>
      <c r="D4456" t="s" s="10">
        <v>122</v>
      </c>
      <c r="E4456" t="s" s="10">
        <v>1859</v>
      </c>
      <c r="F4456" s="27">
        <v>45383</v>
      </c>
      <c r="G4456" t="s" s="10">
        <v>40</v>
      </c>
      <c r="H4456" t="s" s="42">
        <v>30</v>
      </c>
      <c r="I4456" t="s" s="42">
        <v>30</v>
      </c>
      <c r="J4456" t="s" s="10">
        <v>22526</v>
      </c>
      <c r="K4456" t="s" s="10">
        <v>22527</v>
      </c>
      <c r="L4456" s="16">
        <f>HYPERLINK("http://www.buckzy.net", "www.buckzy.net")</f>
      </c>
      <c r="M4456" s="16">
        <f>HYPERLINK("https://my.pitchbook.com?c=266643-19", "View Company Online")</f>
      </c>
    </row>
    <row r="4457">
      <c r="A4457" t="s" s="11">
        <v>22529</v>
      </c>
      <c r="B4457" t="s" s="11">
        <v>22530</v>
      </c>
      <c r="C4457" t="s" s="11">
        <v>60</v>
      </c>
      <c r="D4457" t="s" s="11">
        <v>246</v>
      </c>
      <c r="E4457" t="s" s="11">
        <v>270</v>
      </c>
      <c r="F4457" s="28">
        <v>44300</v>
      </c>
      <c r="G4457" t="s" s="11">
        <v>40</v>
      </c>
      <c r="H4457" s="43">
        <v>7.26</v>
      </c>
      <c r="I4457" t="s" s="43">
        <v>30</v>
      </c>
      <c r="J4457" t="s" s="11">
        <v>22531</v>
      </c>
      <c r="K4457" t="s" s="11">
        <v>22532</v>
      </c>
      <c r="L4457" s="17">
        <f>HYPERLINK("http://www.budgetbakers.com", "www.budgetbakers.com")</f>
      </c>
      <c r="M4457" s="17">
        <f>HYPERLINK("https://my.pitchbook.com?c=118409-23", "View Company Online")</f>
      </c>
    </row>
    <row r="4458">
      <c r="A4458" t="s" s="10">
        <v>22534</v>
      </c>
      <c r="B4458" t="s" s="10">
        <v>22535</v>
      </c>
      <c r="C4458" t="s" s="10">
        <v>27</v>
      </c>
      <c r="D4458" t="s" s="10">
        <v>70</v>
      </c>
      <c r="E4458" t="s" s="10">
        <v>3055</v>
      </c>
      <c r="F4458" t="s" s="27">
        <v>30</v>
      </c>
      <c r="G4458" t="s" s="10">
        <v>40</v>
      </c>
      <c r="H4458" s="42">
        <v>2.5</v>
      </c>
      <c r="I4458" t="s" s="42">
        <v>30</v>
      </c>
      <c r="J4458" t="s" s="10">
        <v>22536</v>
      </c>
      <c r="K4458" t="s" s="10">
        <v>22537</v>
      </c>
      <c r="L4458" s="16">
        <f>HYPERLINK("http://www.buildpay.com", "www.buildpay.com")</f>
      </c>
      <c r="M4458" s="16">
        <f>HYPERLINK("https://my.pitchbook.com?c=150439-69", "View Company Online")</f>
      </c>
    </row>
    <row r="4459">
      <c r="A4459" t="s" s="11">
        <v>22539</v>
      </c>
      <c r="B4459" t="s" s="11">
        <v>22540</v>
      </c>
      <c r="C4459" t="s" s="11">
        <v>46</v>
      </c>
      <c r="D4459" t="s" s="11">
        <v>47</v>
      </c>
      <c r="E4459" t="s" s="11">
        <v>29</v>
      </c>
      <c r="F4459" s="28">
        <v>44958</v>
      </c>
      <c r="G4459" t="s" s="11">
        <v>40</v>
      </c>
      <c r="H4459" t="s" s="43">
        <v>30</v>
      </c>
      <c r="I4459" t="s" s="43">
        <v>30</v>
      </c>
      <c r="J4459" t="s" s="11">
        <v>22541</v>
      </c>
      <c r="K4459" t="s" s="11">
        <v>22542</v>
      </c>
      <c r="L4459" s="17">
        <f>HYPERLINK("http://www.built.africa", "www.built.africa")</f>
      </c>
      <c r="M4459" s="17">
        <f>HYPERLINK("https://my.pitchbook.com?c=439014-25", "View Company Online")</f>
      </c>
    </row>
    <row r="4460">
      <c r="A4460" t="s" s="10">
        <v>22544</v>
      </c>
      <c r="B4460" t="s" s="10">
        <v>22545</v>
      </c>
      <c r="C4460" t="s" s="10">
        <v>46</v>
      </c>
      <c r="D4460" t="s" s="10">
        <v>47</v>
      </c>
      <c r="E4460" t="s" s="10">
        <v>193</v>
      </c>
      <c r="F4460" s="27">
        <v>45267</v>
      </c>
      <c r="G4460" t="s" s="10">
        <v>4267</v>
      </c>
      <c r="H4460" s="42">
        <v>2</v>
      </c>
      <c r="I4460" t="s" s="42">
        <v>30</v>
      </c>
      <c r="J4460" t="s" s="10">
        <v>22546</v>
      </c>
      <c r="K4460" t="s" s="10">
        <v>22547</v>
      </c>
      <c r="L4460" s="16">
        <f>HYPERLINK("http://www.bujeti.com", "www.bujeti.com")</f>
      </c>
      <c r="M4460" s="16">
        <f>HYPERLINK("https://my.pitchbook.com?c=501176-89", "View Company Online")</f>
      </c>
    </row>
    <row r="4461">
      <c r="A4461" t="s" s="11">
        <v>22549</v>
      </c>
      <c r="B4461" t="s" s="11">
        <v>22550</v>
      </c>
      <c r="C4461" t="s" s="11">
        <v>114</v>
      </c>
      <c r="D4461" t="s" s="11">
        <v>136</v>
      </c>
      <c r="E4461" t="s" s="11">
        <v>137</v>
      </c>
      <c r="F4461" s="28">
        <v>45943</v>
      </c>
      <c r="G4461" t="s" s="11">
        <v>4267</v>
      </c>
      <c r="H4461" s="43">
        <v>10</v>
      </c>
      <c r="I4461" t="s" s="43">
        <v>30</v>
      </c>
      <c r="J4461" t="s" s="11">
        <v>22551</v>
      </c>
      <c r="K4461" t="s" s="11">
        <v>22552</v>
      </c>
      <c r="L4461" s="17">
        <f>HYPERLINK("http://www.bullcredtech.com", "www.bullcredtech.com")</f>
      </c>
      <c r="M4461" s="17">
        <f>HYPERLINK("https://my.pitchbook.com?c=1152669-61", "View Company Online")</f>
      </c>
    </row>
    <row r="4462">
      <c r="A4462" t="s" s="10">
        <v>22554</v>
      </c>
      <c r="B4462" t="s" s="10">
        <v>22555</v>
      </c>
      <c r="C4462" t="s" s="10">
        <v>46</v>
      </c>
      <c r="D4462" t="s" s="10">
        <v>397</v>
      </c>
      <c r="E4462" t="s" s="10">
        <v>253</v>
      </c>
      <c r="F4462" s="27">
        <v>45132</v>
      </c>
      <c r="G4462" t="s" s="10">
        <v>4267</v>
      </c>
      <c r="H4462" s="42">
        <v>5</v>
      </c>
      <c r="I4462" t="s" s="42">
        <v>30</v>
      </c>
      <c r="J4462" t="s" s="10">
        <v>22556</v>
      </c>
      <c r="K4462" t="s" s="10">
        <v>22557</v>
      </c>
      <c r="L4462" s="16">
        <f>HYPERLINK("http://www.bunkertech.io", "www.bunkertech.io")</f>
      </c>
      <c r="M4462" s="16">
        <f>HYPERLINK("https://my.pitchbook.com?c=530911-99", "View Company Online")</f>
      </c>
    </row>
    <row r="4463">
      <c r="A4463" t="s" s="11">
        <v>22559</v>
      </c>
      <c r="B4463" t="s" s="11">
        <v>22560</v>
      </c>
      <c r="C4463" t="s" s="11">
        <v>164</v>
      </c>
      <c r="D4463" t="s" s="11">
        <v>206</v>
      </c>
      <c r="E4463" t="s" s="11">
        <v>137</v>
      </c>
      <c r="F4463" s="28">
        <v>44706</v>
      </c>
      <c r="G4463" t="s" s="11">
        <v>4267</v>
      </c>
      <c r="H4463" s="43">
        <v>0.62</v>
      </c>
      <c r="I4463" t="s" s="43">
        <v>30</v>
      </c>
      <c r="J4463" t="s" s="11">
        <v>22561</v>
      </c>
      <c r="K4463" t="s" s="11">
        <v>22562</v>
      </c>
      <c r="L4463" s="17">
        <f>HYPERLINK("http://www.buoy.money", "www.buoy.money")</f>
      </c>
      <c r="M4463" s="17">
        <f>HYPERLINK("https://my.pitchbook.com?c=497451-79", "View Company Online")</f>
      </c>
    </row>
    <row r="4464">
      <c r="A4464" t="s" s="10">
        <v>22564</v>
      </c>
      <c r="B4464" t="s" s="10">
        <v>22565</v>
      </c>
      <c r="C4464" t="s" s="10">
        <v>60</v>
      </c>
      <c r="D4464" t="s" s="10">
        <v>246</v>
      </c>
      <c r="E4464" t="s" s="10">
        <v>137</v>
      </c>
      <c r="F4464" s="27">
        <v>46010</v>
      </c>
      <c r="G4464" t="s" s="10">
        <v>4267</v>
      </c>
      <c r="H4464" s="42">
        <v>2.1</v>
      </c>
      <c r="I4464" t="s" s="42">
        <v>30</v>
      </c>
      <c r="J4464" t="s" s="10">
        <v>22566</v>
      </c>
      <c r="K4464" t="s" s="10">
        <v>22567</v>
      </c>
      <c r="L4464" s="16">
        <f>HYPERLINK("http://www.getburst.com", "www.getburst.com")</f>
      </c>
      <c r="M4464" s="16">
        <f>HYPERLINK("https://my.pitchbook.com?c=711467-47", "View Company Online")</f>
      </c>
    </row>
    <row r="4465">
      <c r="A4465" t="s" s="11">
        <v>22569</v>
      </c>
      <c r="B4465" t="s" s="11">
        <v>22570</v>
      </c>
      <c r="C4465" t="s" s="11">
        <v>164</v>
      </c>
      <c r="D4465" t="s" s="11">
        <v>206</v>
      </c>
      <c r="E4465" t="s" s="11">
        <v>193</v>
      </c>
      <c r="F4465" s="28">
        <v>45918</v>
      </c>
      <c r="G4465" t="s" s="11">
        <v>40</v>
      </c>
      <c r="H4465" s="43">
        <v>16</v>
      </c>
      <c r="I4465" t="s" s="43">
        <v>30</v>
      </c>
      <c r="J4465" t="s" s="11">
        <v>22571</v>
      </c>
      <c r="K4465" t="s" s="11">
        <v>22572</v>
      </c>
      <c r="L4465" s="17">
        <f>HYPERLINK("http://www.bwatech.sa", "www.bwatech.sa")</f>
      </c>
      <c r="M4465" s="17">
        <f>HYPERLINK("https://my.pitchbook.com?c=507098-89", "View Company Online")</f>
      </c>
    </row>
    <row r="4466">
      <c r="A4466" t="s" s="10">
        <v>22574</v>
      </c>
      <c r="B4466" t="s" s="10">
        <v>22575</v>
      </c>
      <c r="C4466" t="s" s="10">
        <v>144</v>
      </c>
      <c r="D4466" t="s" s="10">
        <v>297</v>
      </c>
      <c r="E4466" t="s" s="10">
        <v>253</v>
      </c>
      <c r="F4466" s="27">
        <v>45918</v>
      </c>
      <c r="G4466" t="s" s="10">
        <v>146</v>
      </c>
      <c r="H4466" s="42">
        <v>1.2</v>
      </c>
      <c r="I4466" t="s" s="42">
        <v>30</v>
      </c>
      <c r="J4466" t="s" s="10">
        <v>22576</v>
      </c>
      <c r="K4466" t="s" s="10">
        <v>22577</v>
      </c>
      <c r="L4466" s="16">
        <f>HYPERLINK("http://www.bynow.ai", "www.bynow.ai")</f>
      </c>
      <c r="M4466" s="16">
        <f>HYPERLINK("https://my.pitchbook.com?c=527513-23", "View Company Online")</f>
      </c>
    </row>
    <row r="4467">
      <c r="A4467" t="s" s="11">
        <v>22579</v>
      </c>
      <c r="B4467" t="s" s="11">
        <v>22580</v>
      </c>
      <c r="C4467" t="s" s="11">
        <v>27</v>
      </c>
      <c r="D4467" t="s" s="11">
        <v>28</v>
      </c>
      <c r="E4467" t="s" s="11">
        <v>332</v>
      </c>
      <c r="F4467" s="28">
        <v>46241</v>
      </c>
      <c r="G4467" t="s" s="11">
        <v>2051</v>
      </c>
      <c r="H4467" t="s" s="43">
        <v>30</v>
      </c>
      <c r="I4467" t="s" s="43">
        <v>30</v>
      </c>
      <c r="J4467" t="s" s="11">
        <v>22581</v>
      </c>
      <c r="K4467" t="s" s="11">
        <v>30</v>
      </c>
      <c r="L4467" s="17">
        <f>HYPERLINK("http://www.usebyte.com", "www.usebyte.com")</f>
      </c>
      <c r="M4467" s="17">
        <f>HYPERLINK("https://my.pitchbook.com?c=507344-77", "View Company Online")</f>
      </c>
    </row>
    <row r="4468">
      <c r="A4468" t="s" s="10">
        <v>22583</v>
      </c>
      <c r="B4468" t="s" s="10">
        <v>22584</v>
      </c>
      <c r="C4468" t="s" s="10">
        <v>164</v>
      </c>
      <c r="D4468" t="s" s="10">
        <v>206</v>
      </c>
      <c r="E4468" t="s" s="10">
        <v>193</v>
      </c>
      <c r="F4468" s="27">
        <v>45834</v>
      </c>
      <c r="G4468" t="s" s="10">
        <v>146</v>
      </c>
      <c r="H4468" s="42">
        <v>4</v>
      </c>
      <c r="I4468" t="s" s="42">
        <v>30</v>
      </c>
      <c r="J4468" t="s" s="10">
        <v>22585</v>
      </c>
      <c r="K4468" t="s" s="10">
        <v>22586</v>
      </c>
      <c r="L4468" s="16">
        <f>HYPERLINK("http://www.caantin.ai", "www.caantin.ai")</f>
      </c>
      <c r="M4468" s="16">
        <f>HYPERLINK("https://my.pitchbook.com?c=467220-88", "View Company Online")</f>
      </c>
    </row>
    <row r="4469">
      <c r="A4469" t="s" s="11">
        <v>22588</v>
      </c>
      <c r="B4469" t="s" s="11">
        <v>22589</v>
      </c>
      <c r="C4469" t="s" s="11">
        <v>37</v>
      </c>
      <c r="D4469" t="s" s="11">
        <v>304</v>
      </c>
      <c r="E4469" t="s" s="11">
        <v>1054</v>
      </c>
      <c r="F4469" s="28">
        <v>46141</v>
      </c>
      <c r="G4469" t="s" s="11">
        <v>2051</v>
      </c>
      <c r="H4469" t="s" s="43">
        <v>30</v>
      </c>
      <c r="I4469" t="s" s="43">
        <v>30</v>
      </c>
      <c r="J4469" t="s" s="11">
        <v>22590</v>
      </c>
      <c r="K4469" t="s" s="11">
        <v>30</v>
      </c>
      <c r="L4469" s="17">
        <f>HYPERLINK("http://www.caary.ai", "www.caary.ai")</f>
      </c>
      <c r="M4469" s="17">
        <f>HYPERLINK("https://my.pitchbook.com?c=469281-07", "View Company Online")</f>
      </c>
    </row>
    <row r="4470">
      <c r="A4470" t="s" s="10">
        <v>22592</v>
      </c>
      <c r="B4470" t="s" s="10">
        <v>22593</v>
      </c>
      <c r="C4470" t="s" s="10">
        <v>60</v>
      </c>
      <c r="D4470" t="s" s="10">
        <v>192</v>
      </c>
      <c r="E4470" t="s" s="10">
        <v>373</v>
      </c>
      <c r="F4470" s="27">
        <v>45751</v>
      </c>
      <c r="G4470" t="s" s="10">
        <v>146</v>
      </c>
      <c r="H4470" t="s" s="42">
        <v>30</v>
      </c>
      <c r="I4470" t="s" s="42">
        <v>30</v>
      </c>
      <c r="J4470" t="s" s="10">
        <v>22594</v>
      </c>
      <c r="K4470" t="s" s="10">
        <v>22595</v>
      </c>
      <c r="L4470" s="16">
        <f>HYPERLINK("http://www.mycache.ai", "www.mycache.ai")</f>
      </c>
      <c r="M4470" s="16">
        <f>HYPERLINK("https://my.pitchbook.com?c=632761-12", "View Company Online")</f>
      </c>
    </row>
    <row r="4471">
      <c r="A4471" t="s" s="11">
        <v>22597</v>
      </c>
      <c r="B4471" t="s" s="11">
        <v>22598</v>
      </c>
      <c r="C4471" t="s" s="11">
        <v>60</v>
      </c>
      <c r="D4471" t="s" s="11">
        <v>432</v>
      </c>
      <c r="E4471" t="s" s="11">
        <v>4075</v>
      </c>
      <c r="F4471" t="s" s="28">
        <v>30</v>
      </c>
      <c r="G4471" t="s" s="11">
        <v>607</v>
      </c>
      <c r="H4471" t="s" s="43">
        <v>30</v>
      </c>
      <c r="I4471" t="s" s="43">
        <v>30</v>
      </c>
      <c r="J4471" t="s" s="11">
        <v>22599</v>
      </c>
      <c r="K4471" t="s" s="11">
        <v>22600</v>
      </c>
      <c r="L4471" s="17">
        <f>HYPERLINK("http://www.cacheflo.co", "www.cacheflo.co")</f>
      </c>
      <c r="M4471" s="17">
        <f>HYPERLINK("https://my.pitchbook.com?c=170444-53", "View Company Online")</f>
      </c>
    </row>
    <row r="4472">
      <c r="A4472" t="s" s="10">
        <v>22602</v>
      </c>
      <c r="B4472" t="s" s="10">
        <v>22603</v>
      </c>
      <c r="C4472" t="s" s="10">
        <v>27</v>
      </c>
      <c r="D4472" t="s" s="10">
        <v>70</v>
      </c>
      <c r="E4472" t="s" s="10">
        <v>13084</v>
      </c>
      <c r="F4472" s="27">
        <v>46226</v>
      </c>
      <c r="G4472" t="s" s="10">
        <v>40</v>
      </c>
      <c r="H4472" s="42">
        <v>10</v>
      </c>
      <c r="I4472" t="s" s="42">
        <v>30</v>
      </c>
      <c r="J4472" t="s" s="10">
        <v>22604</v>
      </c>
      <c r="K4472" t="s" s="10">
        <v>22605</v>
      </c>
      <c r="L4472" s="16">
        <f>HYPERLINK("http://www.caju.com.br", "www.caju.com.br")</f>
      </c>
      <c r="M4472" s="16">
        <f>HYPERLINK("https://my.pitchbook.com?c=294486-04", "View Company Online")</f>
      </c>
    </row>
    <row r="4473">
      <c r="A4473" t="s" s="11">
        <v>22607</v>
      </c>
      <c r="B4473" t="s" s="11">
        <v>22608</v>
      </c>
      <c r="C4473" t="s" s="11">
        <v>222</v>
      </c>
      <c r="D4473" t="s" s="11">
        <v>235</v>
      </c>
      <c r="E4473" t="s" s="11">
        <v>253</v>
      </c>
      <c r="F4473" s="28">
        <v>45717</v>
      </c>
      <c r="G4473" t="s" s="11">
        <v>146</v>
      </c>
      <c r="H4473" t="s" s="43">
        <v>30</v>
      </c>
      <c r="I4473" t="s" s="43">
        <v>30</v>
      </c>
      <c r="J4473" t="s" s="11">
        <v>22609</v>
      </c>
      <c r="K4473" t="s" s="11">
        <v>22610</v>
      </c>
      <c r="L4473" s="17">
        <f>HYPERLINK("http://www.caliber.exchange", "www.caliber.exchange")</f>
      </c>
      <c r="M4473" s="17">
        <f>HYPERLINK("https://my.pitchbook.com?c=494656-39", "View Company Online")</f>
      </c>
    </row>
    <row r="4474">
      <c r="A4474" t="s" s="10">
        <v>22612</v>
      </c>
      <c r="B4474" t="s" s="10">
        <v>22613</v>
      </c>
      <c r="C4474" t="s" s="10">
        <v>60</v>
      </c>
      <c r="D4474" t="s" s="10">
        <v>432</v>
      </c>
      <c r="E4474" t="s" s="10">
        <v>137</v>
      </c>
      <c r="F4474" s="27">
        <v>44664</v>
      </c>
      <c r="G4474" t="s" s="10">
        <v>4267</v>
      </c>
      <c r="H4474" s="42">
        <v>1</v>
      </c>
      <c r="I4474" t="s" s="42">
        <v>30</v>
      </c>
      <c r="J4474" t="s" s="10">
        <v>22614</v>
      </c>
      <c r="K4474" t="s" s="10">
        <v>22615</v>
      </c>
      <c r="L4474" s="16">
        <f>HYPERLINK("http://www.callypso.co", "www.callypso.co")</f>
      </c>
      <c r="M4474" s="16">
        <f>HYPERLINK("https://my.pitchbook.com?c=509697-37", "View Company Online")</f>
      </c>
    </row>
    <row r="4475">
      <c r="A4475" t="s" s="11">
        <v>22617</v>
      </c>
      <c r="B4475" t="s" s="11">
        <v>22618</v>
      </c>
      <c r="C4475" t="s" s="11">
        <v>164</v>
      </c>
      <c r="D4475" t="s" s="11">
        <v>165</v>
      </c>
      <c r="E4475" t="s" s="11">
        <v>373</v>
      </c>
      <c r="F4475" s="28">
        <v>44222</v>
      </c>
      <c r="G4475" t="s" s="11">
        <v>146</v>
      </c>
      <c r="H4475" s="43">
        <v>1.82</v>
      </c>
      <c r="I4475" t="s" s="43">
        <v>30</v>
      </c>
      <c r="J4475" t="s" s="11">
        <v>22619</v>
      </c>
      <c r="K4475" t="s" s="11">
        <v>22620</v>
      </c>
      <c r="L4475" s="17">
        <f>HYPERLINK("http://www.calqulate.io", "www.calqulate.io")</f>
      </c>
      <c r="M4475" s="17">
        <f>HYPERLINK("https://my.pitchbook.com?c=453407-05", "View Company Online")</f>
      </c>
    </row>
    <row r="4476">
      <c r="A4476" t="s" s="10">
        <v>22622</v>
      </c>
      <c r="B4476" t="s" s="10">
        <v>22623</v>
      </c>
      <c r="C4476" t="s" s="10">
        <v>60</v>
      </c>
      <c r="D4476" t="s" s="10">
        <v>727</v>
      </c>
      <c r="E4476" t="s" s="10">
        <v>130</v>
      </c>
      <c r="F4476" s="27">
        <v>45623</v>
      </c>
      <c r="G4476" t="s" s="10">
        <v>40</v>
      </c>
      <c r="H4476" s="42">
        <v>5</v>
      </c>
      <c r="I4476" t="s" s="42">
        <v>30</v>
      </c>
      <c r="J4476" t="s" s="10">
        <v>22624</v>
      </c>
      <c r="K4476" t="s" s="10">
        <v>30</v>
      </c>
      <c r="L4476" s="16">
        <f>HYPERLINK("http://www.caltier.fund", "www.caltier.fund")</f>
      </c>
      <c r="M4476" s="16">
        <f>HYPERLINK("https://my.pitchbook.com?c=462297-61", "View Company Online")</f>
      </c>
    </row>
    <row r="4477">
      <c r="A4477" t="s" s="11">
        <v>22626</v>
      </c>
      <c r="B4477" t="s" s="11">
        <v>22627</v>
      </c>
      <c r="C4477" t="s" s="11">
        <v>114</v>
      </c>
      <c r="D4477" t="s" s="11">
        <v>852</v>
      </c>
      <c r="E4477" t="s" s="11">
        <v>414</v>
      </c>
      <c r="F4477" t="s" s="28">
        <v>30</v>
      </c>
      <c r="G4477" t="s" s="11">
        <v>31</v>
      </c>
      <c r="H4477" t="s" s="43">
        <v>30</v>
      </c>
      <c r="I4477" t="s" s="43">
        <v>30</v>
      </c>
      <c r="J4477" t="s" s="11">
        <v>22628</v>
      </c>
      <c r="K4477" t="s" s="11">
        <v>22629</v>
      </c>
      <c r="L4477" s="17">
        <f>HYPERLINK("http://www.caminofinancial.com", "www.caminofinancial.com")</f>
      </c>
      <c r="M4477" s="17">
        <f>HYPERLINK("https://my.pitchbook.com?c=128377-63", "View Company Online")</f>
      </c>
    </row>
    <row r="4478">
      <c r="A4478" t="s" s="10">
        <v>22631</v>
      </c>
      <c r="B4478" t="s" s="10">
        <v>22632</v>
      </c>
      <c r="C4478" t="s" s="10">
        <v>46</v>
      </c>
      <c r="D4478" t="s" s="10">
        <v>397</v>
      </c>
      <c r="E4478" t="s" s="10">
        <v>137</v>
      </c>
      <c r="F4478" s="27">
        <v>45627</v>
      </c>
      <c r="G4478" t="s" s="10">
        <v>146</v>
      </c>
      <c r="H4478" t="s" s="42">
        <v>30</v>
      </c>
      <c r="I4478" t="s" s="42">
        <v>30</v>
      </c>
      <c r="J4478" t="s" s="10">
        <v>22633</v>
      </c>
      <c r="K4478" t="s" s="10">
        <v>22634</v>
      </c>
      <c r="L4478" s="16">
        <f>HYPERLINK("http://camu.com.br", "camu.com.br")</f>
      </c>
      <c r="M4478" s="16">
        <f>HYPERLINK("https://my.pitchbook.com?c=718306-75", "View Company Online")</f>
      </c>
    </row>
    <row r="4479">
      <c r="A4479" t="s" s="11">
        <v>22636</v>
      </c>
      <c r="B4479" t="s" s="11">
        <v>22637</v>
      </c>
      <c r="C4479" t="s" s="11">
        <v>222</v>
      </c>
      <c r="D4479" t="s" s="11">
        <v>223</v>
      </c>
      <c r="E4479" t="s" s="11">
        <v>373</v>
      </c>
      <c r="F4479" s="28">
        <v>44890</v>
      </c>
      <c r="G4479" t="s" s="11">
        <v>4267</v>
      </c>
      <c r="H4479" s="43">
        <v>0.05</v>
      </c>
      <c r="I4479" t="s" s="43">
        <v>30</v>
      </c>
      <c r="J4479" t="s" s="11">
        <v>22638</v>
      </c>
      <c r="K4479" t="s" s="11">
        <v>22639</v>
      </c>
      <c r="L4479" s="17">
        <f>HYPERLINK("http://www.canari.dev", "www.canari.dev")</f>
      </c>
      <c r="M4479" s="17">
        <f>HYPERLINK("https://my.pitchbook.com?c=515242-27", "View Company Online")</f>
      </c>
    </row>
    <row r="4480">
      <c r="A4480" t="s" s="10">
        <v>22641</v>
      </c>
      <c r="B4480" t="s" s="10">
        <v>22642</v>
      </c>
      <c r="C4480" t="s" s="10">
        <v>27</v>
      </c>
      <c r="D4480" t="s" s="10">
        <v>70</v>
      </c>
      <c r="E4480" t="s" s="10">
        <v>259</v>
      </c>
      <c r="F4480" s="27">
        <v>46098</v>
      </c>
      <c r="G4480" t="s" s="10">
        <v>40</v>
      </c>
      <c r="H4480" s="42">
        <v>73</v>
      </c>
      <c r="I4480" t="s" s="42">
        <v>30</v>
      </c>
      <c r="J4480" t="s" s="10">
        <v>22643</v>
      </c>
      <c r="K4480" t="s" s="10">
        <v>22644</v>
      </c>
      <c r="L4480" s="16">
        <f>HYPERLINK("http://www.candex.com", "www.candex.com")</f>
      </c>
      <c r="M4480" s="16">
        <f>HYPERLINK("https://my.pitchbook.com?c=56292-04", "View Company Online")</f>
      </c>
    </row>
    <row r="4481">
      <c r="A4481" t="s" s="11">
        <v>22646</v>
      </c>
      <c r="B4481" t="s" s="11">
        <v>22647</v>
      </c>
      <c r="C4481" t="s" s="11">
        <v>46</v>
      </c>
      <c r="D4481" t="s" s="11">
        <v>78</v>
      </c>
      <c r="E4481" t="s" s="11">
        <v>3630</v>
      </c>
      <c r="F4481" s="28">
        <v>45860</v>
      </c>
      <c r="G4481" t="s" s="11">
        <v>4267</v>
      </c>
      <c r="H4481" s="43">
        <v>4.8</v>
      </c>
      <c r="I4481" t="s" s="43">
        <v>30</v>
      </c>
      <c r="J4481" t="s" s="11">
        <v>22648</v>
      </c>
      <c r="K4481" t="s" s="11">
        <v>22649</v>
      </c>
      <c r="L4481" s="17">
        <f>HYPERLINK("http://www.candoriq.com", "www.candoriq.com")</f>
      </c>
      <c r="M4481" s="17">
        <f>HYPERLINK("https://my.pitchbook.com?c=525385-81", "View Company Online")</f>
      </c>
    </row>
    <row r="4482">
      <c r="A4482" t="s" s="10">
        <v>22651</v>
      </c>
      <c r="B4482" t="s" s="10">
        <v>22652</v>
      </c>
      <c r="C4482" t="s" s="10">
        <v>37</v>
      </c>
      <c r="D4482" t="s" s="10">
        <v>304</v>
      </c>
      <c r="E4482" t="s" s="10">
        <v>270</v>
      </c>
      <c r="F4482" s="27">
        <v>45903</v>
      </c>
      <c r="G4482" t="s" s="10">
        <v>4267</v>
      </c>
      <c r="H4482" t="s" s="42">
        <v>30</v>
      </c>
      <c r="I4482" t="s" s="42">
        <v>30</v>
      </c>
      <c r="J4482" t="s" s="10">
        <v>22653</v>
      </c>
      <c r="K4482" t="s" s="10">
        <v>22654</v>
      </c>
      <c r="L4482" s="16">
        <f>HYPERLINK("http://www.candypay.co.kr", "www.candypay.co.kr")</f>
      </c>
      <c r="M4482" s="16">
        <f>HYPERLINK("https://my.pitchbook.com?c=968036-32", "View Company Online")</f>
      </c>
    </row>
    <row r="4483">
      <c r="A4483" t="s" s="11">
        <v>22656</v>
      </c>
      <c r="B4483" t="s" s="11">
        <v>22657</v>
      </c>
      <c r="C4483" t="s" s="11">
        <v>46</v>
      </c>
      <c r="D4483" t="s" s="11">
        <v>78</v>
      </c>
      <c r="E4483" t="s" s="11">
        <v>414</v>
      </c>
      <c r="F4483" t="s" s="28">
        <v>30</v>
      </c>
      <c r="G4483" t="s" s="11">
        <v>146</v>
      </c>
      <c r="H4483" t="s" s="43">
        <v>30</v>
      </c>
      <c r="I4483" t="s" s="43">
        <v>30</v>
      </c>
      <c r="J4483" t="s" s="11">
        <v>22658</v>
      </c>
      <c r="K4483" t="s" s="11">
        <v>22659</v>
      </c>
      <c r="L4483" s="17">
        <f>HYPERLINK("http://www.canopy.im", "www.canopy.im")</f>
      </c>
      <c r="M4483" s="17">
        <f>HYPERLINK("https://my.pitchbook.com?c=878777-38", "View Company Online")</f>
      </c>
    </row>
    <row r="4484">
      <c r="A4484" t="s" s="10">
        <v>22661</v>
      </c>
      <c r="B4484" t="s" s="10">
        <v>22662</v>
      </c>
      <c r="C4484" t="s" s="10">
        <v>27</v>
      </c>
      <c r="D4484" t="s" s="10">
        <v>70</v>
      </c>
      <c r="E4484" t="s" s="10">
        <v>1859</v>
      </c>
      <c r="F4484" s="27">
        <v>45175</v>
      </c>
      <c r="G4484" t="s" s="10">
        <v>607</v>
      </c>
      <c r="H4484" t="s" s="42">
        <v>30</v>
      </c>
      <c r="I4484" t="s" s="42">
        <v>30</v>
      </c>
      <c r="J4484" t="s" s="10">
        <v>22663</v>
      </c>
      <c r="K4484" t="s" s="10">
        <v>22664</v>
      </c>
      <c r="L4484" s="16">
        <f>HYPERLINK("http://www.canta.io", "www.canta.io")</f>
      </c>
      <c r="M4484" s="16">
        <f>HYPERLINK("https://my.pitchbook.com?c=483551-92", "View Company Online")</f>
      </c>
    </row>
    <row r="4485">
      <c r="A4485" t="s" s="11">
        <v>22666</v>
      </c>
      <c r="B4485" t="s" s="11">
        <v>22667</v>
      </c>
      <c r="C4485" t="s" s="11">
        <v>60</v>
      </c>
      <c r="D4485" t="s" s="11">
        <v>420</v>
      </c>
      <c r="E4485" t="s" s="11">
        <v>137</v>
      </c>
      <c r="F4485" s="28">
        <v>45853</v>
      </c>
      <c r="G4485" t="s" s="11">
        <v>4267</v>
      </c>
      <c r="H4485" s="43">
        <v>1.5</v>
      </c>
      <c r="I4485" t="s" s="43">
        <v>30</v>
      </c>
      <c r="J4485" t="s" s="11">
        <v>22668</v>
      </c>
      <c r="K4485" t="s" s="11">
        <v>30</v>
      </c>
      <c r="L4485" s="17">
        <f>HYPERLINK("http://www.canterwealth.com", "www.canterwealth.com")</f>
      </c>
      <c r="M4485" s="17">
        <f>HYPERLINK("https://my.pitchbook.com?c=315218-35", "View Company Online")</f>
      </c>
    </row>
    <row r="4486">
      <c r="A4486" t="s" s="10">
        <v>22670</v>
      </c>
      <c r="B4486" t="s" s="10">
        <v>22671</v>
      </c>
      <c r="C4486" t="s" s="10">
        <v>222</v>
      </c>
      <c r="D4486" t="s" s="10">
        <v>223</v>
      </c>
      <c r="E4486" t="s" s="10">
        <v>373</v>
      </c>
      <c r="F4486" s="27">
        <v>45322</v>
      </c>
      <c r="G4486" t="s" s="10">
        <v>4267</v>
      </c>
      <c r="H4486" s="42">
        <v>2.5</v>
      </c>
      <c r="I4486" t="s" s="42">
        <v>30</v>
      </c>
      <c r="J4486" t="s" s="10">
        <v>22672</v>
      </c>
      <c r="K4486" t="s" s="10">
        <v>22673</v>
      </c>
      <c r="L4486" s="16">
        <f>HYPERLINK("http://www.cap.vc", "www.cap.vc")</f>
      </c>
      <c r="M4486" s="16">
        <f>HYPERLINK("https://my.pitchbook.com?c=588680-29", "View Company Online")</f>
      </c>
    </row>
    <row r="4487">
      <c r="A4487" t="s" s="11">
        <v>22675</v>
      </c>
      <c r="B4487" t="s" s="11">
        <v>22676</v>
      </c>
      <c r="C4487" t="s" s="11">
        <v>46</v>
      </c>
      <c r="D4487" t="s" s="11">
        <v>397</v>
      </c>
      <c r="E4487" t="s" s="11">
        <v>16640</v>
      </c>
      <c r="F4487" s="28">
        <v>45680</v>
      </c>
      <c r="G4487" t="s" s="11">
        <v>4267</v>
      </c>
      <c r="H4487" s="43">
        <v>2.6</v>
      </c>
      <c r="I4487" t="s" s="43">
        <v>30</v>
      </c>
      <c r="J4487" t="s" s="11">
        <v>22677</v>
      </c>
      <c r="K4487" t="s" s="11">
        <v>22678</v>
      </c>
      <c r="L4487" s="17">
        <f>HYPERLINK("http://www.capezero.com", "www.capezero.com")</f>
      </c>
      <c r="M4487" s="17">
        <f>HYPERLINK("https://my.pitchbook.com?c=557150-05", "View Company Online")</f>
      </c>
    </row>
    <row r="4488">
      <c r="A4488" t="s" s="10">
        <v>22680</v>
      </c>
      <c r="B4488" t="s" s="10">
        <v>22681</v>
      </c>
      <c r="C4488" t="s" s="10">
        <v>172</v>
      </c>
      <c r="D4488" t="s" s="10">
        <v>338</v>
      </c>
      <c r="E4488" t="s" s="10">
        <v>253</v>
      </c>
      <c r="F4488" s="27">
        <v>44413</v>
      </c>
      <c r="G4488" t="s" s="10">
        <v>146</v>
      </c>
      <c r="H4488" s="42">
        <v>0.78</v>
      </c>
      <c r="I4488" t="s" s="42">
        <v>30</v>
      </c>
      <c r="J4488" t="s" s="10">
        <v>22682</v>
      </c>
      <c r="K4488" t="s" s="10">
        <v>22683</v>
      </c>
      <c r="L4488" s="16">
        <f>HYPERLINK("http://www.capgains.com", "www.capgains.com")</f>
      </c>
      <c r="M4488" s="16">
        <f>HYPERLINK("https://my.pitchbook.com?c=489140-83", "View Company Online")</f>
      </c>
    </row>
    <row r="4489">
      <c r="A4489" t="s" s="11">
        <v>22685</v>
      </c>
      <c r="B4489" t="s" s="11">
        <v>22686</v>
      </c>
      <c r="C4489" t="s" s="11">
        <v>144</v>
      </c>
      <c r="D4489" t="s" s="11">
        <v>297</v>
      </c>
      <c r="E4489" t="s" s="11">
        <v>137</v>
      </c>
      <c r="F4489" s="28">
        <v>45825</v>
      </c>
      <c r="G4489" t="s" s="11">
        <v>4267</v>
      </c>
      <c r="H4489" s="43">
        <v>0.1</v>
      </c>
      <c r="I4489" t="s" s="43">
        <v>30</v>
      </c>
      <c r="J4489" t="s" s="11">
        <v>22687</v>
      </c>
      <c r="K4489" t="s" s="11">
        <v>22688</v>
      </c>
      <c r="L4489" s="17">
        <f>HYPERLINK("http://www.growthcapifly.com", "www.growthcapifly.com")</f>
      </c>
      <c r="M4489" s="17">
        <f>HYPERLINK("https://my.pitchbook.com?c=497916-91", "View Company Online")</f>
      </c>
    </row>
    <row r="4490">
      <c r="A4490" t="s" s="10">
        <v>22690</v>
      </c>
      <c r="B4490" t="s" s="10">
        <v>22691</v>
      </c>
      <c r="C4490" t="s" s="10">
        <v>60</v>
      </c>
      <c r="D4490" t="s" s="10">
        <v>432</v>
      </c>
      <c r="E4490" t="s" s="10">
        <v>253</v>
      </c>
      <c r="F4490" s="27">
        <v>45673</v>
      </c>
      <c r="G4490" t="s" s="10">
        <v>40</v>
      </c>
      <c r="H4490" t="s" s="42">
        <v>30</v>
      </c>
      <c r="I4490" t="s" s="42">
        <v>30</v>
      </c>
      <c r="J4490" t="s" s="10">
        <v>22692</v>
      </c>
      <c r="K4490" t="s" s="10">
        <v>22693</v>
      </c>
      <c r="L4490" s="16">
        <f>HYPERLINK("http://www.capintel.com", "www.capintel.com")</f>
      </c>
      <c r="M4490" s="16">
        <f>HYPERLINK("https://my.pitchbook.com?c=455180-23", "View Company Online")</f>
      </c>
    </row>
    <row r="4491">
      <c r="A4491" t="s" s="11">
        <v>22695</v>
      </c>
      <c r="B4491" t="s" s="11">
        <v>22696</v>
      </c>
      <c r="C4491" t="s" s="11">
        <v>60</v>
      </c>
      <c r="D4491" t="s" s="11">
        <v>432</v>
      </c>
      <c r="E4491" t="s" s="11">
        <v>253</v>
      </c>
      <c r="F4491" s="28">
        <v>43136</v>
      </c>
      <c r="G4491" t="s" s="11">
        <v>146</v>
      </c>
      <c r="H4491" s="43">
        <v>1.56</v>
      </c>
      <c r="I4491" t="s" s="43">
        <v>30</v>
      </c>
      <c r="J4491" t="s" s="11">
        <v>22697</v>
      </c>
      <c r="K4491" t="s" s="11">
        <v>22698</v>
      </c>
      <c r="L4491" s="17">
        <f>HYPERLINK("http://www.capirobo.com", "www.capirobo.com")</f>
      </c>
      <c r="M4491" s="17">
        <f>HYPERLINK("https://my.pitchbook.com?c=434098-27", "View Company Online")</f>
      </c>
    </row>
    <row r="4492">
      <c r="A4492" t="s" s="10">
        <v>22700</v>
      </c>
      <c r="B4492" t="s" s="10">
        <v>22701</v>
      </c>
      <c r="C4492" t="s" s="10">
        <v>222</v>
      </c>
      <c r="D4492" t="s" s="10">
        <v>252</v>
      </c>
      <c r="E4492" t="s" s="10">
        <v>1207</v>
      </c>
      <c r="F4492" s="27">
        <v>45952</v>
      </c>
      <c r="G4492" t="s" s="10">
        <v>40</v>
      </c>
      <c r="H4492" s="42">
        <v>4</v>
      </c>
      <c r="I4492" t="s" s="42">
        <v>30</v>
      </c>
      <c r="J4492" t="s" s="10">
        <v>22702</v>
      </c>
      <c r="K4492" t="s" s="10">
        <v>22703</v>
      </c>
      <c r="L4492" s="16">
        <f>HYPERLINK("http://www.capitalengine.io", "www.capitalengine.io")</f>
      </c>
      <c r="M4492" s="16">
        <f>HYPERLINK("https://my.pitchbook.com?c=221439-88", "View Company Online")</f>
      </c>
    </row>
    <row r="4493">
      <c r="A4493" t="s" s="11">
        <v>22705</v>
      </c>
      <c r="B4493" t="s" s="11">
        <v>22706</v>
      </c>
      <c r="C4493" t="s" s="11">
        <v>60</v>
      </c>
      <c r="D4493" t="s" s="11">
        <v>61</v>
      </c>
      <c r="E4493" t="s" s="11">
        <v>270</v>
      </c>
      <c r="F4493" s="28">
        <v>44426</v>
      </c>
      <c r="G4493" t="s" s="11">
        <v>138</v>
      </c>
      <c r="H4493" t="s" s="43">
        <v>30</v>
      </c>
      <c r="I4493" t="s" s="43">
        <v>30</v>
      </c>
      <c r="J4493" t="s" s="11">
        <v>22707</v>
      </c>
      <c r="K4493" t="s" s="11">
        <v>22708</v>
      </c>
      <c r="L4493" s="17">
        <f>HYPERLINK("http://www.capital.com", "www.capital.com")</f>
      </c>
      <c r="M4493" s="17">
        <f>HYPERLINK("https://my.pitchbook.com?c=183359-26", "View Company Online")</f>
      </c>
    </row>
    <row r="4494">
      <c r="A4494" t="s" s="10">
        <v>22710</v>
      </c>
      <c r="B4494" t="s" s="10">
        <v>22711</v>
      </c>
      <c r="C4494" t="s" s="10">
        <v>114</v>
      </c>
      <c r="D4494" t="s" s="10">
        <v>115</v>
      </c>
      <c r="E4494" t="s" s="10">
        <v>5236</v>
      </c>
      <c r="F4494" s="27">
        <v>45859</v>
      </c>
      <c r="G4494" t="s" s="10">
        <v>4267</v>
      </c>
      <c r="H4494" s="42">
        <v>4</v>
      </c>
      <c r="I4494" t="s" s="42">
        <v>30</v>
      </c>
      <c r="J4494" t="s" s="10">
        <v>22712</v>
      </c>
      <c r="K4494" t="s" s="10">
        <v>22713</v>
      </c>
      <c r="L4494" s="16">
        <f>HYPERLINK("http://www.capitalize.io", "www.capitalize.io")</f>
      </c>
      <c r="M4494" s="16">
        <f>HYPERLINK("https://my.pitchbook.com?c=593691-67", "View Company Online")</f>
      </c>
    </row>
    <row r="4495">
      <c r="A4495" t="s" s="11">
        <v>22715</v>
      </c>
      <c r="B4495" t="s" s="11">
        <v>22716</v>
      </c>
      <c r="C4495" t="s" s="11">
        <v>144</v>
      </c>
      <c r="D4495" t="s" s="11">
        <v>297</v>
      </c>
      <c r="E4495" t="s" s="11">
        <v>137</v>
      </c>
      <c r="F4495" s="28">
        <v>45063</v>
      </c>
      <c r="G4495" t="s" s="11">
        <v>4267</v>
      </c>
      <c r="H4495" s="43">
        <v>0.35</v>
      </c>
      <c r="I4495" t="s" s="43">
        <v>30</v>
      </c>
      <c r="J4495" t="s" s="11">
        <v>22717</v>
      </c>
      <c r="K4495" t="s" s="11">
        <v>22718</v>
      </c>
      <c r="L4495" s="17">
        <f>HYPERLINK("http://www.capitalsetu.com", "www.capitalsetu.com")</f>
      </c>
      <c r="M4495" s="17">
        <f>HYPERLINK("https://my.pitchbook.com?c=527686-84", "View Company Online")</f>
      </c>
    </row>
    <row r="4496">
      <c r="A4496" t="s" s="10">
        <v>22720</v>
      </c>
      <c r="B4496" t="s" s="10">
        <v>22721</v>
      </c>
      <c r="C4496" t="s" s="10">
        <v>144</v>
      </c>
      <c r="D4496" t="s" s="10">
        <v>297</v>
      </c>
      <c r="E4496" t="s" s="10">
        <v>137</v>
      </c>
      <c r="F4496" s="27">
        <v>45915</v>
      </c>
      <c r="G4496" t="s" s="10">
        <v>146</v>
      </c>
      <c r="H4496" s="42">
        <v>6.75</v>
      </c>
      <c r="I4496" t="s" s="42">
        <v>30</v>
      </c>
      <c r="J4496" t="s" s="10">
        <v>22722</v>
      </c>
      <c r="K4496" t="s" s="10">
        <v>30</v>
      </c>
      <c r="L4496" s="16">
        <f>HYPERLINK("http://www.caprelease.com", "www.caprelease.com")</f>
      </c>
      <c r="M4496" s="16">
        <f>HYPERLINK("https://my.pitchbook.com?c=623541-88", "View Company Online")</f>
      </c>
    </row>
    <row r="4497">
      <c r="A4497" t="s" s="11">
        <v>22724</v>
      </c>
      <c r="B4497" t="s" s="11">
        <v>22725</v>
      </c>
      <c r="C4497" t="s" s="11">
        <v>222</v>
      </c>
      <c r="D4497" t="s" s="11">
        <v>235</v>
      </c>
      <c r="E4497" t="s" s="11">
        <v>4013</v>
      </c>
      <c r="F4497" s="28">
        <v>45518</v>
      </c>
      <c r="G4497" t="s" s="11">
        <v>40</v>
      </c>
      <c r="H4497" s="43">
        <v>4</v>
      </c>
      <c r="I4497" t="s" s="43">
        <v>30</v>
      </c>
      <c r="J4497" t="s" s="11">
        <v>22726</v>
      </c>
      <c r="K4497" t="s" s="11">
        <v>22727</v>
      </c>
      <c r="L4497" s="17">
        <f>HYPERLINK("http://www.capshift.com", "www.capshift.com")</f>
      </c>
      <c r="M4497" s="17">
        <f>HYPERLINK("https://my.pitchbook.com?c=231913-45", "View Company Online")</f>
      </c>
    </row>
    <row r="4498">
      <c r="A4498" t="s" s="10">
        <v>22729</v>
      </c>
      <c r="B4498" t="s" s="10">
        <v>22730</v>
      </c>
      <c r="C4498" t="s" s="10">
        <v>114</v>
      </c>
      <c r="D4498" t="s" s="10">
        <v>1386</v>
      </c>
      <c r="E4498" t="s" s="10">
        <v>3604</v>
      </c>
      <c r="F4498" s="27">
        <v>44501</v>
      </c>
      <c r="G4498" t="s" s="10">
        <v>4267</v>
      </c>
      <c r="H4498" s="42">
        <v>0.24</v>
      </c>
      <c r="I4498" t="s" s="42">
        <v>30</v>
      </c>
      <c r="J4498" t="s" s="10">
        <v>22731</v>
      </c>
      <c r="K4498" t="s" s="10">
        <v>22732</v>
      </c>
      <c r="L4498" s="16">
        <f>HYPERLINK("http://www.capturisk.com", "www.capturisk.com")</f>
      </c>
      <c r="M4498" s="16">
        <f>HYPERLINK("https://my.pitchbook.com?c=500535-55", "View Company Online")</f>
      </c>
    </row>
    <row r="4499">
      <c r="A4499" t="s" s="11">
        <v>22734</v>
      </c>
      <c r="B4499" t="s" s="11">
        <v>22735</v>
      </c>
      <c r="C4499" t="s" s="11">
        <v>60</v>
      </c>
      <c r="D4499" t="s" s="11">
        <v>432</v>
      </c>
      <c r="E4499" t="s" s="11">
        <v>253</v>
      </c>
      <c r="F4499" s="28">
        <v>44694</v>
      </c>
      <c r="G4499" t="s" s="11">
        <v>4267</v>
      </c>
      <c r="H4499" s="43">
        <v>0.95</v>
      </c>
      <c r="I4499" t="s" s="43">
        <v>30</v>
      </c>
      <c r="J4499" t="s" s="11">
        <v>22736</v>
      </c>
      <c r="K4499" t="s" s="11">
        <v>30</v>
      </c>
      <c r="L4499" s="17">
        <f>HYPERLINK("http://www.caravelconcepts.com", "www.caravelconcepts.com")</f>
      </c>
      <c r="M4499" s="17">
        <f>HYPERLINK("https://my.pitchbook.com?c=496499-05", "View Company Online")</f>
      </c>
    </row>
    <row r="4500">
      <c r="A4500" t="s" s="10">
        <v>22738</v>
      </c>
      <c r="B4500" t="s" s="10">
        <v>22739</v>
      </c>
      <c r="C4500" t="s" s="10">
        <v>60</v>
      </c>
      <c r="D4500" t="s" s="10">
        <v>727</v>
      </c>
      <c r="E4500" t="s" s="10">
        <v>17461</v>
      </c>
      <c r="F4500" s="27">
        <v>45444</v>
      </c>
      <c r="G4500" t="s" s="10">
        <v>271</v>
      </c>
      <c r="H4500" s="42">
        <v>0.12</v>
      </c>
      <c r="I4500" t="s" s="42">
        <v>30</v>
      </c>
      <c r="J4500" t="s" s="10">
        <v>22740</v>
      </c>
      <c r="K4500" t="s" s="10">
        <v>22741</v>
      </c>
      <c r="L4500" s="16">
        <f>HYPERLINK("http://www.carboncollective.co", "www.carboncollective.co")</f>
      </c>
      <c r="M4500" s="16">
        <f>HYPERLINK("https://my.pitchbook.com?c=461812-42", "View Company Online")</f>
      </c>
    </row>
    <row r="4501">
      <c r="A4501" t="s" s="11">
        <v>22743</v>
      </c>
      <c r="B4501" t="s" s="11">
        <v>22744</v>
      </c>
      <c r="C4501" t="s" s="11">
        <v>222</v>
      </c>
      <c r="D4501" t="s" s="11">
        <v>235</v>
      </c>
      <c r="E4501" t="s" s="11">
        <v>137</v>
      </c>
      <c r="F4501" s="28">
        <v>45974</v>
      </c>
      <c r="G4501" t="s" s="11">
        <v>146</v>
      </c>
      <c r="H4501" s="43">
        <v>17.4</v>
      </c>
      <c r="I4501" t="s" s="43">
        <v>30</v>
      </c>
      <c r="J4501" t="s" s="11">
        <v>22745</v>
      </c>
      <c r="K4501" t="s" s="11">
        <v>22746</v>
      </c>
      <c r="L4501" s="17">
        <f>HYPERLINK("http://www.carbonequity.com", "www.carbonequity.com")</f>
      </c>
      <c r="M4501" s="17">
        <f>HYPERLINK("https://my.pitchbook.com?c=471651-31", "View Company Online")</f>
      </c>
    </row>
    <row r="4502">
      <c r="A4502" t="s" s="10">
        <v>22748</v>
      </c>
      <c r="B4502" t="s" s="10">
        <v>22749</v>
      </c>
      <c r="C4502" t="s" s="10">
        <v>164</v>
      </c>
      <c r="D4502" t="s" s="10">
        <v>206</v>
      </c>
      <c r="E4502" t="s" s="10">
        <v>414</v>
      </c>
      <c r="F4502" t="s" s="27">
        <v>30</v>
      </c>
      <c r="G4502" t="s" s="10">
        <v>146</v>
      </c>
      <c r="H4502" t="s" s="42">
        <v>30</v>
      </c>
      <c r="I4502" t="s" s="42">
        <v>30</v>
      </c>
      <c r="J4502" t="s" s="10">
        <v>22750</v>
      </c>
      <c r="K4502" t="s" s="10">
        <v>22751</v>
      </c>
      <c r="L4502" s="16">
        <f>HYPERLINK("http://www.cardinalgray.com", "www.cardinalgray.com")</f>
      </c>
      <c r="M4502" s="16">
        <f>HYPERLINK("https://my.pitchbook.com?c=534565-90", "View Company Online")</f>
      </c>
    </row>
    <row r="4503">
      <c r="A4503" t="s" s="11">
        <v>22753</v>
      </c>
      <c r="B4503" t="s" s="11">
        <v>22754</v>
      </c>
      <c r="C4503" t="s" s="11">
        <v>128</v>
      </c>
      <c r="D4503" t="s" s="11">
        <v>129</v>
      </c>
      <c r="E4503" t="s" s="11">
        <v>137</v>
      </c>
      <c r="F4503" s="28">
        <v>45911</v>
      </c>
      <c r="G4503" t="s" s="11">
        <v>2051</v>
      </c>
      <c r="H4503" t="s" s="43">
        <v>30</v>
      </c>
      <c r="I4503" t="s" s="43">
        <v>30</v>
      </c>
      <c r="J4503" t="s" s="11">
        <v>22755</v>
      </c>
      <c r="K4503" t="s" s="11">
        <v>30</v>
      </c>
      <c r="L4503" s="17">
        <f>HYPERLINK("http://www.withcardlift.com", "www.withcardlift.com")</f>
      </c>
      <c r="M4503" s="17">
        <f>HYPERLINK("https://my.pitchbook.com?c=589344-67", "View Company Online")</f>
      </c>
    </row>
    <row r="4504">
      <c r="A4504" t="s" s="10">
        <v>22757</v>
      </c>
      <c r="B4504" t="s" s="10">
        <v>22758</v>
      </c>
      <c r="C4504" t="s" s="10">
        <v>128</v>
      </c>
      <c r="D4504" t="s" s="10">
        <v>276</v>
      </c>
      <c r="E4504" t="s" s="10">
        <v>137</v>
      </c>
      <c r="F4504" s="27">
        <v>46037</v>
      </c>
      <c r="G4504" t="s" s="10">
        <v>4267</v>
      </c>
      <c r="H4504" s="42">
        <v>2.1</v>
      </c>
      <c r="I4504" t="s" s="42">
        <v>30</v>
      </c>
      <c r="J4504" t="s" s="10">
        <v>22759</v>
      </c>
      <c r="K4504" t="s" s="10">
        <v>30</v>
      </c>
      <c r="L4504" s="16">
        <f>HYPERLINK("http://www.cardtonic.com", "www.cardtonic.com")</f>
      </c>
      <c r="M4504" s="16">
        <f>HYPERLINK("https://my.pitchbook.com?c=557160-76", "View Company Online")</f>
      </c>
    </row>
    <row r="4505">
      <c r="A4505" t="s" s="11">
        <v>22761</v>
      </c>
      <c r="B4505" t="s" s="11">
        <v>22762</v>
      </c>
      <c r="C4505" t="s" s="11">
        <v>114</v>
      </c>
      <c r="D4505" t="s" s="11">
        <v>136</v>
      </c>
      <c r="E4505" t="s" s="11">
        <v>2146</v>
      </c>
      <c r="F4505" s="28">
        <v>45191</v>
      </c>
      <c r="G4505" t="s" s="11">
        <v>607</v>
      </c>
      <c r="H4505" t="s" s="43">
        <v>30</v>
      </c>
      <c r="I4505" t="s" s="43">
        <v>30</v>
      </c>
      <c r="J4505" t="s" s="11">
        <v>22763</v>
      </c>
      <c r="K4505" t="s" s="11">
        <v>22764</v>
      </c>
      <c r="L4505" s="17">
        <f>HYPERLINK("http://www.carenow.id", "www.carenow.id")</f>
      </c>
      <c r="M4505" s="17">
        <f>HYPERLINK("https://my.pitchbook.com?c=515391-22", "View Company Online")</f>
      </c>
    </row>
    <row r="4506">
      <c r="A4506" t="s" s="10">
        <v>22766</v>
      </c>
      <c r="B4506" t="s" s="10">
        <v>22767</v>
      </c>
      <c r="C4506" t="s" s="10">
        <v>27</v>
      </c>
      <c r="D4506" t="s" s="10">
        <v>70</v>
      </c>
      <c r="E4506" t="s" s="10">
        <v>22768</v>
      </c>
      <c r="F4506" s="27">
        <v>45765</v>
      </c>
      <c r="G4506" t="s" s="10">
        <v>40</v>
      </c>
      <c r="H4506" s="42">
        <v>5.49</v>
      </c>
      <c r="I4506" t="s" s="42">
        <v>30</v>
      </c>
      <c r="J4506" t="s" s="10">
        <v>22769</v>
      </c>
      <c r="K4506" t="s" s="10">
        <v>22770</v>
      </c>
      <c r="L4506" s="16">
        <f>HYPERLINK("http://www.carepay.com", "www.carepay.com")</f>
      </c>
      <c r="M4506" s="16">
        <f>HYPERLINK("https://my.pitchbook.com?c=179772-67", "View Company Online")</f>
      </c>
    </row>
    <row r="4507">
      <c r="A4507" t="s" s="11">
        <v>22772</v>
      </c>
      <c r="B4507" t="s" s="11">
        <v>22773</v>
      </c>
      <c r="C4507" t="s" s="11">
        <v>114</v>
      </c>
      <c r="D4507" t="s" s="11">
        <v>136</v>
      </c>
      <c r="E4507" t="s" s="11">
        <v>414</v>
      </c>
      <c r="F4507" t="s" s="28">
        <v>30</v>
      </c>
      <c r="G4507" t="s" s="11">
        <v>48</v>
      </c>
      <c r="H4507" t="s" s="43">
        <v>30</v>
      </c>
      <c r="I4507" t="s" s="43">
        <v>30</v>
      </c>
      <c r="J4507" t="s" s="11">
        <v>22774</v>
      </c>
      <c r="K4507" t="s" s="11">
        <v>22775</v>
      </c>
      <c r="L4507" s="17">
        <f>HYPERLINK("http://www.carepay.money", "www.carepay.money")</f>
      </c>
      <c r="M4507" s="17">
        <f>HYPERLINK("https://my.pitchbook.com?c=534787-93", "View Company Online")</f>
      </c>
    </row>
    <row r="4508">
      <c r="A4508" t="s" s="10">
        <v>22777</v>
      </c>
      <c r="B4508" t="s" s="10">
        <v>22778</v>
      </c>
      <c r="C4508" t="s" s="10">
        <v>222</v>
      </c>
      <c r="D4508" t="s" s="10">
        <v>223</v>
      </c>
      <c r="E4508" t="s" s="10">
        <v>22779</v>
      </c>
      <c r="F4508" s="27">
        <v>46224</v>
      </c>
      <c r="G4508" t="s" s="10">
        <v>2051</v>
      </c>
      <c r="H4508" t="s" s="42">
        <v>30</v>
      </c>
      <c r="I4508" t="s" s="42">
        <v>30</v>
      </c>
      <c r="J4508" t="s" s="10">
        <v>22780</v>
      </c>
      <c r="K4508" t="s" s="10">
        <v>30</v>
      </c>
      <c r="L4508" s="16">
        <f>HYPERLINK("http://www.cargometrics.com", "www.cargometrics.com")</f>
      </c>
      <c r="M4508" s="16">
        <f>HYPERLINK("https://my.pitchbook.com?c=54684-01", "View Company Online")</f>
      </c>
    </row>
    <row r="4509">
      <c r="A4509" t="s" s="11">
        <v>22782</v>
      </c>
      <c r="B4509" t="s" s="11">
        <v>22783</v>
      </c>
      <c r="C4509" t="s" s="11">
        <v>46</v>
      </c>
      <c r="D4509" t="s" s="11">
        <v>47</v>
      </c>
      <c r="E4509" t="s" s="11">
        <v>13479</v>
      </c>
      <c r="F4509" s="28">
        <v>45292</v>
      </c>
      <c r="G4509" t="s" s="11">
        <v>607</v>
      </c>
      <c r="H4509" t="s" s="43">
        <v>30</v>
      </c>
      <c r="I4509" t="s" s="43">
        <v>30</v>
      </c>
      <c r="J4509" t="s" s="11">
        <v>22784</v>
      </c>
      <c r="K4509" t="s" s="11">
        <v>22785</v>
      </c>
      <c r="L4509" s="17">
        <f>HYPERLINK("http://www.usecaribou.com", "www.usecaribou.com")</f>
      </c>
      <c r="M4509" s="17">
        <f>HYPERLINK("https://my.pitchbook.com?c=279655-57", "View Company Online")</f>
      </c>
    </row>
    <row r="4510">
      <c r="A4510" t="s" s="10">
        <v>22787</v>
      </c>
      <c r="B4510" t="s" s="10">
        <v>22788</v>
      </c>
      <c r="C4510" t="s" s="10">
        <v>60</v>
      </c>
      <c r="D4510" t="s" s="10">
        <v>61</v>
      </c>
      <c r="E4510" t="s" s="10">
        <v>859</v>
      </c>
      <c r="F4510" s="27">
        <v>46000</v>
      </c>
      <c r="G4510" t="s" s="10">
        <v>146</v>
      </c>
      <c r="H4510" s="42">
        <v>15</v>
      </c>
      <c r="I4510" t="s" s="42">
        <v>30</v>
      </c>
      <c r="J4510" t="s" s="10">
        <v>22789</v>
      </c>
      <c r="K4510" t="s" s="10">
        <v>22790</v>
      </c>
      <c r="L4510" s="16">
        <f>HYPERLINK("http://cascade.xyz", "cascade.xyz")</f>
      </c>
      <c r="M4510" s="16">
        <f>HYPERLINK("https://my.pitchbook.com?c=1169058-79", "View Company Online")</f>
      </c>
    </row>
    <row r="4511">
      <c r="A4511" t="s" s="11">
        <v>22792</v>
      </c>
      <c r="B4511" t="s" s="11">
        <v>22793</v>
      </c>
      <c r="C4511" t="s" s="11">
        <v>114</v>
      </c>
      <c r="D4511" t="s" s="11">
        <v>852</v>
      </c>
      <c r="E4511" t="s" s="11">
        <v>29</v>
      </c>
      <c r="F4511" s="28">
        <v>44160</v>
      </c>
      <c r="G4511" t="s" s="11">
        <v>146</v>
      </c>
      <c r="H4511" s="43">
        <v>3.7</v>
      </c>
      <c r="I4511" t="s" s="43">
        <v>30</v>
      </c>
      <c r="J4511" t="s" s="11">
        <v>22794</v>
      </c>
      <c r="K4511" t="s" s="11">
        <v>22795</v>
      </c>
      <c r="L4511" s="17">
        <f>HYPERLINK("http://www.cashinasia.com", "www.cashinasia.com")</f>
      </c>
      <c r="M4511" s="17">
        <f>HYPERLINK("https://my.pitchbook.com?c=454352-14", "View Company Online")</f>
      </c>
    </row>
    <row r="4512">
      <c r="A4512" t="s" s="10">
        <v>22797</v>
      </c>
      <c r="B4512" t="s" s="10">
        <v>22798</v>
      </c>
      <c r="C4512" t="s" s="10">
        <v>128</v>
      </c>
      <c r="D4512" t="s" s="10">
        <v>129</v>
      </c>
      <c r="E4512" t="s" s="10">
        <v>22799</v>
      </c>
      <c r="F4512" s="27">
        <v>44865</v>
      </c>
      <c r="G4512" t="s" s="10">
        <v>4267</v>
      </c>
      <c r="H4512" s="42">
        <v>0.05</v>
      </c>
      <c r="I4512" t="s" s="42">
        <v>30</v>
      </c>
      <c r="J4512" t="s" s="10">
        <v>22800</v>
      </c>
      <c r="K4512" t="s" s="10">
        <v>22801</v>
      </c>
      <c r="L4512" s="16">
        <f>HYPERLINK("http://www.cashbackmobileapp.com", "www.cashbackmobileapp.com")</f>
      </c>
      <c r="M4512" s="16">
        <f>HYPERLINK("https://my.pitchbook.com?c=471700-27", "View Company Online")</f>
      </c>
    </row>
    <row r="4513">
      <c r="A4513" t="s" s="11">
        <v>22803</v>
      </c>
      <c r="B4513" t="s" s="11">
        <v>22804</v>
      </c>
      <c r="C4513" t="s" s="11">
        <v>46</v>
      </c>
      <c r="D4513" t="s" s="11">
        <v>915</v>
      </c>
      <c r="E4513" t="s" s="11">
        <v>414</v>
      </c>
      <c r="F4513" s="28">
        <v>46225</v>
      </c>
      <c r="G4513" t="s" s="11">
        <v>4267</v>
      </c>
      <c r="H4513" s="43">
        <v>5</v>
      </c>
      <c r="I4513" t="s" s="43">
        <v>30</v>
      </c>
      <c r="J4513" t="s" s="11">
        <v>22805</v>
      </c>
      <c r="K4513" t="s" s="11">
        <v>22806</v>
      </c>
      <c r="L4513" s="17">
        <f>HYPERLINK("http://www.cashboard.co", "www.cashboard.co")</f>
      </c>
      <c r="M4513" s="17">
        <f>HYPERLINK("https://my.pitchbook.com?c=501530-50", "View Company Online")</f>
      </c>
    </row>
    <row r="4514">
      <c r="A4514" t="s" s="10">
        <v>22808</v>
      </c>
      <c r="B4514" t="s" s="10">
        <v>22809</v>
      </c>
      <c r="C4514" t="s" s="10">
        <v>27</v>
      </c>
      <c r="D4514" t="s" s="10">
        <v>28</v>
      </c>
      <c r="E4514" t="s" s="10">
        <v>5072</v>
      </c>
      <c r="F4514" s="27">
        <v>44888</v>
      </c>
      <c r="G4514" t="s" s="10">
        <v>4267</v>
      </c>
      <c r="H4514" s="42">
        <v>11.7</v>
      </c>
      <c r="I4514" t="s" s="42">
        <v>30</v>
      </c>
      <c r="J4514" t="s" s="10">
        <v>22810</v>
      </c>
      <c r="K4514" t="s" s="10">
        <v>22811</v>
      </c>
      <c r="L4514" s="16">
        <f>HYPERLINK("http://www.cashdrop.com", "www.cashdrop.com")</f>
      </c>
      <c r="M4514" s="16">
        <f>HYPERLINK("https://my.pitchbook.com?c=433283-68", "View Company Online")</f>
      </c>
    </row>
    <row r="4515">
      <c r="A4515" t="s" s="11">
        <v>22813</v>
      </c>
      <c r="B4515" t="s" s="11">
        <v>22814</v>
      </c>
      <c r="C4515" t="s" s="11">
        <v>37</v>
      </c>
      <c r="D4515" t="s" s="11">
        <v>304</v>
      </c>
      <c r="E4515" t="s" s="11">
        <v>137</v>
      </c>
      <c r="F4515" s="28">
        <v>46188</v>
      </c>
      <c r="G4515" t="s" s="11">
        <v>146</v>
      </c>
      <c r="H4515" s="43">
        <v>60</v>
      </c>
      <c r="I4515" t="s" s="43">
        <v>30</v>
      </c>
      <c r="J4515" t="s" s="11">
        <v>22815</v>
      </c>
      <c r="K4515" t="s" s="11">
        <v>22816</v>
      </c>
      <c r="L4515" s="17">
        <f>HYPERLINK("http://www.cashea.app", "www.cashea.app")</f>
      </c>
      <c r="M4515" s="17">
        <f>HYPERLINK("https://my.pitchbook.com?c=512677-99", "View Company Online")</f>
      </c>
    </row>
    <row r="4516">
      <c r="A4516" t="s" s="10">
        <v>22818</v>
      </c>
      <c r="B4516" t="s" s="10">
        <v>22819</v>
      </c>
      <c r="C4516" t="s" s="10">
        <v>37</v>
      </c>
      <c r="D4516" t="s" s="10">
        <v>38</v>
      </c>
      <c r="E4516" t="s" s="10">
        <v>2210</v>
      </c>
      <c r="F4516" s="27">
        <v>46147</v>
      </c>
      <c r="G4516" t="s" s="10">
        <v>2051</v>
      </c>
      <c r="H4516" t="s" s="42">
        <v>30</v>
      </c>
      <c r="I4516" t="s" s="42">
        <v>30</v>
      </c>
      <c r="J4516" t="s" s="10">
        <v>22820</v>
      </c>
      <c r="K4516" t="s" s="10">
        <v>30</v>
      </c>
      <c r="L4516" s="16">
        <f>HYPERLINK("http://www.cashee.com", "www.cashee.com")</f>
      </c>
      <c r="M4516" s="16">
        <f>HYPERLINK("https://my.pitchbook.com?c=469184-50", "View Company Online")</f>
      </c>
    </row>
    <row r="4517">
      <c r="A4517" t="s" s="11">
        <v>22822</v>
      </c>
      <c r="B4517" t="s" s="11">
        <v>22823</v>
      </c>
      <c r="C4517" t="s" s="11">
        <v>37</v>
      </c>
      <c r="D4517" t="s" s="11">
        <v>304</v>
      </c>
      <c r="E4517" t="s" s="11">
        <v>253</v>
      </c>
      <c r="F4517" s="28">
        <v>45020</v>
      </c>
      <c r="G4517" t="s" s="11">
        <v>146</v>
      </c>
      <c r="H4517" s="43">
        <v>8.17</v>
      </c>
      <c r="I4517" t="s" s="43">
        <v>30</v>
      </c>
      <c r="J4517" t="s" s="11">
        <v>22824</v>
      </c>
      <c r="K4517" t="s" s="11">
        <v>22825</v>
      </c>
      <c r="L4517" s="17">
        <f>HYPERLINK("http://www.cashewpayments.com", "www.cashewpayments.com")</f>
      </c>
      <c r="M4517" s="17">
        <f>HYPERLINK("https://my.pitchbook.com?c=439897-15", "View Company Online")</f>
      </c>
    </row>
    <row r="4518">
      <c r="A4518" t="s" s="10">
        <v>22827</v>
      </c>
      <c r="B4518" t="s" s="10">
        <v>22828</v>
      </c>
      <c r="C4518" t="s" s="10">
        <v>37</v>
      </c>
      <c r="D4518" t="s" s="10">
        <v>38</v>
      </c>
      <c r="E4518" t="s" s="10">
        <v>116</v>
      </c>
      <c r="F4518" s="27">
        <v>45497</v>
      </c>
      <c r="G4518" t="s" s="10">
        <v>607</v>
      </c>
      <c r="H4518" t="s" s="42">
        <v>30</v>
      </c>
      <c r="I4518" t="s" s="42">
        <v>30</v>
      </c>
      <c r="J4518" t="s" s="10">
        <v>22829</v>
      </c>
      <c r="K4518" t="s" s="10">
        <v>22830</v>
      </c>
      <c r="L4518" s="16">
        <f>HYPERLINK("http://www.cashex.app", "www.cashex.app")</f>
      </c>
      <c r="M4518" s="16">
        <f>HYPERLINK("https://my.pitchbook.com?c=494598-88", "View Company Online")</f>
      </c>
    </row>
    <row r="4519">
      <c r="A4519" t="s" s="11">
        <v>22832</v>
      </c>
      <c r="B4519" t="s" s="11">
        <v>22833</v>
      </c>
      <c r="C4519" t="s" s="11">
        <v>46</v>
      </c>
      <c r="D4519" t="s" s="11">
        <v>47</v>
      </c>
      <c r="E4519" t="s" s="11">
        <v>108</v>
      </c>
      <c r="F4519" s="28">
        <v>45848</v>
      </c>
      <c r="G4519" t="s" s="11">
        <v>146</v>
      </c>
      <c r="H4519" s="43">
        <v>1.51</v>
      </c>
      <c r="I4519" t="s" s="43">
        <v>30</v>
      </c>
      <c r="J4519" t="s" s="11">
        <v>22834</v>
      </c>
      <c r="K4519" t="s" s="11">
        <v>22835</v>
      </c>
      <c r="L4519" s="17">
        <f>HYPERLINK("http://www.cashfeed.com", "www.cashfeed.com")</f>
      </c>
      <c r="M4519" s="17">
        <f>HYPERLINK("https://my.pitchbook.com?c=894782-98", "View Company Online")</f>
      </c>
    </row>
    <row r="4520">
      <c r="A4520" t="s" s="10">
        <v>22837</v>
      </c>
      <c r="B4520" t="s" s="10">
        <v>22838</v>
      </c>
      <c r="C4520" t="s" s="10">
        <v>46</v>
      </c>
      <c r="D4520" t="s" s="10">
        <v>47</v>
      </c>
      <c r="E4520" t="s" s="10">
        <v>253</v>
      </c>
      <c r="F4520" t="s" s="27">
        <v>30</v>
      </c>
      <c r="G4520" t="s" s="10">
        <v>40</v>
      </c>
      <c r="H4520" t="s" s="42">
        <v>30</v>
      </c>
      <c r="I4520" t="s" s="42">
        <v>30</v>
      </c>
      <c r="J4520" t="s" s="10">
        <v>22839</v>
      </c>
      <c r="K4520" t="s" s="10">
        <v>22840</v>
      </c>
      <c r="L4520" s="16">
        <f>HYPERLINK("http://www.cashin.com.br", "www.cashin.com.br")</f>
      </c>
      <c r="M4520" s="16">
        <f>HYPERLINK("https://my.pitchbook.com?c=431656-93", "View Company Online")</f>
      </c>
    </row>
    <row r="4521">
      <c r="A4521" t="s" s="11">
        <v>22842</v>
      </c>
      <c r="B4521" t="s" s="11">
        <v>22843</v>
      </c>
      <c r="C4521" t="s" s="11">
        <v>27</v>
      </c>
      <c r="D4521" t="s" s="11">
        <v>28</v>
      </c>
      <c r="E4521" t="s" s="11">
        <v>137</v>
      </c>
      <c r="F4521" s="28">
        <v>46069</v>
      </c>
      <c r="G4521" t="s" s="11">
        <v>40</v>
      </c>
      <c r="H4521" s="43">
        <v>16</v>
      </c>
      <c r="I4521" t="s" s="43">
        <v>30</v>
      </c>
      <c r="J4521" t="s" s="11">
        <v>22844</v>
      </c>
      <c r="K4521" t="s" s="11">
        <v>22845</v>
      </c>
      <c r="L4521" s="17">
        <f>HYPERLINK("http://cashin.sa", "cashin.sa")</f>
      </c>
      <c r="M4521" s="17">
        <f>HYPERLINK("https://my.pitchbook.com?c=472356-01", "View Company Online")</f>
      </c>
    </row>
    <row r="4522">
      <c r="A4522" t="s" s="10">
        <v>22847</v>
      </c>
      <c r="B4522" t="s" s="10">
        <v>22848</v>
      </c>
      <c r="C4522" t="s" s="10">
        <v>60</v>
      </c>
      <c r="D4522" t="s" s="10">
        <v>192</v>
      </c>
      <c r="E4522" t="s" s="10">
        <v>253</v>
      </c>
      <c r="F4522" t="s" s="27">
        <v>30</v>
      </c>
      <c r="G4522" t="s" s="10">
        <v>40</v>
      </c>
      <c r="H4522" s="42">
        <v>2.36</v>
      </c>
      <c r="I4522" t="s" s="42">
        <v>30</v>
      </c>
      <c r="J4522" t="s" s="10">
        <v>22849</v>
      </c>
      <c r="K4522" t="s" s="10">
        <v>22850</v>
      </c>
      <c r="L4522" s="16">
        <f>HYPERLINK("http://www.cashku.my", "www.cashku.my")</f>
      </c>
      <c r="M4522" s="16">
        <f>HYPERLINK("https://my.pitchbook.com?c=517375-27", "View Company Online")</f>
      </c>
    </row>
    <row r="4523">
      <c r="A4523" t="s" s="11">
        <v>22852</v>
      </c>
      <c r="B4523" t="s" s="11">
        <v>22853</v>
      </c>
      <c r="C4523" t="s" s="11">
        <v>60</v>
      </c>
      <c r="D4523" t="s" s="11">
        <v>192</v>
      </c>
      <c r="E4523" t="s" s="11">
        <v>137</v>
      </c>
      <c r="F4523" s="28">
        <v>45188</v>
      </c>
      <c r="G4523" t="s" s="11">
        <v>40</v>
      </c>
      <c r="H4523" s="43">
        <v>0.08</v>
      </c>
      <c r="I4523" t="s" s="43">
        <v>30</v>
      </c>
      <c r="J4523" t="s" s="11">
        <v>22854</v>
      </c>
      <c r="K4523" t="s" s="11">
        <v>22855</v>
      </c>
      <c r="L4523" s="17">
        <f>HYPERLINK("http://www.cashlend.bg", "www.cashlend.bg")</f>
      </c>
      <c r="M4523" s="17">
        <f>HYPERLINK("https://my.pitchbook.com?c=535774-87", "View Company Online")</f>
      </c>
    </row>
    <row r="4524">
      <c r="A4524" t="s" s="10">
        <v>22857</v>
      </c>
      <c r="B4524" t="s" s="10">
        <v>22858</v>
      </c>
      <c r="C4524" t="s" s="10">
        <v>60</v>
      </c>
      <c r="D4524" t="s" s="10">
        <v>246</v>
      </c>
      <c r="E4524" t="s" s="10">
        <v>22859</v>
      </c>
      <c r="F4524" s="27">
        <v>44415</v>
      </c>
      <c r="G4524" t="s" s="10">
        <v>4267</v>
      </c>
      <c r="H4524" t="s" s="42">
        <v>30</v>
      </c>
      <c r="I4524" t="s" s="42">
        <v>30</v>
      </c>
      <c r="J4524" t="s" s="10">
        <v>22860</v>
      </c>
      <c r="K4524" t="s" s="10">
        <v>22861</v>
      </c>
      <c r="L4524" s="16">
        <f>HYPERLINK("http://www.cashmereapp.co.uk", "www.cashmereapp.co.uk")</f>
      </c>
      <c r="M4524" s="16">
        <f>HYPERLINK("https://my.pitchbook.com?c=472295-26", "View Company Online")</f>
      </c>
    </row>
    <row r="4525">
      <c r="A4525" t="s" s="11">
        <v>22863</v>
      </c>
      <c r="B4525" t="s" s="11">
        <v>22864</v>
      </c>
      <c r="C4525" t="s" s="11">
        <v>27</v>
      </c>
      <c r="D4525" t="s" s="11">
        <v>28</v>
      </c>
      <c r="E4525" t="s" s="11">
        <v>1859</v>
      </c>
      <c r="F4525" s="28">
        <v>46042</v>
      </c>
      <c r="G4525" t="s" s="11">
        <v>40</v>
      </c>
      <c r="H4525" s="43">
        <v>4.12</v>
      </c>
      <c r="I4525" t="s" s="43">
        <v>30</v>
      </c>
      <c r="J4525" t="s" s="11">
        <v>22865</v>
      </c>
      <c r="K4525" t="s" s="11">
        <v>22866</v>
      </c>
      <c r="L4525" s="17">
        <f>HYPERLINK("http://www.cashu.com.br", "www.cashu.com.br")</f>
      </c>
      <c r="M4525" s="17">
        <f>HYPERLINK("https://my.pitchbook.com?c=489137-32", "View Company Online")</f>
      </c>
    </row>
    <row r="4526">
      <c r="A4526" t="s" s="10">
        <v>22868</v>
      </c>
      <c r="B4526" t="s" s="10">
        <v>22869</v>
      </c>
      <c r="C4526" t="s" s="10">
        <v>60</v>
      </c>
      <c r="D4526" t="s" s="10">
        <v>246</v>
      </c>
      <c r="E4526" t="s" s="10">
        <v>193</v>
      </c>
      <c r="F4526" s="27">
        <v>45289</v>
      </c>
      <c r="G4526" t="s" s="10">
        <v>4267</v>
      </c>
      <c r="H4526" s="42">
        <v>0.14</v>
      </c>
      <c r="I4526" t="s" s="42">
        <v>30</v>
      </c>
      <c r="J4526" t="s" s="10">
        <v>22870</v>
      </c>
      <c r="K4526" t="s" s="10">
        <v>22871</v>
      </c>
      <c r="L4526" s="16">
        <f>HYPERLINK("http://www.cashvisory.com", "www.cashvisory.com")</f>
      </c>
      <c r="M4526" s="16">
        <f>HYPERLINK("https://my.pitchbook.com?c=541306-63", "View Company Online")</f>
      </c>
    </row>
    <row r="4527">
      <c r="A4527" t="s" s="11">
        <v>22873</v>
      </c>
      <c r="B4527" t="s" s="11">
        <v>22874</v>
      </c>
      <c r="C4527" t="s" s="11">
        <v>114</v>
      </c>
      <c r="D4527" t="s" s="11">
        <v>136</v>
      </c>
      <c r="E4527" t="s" s="11">
        <v>270</v>
      </c>
      <c r="F4527" s="28">
        <v>45050</v>
      </c>
      <c r="G4527" t="s" s="11">
        <v>40</v>
      </c>
      <c r="H4527" s="43">
        <v>6.6</v>
      </c>
      <c r="I4527" t="s" s="43">
        <v>30</v>
      </c>
      <c r="J4527" t="s" s="11">
        <v>22875</v>
      </c>
      <c r="K4527" t="s" s="11">
        <v>22876</v>
      </c>
      <c r="L4527" s="17">
        <f>HYPERLINK("http://www.cashy.at", "www.cashy.at")</f>
      </c>
      <c r="M4527" s="17">
        <f>HYPERLINK("https://my.pitchbook.com?c=454391-92", "View Company Online")</f>
      </c>
    </row>
    <row r="4528">
      <c r="A4528" t="s" s="10">
        <v>22878</v>
      </c>
      <c r="B4528" t="s" s="10">
        <v>22879</v>
      </c>
      <c r="C4528" t="s" s="10">
        <v>114</v>
      </c>
      <c r="D4528" t="s" s="10">
        <v>1386</v>
      </c>
      <c r="E4528" t="s" s="10">
        <v>137</v>
      </c>
      <c r="F4528" t="s" s="27">
        <v>30</v>
      </c>
      <c r="G4528" t="s" s="10">
        <v>48</v>
      </c>
      <c r="H4528" t="s" s="42">
        <v>30</v>
      </c>
      <c r="I4528" t="s" s="42">
        <v>30</v>
      </c>
      <c r="J4528" t="s" s="10">
        <v>22880</v>
      </c>
      <c r="K4528" t="s" s="10">
        <v>22881</v>
      </c>
      <c r="L4528" s="16">
        <f>HYPERLINK("http://cassbana.com", "cassbana.com")</f>
      </c>
      <c r="M4528" s="16">
        <f>HYPERLINK("https://my.pitchbook.com?c=458390-71", "View Company Online")</f>
      </c>
    </row>
    <row r="4529">
      <c r="A4529" t="s" s="11">
        <v>22883</v>
      </c>
      <c r="B4529" t="s" s="11">
        <v>22884</v>
      </c>
      <c r="C4529" t="s" s="11">
        <v>46</v>
      </c>
      <c r="D4529" t="s" s="11">
        <v>397</v>
      </c>
      <c r="E4529" t="s" s="11">
        <v>859</v>
      </c>
      <c r="F4529" s="28">
        <v>45834</v>
      </c>
      <c r="G4529" t="s" s="11">
        <v>4267</v>
      </c>
      <c r="H4529" s="43">
        <v>1</v>
      </c>
      <c r="I4529" t="s" s="43">
        <v>30</v>
      </c>
      <c r="J4529" t="s" s="11">
        <v>22885</v>
      </c>
      <c r="K4529" t="s" s="11">
        <v>22886</v>
      </c>
      <c r="L4529" s="17">
        <f>HYPERLINK("http://savewithcastle.com", "savewithcastle.com")</f>
      </c>
      <c r="M4529" s="17">
        <f>HYPERLINK("https://my.pitchbook.com?c=892218-79", "View Company Online")</f>
      </c>
    </row>
    <row r="4530">
      <c r="A4530" t="s" s="10">
        <v>22888</v>
      </c>
      <c r="B4530" t="s" s="10">
        <v>22889</v>
      </c>
      <c r="C4530" t="s" s="10">
        <v>60</v>
      </c>
      <c r="D4530" t="s" s="10">
        <v>192</v>
      </c>
      <c r="E4530" t="s" s="10">
        <v>22890</v>
      </c>
      <c r="F4530" s="27">
        <v>45965</v>
      </c>
      <c r="G4530" t="s" s="10">
        <v>607</v>
      </c>
      <c r="H4530" s="42">
        <v>0.02</v>
      </c>
      <c r="I4530" t="s" s="42">
        <v>30</v>
      </c>
      <c r="J4530" t="s" s="10">
        <v>22891</v>
      </c>
      <c r="K4530" t="s" s="10">
        <v>22892</v>
      </c>
      <c r="L4530" s="16">
        <f>HYPERLINK("http://www.catalyzu.io", "www.catalyzu.io")</f>
      </c>
      <c r="M4530" s="16">
        <f>HYPERLINK("https://my.pitchbook.com?c=532664-02", "View Company Online")</f>
      </c>
    </row>
    <row r="4531">
      <c r="A4531" t="s" s="11">
        <v>22894</v>
      </c>
      <c r="B4531" t="s" s="11">
        <v>22895</v>
      </c>
      <c r="C4531" t="s" s="11">
        <v>128</v>
      </c>
      <c r="D4531" t="s" s="11">
        <v>199</v>
      </c>
      <c r="E4531" t="s" s="11">
        <v>270</v>
      </c>
      <c r="F4531" t="s" s="28">
        <v>30</v>
      </c>
      <c r="G4531" t="s" s="11">
        <v>4267</v>
      </c>
      <c r="H4531" t="s" s="43">
        <v>30</v>
      </c>
      <c r="I4531" t="s" s="43">
        <v>30</v>
      </c>
      <c r="J4531" t="s" s="11">
        <v>22896</v>
      </c>
      <c r="K4531" t="s" s="11">
        <v>22897</v>
      </c>
      <c r="L4531" s="17">
        <f>HYPERLINK("http://www.cauri.money", "www.cauri.money")</f>
      </c>
      <c r="M4531" s="17">
        <f>HYPERLINK("https://my.pitchbook.com?c=459013-60", "View Company Online")</f>
      </c>
    </row>
    <row r="4532">
      <c r="A4532" t="s" s="10">
        <v>22899</v>
      </c>
      <c r="B4532" t="s" s="10">
        <v>22900</v>
      </c>
      <c r="C4532" t="s" s="10">
        <v>60</v>
      </c>
      <c r="D4532" t="s" s="10">
        <v>192</v>
      </c>
      <c r="E4532" t="s" s="10">
        <v>373</v>
      </c>
      <c r="F4532" s="27">
        <v>43941</v>
      </c>
      <c r="G4532" t="s" s="10">
        <v>146</v>
      </c>
      <c r="H4532" s="42">
        <v>5</v>
      </c>
      <c r="I4532" t="s" s="42">
        <v>30</v>
      </c>
      <c r="J4532" t="s" s="10">
        <v>22901</v>
      </c>
      <c r="K4532" t="s" s="10">
        <v>22902</v>
      </c>
      <c r="L4532" s="16">
        <f>HYPERLINK("http://www.causalitylink.com", "www.causalitylink.com")</f>
      </c>
      <c r="M4532" s="16">
        <f>HYPERLINK("https://my.pitchbook.com?c=251513-38", "View Company Online")</f>
      </c>
    </row>
    <row r="4533">
      <c r="A4533" t="s" s="11">
        <v>22904</v>
      </c>
      <c r="B4533" t="s" s="11">
        <v>22905</v>
      </c>
      <c r="C4533" t="s" s="11">
        <v>27</v>
      </c>
      <c r="D4533" t="s" s="11">
        <v>28</v>
      </c>
      <c r="E4533" t="s" s="11">
        <v>193</v>
      </c>
      <c r="F4533" s="28">
        <v>45603</v>
      </c>
      <c r="G4533" t="s" s="11">
        <v>4267</v>
      </c>
      <c r="H4533" t="s" s="43">
        <v>30</v>
      </c>
      <c r="I4533" t="s" s="43">
        <v>30</v>
      </c>
      <c r="J4533" t="s" s="11">
        <v>22906</v>
      </c>
      <c r="K4533" t="s" s="11">
        <v>22907</v>
      </c>
      <c r="L4533" s="17">
        <f>HYPERLINK("http://www.cazh.id", "www.cazh.id")</f>
      </c>
      <c r="M4533" s="17">
        <f>HYPERLINK("https://my.pitchbook.com?c=517292-56", "View Company Online")</f>
      </c>
    </row>
    <row r="4534">
      <c r="A4534" t="s" s="10">
        <v>22909</v>
      </c>
      <c r="B4534" t="s" s="10">
        <v>22910</v>
      </c>
      <c r="C4534" t="s" s="10">
        <v>172</v>
      </c>
      <c r="D4534" t="s" s="10">
        <v>338</v>
      </c>
      <c r="E4534" t="s" s="10">
        <v>22911</v>
      </c>
      <c r="F4534" s="27">
        <v>44455</v>
      </c>
      <c r="G4534" t="s" s="10">
        <v>146</v>
      </c>
      <c r="H4534" s="42">
        <v>1.54</v>
      </c>
      <c r="I4534" t="s" s="42">
        <v>30</v>
      </c>
      <c r="J4534" t="s" s="10">
        <v>22912</v>
      </c>
      <c r="K4534" t="s" s="10">
        <v>22913</v>
      </c>
      <c r="L4534" s="16">
        <f>HYPERLINK("http://www.aifound.cn", "www.aifound.cn")</f>
      </c>
      <c r="M4534" s="16">
        <f>HYPERLINK("https://my.pitchbook.com?c=279389-89", "View Company Online")</f>
      </c>
    </row>
    <row r="4535">
      <c r="A4535" t="s" s="11">
        <v>22915</v>
      </c>
      <c r="B4535" t="s" s="11">
        <v>22916</v>
      </c>
      <c r="C4535" t="s" s="11">
        <v>114</v>
      </c>
      <c r="D4535" t="s" s="11">
        <v>1386</v>
      </c>
      <c r="E4535" t="s" s="11">
        <v>30</v>
      </c>
      <c r="F4535" s="28">
        <v>46077</v>
      </c>
      <c r="G4535" t="s" s="11">
        <v>48</v>
      </c>
      <c r="H4535" t="s" s="43">
        <v>30</v>
      </c>
      <c r="I4535" t="s" s="43">
        <v>30</v>
      </c>
      <c r="J4535" t="s" s="11">
        <v>22917</v>
      </c>
      <c r="K4535" t="s" s="11">
        <v>22918</v>
      </c>
      <c r="L4535" s="17">
        <f>HYPERLINK("http://www.ccxcredit.com", "www.ccxcredit.com")</f>
      </c>
      <c r="M4535" s="17">
        <f>HYPERLINK("https://my.pitchbook.com?c=343456-21", "View Company Online")</f>
      </c>
    </row>
    <row r="4536">
      <c r="A4536" t="s" s="10">
        <v>22920</v>
      </c>
      <c r="B4536" t="s" s="10">
        <v>22921</v>
      </c>
      <c r="C4536" t="s" s="10">
        <v>114</v>
      </c>
      <c r="D4536" t="s" s="10">
        <v>1386</v>
      </c>
      <c r="E4536" t="s" s="10">
        <v>1349</v>
      </c>
      <c r="F4536" s="27">
        <v>43630</v>
      </c>
      <c r="G4536" t="s" s="10">
        <v>146</v>
      </c>
      <c r="H4536" s="42">
        <v>2.9</v>
      </c>
      <c r="I4536" t="s" s="42">
        <v>30</v>
      </c>
      <c r="J4536" t="s" s="10">
        <v>22922</v>
      </c>
      <c r="K4536" t="s" s="10">
        <v>22923</v>
      </c>
      <c r="L4536" t="s" s="10">
        <v>30</v>
      </c>
      <c r="M4536" s="16">
        <f>HYPERLINK("https://my.pitchbook.com?c=268134-94", "View Company Online")</f>
      </c>
    </row>
    <row r="4537">
      <c r="A4537" t="s" s="11">
        <v>22924</v>
      </c>
      <c r="B4537" t="s" s="11">
        <v>22925</v>
      </c>
      <c r="C4537" t="s" s="11">
        <v>27</v>
      </c>
      <c r="D4537" t="s" s="11">
        <v>122</v>
      </c>
      <c r="E4537" t="s" s="11">
        <v>39</v>
      </c>
      <c r="F4537" s="28">
        <v>46107</v>
      </c>
      <c r="G4537" t="s" s="11">
        <v>4267</v>
      </c>
      <c r="H4537" s="43">
        <v>5</v>
      </c>
      <c r="I4537" t="s" s="43">
        <v>30</v>
      </c>
      <c r="J4537" t="s" s="11">
        <v>22926</v>
      </c>
      <c r="K4537" t="s" s="11">
        <v>22927</v>
      </c>
      <c r="L4537" s="17">
        <f>HYPERLINK("http://www.cedar.money", "www.cedar.money")</f>
      </c>
      <c r="M4537" s="17">
        <f>HYPERLINK("https://my.pitchbook.com?c=531395-74", "View Company Online")</f>
      </c>
    </row>
    <row r="4538">
      <c r="A4538" t="s" s="10">
        <v>22929</v>
      </c>
      <c r="B4538" t="s" s="10">
        <v>22930</v>
      </c>
      <c r="C4538" t="s" s="10">
        <v>46</v>
      </c>
      <c r="D4538" t="s" s="10">
        <v>397</v>
      </c>
      <c r="E4538" t="s" s="10">
        <v>414</v>
      </c>
      <c r="F4538" s="27">
        <v>45868</v>
      </c>
      <c r="G4538" t="s" s="10">
        <v>146</v>
      </c>
      <c r="H4538" s="42">
        <v>0.2</v>
      </c>
      <c r="I4538" t="s" s="42">
        <v>30</v>
      </c>
      <c r="J4538" t="s" s="10">
        <v>22931</v>
      </c>
      <c r="K4538" t="s" s="10">
        <v>22932</v>
      </c>
      <c r="L4538" s="16">
        <f>HYPERLINK("http://www.ceedar.ai", "www.ceedar.ai")</f>
      </c>
      <c r="M4538" s="16">
        <f>HYPERLINK("https://my.pitchbook.com?c=902784-52", "View Company Online")</f>
      </c>
    </row>
    <row r="4539">
      <c r="A4539" t="s" s="11">
        <v>22934</v>
      </c>
      <c r="B4539" t="s" s="11">
        <v>22935</v>
      </c>
      <c r="C4539" t="s" s="11">
        <v>114</v>
      </c>
      <c r="D4539" t="s" s="11">
        <v>115</v>
      </c>
      <c r="E4539" t="s" s="11">
        <v>137</v>
      </c>
      <c r="F4539" s="28">
        <v>46137</v>
      </c>
      <c r="G4539" t="s" s="11">
        <v>2051</v>
      </c>
      <c r="H4539" t="s" s="43">
        <v>30</v>
      </c>
      <c r="I4539" t="s" s="43">
        <v>30</v>
      </c>
      <c r="J4539" t="s" s="11">
        <v>22936</v>
      </c>
      <c r="K4539" t="s" s="11">
        <v>30</v>
      </c>
      <c r="L4539" s="17">
        <f>HYPERLINK("http://www.celebfinancial.com", "www.celebfinancial.com")</f>
      </c>
      <c r="M4539" s="17">
        <f>HYPERLINK("https://my.pitchbook.com?c=229519-09", "View Company Online")</f>
      </c>
    </row>
    <row r="4540">
      <c r="A4540" t="s" s="10">
        <v>22938</v>
      </c>
      <c r="B4540" t="s" s="10">
        <v>22939</v>
      </c>
      <c r="C4540" t="s" s="10">
        <v>46</v>
      </c>
      <c r="D4540" t="s" s="10">
        <v>47</v>
      </c>
      <c r="E4540" t="s" s="10">
        <v>193</v>
      </c>
      <c r="F4540" s="27">
        <v>46120</v>
      </c>
      <c r="G4540" t="s" s="10">
        <v>40</v>
      </c>
      <c r="H4540" s="42">
        <v>2.9</v>
      </c>
      <c r="I4540" t="s" s="42">
        <v>30</v>
      </c>
      <c r="J4540" t="s" s="10">
        <v>22940</v>
      </c>
      <c r="K4540" t="s" s="10">
        <v>22941</v>
      </c>
      <c r="L4540" s="16">
        <f>HYPERLINK("http://www.celero.com.br", "www.celero.com.br")</f>
      </c>
      <c r="M4540" s="16">
        <f>HYPERLINK("https://my.pitchbook.com?c=519970-15", "View Company Online")</f>
      </c>
    </row>
    <row r="4541">
      <c r="A4541" t="s" s="11">
        <v>22943</v>
      </c>
      <c r="B4541" t="s" s="11">
        <v>22944</v>
      </c>
      <c r="C4541" t="s" s="11">
        <v>46</v>
      </c>
      <c r="D4541" t="s" s="11">
        <v>915</v>
      </c>
      <c r="E4541" t="s" s="11">
        <v>22945</v>
      </c>
      <c r="F4541" s="28">
        <v>45992</v>
      </c>
      <c r="G4541" t="s" s="11">
        <v>146</v>
      </c>
      <c r="H4541" t="s" s="43">
        <v>30</v>
      </c>
      <c r="I4541" t="s" s="43">
        <v>30</v>
      </c>
      <c r="J4541" t="s" s="11">
        <v>22946</v>
      </c>
      <c r="K4541" t="s" s="11">
        <v>22947</v>
      </c>
      <c r="L4541" s="17">
        <f>HYPERLINK("http://www.withceleste.com", "www.withceleste.com")</f>
      </c>
      <c r="M4541" s="17">
        <f>HYPERLINK("https://my.pitchbook.com?c=1234297-81", "View Company Online")</f>
      </c>
    </row>
    <row r="4542">
      <c r="A4542" t="s" s="10">
        <v>22949</v>
      </c>
      <c r="B4542" t="s" s="10">
        <v>22950</v>
      </c>
      <c r="C4542" t="s" s="10">
        <v>27</v>
      </c>
      <c r="D4542" t="s" s="10">
        <v>28</v>
      </c>
      <c r="E4542" t="s" s="10">
        <v>859</v>
      </c>
      <c r="F4542" s="27">
        <v>45658</v>
      </c>
      <c r="G4542" t="s" s="10">
        <v>146</v>
      </c>
      <c r="H4542" t="s" s="42">
        <v>30</v>
      </c>
      <c r="I4542" t="s" s="42">
        <v>30</v>
      </c>
      <c r="J4542" t="s" s="10">
        <v>22951</v>
      </c>
      <c r="K4542" t="s" s="10">
        <v>22952</v>
      </c>
      <c r="L4542" s="16">
        <f>HYPERLINK("http://www.ceneka.net", "www.ceneka.net")</f>
      </c>
      <c r="M4542" s="16">
        <f>HYPERLINK("https://my.pitchbook.com?c=772867-63", "View Company Online")</f>
      </c>
    </row>
    <row r="4543">
      <c r="A4543" t="s" s="11">
        <v>22954</v>
      </c>
      <c r="B4543" t="s" s="11">
        <v>22955</v>
      </c>
      <c r="C4543" t="s" s="11">
        <v>46</v>
      </c>
      <c r="D4543" t="s" s="11">
        <v>47</v>
      </c>
      <c r="E4543" t="s" s="11">
        <v>29</v>
      </c>
      <c r="F4543" s="28">
        <v>45989</v>
      </c>
      <c r="G4543" t="s" s="11">
        <v>4267</v>
      </c>
      <c r="H4543" s="43">
        <v>1.8</v>
      </c>
      <c r="I4543" t="s" s="43">
        <v>30</v>
      </c>
      <c r="J4543" t="s" s="11">
        <v>22956</v>
      </c>
      <c r="K4543" t="s" s="11">
        <v>22957</v>
      </c>
      <c r="L4543" s="17">
        <f>HYPERLINK("http://www.cenit.ai", "www.cenit.ai")</f>
      </c>
      <c r="M4543" s="17">
        <f>HYPERLINK("https://my.pitchbook.com?c=1166646-61", "View Company Online")</f>
      </c>
    </row>
    <row r="4544">
      <c r="A4544" t="s" s="10">
        <v>22959</v>
      </c>
      <c r="B4544" t="s" s="10">
        <v>22960</v>
      </c>
      <c r="C4544" t="s" s="10">
        <v>128</v>
      </c>
      <c r="D4544" t="s" s="10">
        <v>199</v>
      </c>
      <c r="E4544" t="s" s="10">
        <v>137</v>
      </c>
      <c r="F4544" s="27">
        <v>45323</v>
      </c>
      <c r="G4544" t="s" s="10">
        <v>146</v>
      </c>
      <c r="H4544" t="s" s="42">
        <v>30</v>
      </c>
      <c r="I4544" t="s" s="42">
        <v>30</v>
      </c>
      <c r="J4544" t="s" s="10">
        <v>22961</v>
      </c>
      <c r="K4544" t="s" s="10">
        <v>22962</v>
      </c>
      <c r="L4544" s="16">
        <f>HYPERLINK("http://www.cenoa.com", "www.cenoa.com")</f>
      </c>
      <c r="M4544" s="16">
        <f>HYPERLINK("https://my.pitchbook.com?c=502823-98", "View Company Online")</f>
      </c>
    </row>
    <row r="4545">
      <c r="A4545" t="s" s="11">
        <v>22964</v>
      </c>
      <c r="B4545" t="s" s="11">
        <v>22965</v>
      </c>
      <c r="C4545" t="s" s="11">
        <v>172</v>
      </c>
      <c r="D4545" t="s" s="11">
        <v>338</v>
      </c>
      <c r="E4545" t="s" s="11">
        <v>137</v>
      </c>
      <c r="F4545" s="28">
        <v>45768</v>
      </c>
      <c r="G4545" t="s" s="11">
        <v>146</v>
      </c>
      <c r="H4545" s="43">
        <v>0.58</v>
      </c>
      <c r="I4545" t="s" s="43">
        <v>30</v>
      </c>
      <c r="J4545" t="s" s="11">
        <v>22966</v>
      </c>
      <c r="K4545" t="s" s="11">
        <v>22967</v>
      </c>
      <c r="L4545" s="17">
        <f>HYPERLINK("http://www.ceptinel.com", "www.ceptinel.com")</f>
      </c>
      <c r="M4545" s="17">
        <f>HYPERLINK("https://my.pitchbook.com?c=226305-19", "View Company Online")</f>
      </c>
    </row>
    <row r="4546">
      <c r="A4546" t="s" s="10">
        <v>22969</v>
      </c>
      <c r="B4546" t="s" s="10">
        <v>22970</v>
      </c>
      <c r="C4546" t="s" s="10">
        <v>164</v>
      </c>
      <c r="D4546" t="s" s="10">
        <v>165</v>
      </c>
      <c r="E4546" t="s" s="10">
        <v>137</v>
      </c>
      <c r="F4546" s="27">
        <v>45657</v>
      </c>
      <c r="G4546" t="s" s="10">
        <v>48</v>
      </c>
      <c r="H4546" s="42">
        <v>7.75</v>
      </c>
      <c r="I4546" t="s" s="42">
        <v>30</v>
      </c>
      <c r="J4546" t="s" s="10">
        <v>22971</v>
      </c>
      <c r="K4546" t="s" s="10">
        <v>22972</v>
      </c>
      <c r="L4546" s="16">
        <f>HYPERLINK("http://www.cerc.com", "www.cerc.com")</f>
      </c>
      <c r="M4546" s="16">
        <f>HYPERLINK("https://my.pitchbook.com?c=438935-59", "View Company Online")</f>
      </c>
    </row>
    <row r="4547">
      <c r="A4547" t="s" s="11">
        <v>22974</v>
      </c>
      <c r="B4547" t="s" s="11">
        <v>22975</v>
      </c>
      <c r="C4547" t="s" s="11">
        <v>46</v>
      </c>
      <c r="D4547" t="s" s="11">
        <v>78</v>
      </c>
      <c r="E4547" t="s" s="11">
        <v>1578</v>
      </c>
      <c r="F4547" s="28">
        <v>45940</v>
      </c>
      <c r="G4547" t="s" s="11">
        <v>146</v>
      </c>
      <c r="H4547" s="43">
        <v>12</v>
      </c>
      <c r="I4547" t="s" s="43">
        <v>30</v>
      </c>
      <c r="J4547" t="s" s="11">
        <v>22976</v>
      </c>
      <c r="K4547" t="s" s="11">
        <v>22977</v>
      </c>
      <c r="L4547" s="17">
        <f>HYPERLINK("http://www.cercli.com", "www.cercli.com")</f>
      </c>
      <c r="M4547" s="17">
        <f>HYPERLINK("https://my.pitchbook.com?c=534597-04", "View Company Online")</f>
      </c>
    </row>
    <row r="4548">
      <c r="A4548" t="s" s="10">
        <v>22979</v>
      </c>
      <c r="B4548" t="s" s="10">
        <v>22980</v>
      </c>
      <c r="C4548" t="s" s="10">
        <v>222</v>
      </c>
      <c r="D4548" t="s" s="10">
        <v>235</v>
      </c>
      <c r="E4548" t="s" s="10">
        <v>253</v>
      </c>
      <c r="F4548" s="27">
        <v>46010</v>
      </c>
      <c r="G4548" t="s" s="10">
        <v>146</v>
      </c>
      <c r="H4548" s="42">
        <v>0.75</v>
      </c>
      <c r="I4548" t="s" s="42">
        <v>30</v>
      </c>
      <c r="J4548" t="s" s="10">
        <v>22981</v>
      </c>
      <c r="K4548" t="s" s="10">
        <v>22982</v>
      </c>
      <c r="L4548" s="16">
        <f>HYPERLINK("http://www.ceviche.ai", "www.ceviche.ai")</f>
      </c>
      <c r="M4548" s="16">
        <f>HYPERLINK("https://my.pitchbook.com?c=527580-91", "View Company Online")</f>
      </c>
    </row>
    <row r="4549">
      <c r="A4549" t="s" s="11">
        <v>22984</v>
      </c>
      <c r="B4549" t="s" s="11">
        <v>22985</v>
      </c>
      <c r="C4549" t="s" s="11">
        <v>46</v>
      </c>
      <c r="D4549" t="s" s="11">
        <v>397</v>
      </c>
      <c r="E4549" t="s" s="11">
        <v>253</v>
      </c>
      <c r="F4549" s="28">
        <v>44986</v>
      </c>
      <c r="G4549" t="s" s="11">
        <v>40</v>
      </c>
      <c r="H4549" t="s" s="43">
        <v>30</v>
      </c>
      <c r="I4549" t="s" s="43">
        <v>30</v>
      </c>
      <c r="J4549" t="s" s="11">
        <v>22986</v>
      </c>
      <c r="K4549" t="s" s="11">
        <v>22987</v>
      </c>
      <c r="L4549" s="17">
        <f>HYPERLINK("http://www.cfoplans.com", "www.cfoplans.com")</f>
      </c>
      <c r="M4549" s="17">
        <f>HYPERLINK("https://my.pitchbook.com?c=314853-22", "View Company Online")</f>
      </c>
    </row>
    <row r="4550">
      <c r="A4550" t="s" s="10">
        <v>22989</v>
      </c>
      <c r="B4550" t="s" s="10">
        <v>22990</v>
      </c>
      <c r="C4550" t="s" s="10">
        <v>27</v>
      </c>
      <c r="D4550" t="s" s="10">
        <v>28</v>
      </c>
      <c r="E4550" t="s" s="10">
        <v>22991</v>
      </c>
      <c r="F4550" s="27">
        <v>45701</v>
      </c>
      <c r="G4550" t="s" s="10">
        <v>146</v>
      </c>
      <c r="H4550" s="42">
        <v>20</v>
      </c>
      <c r="I4550" t="s" s="42">
        <v>30</v>
      </c>
      <c r="J4550" t="s" s="10">
        <v>22992</v>
      </c>
      <c r="K4550" t="s" s="10">
        <v>22993</v>
      </c>
      <c r="L4550" s="16">
        <f>HYPERLINK("http://www.plasma.org", "www.plasma.org")</f>
      </c>
      <c r="M4550" s="16">
        <f>HYPERLINK("https://my.pitchbook.com?c=697028-14", "View Company Online")</f>
      </c>
    </row>
    <row r="4551">
      <c r="A4551" t="s" s="11">
        <v>22995</v>
      </c>
      <c r="B4551" t="s" s="11">
        <v>22996</v>
      </c>
      <c r="C4551" t="s" s="11">
        <v>37</v>
      </c>
      <c r="D4551" t="s" s="11">
        <v>304</v>
      </c>
      <c r="E4551" t="s" s="11">
        <v>137</v>
      </c>
      <c r="F4551" t="s" s="28">
        <v>30</v>
      </c>
      <c r="G4551" t="s" s="11">
        <v>40</v>
      </c>
      <c r="H4551" s="43">
        <v>130</v>
      </c>
      <c r="I4551" t="s" s="43">
        <v>30</v>
      </c>
      <c r="J4551" t="s" s="11">
        <v>22997</v>
      </c>
      <c r="K4551" t="s" s="11">
        <v>22998</v>
      </c>
      <c r="L4551" s="17">
        <f>HYPERLINK("http://www.chancen.international", "www.chancen.international")</f>
      </c>
      <c r="M4551" s="17">
        <f>HYPERLINK("https://my.pitchbook.com?c=498261-70", "View Company Online")</f>
      </c>
    </row>
    <row r="4552">
      <c r="A4552" t="s" s="10">
        <v>23000</v>
      </c>
      <c r="B4552" t="s" s="10">
        <v>23001</v>
      </c>
      <c r="C4552" t="s" s="10">
        <v>128</v>
      </c>
      <c r="D4552" t="s" s="10">
        <v>276</v>
      </c>
      <c r="E4552" t="s" s="10">
        <v>270</v>
      </c>
      <c r="F4552" s="27">
        <v>45839</v>
      </c>
      <c r="G4552" t="s" s="10">
        <v>40</v>
      </c>
      <c r="H4552" t="s" s="42">
        <v>30</v>
      </c>
      <c r="I4552" t="s" s="42">
        <v>30</v>
      </c>
      <c r="J4552" t="s" s="10">
        <v>23002</v>
      </c>
      <c r="K4552" t="s" s="10">
        <v>23003</v>
      </c>
      <c r="L4552" s="16">
        <f>HYPERLINK("http://chapchap.co", "chapchap.co")</f>
      </c>
      <c r="M4552" s="16">
        <f>HYPERLINK("https://my.pitchbook.com?c=491364-01", "View Company Online")</f>
      </c>
    </row>
    <row r="4553">
      <c r="A4553" t="s" s="11">
        <v>23005</v>
      </c>
      <c r="B4553" t="s" s="11">
        <v>23006</v>
      </c>
      <c r="C4553" t="s" s="11">
        <v>27</v>
      </c>
      <c r="D4553" t="s" s="11">
        <v>28</v>
      </c>
      <c r="E4553" t="s" s="11">
        <v>29</v>
      </c>
      <c r="F4553" s="28">
        <v>46126</v>
      </c>
      <c r="G4553" t="s" s="11">
        <v>2051</v>
      </c>
      <c r="H4553" t="s" s="43">
        <v>30</v>
      </c>
      <c r="I4553" t="s" s="43">
        <v>30</v>
      </c>
      <c r="J4553" t="s" s="11">
        <v>23007</v>
      </c>
      <c r="K4553" t="s" s="11">
        <v>30</v>
      </c>
      <c r="L4553" s="17">
        <f>HYPERLINK("http://www.joinchargeback.com", "www.joinchargeback.com")</f>
      </c>
      <c r="M4553" s="17">
        <f>HYPERLINK("https://my.pitchbook.com?c=527636-98", "View Company Online")</f>
      </c>
    </row>
    <row r="4554">
      <c r="A4554" t="s" s="10">
        <v>23009</v>
      </c>
      <c r="B4554" t="s" s="10">
        <v>23010</v>
      </c>
      <c r="C4554" t="s" s="10">
        <v>37</v>
      </c>
      <c r="D4554" t="s" s="10">
        <v>38</v>
      </c>
      <c r="E4554" t="s" s="10">
        <v>4207</v>
      </c>
      <c r="F4554" s="27">
        <v>45230</v>
      </c>
      <c r="G4554" t="s" s="10">
        <v>146</v>
      </c>
      <c r="H4554" s="42">
        <v>30.54</v>
      </c>
      <c r="I4554" t="s" s="42">
        <v>30</v>
      </c>
      <c r="J4554" t="s" s="10">
        <v>23011</v>
      </c>
      <c r="K4554" t="s" s="10">
        <v>23012</v>
      </c>
      <c r="L4554" s="16">
        <f>HYPERLINK("http://www.charlie.com", "www.charlie.com")</f>
      </c>
      <c r="M4554" s="16">
        <f>HYPERLINK("https://my.pitchbook.com?c=522622-72", "View Company Online")</f>
      </c>
    </row>
    <row r="4555">
      <c r="A4555" t="s" s="11">
        <v>23014</v>
      </c>
      <c r="B4555" t="s" s="11">
        <v>23015</v>
      </c>
      <c r="C4555" t="s" s="11">
        <v>27</v>
      </c>
      <c r="D4555" t="s" s="11">
        <v>28</v>
      </c>
      <c r="E4555" t="s" s="11">
        <v>253</v>
      </c>
      <c r="F4555" s="28">
        <v>44363</v>
      </c>
      <c r="G4555" t="s" s="11">
        <v>4267</v>
      </c>
      <c r="H4555" s="43">
        <v>1.8</v>
      </c>
      <c r="I4555" t="s" s="43">
        <v>30</v>
      </c>
      <c r="J4555" t="s" s="11">
        <v>23016</v>
      </c>
      <c r="K4555" t="s" s="11">
        <v>23017</v>
      </c>
      <c r="L4555" s="17">
        <f>HYPERLINK("http://www.checkinevent.com", "www.checkinevent.com")</f>
      </c>
      <c r="M4555" s="17">
        <f>HYPERLINK("https://my.pitchbook.com?c=498558-61", "View Company Online")</f>
      </c>
    </row>
    <row r="4556">
      <c r="A4556" t="s" s="10">
        <v>23019</v>
      </c>
      <c r="B4556" t="s" s="10">
        <v>23020</v>
      </c>
      <c r="C4556" t="s" s="10">
        <v>27</v>
      </c>
      <c r="D4556" t="s" s="10">
        <v>28</v>
      </c>
      <c r="E4556" t="s" s="10">
        <v>23021</v>
      </c>
      <c r="F4556" t="s" s="27">
        <v>30</v>
      </c>
      <c r="G4556" t="s" s="10">
        <v>146</v>
      </c>
      <c r="H4556" t="s" s="42">
        <v>30</v>
      </c>
      <c r="I4556" t="s" s="42">
        <v>30</v>
      </c>
      <c r="J4556" t="s" s="10">
        <v>23022</v>
      </c>
      <c r="K4556" t="s" s="10">
        <v>30</v>
      </c>
      <c r="L4556" s="16">
        <f>HYPERLINK("http://www.cheddar.me", "www.cheddar.me")</f>
      </c>
      <c r="M4556" s="16">
        <f>HYPERLINK("https://my.pitchbook.com?c=482782-42", "View Company Online")</f>
      </c>
    </row>
    <row r="4557">
      <c r="A4557" t="s" s="11">
        <v>23024</v>
      </c>
      <c r="B4557" t="s" s="11">
        <v>23025</v>
      </c>
      <c r="C4557" t="s" s="11">
        <v>128</v>
      </c>
      <c r="D4557" t="s" s="11">
        <v>129</v>
      </c>
      <c r="E4557" t="s" s="11">
        <v>7662</v>
      </c>
      <c r="F4557" s="28">
        <v>45689</v>
      </c>
      <c r="G4557" t="s" s="11">
        <v>146</v>
      </c>
      <c r="H4557" t="s" s="43">
        <v>30</v>
      </c>
      <c r="I4557" t="s" s="43">
        <v>30</v>
      </c>
      <c r="J4557" t="s" s="11">
        <v>23026</v>
      </c>
      <c r="K4557" t="s" s="11">
        <v>23027</v>
      </c>
      <c r="L4557" s="17">
        <f>HYPERLINK("http://www.cheerscash.com", "www.cheerscash.com")</f>
      </c>
      <c r="M4557" s="17">
        <f>HYPERLINK("https://my.pitchbook.com?c=593778-34", "View Company Online")</f>
      </c>
    </row>
    <row r="4558">
      <c r="A4558" t="s" s="10">
        <v>23029</v>
      </c>
      <c r="B4558" t="s" s="10">
        <v>23030</v>
      </c>
      <c r="C4558" t="s" s="10">
        <v>60</v>
      </c>
      <c r="D4558" t="s" s="10">
        <v>246</v>
      </c>
      <c r="E4558" t="s" s="10">
        <v>253</v>
      </c>
      <c r="F4558" s="27">
        <v>45778</v>
      </c>
      <c r="G4558" t="s" s="10">
        <v>146</v>
      </c>
      <c r="H4558" t="s" s="42">
        <v>30</v>
      </c>
      <c r="I4558" t="s" s="42">
        <v>30</v>
      </c>
      <c r="J4558" t="s" s="10">
        <v>23031</v>
      </c>
      <c r="K4558" t="s" s="10">
        <v>23032</v>
      </c>
      <c r="L4558" s="16">
        <f>HYPERLINK("http://www.cheers.credit", "www.cheers.credit")</f>
      </c>
      <c r="M4558" s="16">
        <f>HYPERLINK("https://my.pitchbook.com?c=746658-10", "View Company Online")</f>
      </c>
    </row>
    <row r="4559">
      <c r="A4559" t="s" s="11">
        <v>23034</v>
      </c>
      <c r="B4559" t="s" s="11">
        <v>23035</v>
      </c>
      <c r="C4559" t="s" s="11">
        <v>172</v>
      </c>
      <c r="D4559" t="s" s="11">
        <v>338</v>
      </c>
      <c r="E4559" t="s" s="11">
        <v>30</v>
      </c>
      <c r="F4559" s="28">
        <v>44706</v>
      </c>
      <c r="G4559" t="s" s="11">
        <v>40</v>
      </c>
      <c r="H4559" t="s" s="43">
        <v>30</v>
      </c>
      <c r="I4559" t="s" s="43">
        <v>30</v>
      </c>
      <c r="J4559" t="s" s="11">
        <v>23036</v>
      </c>
      <c r="K4559" t="s" s="11">
        <v>23037</v>
      </c>
      <c r="L4559" s="17">
        <f>HYPERLINK("http://www.chekk.me", "www.chekk.me")</f>
      </c>
      <c r="M4559" s="17">
        <f>HYPERLINK("https://my.pitchbook.com?c=169834-96", "View Company Online")</f>
      </c>
    </row>
    <row r="4560">
      <c r="A4560" t="s" s="10">
        <v>23039</v>
      </c>
      <c r="B4560" t="s" s="10">
        <v>23040</v>
      </c>
      <c r="C4560" t="s" s="10">
        <v>27</v>
      </c>
      <c r="D4560" t="s" s="10">
        <v>70</v>
      </c>
      <c r="E4560" t="s" s="10">
        <v>259</v>
      </c>
      <c r="F4560" s="27">
        <v>45260</v>
      </c>
      <c r="G4560" t="s" s="10">
        <v>40</v>
      </c>
      <c r="H4560" t="s" s="42">
        <v>30</v>
      </c>
      <c r="I4560" t="s" s="42">
        <v>30</v>
      </c>
      <c r="J4560" t="s" s="10">
        <v>23041</v>
      </c>
      <c r="K4560" t="s" s="10">
        <v>23042</v>
      </c>
      <c r="L4560" s="16">
        <f>HYPERLINK("http://www.cherrynet.com", "www.cherrynet.com")</f>
      </c>
      <c r="M4560" s="16">
        <f>HYPERLINK("https://my.pitchbook.com?c=468959-14", "View Company Online")</f>
      </c>
    </row>
    <row r="4561">
      <c r="A4561" t="s" s="11">
        <v>23044</v>
      </c>
      <c r="B4561" t="s" s="11">
        <v>23045</v>
      </c>
      <c r="C4561" t="s" s="11">
        <v>114</v>
      </c>
      <c r="D4561" t="s" s="11">
        <v>136</v>
      </c>
      <c r="E4561" t="s" s="11">
        <v>3997</v>
      </c>
      <c r="F4561" s="28">
        <v>45819</v>
      </c>
      <c r="G4561" t="s" s="11">
        <v>146</v>
      </c>
      <c r="H4561" t="s" s="43">
        <v>30</v>
      </c>
      <c r="I4561" t="s" s="43">
        <v>30</v>
      </c>
      <c r="J4561" t="s" s="11">
        <v>23046</v>
      </c>
      <c r="K4561" t="s" s="11">
        <v>23047</v>
      </c>
      <c r="L4561" s="17">
        <f>HYPERLINK("http://www.chestnutmortgage.com", "www.chestnutmortgage.com")</f>
      </c>
      <c r="M4561" s="17">
        <f>HYPERLINK("https://my.pitchbook.com?c=863191-63", "View Company Online")</f>
      </c>
    </row>
    <row r="4562">
      <c r="A4562" t="s" s="10">
        <v>23049</v>
      </c>
      <c r="B4562" t="s" s="10">
        <v>23050</v>
      </c>
      <c r="C4562" t="s" s="10">
        <v>27</v>
      </c>
      <c r="D4562" t="s" s="10">
        <v>28</v>
      </c>
      <c r="E4562" t="s" s="10">
        <v>311</v>
      </c>
      <c r="F4562" s="27">
        <v>45461</v>
      </c>
      <c r="G4562" t="s" s="10">
        <v>40</v>
      </c>
      <c r="H4562" t="s" s="42">
        <v>30</v>
      </c>
      <c r="I4562" t="s" s="42">
        <v>30</v>
      </c>
      <c r="J4562" t="s" s="10">
        <v>23051</v>
      </c>
      <c r="K4562" t="s" s="10">
        <v>30</v>
      </c>
      <c r="L4562" s="16">
        <f>HYPERLINK("http://chi.app", "chi.app")</f>
      </c>
      <c r="M4562" s="16">
        <f>HYPERLINK("https://my.pitchbook.com?c=438859-00", "View Company Online")</f>
      </c>
    </row>
    <row r="4563">
      <c r="A4563" t="s" s="11">
        <v>23053</v>
      </c>
      <c r="B4563" t="s" s="11">
        <v>23054</v>
      </c>
      <c r="C4563" t="s" s="11">
        <v>60</v>
      </c>
      <c r="D4563" t="s" s="11">
        <v>192</v>
      </c>
      <c r="E4563" t="s" s="11">
        <v>137</v>
      </c>
      <c r="F4563" s="28">
        <v>46147</v>
      </c>
      <c r="G4563" t="s" s="11">
        <v>40</v>
      </c>
      <c r="H4563" s="43">
        <v>0.1</v>
      </c>
      <c r="I4563" t="s" s="43">
        <v>30</v>
      </c>
      <c r="J4563" t="s" s="11">
        <v>23055</v>
      </c>
      <c r="K4563" t="s" s="11">
        <v>23056</v>
      </c>
      <c r="L4563" s="17">
        <f>HYPERLINK("http://www.chipprofessionals.com", "www.chipprofessionals.com")</f>
      </c>
      <c r="M4563" s="17">
        <f>HYPERLINK("https://my.pitchbook.com?c=533584-99", "View Company Online")</f>
      </c>
    </row>
    <row r="4564">
      <c r="A4564" t="s" s="10">
        <v>23058</v>
      </c>
      <c r="B4564" t="s" s="10">
        <v>23059</v>
      </c>
      <c r="C4564" t="s" s="10">
        <v>27</v>
      </c>
      <c r="D4564" t="s" s="10">
        <v>28</v>
      </c>
      <c r="E4564" t="s" s="10">
        <v>1859</v>
      </c>
      <c r="F4564" s="27">
        <v>45200</v>
      </c>
      <c r="G4564" t="s" s="10">
        <v>146</v>
      </c>
      <c r="H4564" t="s" s="42">
        <v>30</v>
      </c>
      <c r="I4564" t="s" s="42">
        <v>30</v>
      </c>
      <c r="J4564" t="s" s="10">
        <v>23060</v>
      </c>
      <c r="K4564" t="s" s="10">
        <v>23061</v>
      </c>
      <c r="L4564" s="16">
        <f>HYPERLINK("http://www.choicedigital.com", "www.choicedigital.com")</f>
      </c>
      <c r="M4564" s="16">
        <f>HYPERLINK("https://my.pitchbook.com?c=537978-52", "View Company Online")</f>
      </c>
    </row>
    <row r="4565">
      <c r="A4565" t="s" s="11">
        <v>23063</v>
      </c>
      <c r="B4565" t="s" s="11">
        <v>23064</v>
      </c>
      <c r="C4565" t="s" s="11">
        <v>114</v>
      </c>
      <c r="D4565" t="s" s="11">
        <v>136</v>
      </c>
      <c r="E4565" t="s" s="11">
        <v>137</v>
      </c>
      <c r="F4565" s="28">
        <v>44741</v>
      </c>
      <c r="G4565" t="s" s="11">
        <v>4267</v>
      </c>
      <c r="H4565" s="43">
        <v>4.84</v>
      </c>
      <c r="I4565" t="s" s="43">
        <v>30</v>
      </c>
      <c r="J4565" t="s" s="11">
        <v>23065</v>
      </c>
      <c r="K4565" t="s" s="11">
        <v>30</v>
      </c>
      <c r="L4565" s="17">
        <f>HYPERLINK("http://www.choicepays.com", "www.choicepays.com")</f>
      </c>
      <c r="M4565" s="17">
        <f>HYPERLINK("https://my.pitchbook.com?c=442184-23", "View Company Online")</f>
      </c>
    </row>
    <row r="4566">
      <c r="A4566" t="s" s="10">
        <v>23067</v>
      </c>
      <c r="B4566" t="s" s="10">
        <v>23068</v>
      </c>
      <c r="C4566" t="s" s="10">
        <v>114</v>
      </c>
      <c r="D4566" t="s" s="10">
        <v>115</v>
      </c>
      <c r="E4566" t="s" s="10">
        <v>1032</v>
      </c>
      <c r="F4566" t="s" s="27">
        <v>30</v>
      </c>
      <c r="G4566" t="s" s="10">
        <v>48</v>
      </c>
      <c r="H4566" t="s" s="42">
        <v>30</v>
      </c>
      <c r="I4566" t="s" s="42">
        <v>30</v>
      </c>
      <c r="J4566" t="s" s="10">
        <v>23069</v>
      </c>
      <c r="K4566" t="s" s="10">
        <v>23070</v>
      </c>
      <c r="L4566" s="16">
        <f>HYPERLINK("http://www.chowderfinancial.com", "www.chowderfinancial.com")</f>
      </c>
      <c r="M4566" s="16">
        <f>HYPERLINK("https://my.pitchbook.com?c=471912-94", "View Company Online")</f>
      </c>
    </row>
    <row r="4567">
      <c r="A4567" t="s" s="11">
        <v>23072</v>
      </c>
      <c r="B4567" t="s" s="11">
        <v>23073</v>
      </c>
      <c r="C4567" t="s" s="11">
        <v>222</v>
      </c>
      <c r="D4567" t="s" s="11">
        <v>223</v>
      </c>
      <c r="E4567" t="s" s="11">
        <v>1964</v>
      </c>
      <c r="F4567" s="28">
        <v>46189</v>
      </c>
      <c r="G4567" t="s" s="11">
        <v>186</v>
      </c>
      <c r="H4567" s="43">
        <v>140</v>
      </c>
      <c r="I4567" t="s" s="43">
        <v>30</v>
      </c>
      <c r="J4567" t="s" s="11">
        <v>23074</v>
      </c>
      <c r="K4567" t="s" s="11">
        <v>23075</v>
      </c>
      <c r="L4567" s="17">
        <f>HYPERLINK("http://www.chronograph.pe", "www.chronograph.pe")</f>
      </c>
      <c r="M4567" s="17">
        <f>HYPERLINK("https://my.pitchbook.com?c=172693-90", "View Company Online")</f>
      </c>
    </row>
    <row r="4568">
      <c r="A4568" t="s" s="10">
        <v>23077</v>
      </c>
      <c r="B4568" t="s" s="10">
        <v>23078</v>
      </c>
      <c r="C4568" t="s" s="10">
        <v>222</v>
      </c>
      <c r="D4568" t="s" s="10">
        <v>537</v>
      </c>
      <c r="E4568" t="s" s="10">
        <v>253</v>
      </c>
      <c r="F4568" s="27">
        <v>46078</v>
      </c>
      <c r="G4568" t="s" s="10">
        <v>40</v>
      </c>
      <c r="H4568" s="42">
        <v>13.5</v>
      </c>
      <c r="I4568" t="s" s="42">
        <v>30</v>
      </c>
      <c r="J4568" t="s" s="10">
        <v>23079</v>
      </c>
      <c r="K4568" t="s" s="10">
        <v>23080</v>
      </c>
      <c r="L4568" s="16">
        <f>HYPERLINK("http://www.cicada.io", "www.cicada.io")</f>
      </c>
      <c r="M4568" s="16">
        <f>HYPERLINK("https://my.pitchbook.com?c=493776-37", "View Company Online")</f>
      </c>
    </row>
    <row r="4569">
      <c r="A4569" t="s" s="11">
        <v>23082</v>
      </c>
      <c r="B4569" t="s" s="11">
        <v>23083</v>
      </c>
      <c r="C4569" t="s" s="11">
        <v>172</v>
      </c>
      <c r="D4569" t="s" s="11">
        <v>1454</v>
      </c>
      <c r="E4569" t="s" s="11">
        <v>859</v>
      </c>
      <c r="F4569" s="28">
        <v>45203</v>
      </c>
      <c r="G4569" t="s" s="11">
        <v>4267</v>
      </c>
      <c r="H4569" s="43">
        <v>9.7</v>
      </c>
      <c r="I4569" t="s" s="43">
        <v>30</v>
      </c>
      <c r="J4569" t="s" s="11">
        <v>23084</v>
      </c>
      <c r="K4569" t="s" s="11">
        <v>23085</v>
      </c>
      <c r="L4569" s="17">
        <f>HYPERLINK("http://www.cicada.partners", "www.cicada.partners")</f>
      </c>
      <c r="M4569" s="17">
        <f>HYPERLINK("https://my.pitchbook.com?c=537501-79", "View Company Online")</f>
      </c>
    </row>
    <row r="4570">
      <c r="A4570" t="s" s="10">
        <v>23087</v>
      </c>
      <c r="B4570" t="s" s="10">
        <v>23088</v>
      </c>
      <c r="C4570" t="s" s="10">
        <v>46</v>
      </c>
      <c r="D4570" t="s" s="10">
        <v>397</v>
      </c>
      <c r="E4570" t="s" s="10">
        <v>373</v>
      </c>
      <c r="F4570" s="27">
        <v>46108</v>
      </c>
      <c r="G4570" t="s" s="10">
        <v>4267</v>
      </c>
      <c r="H4570" s="42">
        <v>1</v>
      </c>
      <c r="I4570" t="s" s="42">
        <v>30</v>
      </c>
      <c r="J4570" t="s" s="10">
        <v>23089</v>
      </c>
      <c r="K4570" t="s" s="10">
        <v>23090</v>
      </c>
      <c r="L4570" s="16">
        <f>HYPERLINK("http://www.cifrato.ai", "www.cifrato.ai")</f>
      </c>
      <c r="M4570" s="16">
        <f>HYPERLINK("https://my.pitchbook.com?c=1366335-64", "View Company Online")</f>
      </c>
    </row>
    <row r="4571">
      <c r="A4571" t="s" s="11">
        <v>23092</v>
      </c>
      <c r="B4571" t="s" s="11">
        <v>23093</v>
      </c>
      <c r="C4571" t="s" s="11">
        <v>27</v>
      </c>
      <c r="D4571" t="s" s="11">
        <v>28</v>
      </c>
      <c r="E4571" t="s" s="11">
        <v>23094</v>
      </c>
      <c r="F4571" s="28">
        <v>44538</v>
      </c>
      <c r="G4571" t="s" s="11">
        <v>4267</v>
      </c>
      <c r="H4571" s="43">
        <v>2.4</v>
      </c>
      <c r="I4571" t="s" s="43">
        <v>30</v>
      </c>
      <c r="J4571" t="s" s="11">
        <v>23095</v>
      </c>
      <c r="K4571" t="s" s="11">
        <v>23096</v>
      </c>
      <c r="L4571" s="17">
        <f>HYPERLINK("http://www.cinetpay.com", "www.cinetpay.com")</f>
      </c>
      <c r="M4571" s="17">
        <f>HYPERLINK("https://my.pitchbook.com?c=484770-25", "View Company Online")</f>
      </c>
    </row>
    <row r="4572">
      <c r="A4572" t="s" s="10">
        <v>23098</v>
      </c>
      <c r="B4572" t="s" s="10">
        <v>23099</v>
      </c>
      <c r="C4572" t="s" s="10">
        <v>128</v>
      </c>
      <c r="D4572" t="s" s="10">
        <v>276</v>
      </c>
      <c r="E4572" t="s" s="10">
        <v>193</v>
      </c>
      <c r="F4572" s="27">
        <v>45720</v>
      </c>
      <c r="G4572" t="s" s="10">
        <v>4267</v>
      </c>
      <c r="H4572" s="42">
        <v>3.65</v>
      </c>
      <c r="I4572" t="s" s="42">
        <v>30</v>
      </c>
      <c r="J4572" t="s" s="10">
        <v>23100</v>
      </c>
      <c r="K4572" t="s" s="10">
        <v>23101</v>
      </c>
      <c r="L4572" s="16">
        <f>HYPERLINK("http://www.getcino.com", "www.getcino.com")</f>
      </c>
      <c r="M4572" s="16">
        <f>HYPERLINK("https://my.pitchbook.com?c=507159-19", "View Company Online")</f>
      </c>
    </row>
    <row r="4573">
      <c r="A4573" t="s" s="11">
        <v>23103</v>
      </c>
      <c r="B4573" t="s" s="11">
        <v>23104</v>
      </c>
      <c r="C4573" t="s" s="11">
        <v>172</v>
      </c>
      <c r="D4573" t="s" s="11">
        <v>338</v>
      </c>
      <c r="E4573" t="s" s="11">
        <v>23105</v>
      </c>
      <c r="F4573" s="28">
        <v>45939</v>
      </c>
      <c r="G4573" t="s" s="11">
        <v>4267</v>
      </c>
      <c r="H4573" s="43">
        <v>15</v>
      </c>
      <c r="I4573" t="s" s="43">
        <v>30</v>
      </c>
      <c r="J4573" t="s" s="11">
        <v>23106</v>
      </c>
      <c r="K4573" t="s" s="11">
        <v>23107</v>
      </c>
      <c r="L4573" s="17">
        <f>HYPERLINK("http://www.cipherowl.com", "www.cipherowl.com")</f>
      </c>
      <c r="M4573" s="17">
        <f>HYPERLINK("https://my.pitchbook.com?c=687556-99", "View Company Online")</f>
      </c>
    </row>
    <row r="4574">
      <c r="A4574" t="s" s="10">
        <v>23109</v>
      </c>
      <c r="B4574" t="s" s="10">
        <v>23110</v>
      </c>
      <c r="C4574" t="s" s="10">
        <v>60</v>
      </c>
      <c r="D4574" t="s" s="10">
        <v>246</v>
      </c>
      <c r="E4574" t="s" s="10">
        <v>253</v>
      </c>
      <c r="F4574" s="27">
        <v>45054</v>
      </c>
      <c r="G4574" t="s" s="10">
        <v>4267</v>
      </c>
      <c r="H4574" s="42">
        <v>0.13</v>
      </c>
      <c r="I4574" t="s" s="42">
        <v>30</v>
      </c>
      <c r="J4574" t="s" s="10">
        <v>23111</v>
      </c>
      <c r="K4574" t="s" s="10">
        <v>15996</v>
      </c>
      <c r="L4574" s="16">
        <f>HYPERLINK("http://www.circlepay.me", "www.circlepay.me")</f>
      </c>
      <c r="M4574" s="16">
        <f>HYPERLINK("https://my.pitchbook.com?c=528410-80", "View Company Online")</f>
      </c>
    </row>
    <row r="4575">
      <c r="A4575" t="s" s="11">
        <v>23113</v>
      </c>
      <c r="B4575" t="s" s="11">
        <v>23114</v>
      </c>
      <c r="C4575" t="s" s="11">
        <v>46</v>
      </c>
      <c r="D4575" t="s" s="11">
        <v>915</v>
      </c>
      <c r="E4575" t="s" s="11">
        <v>4792</v>
      </c>
      <c r="F4575" s="28">
        <v>45846</v>
      </c>
      <c r="G4575" t="s" s="11">
        <v>4267</v>
      </c>
      <c r="H4575" s="43">
        <v>3.25</v>
      </c>
      <c r="I4575" t="s" s="43">
        <v>30</v>
      </c>
      <c r="J4575" t="s" s="11">
        <v>23115</v>
      </c>
      <c r="K4575" t="s" s="11">
        <v>23116</v>
      </c>
      <c r="L4575" s="17">
        <f>HYPERLINK("http://www.circonomit.com", "www.circonomit.com")</f>
      </c>
      <c r="M4575" s="17">
        <f>HYPERLINK("https://my.pitchbook.com?c=513112-06", "View Company Online")</f>
      </c>
    </row>
    <row r="4576">
      <c r="A4576" t="s" s="10">
        <v>23118</v>
      </c>
      <c r="B4576" t="s" s="10">
        <v>23119</v>
      </c>
      <c r="C4576" t="s" s="10">
        <v>164</v>
      </c>
      <c r="D4576" t="s" s="10">
        <v>206</v>
      </c>
      <c r="E4576" t="s" s="10">
        <v>130</v>
      </c>
      <c r="F4576" s="27">
        <v>45791</v>
      </c>
      <c r="G4576" t="s" s="10">
        <v>40</v>
      </c>
      <c r="H4576" s="42">
        <v>2.1</v>
      </c>
      <c r="I4576" t="s" s="42">
        <v>30</v>
      </c>
      <c r="J4576" t="s" s="10">
        <v>23120</v>
      </c>
      <c r="K4576" t="s" s="10">
        <v>23121</v>
      </c>
      <c r="L4576" s="16">
        <f>HYPERLINK("http://www.citics.vn", "www.citics.vn")</f>
      </c>
      <c r="M4576" s="16">
        <f>HYPERLINK("https://my.pitchbook.com?c=462160-18", "View Company Online")</f>
      </c>
    </row>
    <row r="4577">
      <c r="A4577" t="s" s="11">
        <v>23123</v>
      </c>
      <c r="B4577" t="s" s="11">
        <v>23124</v>
      </c>
      <c r="C4577" t="s" s="11">
        <v>164</v>
      </c>
      <c r="D4577" t="s" s="11">
        <v>165</v>
      </c>
      <c r="E4577" t="s" s="11">
        <v>137</v>
      </c>
      <c r="F4577" s="28">
        <v>45616</v>
      </c>
      <c r="G4577" t="s" s="11">
        <v>146</v>
      </c>
      <c r="H4577" t="s" s="43">
        <v>30</v>
      </c>
      <c r="I4577" t="s" s="43">
        <v>30</v>
      </c>
      <c r="J4577" t="s" s="11">
        <v>23125</v>
      </c>
      <c r="K4577" t="s" s="11">
        <v>23126</v>
      </c>
      <c r="L4577" s="17">
        <f>HYPERLINK("http://www.citoplus.com.au", "www.citoplus.com.au")</f>
      </c>
      <c r="M4577" s="17">
        <f>HYPERLINK("https://my.pitchbook.com?c=507381-49", "View Company Online")</f>
      </c>
    </row>
    <row r="4578">
      <c r="A4578" t="s" s="10">
        <v>23128</v>
      </c>
      <c r="B4578" t="s" s="10">
        <v>23129</v>
      </c>
      <c r="C4578" t="s" s="10">
        <v>27</v>
      </c>
      <c r="D4578" t="s" s="10">
        <v>70</v>
      </c>
      <c r="E4578" t="s" s="10">
        <v>20057</v>
      </c>
      <c r="F4578" s="27">
        <v>45231</v>
      </c>
      <c r="G4578" t="s" s="10">
        <v>146</v>
      </c>
      <c r="H4578" t="s" s="42">
        <v>30</v>
      </c>
      <c r="I4578" t="s" s="42">
        <v>30</v>
      </c>
      <c r="J4578" t="s" s="10">
        <v>23130</v>
      </c>
      <c r="K4578" t="s" s="10">
        <v>23131</v>
      </c>
      <c r="L4578" s="16">
        <f>HYPERLINK("http://www.withclad.com", "www.withclad.com")</f>
      </c>
      <c r="M4578" s="16">
        <f>HYPERLINK("https://my.pitchbook.com?c=509438-71", "View Company Online")</f>
      </c>
    </row>
    <row r="4579">
      <c r="A4579" t="s" s="11">
        <v>23133</v>
      </c>
      <c r="B4579" t="s" s="11">
        <v>23134</v>
      </c>
      <c r="C4579" t="s" s="11">
        <v>46</v>
      </c>
      <c r="D4579" t="s" s="11">
        <v>47</v>
      </c>
      <c r="E4579" t="s" s="11">
        <v>23135</v>
      </c>
      <c r="F4579" s="28">
        <v>46043</v>
      </c>
      <c r="G4579" t="s" s="11">
        <v>4267</v>
      </c>
      <c r="H4579" s="43">
        <v>4.4</v>
      </c>
      <c r="I4579" t="s" s="43">
        <v>30</v>
      </c>
      <c r="J4579" t="s" s="11">
        <v>23136</v>
      </c>
      <c r="K4579" t="s" s="11">
        <v>23137</v>
      </c>
      <c r="L4579" s="17">
        <f>HYPERLINK("http://www.claimhealth.com", "www.claimhealth.com")</f>
      </c>
      <c r="M4579" s="17">
        <f>HYPERLINK("https://my.pitchbook.com?c=863186-50", "View Company Online")</f>
      </c>
    </row>
    <row r="4580">
      <c r="A4580" t="s" s="10">
        <v>23139</v>
      </c>
      <c r="B4580" t="s" s="10">
        <v>23140</v>
      </c>
      <c r="C4580" t="s" s="10">
        <v>46</v>
      </c>
      <c r="D4580" t="s" s="10">
        <v>78</v>
      </c>
      <c r="E4580" t="s" s="10">
        <v>152</v>
      </c>
      <c r="F4580" s="27">
        <v>45798</v>
      </c>
      <c r="G4580" t="s" s="10">
        <v>40</v>
      </c>
      <c r="H4580" s="42">
        <v>23.2</v>
      </c>
      <c r="I4580" t="s" s="42">
        <v>30</v>
      </c>
      <c r="J4580" t="s" s="10">
        <v>23141</v>
      </c>
      <c r="K4580" t="s" s="10">
        <v>23142</v>
      </c>
      <c r="L4580" s="16">
        <f>HYPERLINK("http://www.getclair.com", "www.getclair.com")</f>
      </c>
      <c r="M4580" s="16">
        <f>HYPERLINK("https://my.pitchbook.com?c=434316-34", "View Company Online")</f>
      </c>
    </row>
    <row r="4581">
      <c r="A4581" t="s" s="11">
        <v>23144</v>
      </c>
      <c r="B4581" t="s" s="11">
        <v>23145</v>
      </c>
      <c r="C4581" t="s" s="11">
        <v>37</v>
      </c>
      <c r="D4581" t="s" s="11">
        <v>304</v>
      </c>
      <c r="E4581" t="s" s="11">
        <v>137</v>
      </c>
      <c r="F4581" s="28">
        <v>45868</v>
      </c>
      <c r="G4581" t="s" s="11">
        <v>146</v>
      </c>
      <c r="H4581" t="s" s="43">
        <v>30</v>
      </c>
      <c r="I4581" t="s" s="43">
        <v>30</v>
      </c>
      <c r="J4581" t="s" s="11">
        <v>23146</v>
      </c>
      <c r="K4581" t="s" s="11">
        <v>23147</v>
      </c>
      <c r="L4581" s="17">
        <f>HYPERLINK("http://www.claritypay.com", "www.claritypay.com")</f>
      </c>
      <c r="M4581" s="17">
        <f>HYPERLINK("https://my.pitchbook.com?c=616295-26", "View Company Online")</f>
      </c>
    </row>
    <row r="4582">
      <c r="A4582" t="s" s="10">
        <v>23149</v>
      </c>
      <c r="B4582" t="s" s="10">
        <v>23150</v>
      </c>
      <c r="C4582" t="s" s="10">
        <v>60</v>
      </c>
      <c r="D4582" t="s" s="10">
        <v>246</v>
      </c>
      <c r="E4582" t="s" s="10">
        <v>4075</v>
      </c>
      <c r="F4582" s="27">
        <v>44299</v>
      </c>
      <c r="G4582" t="s" s="10">
        <v>5274</v>
      </c>
      <c r="H4582" s="42">
        <v>1.3</v>
      </c>
      <c r="I4582" t="s" s="42">
        <v>30</v>
      </c>
      <c r="J4582" t="s" s="10">
        <v>23151</v>
      </c>
      <c r="K4582" t="s" s="10">
        <v>30</v>
      </c>
      <c r="L4582" s="16">
        <f>HYPERLINK("http://www.clarowellbeing.com", "www.clarowellbeing.com")</f>
      </c>
      <c r="M4582" s="16">
        <f>HYPERLINK("https://my.pitchbook.com?c=459156-16", "View Company Online")</f>
      </c>
    </row>
    <row r="4583">
      <c r="A4583" t="s" s="11">
        <v>23153</v>
      </c>
      <c r="B4583" t="s" s="11">
        <v>23154</v>
      </c>
      <c r="C4583" t="s" s="11">
        <v>114</v>
      </c>
      <c r="D4583" t="s" s="11">
        <v>136</v>
      </c>
      <c r="E4583" t="s" s="11">
        <v>859</v>
      </c>
      <c r="F4583" s="28">
        <v>46202</v>
      </c>
      <c r="G4583" t="s" s="11">
        <v>2051</v>
      </c>
      <c r="H4583" t="s" s="43">
        <v>30</v>
      </c>
      <c r="I4583" t="s" s="43">
        <v>30</v>
      </c>
      <c r="J4583" t="s" s="11">
        <v>23155</v>
      </c>
      <c r="K4583" t="s" s="11">
        <v>30</v>
      </c>
      <c r="L4583" s="17">
        <f>HYPERLINK("http://www.clavecreditos.com", "www.clavecreditos.com")</f>
      </c>
      <c r="M4583" s="17">
        <f>HYPERLINK("https://my.pitchbook.com?c=491120-47", "View Company Online")</f>
      </c>
    </row>
    <row r="4584">
      <c r="A4584" t="s" s="10">
        <v>23157</v>
      </c>
      <c r="B4584" t="s" s="10">
        <v>23158</v>
      </c>
      <c r="C4584" t="s" s="10">
        <v>164</v>
      </c>
      <c r="D4584" t="s" s="10">
        <v>206</v>
      </c>
      <c r="E4584" t="s" s="10">
        <v>253</v>
      </c>
      <c r="F4584" s="27">
        <v>45804</v>
      </c>
      <c r="G4584" t="s" s="10">
        <v>4267</v>
      </c>
      <c r="H4584" s="42">
        <v>1.6</v>
      </c>
      <c r="I4584" t="s" s="42">
        <v>30</v>
      </c>
      <c r="J4584" t="s" s="10">
        <v>23159</v>
      </c>
      <c r="K4584" t="s" s="10">
        <v>23160</v>
      </c>
      <c r="L4584" s="16">
        <f>HYPERLINK("http://www.clay.so", "www.clay.so")</f>
      </c>
      <c r="M4584" s="16">
        <f>HYPERLINK("https://my.pitchbook.com?c=557013-79", "View Company Online")</f>
      </c>
    </row>
    <row r="4585">
      <c r="A4585" t="s" s="11">
        <v>23162</v>
      </c>
      <c r="B4585" t="s" s="11">
        <v>23163</v>
      </c>
      <c r="C4585" t="s" s="11">
        <v>114</v>
      </c>
      <c r="D4585" t="s" s="11">
        <v>1386</v>
      </c>
      <c r="E4585" t="s" s="11">
        <v>414</v>
      </c>
      <c r="F4585" s="28">
        <v>45736</v>
      </c>
      <c r="G4585" t="s" s="11">
        <v>4267</v>
      </c>
      <c r="H4585" s="43">
        <v>10</v>
      </c>
      <c r="I4585" t="s" s="43">
        <v>30</v>
      </c>
      <c r="J4585" t="s" s="11">
        <v>23164</v>
      </c>
      <c r="K4585" t="s" s="11">
        <v>23165</v>
      </c>
      <c r="L4585" s="17">
        <f>HYPERLINK("http://www.cleargrid.ai", "www.cleargrid.ai")</f>
      </c>
      <c r="M4585" s="17">
        <f>HYPERLINK("https://my.pitchbook.com?c=540872-56", "View Company Online")</f>
      </c>
    </row>
    <row r="4586">
      <c r="A4586" t="s" s="10">
        <v>23167</v>
      </c>
      <c r="B4586" t="s" s="10">
        <v>23168</v>
      </c>
      <c r="C4586" t="s" s="10">
        <v>46</v>
      </c>
      <c r="D4586" t="s" s="10">
        <v>397</v>
      </c>
      <c r="E4586" t="s" s="10">
        <v>1032</v>
      </c>
      <c r="F4586" s="27">
        <v>45170</v>
      </c>
      <c r="G4586" t="s" s="10">
        <v>146</v>
      </c>
      <c r="H4586" s="42">
        <v>1</v>
      </c>
      <c r="I4586" t="s" s="42">
        <v>30</v>
      </c>
      <c r="J4586" t="s" s="10">
        <v>23169</v>
      </c>
      <c r="K4586" t="s" s="10">
        <v>23170</v>
      </c>
      <c r="L4586" s="16">
        <f>HYPERLINK("http://www.getclearing.co", "www.getclearing.co")</f>
      </c>
      <c r="M4586" s="16">
        <f>HYPERLINK("https://my.pitchbook.com?c=498380-14", "View Company Online")</f>
      </c>
    </row>
    <row r="4587">
      <c r="A4587" t="s" s="11">
        <v>23172</v>
      </c>
      <c r="B4587" t="s" s="11">
        <v>23173</v>
      </c>
      <c r="C4587" t="s" s="11">
        <v>114</v>
      </c>
      <c r="D4587" t="s" s="11">
        <v>870</v>
      </c>
      <c r="E4587" t="s" s="11">
        <v>137</v>
      </c>
      <c r="F4587" s="28">
        <v>46105</v>
      </c>
      <c r="G4587" t="s" s="11">
        <v>40</v>
      </c>
      <c r="H4587" s="43">
        <v>35</v>
      </c>
      <c r="I4587" t="s" s="43">
        <v>30</v>
      </c>
      <c r="J4587" t="s" s="11">
        <v>23174</v>
      </c>
      <c r="K4587" t="s" s="11">
        <v>23175</v>
      </c>
      <c r="L4587" s="17">
        <f>HYPERLINK("http://www.clearinghousecdfi.com", "www.clearinghousecdfi.com")</f>
      </c>
      <c r="M4587" s="17">
        <f>HYPERLINK("https://my.pitchbook.com?c=119008-00", "View Company Online")</f>
      </c>
    </row>
    <row r="4588">
      <c r="A4588" t="s" s="10">
        <v>23177</v>
      </c>
      <c r="B4588" t="s" s="10">
        <v>23178</v>
      </c>
      <c r="C4588" t="s" s="10">
        <v>222</v>
      </c>
      <c r="D4588" t="s" s="10">
        <v>235</v>
      </c>
      <c r="E4588" t="s" s="10">
        <v>373</v>
      </c>
      <c r="F4588" s="27">
        <v>45754</v>
      </c>
      <c r="G4588" t="s" s="10">
        <v>4267</v>
      </c>
      <c r="H4588" s="42">
        <v>1.45</v>
      </c>
      <c r="I4588" t="s" s="42">
        <v>30</v>
      </c>
      <c r="J4588" t="s" s="10">
        <v>23179</v>
      </c>
      <c r="K4588" t="s" s="10">
        <v>30</v>
      </c>
      <c r="L4588" s="16">
        <f>HYPERLINK("http://www.clearlyacquired.com", "www.clearlyacquired.com")</f>
      </c>
      <c r="M4588" s="16">
        <f>HYPERLINK("https://my.pitchbook.com?c=713268-28", "View Company Online")</f>
      </c>
    </row>
    <row r="4589">
      <c r="A4589" t="s" s="11">
        <v>23181</v>
      </c>
      <c r="B4589" t="s" s="11">
        <v>23182</v>
      </c>
      <c r="C4589" t="s" s="11">
        <v>144</v>
      </c>
      <c r="D4589" t="s" s="11">
        <v>38</v>
      </c>
      <c r="E4589" t="s" s="11">
        <v>973</v>
      </c>
      <c r="F4589" s="28">
        <v>45442</v>
      </c>
      <c r="G4589" t="s" s="11">
        <v>607</v>
      </c>
      <c r="H4589" t="s" s="43">
        <v>30</v>
      </c>
      <c r="I4589" t="s" s="43">
        <v>30</v>
      </c>
      <c r="J4589" t="s" s="11">
        <v>23183</v>
      </c>
      <c r="K4589" t="s" s="11">
        <v>23184</v>
      </c>
      <c r="L4589" s="17">
        <f>HYPERLINK("http://www.getcleva.com", "www.getcleva.com")</f>
      </c>
      <c r="M4589" s="17">
        <f>HYPERLINK("https://my.pitchbook.com?c=534702-88", "View Company Online")</f>
      </c>
    </row>
    <row r="4590">
      <c r="A4590" t="s" s="10">
        <v>23186</v>
      </c>
      <c r="B4590" t="s" s="10">
        <v>23187</v>
      </c>
      <c r="C4590" t="s" s="10">
        <v>60</v>
      </c>
      <c r="D4590" t="s" s="10">
        <v>727</v>
      </c>
      <c r="E4590" t="s" s="10">
        <v>623</v>
      </c>
      <c r="F4590" t="s" s="27">
        <v>30</v>
      </c>
      <c r="G4590" t="s" s="10">
        <v>40</v>
      </c>
      <c r="H4590" s="42">
        <v>1.53</v>
      </c>
      <c r="I4590" t="s" s="42">
        <v>30</v>
      </c>
      <c r="J4590" t="s" s="10">
        <v>23188</v>
      </c>
      <c r="K4590" t="s" s="10">
        <v>23189</v>
      </c>
      <c r="L4590" s="16">
        <f>HYPERLINK("http://www.click.markets", "www.click.markets")</f>
      </c>
      <c r="M4590" s="16">
        <f>HYPERLINK("https://my.pitchbook.com?c=169865-47", "View Company Online")</f>
      </c>
    </row>
    <row r="4591">
      <c r="A4591" t="s" s="11">
        <v>23191</v>
      </c>
      <c r="B4591" t="s" s="11">
        <v>23192</v>
      </c>
      <c r="C4591" t="s" s="11">
        <v>144</v>
      </c>
      <c r="D4591" t="s" s="11">
        <v>297</v>
      </c>
      <c r="E4591" t="s" s="11">
        <v>137</v>
      </c>
      <c r="F4591" t="s" s="28">
        <v>30</v>
      </c>
      <c r="G4591" t="s" s="11">
        <v>48</v>
      </c>
      <c r="H4591" t="s" s="43">
        <v>30</v>
      </c>
      <c r="I4591" t="s" s="43">
        <v>30</v>
      </c>
      <c r="J4591" t="s" s="11">
        <v>23193</v>
      </c>
      <c r="K4591" t="s" s="11">
        <v>23194</v>
      </c>
      <c r="L4591" s="17">
        <f>HYPERLINK("http://www.clicklease.com", "www.clicklease.com")</f>
      </c>
      <c r="M4591" s="17">
        <f>HYPERLINK("https://my.pitchbook.com?c=228581-65", "View Company Online")</f>
      </c>
    </row>
    <row r="4592">
      <c r="A4592" t="s" s="10">
        <v>23196</v>
      </c>
      <c r="B4592" t="s" s="10">
        <v>23197</v>
      </c>
      <c r="C4592" t="s" s="10">
        <v>164</v>
      </c>
      <c r="D4592" t="s" s="10">
        <v>165</v>
      </c>
      <c r="E4592" t="s" s="10">
        <v>2293</v>
      </c>
      <c r="F4592" t="s" s="27">
        <v>30</v>
      </c>
      <c r="G4592" t="s" s="10">
        <v>40</v>
      </c>
      <c r="H4592" t="s" s="42">
        <v>30</v>
      </c>
      <c r="I4592" t="s" s="42">
        <v>30</v>
      </c>
      <c r="J4592" t="s" s="10">
        <v>23198</v>
      </c>
      <c r="K4592" t="s" s="10">
        <v>23199</v>
      </c>
      <c r="L4592" s="16">
        <f>HYPERLINK("http://www.clik.ai", "www.clik.ai")</f>
      </c>
      <c r="M4592" s="16">
        <f>HYPERLINK("https://my.pitchbook.com?c=223077-34", "View Company Online")</f>
      </c>
    </row>
    <row r="4593">
      <c r="A4593" t="s" s="11">
        <v>23201</v>
      </c>
      <c r="B4593" t="s" s="11">
        <v>23202</v>
      </c>
      <c r="C4593" t="s" s="11">
        <v>222</v>
      </c>
      <c r="D4593" t="s" s="11">
        <v>235</v>
      </c>
      <c r="E4593" t="s" s="11">
        <v>23203</v>
      </c>
      <c r="F4593" s="28">
        <v>45931</v>
      </c>
      <c r="G4593" t="s" s="11">
        <v>4267</v>
      </c>
      <c r="H4593" t="s" s="43">
        <v>30</v>
      </c>
      <c r="I4593" t="s" s="43">
        <v>30</v>
      </c>
      <c r="J4593" t="s" s="11">
        <v>23204</v>
      </c>
      <c r="K4593" t="s" s="11">
        <v>23205</v>
      </c>
      <c r="L4593" s="17">
        <f>HYPERLINK("http://www.heyclimb.com", "www.heyclimb.com")</f>
      </c>
      <c r="M4593" s="17">
        <f>HYPERLINK("https://my.pitchbook.com?c=1157779-63", "View Company Online")</f>
      </c>
    </row>
    <row r="4594">
      <c r="A4594" t="s" s="10">
        <v>23207</v>
      </c>
      <c r="B4594" t="s" s="10">
        <v>23208</v>
      </c>
      <c r="C4594" t="s" s="10">
        <v>222</v>
      </c>
      <c r="D4594" t="s" s="10">
        <v>235</v>
      </c>
      <c r="E4594" t="s" s="10">
        <v>23209</v>
      </c>
      <c r="F4594" s="27">
        <v>45540</v>
      </c>
      <c r="G4594" t="s" s="10">
        <v>146</v>
      </c>
      <c r="H4594" t="s" s="42">
        <v>30</v>
      </c>
      <c r="I4594" t="s" s="42">
        <v>30</v>
      </c>
      <c r="J4594" t="s" s="10">
        <v>23210</v>
      </c>
      <c r="K4594" t="s" s="10">
        <v>23211</v>
      </c>
      <c r="L4594" s="16">
        <f>HYPERLINK("http://www.climefi.com", "www.climefi.com")</f>
      </c>
      <c r="M4594" s="16">
        <f>HYPERLINK("https://my.pitchbook.com?c=512239-69", "View Company Online")</f>
      </c>
    </row>
    <row r="4595">
      <c r="A4595" t="s" s="11">
        <v>23213</v>
      </c>
      <c r="B4595" t="s" s="11">
        <v>23214</v>
      </c>
      <c r="C4595" t="s" s="11">
        <v>37</v>
      </c>
      <c r="D4595" t="s" s="11">
        <v>38</v>
      </c>
      <c r="E4595" t="s" s="11">
        <v>23215</v>
      </c>
      <c r="F4595" s="28">
        <v>44830</v>
      </c>
      <c r="G4595" t="s" s="11">
        <v>607</v>
      </c>
      <c r="H4595" s="43">
        <v>0.05</v>
      </c>
      <c r="I4595" t="s" s="43">
        <v>30</v>
      </c>
      <c r="J4595" t="s" s="11">
        <v>23216</v>
      </c>
      <c r="K4595" t="s" s="11">
        <v>23217</v>
      </c>
      <c r="L4595" s="17">
        <f>HYPERLINK("http://clinicpesa.com", "clinicpesa.com")</f>
      </c>
      <c r="M4595" s="17">
        <f>HYPERLINK("https://my.pitchbook.com?c=277867-45", "View Company Online")</f>
      </c>
    </row>
    <row r="4596">
      <c r="A4596" t="s" s="10">
        <v>23219</v>
      </c>
      <c r="B4596" t="s" s="10">
        <v>23220</v>
      </c>
      <c r="C4596" t="s" s="10">
        <v>27</v>
      </c>
      <c r="D4596" t="s" s="10">
        <v>28</v>
      </c>
      <c r="E4596" t="s" s="10">
        <v>403</v>
      </c>
      <c r="F4596" s="27">
        <v>46161</v>
      </c>
      <c r="G4596" t="s" s="10">
        <v>4267</v>
      </c>
      <c r="H4596" s="42">
        <v>1</v>
      </c>
      <c r="I4596" t="s" s="42">
        <v>30</v>
      </c>
      <c r="J4596" t="s" s="10">
        <v>23221</v>
      </c>
      <c r="K4596" t="s" s="10">
        <v>23222</v>
      </c>
      <c r="L4596" s="16">
        <f>HYPERLINK("http://www.clopos.com", "www.clopos.com")</f>
      </c>
      <c r="M4596" s="16">
        <f>HYPERLINK("https://my.pitchbook.com?c=541149-22", "View Company Online")</f>
      </c>
    </row>
    <row r="4597">
      <c r="A4597" t="s" s="11">
        <v>23224</v>
      </c>
      <c r="B4597" t="s" s="11">
        <v>23225</v>
      </c>
      <c r="C4597" t="s" s="11">
        <v>114</v>
      </c>
      <c r="D4597" t="s" s="11">
        <v>870</v>
      </c>
      <c r="E4597" t="s" s="11">
        <v>15361</v>
      </c>
      <c r="F4597" s="28">
        <v>45976</v>
      </c>
      <c r="G4597" t="s" s="11">
        <v>607</v>
      </c>
      <c r="H4597" t="s" s="43">
        <v>30</v>
      </c>
      <c r="I4597" t="s" s="43">
        <v>30</v>
      </c>
      <c r="J4597" t="s" s="11">
        <v>23226</v>
      </c>
      <c r="K4597" t="s" s="11">
        <v>23227</v>
      </c>
      <c r="L4597" s="17">
        <f>HYPERLINK("http://www.cloq.app", "www.cloq.app")</f>
      </c>
      <c r="M4597" s="17">
        <f>HYPERLINK("https://my.pitchbook.com?c=277682-50", "View Company Online")</f>
      </c>
    </row>
    <row r="4598">
      <c r="A4598" t="s" s="10">
        <v>23229</v>
      </c>
      <c r="B4598" t="s" s="10">
        <v>23230</v>
      </c>
      <c r="C4598" t="s" s="10">
        <v>27</v>
      </c>
      <c r="D4598" t="s" s="10">
        <v>70</v>
      </c>
      <c r="E4598" t="s" s="10">
        <v>629</v>
      </c>
      <c r="F4598" s="27">
        <v>45778</v>
      </c>
      <c r="G4598" t="s" s="10">
        <v>146</v>
      </c>
      <c r="H4598" t="s" s="42">
        <v>30</v>
      </c>
      <c r="I4598" t="s" s="42">
        <v>30</v>
      </c>
      <c r="J4598" t="s" s="10">
        <v>23231</v>
      </c>
      <c r="K4598" t="s" s="10">
        <v>23232</v>
      </c>
      <c r="L4598" s="16">
        <f>HYPERLINK("http://www.cngn.co", "www.cngn.co")</f>
      </c>
      <c r="M4598" s="16">
        <f>HYPERLINK("https://my.pitchbook.com?c=820769-14", "View Company Online")</f>
      </c>
    </row>
    <row r="4599">
      <c r="A4599" t="s" s="11">
        <v>23234</v>
      </c>
      <c r="B4599" t="s" s="11">
        <v>23235</v>
      </c>
      <c r="C4599" t="s" s="11">
        <v>114</v>
      </c>
      <c r="D4599" t="s" s="11">
        <v>852</v>
      </c>
      <c r="E4599" t="s" s="11">
        <v>367</v>
      </c>
      <c r="F4599" s="28">
        <v>44641</v>
      </c>
      <c r="G4599" t="s" s="11">
        <v>4267</v>
      </c>
      <c r="H4599" s="43">
        <v>2.65</v>
      </c>
      <c r="I4599" t="s" s="43">
        <v>30</v>
      </c>
      <c r="J4599" t="s" s="11">
        <v>23236</v>
      </c>
      <c r="K4599" t="s" s="11">
        <v>30</v>
      </c>
      <c r="L4599" s="17">
        <f>HYPERLINK("http://www.coaxion.com", "www.coaxion.com")</f>
      </c>
      <c r="M4599" s="17">
        <f>HYPERLINK("https://my.pitchbook.com?c=465601-51", "View Company Online")</f>
      </c>
    </row>
    <row r="4600">
      <c r="A4600" t="s" s="10">
        <v>23238</v>
      </c>
      <c r="B4600" t="s" s="10">
        <v>23239</v>
      </c>
      <c r="C4600" t="s" s="10">
        <v>128</v>
      </c>
      <c r="D4600" t="s" s="10">
        <v>276</v>
      </c>
      <c r="E4600" t="s" s="10">
        <v>253</v>
      </c>
      <c r="F4600" s="27">
        <v>45321</v>
      </c>
      <c r="G4600" t="s" s="10">
        <v>4267</v>
      </c>
      <c r="H4600" s="42">
        <v>2.2</v>
      </c>
      <c r="I4600" t="s" s="42">
        <v>30</v>
      </c>
      <c r="J4600" t="s" s="10">
        <v>23240</v>
      </c>
      <c r="K4600" t="s" s="10">
        <v>23241</v>
      </c>
      <c r="L4600" s="16">
        <f>HYPERLINK("http://www.coba.ai", "www.coba.ai")</f>
      </c>
      <c r="M4600" s="16">
        <f>HYPERLINK("https://my.pitchbook.com?c=530049-07", "View Company Online")</f>
      </c>
    </row>
    <row r="4601">
      <c r="A4601" t="s" s="11">
        <v>23243</v>
      </c>
      <c r="B4601" t="s" s="11">
        <v>23244</v>
      </c>
      <c r="C4601" t="s" s="11">
        <v>222</v>
      </c>
      <c r="D4601" t="s" s="11">
        <v>252</v>
      </c>
      <c r="E4601" t="s" s="11">
        <v>137</v>
      </c>
      <c r="F4601" s="28">
        <v>44001</v>
      </c>
      <c r="G4601" t="s" s="11">
        <v>146</v>
      </c>
      <c r="H4601" s="43">
        <v>0.35</v>
      </c>
      <c r="I4601" t="s" s="43">
        <v>30</v>
      </c>
      <c r="J4601" t="s" s="11">
        <v>23245</v>
      </c>
      <c r="K4601" t="s" s="11">
        <v>23246</v>
      </c>
      <c r="L4601" s="17">
        <f>HYPERLINK("http://www.cobaltfundservices.com", "www.cobaltfundservices.com")</f>
      </c>
      <c r="M4601" s="17">
        <f>HYPERLINK("https://my.pitchbook.com?c=435822-85", "View Company Online")</f>
      </c>
    </row>
    <row r="4602">
      <c r="A4602" t="s" s="10">
        <v>23248</v>
      </c>
      <c r="B4602" t="s" s="10">
        <v>23249</v>
      </c>
      <c r="C4602" t="s" s="10">
        <v>164</v>
      </c>
      <c r="D4602" t="s" s="10">
        <v>206</v>
      </c>
      <c r="E4602" t="s" s="10">
        <v>1065</v>
      </c>
      <c r="F4602" s="27">
        <v>45541</v>
      </c>
      <c r="G4602" t="s" s="10">
        <v>40</v>
      </c>
      <c r="H4602" s="42">
        <v>48</v>
      </c>
      <c r="I4602" t="s" s="42">
        <v>30</v>
      </c>
      <c r="J4602" t="s" s="10">
        <v>23250</v>
      </c>
      <c r="K4602" t="s" s="10">
        <v>23251</v>
      </c>
      <c r="L4602" s="16">
        <f>HYPERLINK("http://www.cobre.com", "www.cobre.com")</f>
      </c>
      <c r="M4602" s="16">
        <f>HYPERLINK("https://my.pitchbook.com?c=470673-91", "View Company Online")</f>
      </c>
    </row>
    <row r="4603">
      <c r="A4603" t="s" s="11">
        <v>23253</v>
      </c>
      <c r="B4603" t="s" s="11">
        <v>23254</v>
      </c>
      <c r="C4603" t="s" s="11">
        <v>164</v>
      </c>
      <c r="D4603" t="s" s="11">
        <v>165</v>
      </c>
      <c r="E4603" t="s" s="11">
        <v>759</v>
      </c>
      <c r="F4603" s="28">
        <v>45784</v>
      </c>
      <c r="G4603" t="s" s="11">
        <v>40</v>
      </c>
      <c r="H4603" s="43">
        <v>10.23</v>
      </c>
      <c r="I4603" t="s" s="43">
        <v>30</v>
      </c>
      <c r="J4603" t="s" s="11">
        <v>23255</v>
      </c>
      <c r="K4603" t="s" s="11">
        <v>30</v>
      </c>
      <c r="L4603" s="17">
        <f>HYPERLINK("http://www.cocc.com", "www.cocc.com")</f>
      </c>
      <c r="M4603" s="17">
        <f>HYPERLINK("https://my.pitchbook.com?c=54586-90", "View Company Online")</f>
      </c>
    </row>
    <row r="4604">
      <c r="A4604" t="s" s="10">
        <v>23257</v>
      </c>
      <c r="B4604" t="s" s="10">
        <v>23258</v>
      </c>
      <c r="C4604" t="s" s="10">
        <v>128</v>
      </c>
      <c r="D4604" t="s" s="10">
        <v>276</v>
      </c>
      <c r="E4604" t="s" s="10">
        <v>23259</v>
      </c>
      <c r="F4604" s="27">
        <v>45292</v>
      </c>
      <c r="G4604" t="s" s="10">
        <v>271</v>
      </c>
      <c r="H4604" s="42">
        <v>0.52</v>
      </c>
      <c r="I4604" t="s" s="42">
        <v>30</v>
      </c>
      <c r="J4604" t="s" s="10">
        <v>23260</v>
      </c>
      <c r="K4604" t="s" s="10">
        <v>23261</v>
      </c>
      <c r="L4604" s="16">
        <f>HYPERLINK("http://www.cocomercado.com", "www.cocomercado.com")</f>
      </c>
      <c r="M4604" s="16">
        <f>HYPERLINK("https://my.pitchbook.com?c=279540-28", "View Company Online")</f>
      </c>
    </row>
    <row r="4605">
      <c r="A4605" t="s" s="11">
        <v>23263</v>
      </c>
      <c r="B4605" t="s" s="11">
        <v>23264</v>
      </c>
      <c r="C4605" t="s" s="11">
        <v>164</v>
      </c>
      <c r="D4605" t="s" s="11">
        <v>206</v>
      </c>
      <c r="E4605" t="s" s="11">
        <v>253</v>
      </c>
      <c r="F4605" s="28">
        <v>45231</v>
      </c>
      <c r="G4605" t="s" s="11">
        <v>146</v>
      </c>
      <c r="H4605" t="s" s="43">
        <v>30</v>
      </c>
      <c r="I4605" t="s" s="43">
        <v>30</v>
      </c>
      <c r="J4605" t="s" s="11">
        <v>23265</v>
      </c>
      <c r="K4605" t="s" s="11">
        <v>23266</v>
      </c>
      <c r="L4605" s="17">
        <f>HYPERLINK("http://www.cofi.ai", "www.cofi.ai")</f>
      </c>
      <c r="M4605" s="17">
        <f>HYPERLINK("https://my.pitchbook.com?c=493703-92", "View Company Online")</f>
      </c>
    </row>
    <row r="4606">
      <c r="A4606" t="s" s="10">
        <v>23268</v>
      </c>
      <c r="B4606" t="s" s="10">
        <v>23269</v>
      </c>
      <c r="C4606" t="s" s="10">
        <v>27</v>
      </c>
      <c r="D4606" t="s" s="10">
        <v>28</v>
      </c>
      <c r="E4606" t="s" s="10">
        <v>23270</v>
      </c>
      <c r="F4606" s="27">
        <v>46023</v>
      </c>
      <c r="G4606" t="s" s="10">
        <v>186</v>
      </c>
      <c r="H4606" t="s" s="42">
        <v>30</v>
      </c>
      <c r="I4606" t="s" s="42">
        <v>30</v>
      </c>
      <c r="J4606" t="s" s="10">
        <v>23271</v>
      </c>
      <c r="K4606" t="s" s="10">
        <v>23272</v>
      </c>
      <c r="L4606" s="16">
        <f>HYPERLINK("http://www.cofimd.com", "www.cofimd.com")</f>
      </c>
      <c r="M4606" s="16">
        <f>HYPERLINK("https://my.pitchbook.com?c=437649-76", "View Company Online")</f>
      </c>
    </row>
    <row r="4607">
      <c r="A4607" t="s" s="11">
        <v>23274</v>
      </c>
      <c r="B4607" t="s" s="11">
        <v>23275</v>
      </c>
      <c r="C4607" t="s" s="11">
        <v>27</v>
      </c>
      <c r="D4607" t="s" s="11">
        <v>70</v>
      </c>
      <c r="E4607" t="s" s="11">
        <v>859</v>
      </c>
      <c r="F4607" s="28">
        <v>46013</v>
      </c>
      <c r="G4607" t="s" s="11">
        <v>4267</v>
      </c>
      <c r="H4607" s="43">
        <v>4.2</v>
      </c>
      <c r="I4607" t="s" s="43">
        <v>30</v>
      </c>
      <c r="J4607" t="s" s="11">
        <v>23276</v>
      </c>
      <c r="K4607" t="s" s="11">
        <v>23277</v>
      </c>
      <c r="L4607" s="17">
        <f>HYPERLINK("http://www.coinbax.com", "www.coinbax.com")</f>
      </c>
      <c r="M4607" s="17">
        <f>HYPERLINK("https://my.pitchbook.com?c=1167812-20", "View Company Online")</f>
      </c>
    </row>
    <row r="4608">
      <c r="A4608" t="s" s="10">
        <v>23279</v>
      </c>
      <c r="B4608" t="s" s="10">
        <v>23280</v>
      </c>
      <c r="C4608" t="s" s="10">
        <v>60</v>
      </c>
      <c r="D4608" t="s" s="10">
        <v>192</v>
      </c>
      <c r="E4608" t="s" s="10">
        <v>859</v>
      </c>
      <c r="F4608" s="27">
        <v>46035</v>
      </c>
      <c r="G4608" t="s" s="10">
        <v>391</v>
      </c>
      <c r="H4608" t="s" s="42">
        <v>30</v>
      </c>
      <c r="I4608" t="s" s="42">
        <v>30</v>
      </c>
      <c r="J4608" t="s" s="10">
        <v>23281</v>
      </c>
      <c r="K4608" t="s" s="10">
        <v>23282</v>
      </c>
      <c r="L4608" s="16">
        <f>HYPERLINK("http://www.coingecko.com", "www.coingecko.com")</f>
      </c>
      <c r="M4608" s="16">
        <f>HYPERLINK("https://my.pitchbook.com?c=277284-07", "View Company Online")</f>
      </c>
    </row>
    <row r="4609">
      <c r="A4609" t="s" s="11">
        <v>23284</v>
      </c>
      <c r="B4609" t="s" s="11">
        <v>23285</v>
      </c>
      <c r="C4609" t="s" s="11">
        <v>60</v>
      </c>
      <c r="D4609" t="s" s="11">
        <v>246</v>
      </c>
      <c r="E4609" t="s" s="11">
        <v>193</v>
      </c>
      <c r="F4609" t="s" s="28">
        <v>30</v>
      </c>
      <c r="G4609" t="s" s="11">
        <v>48</v>
      </c>
      <c r="H4609" t="s" s="43">
        <v>30</v>
      </c>
      <c r="I4609" t="s" s="43">
        <v>30</v>
      </c>
      <c r="J4609" t="s" s="11">
        <v>23286</v>
      </c>
      <c r="K4609" t="s" s="11">
        <v>23287</v>
      </c>
      <c r="L4609" s="17">
        <f>HYPERLINK("http://www.about.coinkeeper.me", "www.about.coinkeeper.me")</f>
      </c>
      <c r="M4609" s="17">
        <f>HYPERLINK("https://my.pitchbook.com?c=95884-57", "View Company Online")</f>
      </c>
    </row>
    <row r="4610">
      <c r="A4610" t="s" s="10">
        <v>23289</v>
      </c>
      <c r="B4610" t="s" s="10">
        <v>23290</v>
      </c>
      <c r="C4610" t="s" s="10">
        <v>164</v>
      </c>
      <c r="D4610" t="s" s="10">
        <v>206</v>
      </c>
      <c r="E4610" t="s" s="10">
        <v>859</v>
      </c>
      <c r="F4610" s="27">
        <v>45978</v>
      </c>
      <c r="G4610" t="s" s="10">
        <v>2651</v>
      </c>
      <c r="H4610" s="42">
        <v>0.02</v>
      </c>
      <c r="I4610" t="s" s="42">
        <v>30</v>
      </c>
      <c r="J4610" t="s" s="10">
        <v>23291</v>
      </c>
      <c r="K4610" t="s" s="10">
        <v>23292</v>
      </c>
      <c r="L4610" s="16">
        <f>HYPERLINK("http://www.cokeeps.com", "www.cokeeps.com")</f>
      </c>
      <c r="M4610" s="16">
        <f>HYPERLINK("https://my.pitchbook.com?c=849774-79", "View Company Online")</f>
      </c>
    </row>
    <row r="4611">
      <c r="A4611" t="s" s="11">
        <v>23294</v>
      </c>
      <c r="B4611" t="s" s="11">
        <v>23295</v>
      </c>
      <c r="C4611" t="s" s="11">
        <v>37</v>
      </c>
      <c r="D4611" t="s" s="11">
        <v>304</v>
      </c>
      <c r="E4611" t="s" s="11">
        <v>373</v>
      </c>
      <c r="F4611" s="28">
        <v>45595</v>
      </c>
      <c r="G4611" t="s" s="11">
        <v>40</v>
      </c>
      <c r="H4611" s="43">
        <v>9</v>
      </c>
      <c r="I4611" t="s" s="43">
        <v>30</v>
      </c>
      <c r="J4611" t="s" s="11">
        <v>23296</v>
      </c>
      <c r="K4611" t="s" s="11">
        <v>23297</v>
      </c>
      <c r="L4611" s="17">
        <f>HYPERLINK("http://www.colektia.com", "www.colektia.com")</f>
      </c>
      <c r="M4611" s="17">
        <f>HYPERLINK("https://my.pitchbook.com?c=279637-84", "View Company Online")</f>
      </c>
    </row>
    <row r="4612">
      <c r="A4612" t="s" s="10">
        <v>23299</v>
      </c>
      <c r="B4612" t="s" s="10">
        <v>23300</v>
      </c>
      <c r="C4612" t="s" s="10">
        <v>114</v>
      </c>
      <c r="D4612" t="s" s="10">
        <v>852</v>
      </c>
      <c r="E4612" t="s" s="10">
        <v>634</v>
      </c>
      <c r="F4612" s="27">
        <v>45306</v>
      </c>
      <c r="G4612" t="s" s="10">
        <v>146</v>
      </c>
      <c r="H4612" t="s" s="42">
        <v>30</v>
      </c>
      <c r="I4612" t="s" s="42">
        <v>30</v>
      </c>
      <c r="J4612" t="s" s="10">
        <v>23301</v>
      </c>
      <c r="K4612" t="s" s="10">
        <v>23302</v>
      </c>
      <c r="L4612" s="16">
        <f>HYPERLINK("http://www.collateraledge.com", "www.collateraledge.com")</f>
      </c>
      <c r="M4612" s="16">
        <f>HYPERLINK("https://my.pitchbook.com?c=462626-92", "View Company Online")</f>
      </c>
    </row>
    <row r="4613">
      <c r="A4613" t="s" s="11">
        <v>23304</v>
      </c>
      <c r="B4613" t="s" s="11">
        <v>23305</v>
      </c>
      <c r="C4613" t="s" s="11">
        <v>46</v>
      </c>
      <c r="D4613" t="s" s="11">
        <v>47</v>
      </c>
      <c r="E4613" t="s" s="11">
        <v>137</v>
      </c>
      <c r="F4613" s="28">
        <v>43832</v>
      </c>
      <c r="G4613" t="s" s="11">
        <v>4267</v>
      </c>
      <c r="H4613" s="43">
        <v>1</v>
      </c>
      <c r="I4613" t="s" s="43">
        <v>30</v>
      </c>
      <c r="J4613" t="s" s="11">
        <v>23306</v>
      </c>
      <c r="K4613" t="s" s="11">
        <v>23307</v>
      </c>
      <c r="L4613" s="17">
        <f>HYPERLINK("http://www.collbox.co", "www.collbox.co")</f>
      </c>
      <c r="M4613" s="17">
        <f>HYPERLINK("https://my.pitchbook.com?c=227996-56", "View Company Online")</f>
      </c>
    </row>
    <row r="4614">
      <c r="A4614" t="s" s="10">
        <v>23309</v>
      </c>
      <c r="B4614" t="s" s="10">
        <v>23310</v>
      </c>
      <c r="C4614" t="s" s="10">
        <v>60</v>
      </c>
      <c r="D4614" t="s" s="10">
        <v>727</v>
      </c>
      <c r="E4614" t="s" s="10">
        <v>137</v>
      </c>
      <c r="F4614" s="27">
        <v>43319</v>
      </c>
      <c r="G4614" t="s" s="10">
        <v>4267</v>
      </c>
      <c r="H4614" s="42">
        <v>1.05</v>
      </c>
      <c r="I4614" t="s" s="42">
        <v>30</v>
      </c>
      <c r="J4614" t="s" s="10">
        <v>23311</v>
      </c>
      <c r="K4614" t="s" s="10">
        <v>30</v>
      </c>
      <c r="L4614" s="16">
        <f>HYPERLINK("http://trade.collective2.com", "trade.collective2.com")</f>
      </c>
      <c r="M4614" s="16">
        <f>HYPERLINK("https://my.pitchbook.com?c=144044-11", "View Company Online")</f>
      </c>
    </row>
    <row r="4615">
      <c r="A4615" t="s" s="11">
        <v>23313</v>
      </c>
      <c r="B4615" t="s" s="11">
        <v>23314</v>
      </c>
      <c r="C4615" t="s" s="11">
        <v>46</v>
      </c>
      <c r="D4615" t="s" s="11">
        <v>47</v>
      </c>
      <c r="E4615" t="s" s="11">
        <v>1859</v>
      </c>
      <c r="F4615" s="28">
        <v>45838</v>
      </c>
      <c r="G4615" t="s" s="11">
        <v>4267</v>
      </c>
      <c r="H4615" t="s" s="43">
        <v>30</v>
      </c>
      <c r="I4615" t="s" s="43">
        <v>30</v>
      </c>
      <c r="J4615" t="s" s="11">
        <v>23315</v>
      </c>
      <c r="K4615" t="s" s="11">
        <v>23316</v>
      </c>
      <c r="L4615" s="17">
        <f>HYPERLINK("http://www.colllecta.com", "www.colllecta.com")</f>
      </c>
      <c r="M4615" s="17">
        <f>HYPERLINK("https://my.pitchbook.com?c=897570-01", "View Company Online")</f>
      </c>
    </row>
    <row r="4616">
      <c r="A4616" t="s" s="10">
        <v>23318</v>
      </c>
      <c r="B4616" t="s" s="10">
        <v>23319</v>
      </c>
      <c r="C4616" t="s" s="10">
        <v>27</v>
      </c>
      <c r="D4616" t="s" s="10">
        <v>70</v>
      </c>
      <c r="E4616" t="s" s="10">
        <v>859</v>
      </c>
      <c r="F4616" s="27">
        <v>46082</v>
      </c>
      <c r="G4616" t="s" s="10">
        <v>4267</v>
      </c>
      <c r="H4616" s="42">
        <v>0.5</v>
      </c>
      <c r="I4616" t="s" s="42">
        <v>30</v>
      </c>
      <c r="J4616" t="s" s="10">
        <v>23320</v>
      </c>
      <c r="K4616" t="s" s="10">
        <v>23321</v>
      </c>
      <c r="L4616" s="16">
        <f>HYPERLINK("http://www.colossus.credit", "www.colossus.credit")</f>
      </c>
      <c r="M4616" s="16">
        <f>HYPERLINK("https://my.pitchbook.com?c=1156331-53", "View Company Online")</f>
      </c>
    </row>
    <row r="4617">
      <c r="A4617" t="s" s="11">
        <v>23323</v>
      </c>
      <c r="B4617" t="s" s="11">
        <v>23324</v>
      </c>
      <c r="C4617" t="s" s="11">
        <v>46</v>
      </c>
      <c r="D4617" t="s" s="11">
        <v>47</v>
      </c>
      <c r="E4617" t="s" s="11">
        <v>4803</v>
      </c>
      <c r="F4617" s="28">
        <v>45962</v>
      </c>
      <c r="G4617" t="s" s="11">
        <v>146</v>
      </c>
      <c r="H4617" t="s" s="43">
        <v>30</v>
      </c>
      <c r="I4617" t="s" s="43">
        <v>30</v>
      </c>
      <c r="J4617" t="s" s="11">
        <v>23325</v>
      </c>
      <c r="K4617" t="s" s="11">
        <v>23326</v>
      </c>
      <c r="L4617" s="17">
        <f>HYPERLINK("http://www.combinehealth.ai", "www.combinehealth.ai")</f>
      </c>
      <c r="M4617" s="17">
        <f>HYPERLINK("https://my.pitchbook.com?c=772898-95", "View Company Online")</f>
      </c>
    </row>
    <row r="4618">
      <c r="A4618" t="s" s="10">
        <v>23328</v>
      </c>
      <c r="B4618" t="s" s="10">
        <v>23329</v>
      </c>
      <c r="C4618" t="s" s="10">
        <v>27</v>
      </c>
      <c r="D4618" t="s" s="10">
        <v>28</v>
      </c>
      <c r="E4618" t="s" s="10">
        <v>259</v>
      </c>
      <c r="F4618" s="27">
        <v>45943</v>
      </c>
      <c r="G4618" t="s" s="10">
        <v>4267</v>
      </c>
      <c r="H4618" s="42">
        <v>65</v>
      </c>
      <c r="I4618" t="s" s="42">
        <v>30</v>
      </c>
      <c r="J4618" t="s" s="10">
        <v>23330</v>
      </c>
      <c r="K4618" t="s" s="10">
        <v>23331</v>
      </c>
      <c r="L4618" s="16">
        <f>HYPERLINK("http://www.comfi.ai", "www.comfi.ai")</f>
      </c>
      <c r="M4618" s="16">
        <f>HYPERLINK("https://my.pitchbook.com?c=538145-83", "View Company Online")</f>
      </c>
    </row>
    <row r="4619">
      <c r="A4619" t="s" s="11">
        <v>23333</v>
      </c>
      <c r="B4619" t="s" s="11">
        <v>23334</v>
      </c>
      <c r="C4619" t="s" s="11">
        <v>60</v>
      </c>
      <c r="D4619" t="s" s="11">
        <v>727</v>
      </c>
      <c r="E4619" t="s" s="11">
        <v>193</v>
      </c>
      <c r="F4619" t="s" s="28">
        <v>30</v>
      </c>
      <c r="G4619" t="s" s="11">
        <v>48</v>
      </c>
      <c r="H4619" t="s" s="43">
        <v>30</v>
      </c>
      <c r="I4619" t="s" s="43">
        <v>30</v>
      </c>
      <c r="J4619" t="s" s="11">
        <v>23335</v>
      </c>
      <c r="K4619" t="s" s="11">
        <v>23336</v>
      </c>
      <c r="L4619" s="17">
        <f>HYPERLINK("http://www.joincommonwealth.com", "www.joincommonwealth.com")</f>
      </c>
      <c r="M4619" s="17">
        <f>HYPERLINK("https://my.pitchbook.com?c=399553-75", "View Company Online")</f>
      </c>
    </row>
    <row r="4620">
      <c r="A4620" t="s" s="10">
        <v>23338</v>
      </c>
      <c r="B4620" t="s" s="10">
        <v>23339</v>
      </c>
      <c r="C4620" t="s" s="10">
        <v>60</v>
      </c>
      <c r="D4620" t="s" s="10">
        <v>246</v>
      </c>
      <c r="E4620" t="s" s="10">
        <v>759</v>
      </c>
      <c r="F4620" t="s" s="27">
        <v>30</v>
      </c>
      <c r="G4620" t="s" s="10">
        <v>146</v>
      </c>
      <c r="H4620" s="42">
        <v>60</v>
      </c>
      <c r="I4620" t="s" s="42">
        <v>30</v>
      </c>
      <c r="J4620" t="s" s="10">
        <v>23340</v>
      </c>
      <c r="K4620" t="s" s="10">
        <v>23341</v>
      </c>
      <c r="L4620" s="16">
        <f>HYPERLINK("http://www.compareglobalgroup.com", "www.compareglobalgroup.com")</f>
      </c>
      <c r="M4620" s="16">
        <f>HYPERLINK("https://my.pitchbook.com?c=101171-71", "View Company Online")</f>
      </c>
    </row>
    <row r="4621">
      <c r="A4621" t="s" s="11">
        <v>23343</v>
      </c>
      <c r="B4621" t="s" s="11">
        <v>23344</v>
      </c>
      <c r="C4621" t="s" s="11">
        <v>46</v>
      </c>
      <c r="D4621" t="s" s="11">
        <v>915</v>
      </c>
      <c r="E4621" t="s" s="11">
        <v>373</v>
      </c>
      <c r="F4621" s="28">
        <v>45813</v>
      </c>
      <c r="G4621" t="s" s="11">
        <v>146</v>
      </c>
      <c r="H4621" s="43">
        <v>0.56</v>
      </c>
      <c r="I4621" t="s" s="43">
        <v>30</v>
      </c>
      <c r="J4621" t="s" s="11">
        <v>23345</v>
      </c>
      <c r="K4621" t="s" s="11">
        <v>20977</v>
      </c>
      <c r="L4621" s="17">
        <f>HYPERLINK("http://www.compassapp.ai", "www.compassapp.ai")</f>
      </c>
      <c r="M4621" s="17">
        <f>HYPERLINK("https://my.pitchbook.com?c=962018-02", "View Company Online")</f>
      </c>
    </row>
    <row r="4622">
      <c r="A4622" t="s" s="10">
        <v>23347</v>
      </c>
      <c r="B4622" t="s" s="10">
        <v>23348</v>
      </c>
      <c r="C4622" t="s" s="10">
        <v>164</v>
      </c>
      <c r="D4622" t="s" s="10">
        <v>165</v>
      </c>
      <c r="E4622" t="s" s="10">
        <v>634</v>
      </c>
      <c r="F4622" s="27">
        <v>43558</v>
      </c>
      <c r="G4622" t="s" s="10">
        <v>40</v>
      </c>
      <c r="H4622" s="42">
        <v>0.75</v>
      </c>
      <c r="I4622" t="s" s="42">
        <v>30</v>
      </c>
      <c r="J4622" t="s" s="10">
        <v>23349</v>
      </c>
      <c r="K4622" t="s" s="10">
        <v>23350</v>
      </c>
      <c r="L4622" s="16">
        <f>HYPERLINK("http://www.completeintel.com", "www.completeintel.com")</f>
      </c>
      <c r="M4622" s="16">
        <f>HYPERLINK("https://my.pitchbook.com?c=266648-32", "View Company Online")</f>
      </c>
    </row>
    <row r="4623">
      <c r="A4623" t="s" s="11">
        <v>23352</v>
      </c>
      <c r="B4623" t="s" s="11">
        <v>23353</v>
      </c>
      <c r="C4623" t="s" s="11">
        <v>172</v>
      </c>
      <c r="D4623" t="s" s="11">
        <v>338</v>
      </c>
      <c r="E4623" t="s" s="11">
        <v>373</v>
      </c>
      <c r="F4623" s="28">
        <v>45845</v>
      </c>
      <c r="G4623" t="s" s="11">
        <v>607</v>
      </c>
      <c r="H4623" t="s" s="43">
        <v>30</v>
      </c>
      <c r="I4623" t="s" s="43">
        <v>30</v>
      </c>
      <c r="J4623" t="s" s="11">
        <v>23354</v>
      </c>
      <c r="K4623" t="s" s="11">
        <v>23355</v>
      </c>
      <c r="L4623" s="17">
        <f>HYPERLINK("http://www.complyfirst.co", "www.complyfirst.co")</f>
      </c>
      <c r="M4623" s="17">
        <f>HYPERLINK("https://my.pitchbook.com?c=719753-32", "View Company Online")</f>
      </c>
    </row>
    <row r="4624">
      <c r="A4624" t="s" s="10">
        <v>23357</v>
      </c>
      <c r="B4624" t="s" s="10">
        <v>23358</v>
      </c>
      <c r="C4624" t="s" s="10">
        <v>46</v>
      </c>
      <c r="D4624" t="s" s="10">
        <v>78</v>
      </c>
      <c r="E4624" t="s" s="10">
        <v>152</v>
      </c>
      <c r="F4624" s="27">
        <v>45765</v>
      </c>
      <c r="G4624" t="s" s="10">
        <v>146</v>
      </c>
      <c r="H4624" s="42">
        <v>9.15</v>
      </c>
      <c r="I4624" t="s" s="42">
        <v>30</v>
      </c>
      <c r="J4624" t="s" s="10">
        <v>23359</v>
      </c>
      <c r="K4624" t="s" s="10">
        <v>23360</v>
      </c>
      <c r="L4624" s="16">
        <f>HYPERLINK("http://www.comprehensive.io", "www.comprehensive.io")</f>
      </c>
      <c r="M4624" s="16">
        <f>HYPERLINK("https://my.pitchbook.com?c=510094-99", "View Company Online")</f>
      </c>
    </row>
    <row r="4625">
      <c r="A4625" t="s" s="11">
        <v>23362</v>
      </c>
      <c r="B4625" t="s" s="11">
        <v>23363</v>
      </c>
      <c r="C4625" t="s" s="11">
        <v>46</v>
      </c>
      <c r="D4625" t="s" s="11">
        <v>397</v>
      </c>
      <c r="E4625" t="s" s="11">
        <v>29</v>
      </c>
      <c r="F4625" s="28">
        <v>44281</v>
      </c>
      <c r="G4625" t="s" s="11">
        <v>4267</v>
      </c>
      <c r="H4625" s="43">
        <v>1.79</v>
      </c>
      <c r="I4625" t="s" s="43">
        <v>30</v>
      </c>
      <c r="J4625" t="s" s="11">
        <v>23364</v>
      </c>
      <c r="K4625" t="s" s="11">
        <v>23365</v>
      </c>
      <c r="L4625" s="17">
        <f>HYPERLINK("http://www.comptalib.com", "www.comptalib.com")</f>
      </c>
      <c r="M4625" s="17">
        <f>HYPERLINK("https://my.pitchbook.com?c=467181-91", "View Company Online")</f>
      </c>
    </row>
    <row r="4626">
      <c r="A4626" t="s" s="10">
        <v>23367</v>
      </c>
      <c r="B4626" t="s" s="10">
        <v>23368</v>
      </c>
      <c r="C4626" t="s" s="10">
        <v>27</v>
      </c>
      <c r="D4626" t="s" s="10">
        <v>28</v>
      </c>
      <c r="E4626" t="s" s="10">
        <v>1065</v>
      </c>
      <c r="F4626" s="27">
        <v>44685</v>
      </c>
      <c r="G4626" t="s" s="10">
        <v>4267</v>
      </c>
      <c r="H4626" s="42">
        <v>21.5</v>
      </c>
      <c r="I4626" t="s" s="42">
        <v>30</v>
      </c>
      <c r="J4626" t="s" s="10">
        <v>23369</v>
      </c>
      <c r="K4626" t="s" s="10">
        <v>23370</v>
      </c>
      <c r="L4626" s="16">
        <f>HYPERLINK("http://www.concertosoft.com", "www.concertosoft.com")</f>
      </c>
      <c r="M4626" s="16">
        <f>HYPERLINK("https://my.pitchbook.com?c=496119-61", "View Company Online")</f>
      </c>
    </row>
    <row r="4627">
      <c r="A4627" t="s" s="11">
        <v>23372</v>
      </c>
      <c r="B4627" t="s" s="11">
        <v>23373</v>
      </c>
      <c r="C4627" t="s" s="11">
        <v>164</v>
      </c>
      <c r="D4627" t="s" s="11">
        <v>165</v>
      </c>
      <c r="E4627" t="s" s="11">
        <v>23374</v>
      </c>
      <c r="F4627" s="28">
        <v>45762</v>
      </c>
      <c r="G4627" t="s" s="11">
        <v>40</v>
      </c>
      <c r="H4627" s="43">
        <v>5</v>
      </c>
      <c r="I4627" t="s" s="43">
        <v>30</v>
      </c>
      <c r="J4627" t="s" s="11">
        <v>23375</v>
      </c>
      <c r="K4627" t="s" s="11">
        <v>30</v>
      </c>
      <c r="L4627" s="17">
        <f>HYPERLINK("http://www.conciliac.com", "www.conciliac.com")</f>
      </c>
      <c r="M4627" s="17">
        <f>HYPERLINK("https://my.pitchbook.com?c=498083-59", "View Company Online")</f>
      </c>
    </row>
    <row r="4628">
      <c r="A4628" t="s" s="10">
        <v>23377</v>
      </c>
      <c r="B4628" t="s" s="10">
        <v>23378</v>
      </c>
      <c r="C4628" t="s" s="10">
        <v>222</v>
      </c>
      <c r="D4628" t="s" s="10">
        <v>235</v>
      </c>
      <c r="E4628" t="s" s="10">
        <v>2782</v>
      </c>
      <c r="F4628" s="27">
        <v>43287</v>
      </c>
      <c r="G4628" t="s" s="10">
        <v>146</v>
      </c>
      <c r="H4628" s="42">
        <v>0.58</v>
      </c>
      <c r="I4628" t="s" s="42">
        <v>30</v>
      </c>
      <c r="J4628" t="s" s="10">
        <v>23379</v>
      </c>
      <c r="K4628" t="s" s="10">
        <v>23380</v>
      </c>
      <c r="L4628" s="16">
        <f>HYPERLINK("http://www.concreteinvesting.com", "www.concreteinvesting.com")</f>
      </c>
      <c r="M4628" s="16">
        <f>HYPERLINK("https://my.pitchbook.com?c=235287-28", "View Company Online")</f>
      </c>
    </row>
    <row r="4629">
      <c r="A4629" t="s" s="11">
        <v>23382</v>
      </c>
      <c r="B4629" t="s" s="11">
        <v>23383</v>
      </c>
      <c r="C4629" t="s" s="11">
        <v>114</v>
      </c>
      <c r="D4629" t="s" s="11">
        <v>115</v>
      </c>
      <c r="E4629" t="s" s="11">
        <v>137</v>
      </c>
      <c r="F4629" s="28">
        <v>44799</v>
      </c>
      <c r="G4629" t="s" s="11">
        <v>146</v>
      </c>
      <c r="H4629" s="43">
        <v>5.81</v>
      </c>
      <c r="I4629" t="s" s="43">
        <v>30</v>
      </c>
      <c r="J4629" t="s" s="11">
        <v>23384</v>
      </c>
      <c r="K4629" t="s" s="11">
        <v>23385</v>
      </c>
      <c r="L4629" s="17">
        <f>HYPERLINK("http://www.condolivre.com.br", "www.condolivre.com.br")</f>
      </c>
      <c r="M4629" s="17">
        <f>HYPERLINK("https://my.pitchbook.com?c=504169-39", "View Company Online")</f>
      </c>
    </row>
    <row r="4630">
      <c r="A4630" t="s" s="10">
        <v>23387</v>
      </c>
      <c r="B4630" t="s" s="10">
        <v>23388</v>
      </c>
      <c r="C4630" t="s" s="10">
        <v>114</v>
      </c>
      <c r="D4630" t="s" s="10">
        <v>1386</v>
      </c>
      <c r="E4630" t="s" s="10">
        <v>634</v>
      </c>
      <c r="F4630" s="27">
        <v>45740</v>
      </c>
      <c r="G4630" t="s" s="10">
        <v>607</v>
      </c>
      <c r="H4630" s="42">
        <v>0.12</v>
      </c>
      <c r="I4630" t="s" s="42">
        <v>30</v>
      </c>
      <c r="J4630" t="s" s="10">
        <v>23389</v>
      </c>
      <c r="K4630" t="s" s="10">
        <v>23390</v>
      </c>
      <c r="L4630" s="16">
        <f>HYPERLINK("http://www.conductiv.co", "www.conductiv.co")</f>
      </c>
      <c r="M4630" s="16">
        <f>HYPERLINK("https://my.pitchbook.com?c=454965-13", "View Company Online")</f>
      </c>
    </row>
    <row r="4631">
      <c r="A4631" t="s" s="11">
        <v>23392</v>
      </c>
      <c r="B4631" t="s" s="11">
        <v>23393</v>
      </c>
      <c r="C4631" t="s" s="11">
        <v>27</v>
      </c>
      <c r="D4631" t="s" s="11">
        <v>70</v>
      </c>
      <c r="E4631" t="s" s="11">
        <v>71</v>
      </c>
      <c r="F4631" s="28">
        <v>45721</v>
      </c>
      <c r="G4631" t="s" s="11">
        <v>146</v>
      </c>
      <c r="H4631" s="43">
        <v>35.94</v>
      </c>
      <c r="I4631" t="s" s="43">
        <v>30</v>
      </c>
      <c r="J4631" t="s" s="11">
        <v>23394</v>
      </c>
      <c r="K4631" t="s" s="11">
        <v>23395</v>
      </c>
      <c r="L4631" s="17">
        <f>HYPERLINK("http://www.conduitpay.com", "www.conduitpay.com")</f>
      </c>
      <c r="M4631" s="17">
        <f>HYPERLINK("https://my.pitchbook.com?c=483342-58", "View Company Online")</f>
      </c>
    </row>
    <row r="4632">
      <c r="A4632" t="s" s="10">
        <v>23397</v>
      </c>
      <c r="B4632" t="s" s="10">
        <v>23398</v>
      </c>
      <c r="C4632" t="s" s="10">
        <v>114</v>
      </c>
      <c r="D4632" t="s" s="10">
        <v>115</v>
      </c>
      <c r="E4632" t="s" s="10">
        <v>916</v>
      </c>
      <c r="F4632" s="27">
        <v>44816</v>
      </c>
      <c r="G4632" t="s" s="10">
        <v>4267</v>
      </c>
      <c r="H4632" s="42">
        <v>4</v>
      </c>
      <c r="I4632" t="s" s="42">
        <v>30</v>
      </c>
      <c r="J4632" t="s" s="10">
        <v>23399</v>
      </c>
      <c r="K4632" t="s" s="10">
        <v>30</v>
      </c>
      <c r="L4632" s="16">
        <f>HYPERLINK("http://www.confersolutions.ai", "www.confersolutions.ai")</f>
      </c>
      <c r="M4632" s="16">
        <f>HYPERLINK("https://my.pitchbook.com?c=507242-08", "View Company Online")</f>
      </c>
    </row>
    <row r="4633">
      <c r="A4633" t="s" s="11">
        <v>23401</v>
      </c>
      <c r="B4633" t="s" s="11">
        <v>23402</v>
      </c>
      <c r="C4633" t="s" s="11">
        <v>144</v>
      </c>
      <c r="D4633" t="s" s="11">
        <v>38</v>
      </c>
      <c r="E4633" t="s" s="11">
        <v>373</v>
      </c>
      <c r="F4633" s="28">
        <v>44896</v>
      </c>
      <c r="G4633" t="s" s="11">
        <v>146</v>
      </c>
      <c r="H4633" t="s" s="43">
        <v>30</v>
      </c>
      <c r="I4633" t="s" s="43">
        <v>30</v>
      </c>
      <c r="J4633" t="s" s="11">
        <v>23403</v>
      </c>
      <c r="K4633" t="s" s="11">
        <v>23404</v>
      </c>
      <c r="L4633" s="17">
        <f>HYPERLINK("http://www.confia.fi", "www.confia.fi")</f>
      </c>
      <c r="M4633" s="17">
        <f>HYPERLINK("https://my.pitchbook.com?c=467127-46", "View Company Online")</f>
      </c>
    </row>
    <row r="4634">
      <c r="A4634" t="s" s="10">
        <v>23406</v>
      </c>
      <c r="B4634" t="s" s="10">
        <v>23407</v>
      </c>
      <c r="C4634" t="s" s="10">
        <v>46</v>
      </c>
      <c r="D4634" t="s" s="10">
        <v>397</v>
      </c>
      <c r="E4634" t="s" s="10">
        <v>373</v>
      </c>
      <c r="F4634" s="27">
        <v>46085</v>
      </c>
      <c r="G4634" t="s" s="10">
        <v>40</v>
      </c>
      <c r="H4634" s="42">
        <v>24</v>
      </c>
      <c r="I4634" t="s" s="42">
        <v>30</v>
      </c>
      <c r="J4634" t="s" s="10">
        <v>23408</v>
      </c>
      <c r="K4634" t="s" s="10">
        <v>23409</v>
      </c>
      <c r="L4634" s="16">
        <f>HYPERLINK("http://www.confidotech.com", "www.confidotech.com")</f>
      </c>
      <c r="M4634" s="16">
        <f>HYPERLINK("https://my.pitchbook.com?c=519284-71", "View Company Online")</f>
      </c>
    </row>
    <row r="4635">
      <c r="A4635" t="s" s="11">
        <v>23411</v>
      </c>
      <c r="B4635" t="s" s="11">
        <v>23412</v>
      </c>
      <c r="C4635" t="s" s="11">
        <v>27</v>
      </c>
      <c r="D4635" t="s" s="11">
        <v>28</v>
      </c>
      <c r="E4635" t="s" s="11">
        <v>193</v>
      </c>
      <c r="F4635" s="28">
        <v>45448</v>
      </c>
      <c r="G4635" t="s" s="11">
        <v>4267</v>
      </c>
      <c r="H4635" s="43">
        <v>8</v>
      </c>
      <c r="I4635" t="s" s="43">
        <v>30</v>
      </c>
      <c r="J4635" t="s" s="11">
        <v>23413</v>
      </c>
      <c r="K4635" t="s" s="11">
        <v>23414</v>
      </c>
      <c r="L4635" s="17">
        <f>HYPERLINK("http://www.connect.money", "www.connect.money")</f>
      </c>
      <c r="M4635" s="17">
        <f>HYPERLINK("https://my.pitchbook.com?c=600820-75", "View Company Online")</f>
      </c>
    </row>
    <row r="4636">
      <c r="A4636" t="s" s="10">
        <v>23416</v>
      </c>
      <c r="B4636" t="s" s="10">
        <v>23417</v>
      </c>
      <c r="C4636" t="s" s="10">
        <v>46</v>
      </c>
      <c r="D4636" t="s" s="10">
        <v>78</v>
      </c>
      <c r="E4636" t="s" s="10">
        <v>23418</v>
      </c>
      <c r="F4636" s="27">
        <v>44126</v>
      </c>
      <c r="G4636" t="s" s="10">
        <v>40</v>
      </c>
      <c r="H4636" s="42">
        <v>6</v>
      </c>
      <c r="I4636" t="s" s="42">
        <v>30</v>
      </c>
      <c r="J4636" t="s" s="10">
        <v>23419</v>
      </c>
      <c r="K4636" t="s" s="10">
        <v>23420</v>
      </c>
      <c r="L4636" s="16">
        <f>HYPERLINK("http://www.connectpayusa.com", "www.connectpayusa.com")</f>
      </c>
      <c r="M4636" s="16">
        <f>HYPERLINK("https://my.pitchbook.com?c=168243-76", "View Company Online")</f>
      </c>
    </row>
    <row r="4637">
      <c r="A4637" t="s" s="11">
        <v>23422</v>
      </c>
      <c r="B4637" t="s" s="11">
        <v>23423</v>
      </c>
      <c r="C4637" t="s" s="11">
        <v>60</v>
      </c>
      <c r="D4637" t="s" s="11">
        <v>432</v>
      </c>
      <c r="E4637" t="s" s="11">
        <v>373</v>
      </c>
      <c r="F4637" s="28">
        <v>45926</v>
      </c>
      <c r="G4637" t="s" s="11">
        <v>40</v>
      </c>
      <c r="H4637" s="43">
        <v>110</v>
      </c>
      <c r="I4637" t="s" s="43">
        <v>30</v>
      </c>
      <c r="J4637" t="s" s="11">
        <v>23424</v>
      </c>
      <c r="K4637" t="s" s="11">
        <v>23425</v>
      </c>
      <c r="L4637" s="17">
        <f>HYPERLINK("http://www.conquestplanning.com", "www.conquestplanning.com")</f>
      </c>
      <c r="M4637" s="17">
        <f>HYPERLINK("https://my.pitchbook.com?c=403962-49", "View Company Online")</f>
      </c>
    </row>
    <row r="4638">
      <c r="A4638" t="s" s="10">
        <v>23427</v>
      </c>
      <c r="B4638" t="s" s="10">
        <v>23428</v>
      </c>
      <c r="C4638" t="s" s="10">
        <v>60</v>
      </c>
      <c r="D4638" t="s" s="10">
        <v>246</v>
      </c>
      <c r="E4638" t="s" s="10">
        <v>1652</v>
      </c>
      <c r="F4638" s="27">
        <v>44363</v>
      </c>
      <c r="G4638" t="s" s="10">
        <v>40</v>
      </c>
      <c r="H4638" s="42">
        <v>5.8</v>
      </c>
      <c r="I4638" t="s" s="42">
        <v>30</v>
      </c>
      <c r="J4638" t="s" s="10">
        <v>23429</v>
      </c>
      <c r="K4638" t="s" s="10">
        <v>23430</v>
      </c>
      <c r="L4638" s="16">
        <f>HYPERLINK("http://www.consorciei.com.br", "www.consorciei.com.br")</f>
      </c>
      <c r="M4638" s="16">
        <f>HYPERLINK("https://my.pitchbook.com?c=469157-95", "View Company Online")</f>
      </c>
    </row>
    <row r="4639">
      <c r="A4639" t="s" s="11">
        <v>23432</v>
      </c>
      <c r="B4639" t="s" s="11">
        <v>23433</v>
      </c>
      <c r="C4639" t="s" s="11">
        <v>46</v>
      </c>
      <c r="D4639" t="s" s="11">
        <v>397</v>
      </c>
      <c r="E4639" t="s" s="11">
        <v>1679</v>
      </c>
      <c r="F4639" s="28">
        <v>46023</v>
      </c>
      <c r="G4639" t="s" s="11">
        <v>48</v>
      </c>
      <c r="H4639" t="s" s="43">
        <v>30</v>
      </c>
      <c r="I4639" t="s" s="43">
        <v>30</v>
      </c>
      <c r="J4639" t="s" s="11">
        <v>23434</v>
      </c>
      <c r="K4639" t="s" s="11">
        <v>23435</v>
      </c>
      <c r="L4639" s="17">
        <f>HYPERLINK("http://www.contabilizei.com.br", "www.contabilizei.com.br")</f>
      </c>
      <c r="M4639" s="17">
        <f>HYPERLINK("https://my.pitchbook.com?c=118190-71", "View Company Online")</f>
      </c>
    </row>
    <row r="4640">
      <c r="A4640" t="s" s="10">
        <v>23437</v>
      </c>
      <c r="B4640" t="s" s="10">
        <v>23438</v>
      </c>
      <c r="C4640" t="s" s="10">
        <v>46</v>
      </c>
      <c r="D4640" t="s" s="10">
        <v>397</v>
      </c>
      <c r="E4640" t="s" s="10">
        <v>193</v>
      </c>
      <c r="F4640" s="27">
        <v>44986</v>
      </c>
      <c r="G4640" t="s" s="10">
        <v>40</v>
      </c>
      <c r="H4640" t="s" s="42">
        <v>30</v>
      </c>
      <c r="I4640" t="s" s="42">
        <v>30</v>
      </c>
      <c r="J4640" t="s" s="10">
        <v>23439</v>
      </c>
      <c r="K4640" t="s" s="10">
        <v>23440</v>
      </c>
      <c r="L4640" s="16">
        <f>HYPERLINK("http://www.contapp.ec", "www.contapp.ec")</f>
      </c>
      <c r="M4640" s="16">
        <f>HYPERLINK("https://my.pitchbook.com?c=521065-99", "View Company Online")</f>
      </c>
    </row>
    <row r="4641">
      <c r="A4641" t="s" s="11">
        <v>23442</v>
      </c>
      <c r="B4641" t="s" s="11">
        <v>23443</v>
      </c>
      <c r="C4641" t="s" s="11">
        <v>164</v>
      </c>
      <c r="D4641" t="s" s="11">
        <v>206</v>
      </c>
      <c r="E4641" t="s" s="11">
        <v>414</v>
      </c>
      <c r="F4641" s="28">
        <v>45292</v>
      </c>
      <c r="G4641" t="s" s="11">
        <v>607</v>
      </c>
      <c r="H4641" t="s" s="43">
        <v>30</v>
      </c>
      <c r="I4641" t="s" s="43">
        <v>30</v>
      </c>
      <c r="J4641" t="s" s="11">
        <v>23444</v>
      </c>
      <c r="K4641" t="s" s="11">
        <v>23445</v>
      </c>
      <c r="L4641" s="17">
        <f>HYPERLINK("http://www.contiant.com", "www.contiant.com")</f>
      </c>
      <c r="M4641" s="17">
        <f>HYPERLINK("https://my.pitchbook.com?c=529667-83", "View Company Online")</f>
      </c>
    </row>
    <row r="4642">
      <c r="A4642" t="s" s="10">
        <v>23447</v>
      </c>
      <c r="B4642" t="s" s="10">
        <v>23448</v>
      </c>
      <c r="C4642" t="s" s="10">
        <v>222</v>
      </c>
      <c r="D4642" t="s" s="10">
        <v>252</v>
      </c>
      <c r="E4642" t="s" s="10">
        <v>137</v>
      </c>
      <c r="F4642" s="27">
        <v>46091</v>
      </c>
      <c r="G4642" t="s" s="10">
        <v>4267</v>
      </c>
      <c r="H4642" s="42">
        <v>1.51</v>
      </c>
      <c r="I4642" t="s" s="42">
        <v>30</v>
      </c>
      <c r="J4642" t="s" s="10">
        <v>23449</v>
      </c>
      <c r="K4642" t="s" s="10">
        <v>23450</v>
      </c>
      <c r="L4642" s="16">
        <f>HYPERLINK("http://www.controlprivate.com", "www.controlprivate.com")</f>
      </c>
      <c r="M4642" s="16">
        <f>HYPERLINK("https://my.pitchbook.com?c=1326037-06", "View Company Online")</f>
      </c>
    </row>
    <row r="4643">
      <c r="A4643" t="s" s="11">
        <v>23452</v>
      </c>
      <c r="B4643" t="s" s="11">
        <v>23453</v>
      </c>
      <c r="C4643" t="s" s="11">
        <v>46</v>
      </c>
      <c r="D4643" t="s" s="11">
        <v>47</v>
      </c>
      <c r="E4643" t="s" s="11">
        <v>373</v>
      </c>
      <c r="F4643" s="28">
        <v>46023</v>
      </c>
      <c r="G4643" t="s" s="11">
        <v>146</v>
      </c>
      <c r="H4643" t="s" s="43">
        <v>30</v>
      </c>
      <c r="I4643" t="s" s="43">
        <v>30</v>
      </c>
      <c r="J4643" t="s" s="11">
        <v>23454</v>
      </c>
      <c r="K4643" t="s" s="11">
        <v>23455</v>
      </c>
      <c r="L4643" s="17">
        <f>HYPERLINK("http://www.controllr.app", "www.controllr.app")</f>
      </c>
      <c r="M4643" s="17">
        <f>HYPERLINK("https://my.pitchbook.com?c=1240035-31", "View Company Online")</f>
      </c>
    </row>
    <row r="4644">
      <c r="A4644" t="s" s="10">
        <v>23457</v>
      </c>
      <c r="B4644" t="s" s="10">
        <v>23458</v>
      </c>
      <c r="C4644" t="s" s="10">
        <v>114</v>
      </c>
      <c r="D4644" t="s" s="10">
        <v>1386</v>
      </c>
      <c r="E4644" t="s" s="10">
        <v>414</v>
      </c>
      <c r="F4644" s="27">
        <v>45899</v>
      </c>
      <c r="G4644" t="s" s="10">
        <v>146</v>
      </c>
      <c r="H4644" t="s" s="42">
        <v>30</v>
      </c>
      <c r="I4644" t="s" s="42">
        <v>30</v>
      </c>
      <c r="J4644" t="s" s="10">
        <v>23459</v>
      </c>
      <c r="K4644" t="s" s="10">
        <v>23460</v>
      </c>
      <c r="L4644" s="16">
        <f>HYPERLINK("http://www.convergefi.com", "www.convergefi.com")</f>
      </c>
      <c r="M4644" s="16">
        <f>HYPERLINK("https://my.pitchbook.com?c=1168920-46", "View Company Online")</f>
      </c>
    </row>
    <row r="4645">
      <c r="A4645" t="s" s="11">
        <v>23462</v>
      </c>
      <c r="B4645" t="s" s="11">
        <v>23463</v>
      </c>
      <c r="C4645" t="s" s="11">
        <v>60</v>
      </c>
      <c r="D4645" t="s" s="11">
        <v>727</v>
      </c>
      <c r="E4645" t="s" s="11">
        <v>137</v>
      </c>
      <c r="F4645" t="s" s="28">
        <v>30</v>
      </c>
      <c r="G4645" t="s" s="11">
        <v>48</v>
      </c>
      <c r="H4645" t="s" s="43">
        <v>30</v>
      </c>
      <c r="I4645" t="s" s="43">
        <v>30</v>
      </c>
      <c r="J4645" t="s" s="11">
        <v>23464</v>
      </c>
      <c r="K4645" t="s" s="11">
        <v>23465</v>
      </c>
      <c r="L4645" s="17">
        <f>HYPERLINK("http://www.copycat.finance", "www.copycat.finance")</f>
      </c>
      <c r="M4645" s="17">
        <f>HYPERLINK("https://my.pitchbook.com?c=496485-10", "View Company Online")</f>
      </c>
    </row>
    <row r="4646">
      <c r="A4646" t="s" s="10">
        <v>23467</v>
      </c>
      <c r="B4646" t="s" s="10">
        <v>23468</v>
      </c>
      <c r="C4646" t="s" s="10">
        <v>37</v>
      </c>
      <c r="D4646" t="s" s="10">
        <v>38</v>
      </c>
      <c r="E4646" t="s" s="10">
        <v>193</v>
      </c>
      <c r="F4646" s="27">
        <v>44432</v>
      </c>
      <c r="G4646" t="s" s="10">
        <v>146</v>
      </c>
      <c r="H4646" s="42">
        <v>114.5</v>
      </c>
      <c r="I4646" t="s" s="42">
        <v>30</v>
      </c>
      <c r="J4646" t="s" s="10">
        <v>23469</v>
      </c>
      <c r="K4646" t="s" s="10">
        <v>23470</v>
      </c>
      <c r="L4646" s="16">
        <f>HYPERLINK("http://www.cora.com.br", "www.cora.com.br")</f>
      </c>
      <c r="M4646" s="16">
        <f>HYPERLINK("https://my.pitchbook.com?c=343462-06", "View Company Online")</f>
      </c>
    </row>
    <row r="4647">
      <c r="A4647" t="s" s="11">
        <v>23472</v>
      </c>
      <c r="B4647" t="s" s="11">
        <v>23473</v>
      </c>
      <c r="C4647" t="s" s="11">
        <v>60</v>
      </c>
      <c r="D4647" t="s" s="11">
        <v>727</v>
      </c>
      <c r="E4647" t="s" s="11">
        <v>2782</v>
      </c>
      <c r="F4647" s="28">
        <v>45188</v>
      </c>
      <c r="G4647" t="s" s="11">
        <v>146</v>
      </c>
      <c r="H4647" t="s" s="43">
        <v>30</v>
      </c>
      <c r="I4647" t="s" s="43">
        <v>30</v>
      </c>
      <c r="J4647" t="s" s="11">
        <v>23474</v>
      </c>
      <c r="K4647" t="s" s="11">
        <v>23475</v>
      </c>
      <c r="L4647" s="17">
        <f>HYPERLINK("http://www.owncoral.com", "www.owncoral.com")</f>
      </c>
      <c r="M4647" s="17">
        <f>HYPERLINK("https://my.pitchbook.com?c=470987-29", "View Company Online")</f>
      </c>
    </row>
    <row r="4648">
      <c r="A4648" t="s" s="10">
        <v>23477</v>
      </c>
      <c r="B4648" t="s" s="10">
        <v>23478</v>
      </c>
      <c r="C4648" t="s" s="10">
        <v>114</v>
      </c>
      <c r="D4648" t="s" s="10">
        <v>852</v>
      </c>
      <c r="E4648" t="s" s="10">
        <v>373</v>
      </c>
      <c r="F4648" s="27">
        <v>45945</v>
      </c>
      <c r="G4648" t="s" s="10">
        <v>4267</v>
      </c>
      <c r="H4648" s="42">
        <v>6.7</v>
      </c>
      <c r="I4648" t="s" s="42">
        <v>30</v>
      </c>
      <c r="J4648" t="s" s="10">
        <v>23479</v>
      </c>
      <c r="K4648" t="s" s="10">
        <v>23480</v>
      </c>
      <c r="L4648" s="16">
        <f>HYPERLINK("http://www.corbelpay.com", "www.corbelpay.com")</f>
      </c>
      <c r="M4648" s="16">
        <f>HYPERLINK("https://my.pitchbook.com?c=518363-92", "View Company Online")</f>
      </c>
    </row>
    <row r="4649">
      <c r="A4649" t="s" s="11">
        <v>23482</v>
      </c>
      <c r="B4649" t="s" s="11">
        <v>23483</v>
      </c>
      <c r="C4649" t="s" s="11">
        <v>60</v>
      </c>
      <c r="D4649" t="s" s="11">
        <v>727</v>
      </c>
      <c r="E4649" t="s" s="11">
        <v>23484</v>
      </c>
      <c r="F4649" s="28">
        <v>45468</v>
      </c>
      <c r="G4649" t="s" s="11">
        <v>48</v>
      </c>
      <c r="H4649" t="s" s="43">
        <v>30</v>
      </c>
      <c r="I4649" t="s" s="43">
        <v>30</v>
      </c>
      <c r="J4649" t="s" s="11">
        <v>23485</v>
      </c>
      <c r="K4649" t="s" s="11">
        <v>23486</v>
      </c>
      <c r="L4649" s="17">
        <f>HYPERLINK("http://www.corekees.com", "www.corekees.com")</f>
      </c>
      <c r="M4649" s="17">
        <f>HYPERLINK("https://my.pitchbook.com?c=434968-12", "View Company Online")</f>
      </c>
    </row>
    <row r="4650">
      <c r="A4650" t="s" s="10">
        <v>23488</v>
      </c>
      <c r="B4650" t="s" s="10">
        <v>23489</v>
      </c>
      <c r="C4650" t="s" s="10">
        <v>172</v>
      </c>
      <c r="D4650" t="s" s="10">
        <v>338</v>
      </c>
      <c r="E4650" t="s" s="10">
        <v>859</v>
      </c>
      <c r="F4650" t="s" s="27">
        <v>30</v>
      </c>
      <c r="G4650" t="s" s="10">
        <v>48</v>
      </c>
      <c r="H4650" t="s" s="42">
        <v>30</v>
      </c>
      <c r="I4650" t="s" s="42">
        <v>30</v>
      </c>
      <c r="J4650" t="s" s="10">
        <v>23490</v>
      </c>
      <c r="K4650" t="s" s="10">
        <v>23491</v>
      </c>
      <c r="L4650" s="16">
        <f>HYPERLINK("http://www.thisiscortex.com", "www.thisiscortex.com")</f>
      </c>
      <c r="M4650" s="16">
        <f>HYPERLINK("https://my.pitchbook.com?c=484542-91", "View Company Online")</f>
      </c>
    </row>
    <row r="4651">
      <c r="A4651" t="s" s="11">
        <v>23493</v>
      </c>
      <c r="B4651" t="s" s="11">
        <v>23494</v>
      </c>
      <c r="C4651" t="s" s="11">
        <v>60</v>
      </c>
      <c r="D4651" t="s" s="11">
        <v>192</v>
      </c>
      <c r="E4651" t="s" s="11">
        <v>414</v>
      </c>
      <c r="F4651" t="s" s="28">
        <v>30</v>
      </c>
      <c r="G4651" t="s" s="11">
        <v>48</v>
      </c>
      <c r="H4651" t="s" s="43">
        <v>30</v>
      </c>
      <c r="I4651" t="s" s="43">
        <v>30</v>
      </c>
      <c r="J4651" t="s" s="11">
        <v>23495</v>
      </c>
      <c r="K4651" t="s" s="11">
        <v>23496</v>
      </c>
      <c r="L4651" s="17">
        <f>HYPERLINK("http://docs.cortexdao.com", "docs.cortexdao.com")</f>
      </c>
      <c r="M4651" s="17">
        <f>HYPERLINK("https://my.pitchbook.com?c=439403-23", "View Company Online")</f>
      </c>
    </row>
    <row r="4652">
      <c r="A4652" t="s" s="10">
        <v>23498</v>
      </c>
      <c r="B4652" t="s" s="10">
        <v>23499</v>
      </c>
      <c r="C4652" t="s" s="10">
        <v>37</v>
      </c>
      <c r="D4652" t="s" s="10">
        <v>304</v>
      </c>
      <c r="E4652" t="s" s="10">
        <v>23500</v>
      </c>
      <c r="F4652" s="27">
        <v>44497</v>
      </c>
      <c r="G4652" t="s" s="10">
        <v>40</v>
      </c>
      <c r="H4652" s="42">
        <v>6.5</v>
      </c>
      <c r="I4652" t="s" s="42">
        <v>30</v>
      </c>
      <c r="J4652" t="s" s="10">
        <v>23501</v>
      </c>
      <c r="K4652" t="s" s="10">
        <v>23502</v>
      </c>
      <c r="L4652" s="16">
        <f>HYPERLINK("http://www.coru.com", "www.coru.com")</f>
      </c>
      <c r="M4652" s="16">
        <f>HYPERLINK("https://my.pitchbook.com?c=108043-66", "View Company Online")</f>
      </c>
    </row>
    <row r="4653">
      <c r="A4653" t="s" s="11">
        <v>23504</v>
      </c>
      <c r="B4653" t="s" s="11">
        <v>23505</v>
      </c>
      <c r="C4653" t="s" s="11">
        <v>46</v>
      </c>
      <c r="D4653" t="s" s="11">
        <v>397</v>
      </c>
      <c r="E4653" t="s" s="11">
        <v>634</v>
      </c>
      <c r="F4653" s="28">
        <v>46023</v>
      </c>
      <c r="G4653" t="s" s="11">
        <v>607</v>
      </c>
      <c r="H4653" t="s" s="43">
        <v>30</v>
      </c>
      <c r="I4653" t="s" s="43">
        <v>30</v>
      </c>
      <c r="J4653" t="s" s="11">
        <v>23506</v>
      </c>
      <c r="K4653" t="s" s="11">
        <v>23507</v>
      </c>
      <c r="L4653" s="17">
        <f>HYPERLINK("http://www.getcount.com", "www.getcount.com")</f>
      </c>
      <c r="M4653" s="17">
        <f>HYPERLINK("https://my.pitchbook.com?c=675474-40", "View Company Online")</f>
      </c>
    </row>
    <row r="4654">
      <c r="A4654" t="s" s="10">
        <v>23509</v>
      </c>
      <c r="B4654" t="s" s="10">
        <v>23510</v>
      </c>
      <c r="C4654" t="s" s="10">
        <v>60</v>
      </c>
      <c r="D4654" t="s" s="10">
        <v>432</v>
      </c>
      <c r="E4654" t="s" s="10">
        <v>373</v>
      </c>
      <c r="F4654" s="27">
        <v>46066</v>
      </c>
      <c r="G4654" t="s" s="10">
        <v>607</v>
      </c>
      <c r="H4654" t="s" s="42">
        <v>30</v>
      </c>
      <c r="I4654" t="s" s="42">
        <v>30</v>
      </c>
      <c r="J4654" t="s" s="10">
        <v>23511</v>
      </c>
      <c r="K4654" t="s" s="10">
        <v>23512</v>
      </c>
      <c r="L4654" s="16">
        <f>HYPERLINK("http://www.couplr.ai", "www.couplr.ai")</f>
      </c>
      <c r="M4654" s="16">
        <f>HYPERLINK("https://my.pitchbook.com?c=492918-22", "View Company Online")</f>
      </c>
    </row>
    <row r="4655">
      <c r="A4655" t="s" s="11">
        <v>23514</v>
      </c>
      <c r="B4655" t="s" s="11">
        <v>23515</v>
      </c>
      <c r="C4655" t="s" s="11">
        <v>164</v>
      </c>
      <c r="D4655" t="s" s="11">
        <v>206</v>
      </c>
      <c r="E4655" t="s" s="11">
        <v>253</v>
      </c>
      <c r="F4655" s="28">
        <v>45933</v>
      </c>
      <c r="G4655" t="s" s="11">
        <v>607</v>
      </c>
      <c r="H4655" s="43">
        <v>0.1</v>
      </c>
      <c r="I4655" t="s" s="43">
        <v>30</v>
      </c>
      <c r="J4655" t="s" s="11">
        <v>23516</v>
      </c>
      <c r="K4655" t="s" s="11">
        <v>23517</v>
      </c>
      <c r="L4655" s="17">
        <f>HYPERLINK("http://www.cove.dev", "www.cove.dev")</f>
      </c>
      <c r="M4655" s="17">
        <f>HYPERLINK("https://my.pitchbook.com?c=937217-53", "View Company Online")</f>
      </c>
    </row>
    <row r="4656">
      <c r="A4656" t="s" s="10">
        <v>23519</v>
      </c>
      <c r="B4656" t="s" s="10">
        <v>23520</v>
      </c>
      <c r="C4656" t="s" s="10">
        <v>222</v>
      </c>
      <c r="D4656" t="s" s="10">
        <v>235</v>
      </c>
      <c r="E4656" t="s" s="10">
        <v>23521</v>
      </c>
      <c r="F4656" s="27">
        <v>45564</v>
      </c>
      <c r="G4656" t="s" s="10">
        <v>40</v>
      </c>
      <c r="H4656" s="42">
        <v>5</v>
      </c>
      <c r="I4656" t="s" s="42">
        <v>30</v>
      </c>
      <c r="J4656" t="s" s="10">
        <v>23522</v>
      </c>
      <c r="K4656" t="s" s="10">
        <v>23523</v>
      </c>
      <c r="L4656" s="16">
        <f>HYPERLINK("http://www.covercy.com", "www.covercy.com")</f>
      </c>
      <c r="M4656" s="16">
        <f>HYPERLINK("https://my.pitchbook.com?c=147725-20", "View Company Online")</f>
      </c>
    </row>
    <row r="4657">
      <c r="A4657" t="s" s="11">
        <v>23525</v>
      </c>
      <c r="B4657" t="s" s="11">
        <v>23526</v>
      </c>
      <c r="C4657" t="s" s="11">
        <v>114</v>
      </c>
      <c r="D4657" t="s" s="11">
        <v>852</v>
      </c>
      <c r="E4657" t="s" s="11">
        <v>137</v>
      </c>
      <c r="F4657" s="28">
        <v>44013</v>
      </c>
      <c r="G4657" t="s" s="11">
        <v>607</v>
      </c>
      <c r="H4657" s="43">
        <v>0.12</v>
      </c>
      <c r="I4657" t="s" s="43">
        <v>30</v>
      </c>
      <c r="J4657" t="s" s="11">
        <v>23527</v>
      </c>
      <c r="K4657" t="s" s="11">
        <v>23528</v>
      </c>
      <c r="L4657" s="17">
        <f>HYPERLINK("http://www.getcoverr.com", "www.getcoverr.com")</f>
      </c>
      <c r="M4657" s="17">
        <f>HYPERLINK("https://my.pitchbook.com?c=439425-10", "View Company Online")</f>
      </c>
    </row>
    <row r="4658">
      <c r="A4658" t="s" s="10">
        <v>23530</v>
      </c>
      <c r="B4658" t="s" s="10">
        <v>23531</v>
      </c>
      <c r="C4658" t="s" s="10">
        <v>164</v>
      </c>
      <c r="D4658" t="s" s="10">
        <v>165</v>
      </c>
      <c r="E4658" t="s" s="10">
        <v>253</v>
      </c>
      <c r="F4658" s="27">
        <v>45985</v>
      </c>
      <c r="G4658" t="s" s="10">
        <v>31</v>
      </c>
      <c r="H4658" s="42">
        <v>1</v>
      </c>
      <c r="I4658" t="s" s="42">
        <v>30</v>
      </c>
      <c r="J4658" t="s" s="10">
        <v>23532</v>
      </c>
      <c r="K4658" t="s" s="10">
        <v>23533</v>
      </c>
      <c r="L4658" s="16">
        <f>HYPERLINK("http://www.coviance.com", "www.coviance.com")</f>
      </c>
      <c r="M4658" s="16">
        <f>HYPERLINK("https://my.pitchbook.com?c=186595-75", "View Company Online")</f>
      </c>
    </row>
    <row r="4659">
      <c r="A4659" t="s" s="11">
        <v>23535</v>
      </c>
      <c r="B4659" t="s" s="11">
        <v>23536</v>
      </c>
      <c r="C4659" t="s" s="11">
        <v>60</v>
      </c>
      <c r="D4659" t="s" s="11">
        <v>727</v>
      </c>
      <c r="E4659" t="s" s="11">
        <v>6058</v>
      </c>
      <c r="F4659" s="28">
        <v>44197</v>
      </c>
      <c r="G4659" t="s" s="11">
        <v>4267</v>
      </c>
      <c r="H4659" s="43">
        <v>1.22</v>
      </c>
      <c r="I4659" t="s" s="43">
        <v>30</v>
      </c>
      <c r="J4659" t="s" s="11">
        <v>23537</v>
      </c>
      <c r="K4659" t="s" s="11">
        <v>23538</v>
      </c>
      <c r="L4659" s="17">
        <f>HYPERLINK("http://www.cowgestion.fr", "www.cowgestion.fr")</f>
      </c>
      <c r="M4659" s="17">
        <f>HYPERLINK("https://my.pitchbook.com?c=497593-27", "View Company Online")</f>
      </c>
    </row>
    <row r="4660">
      <c r="A4660" t="s" s="10">
        <v>23540</v>
      </c>
      <c r="B4660" t="s" s="10">
        <v>23541</v>
      </c>
      <c r="C4660" t="s" s="10">
        <v>46</v>
      </c>
      <c r="D4660" t="s" s="10">
        <v>397</v>
      </c>
      <c r="E4660" t="s" s="10">
        <v>253</v>
      </c>
      <c r="F4660" s="27">
        <v>44686</v>
      </c>
      <c r="G4660" t="s" s="10">
        <v>146</v>
      </c>
      <c r="H4660" s="42">
        <v>3</v>
      </c>
      <c r="I4660" t="s" s="42">
        <v>30</v>
      </c>
      <c r="J4660" t="s" s="10">
        <v>23542</v>
      </c>
      <c r="K4660" t="s" s="10">
        <v>23543</v>
      </c>
      <c r="L4660" s="16">
        <f>HYPERLINK("http://www.cradleaccounting.com", "www.cradleaccounting.com")</f>
      </c>
      <c r="M4660" s="16">
        <f>HYPERLINK("https://my.pitchbook.com?c=502949-80", "View Company Online")</f>
      </c>
    </row>
    <row r="4661">
      <c r="A4661" t="s" s="11">
        <v>23545</v>
      </c>
      <c r="B4661" t="s" s="11">
        <v>23546</v>
      </c>
      <c r="C4661" t="s" s="11">
        <v>114</v>
      </c>
      <c r="D4661" t="s" s="11">
        <v>852</v>
      </c>
      <c r="E4661" t="s" s="11">
        <v>137</v>
      </c>
      <c r="F4661" s="28">
        <v>46010</v>
      </c>
      <c r="G4661" t="s" s="11">
        <v>40</v>
      </c>
      <c r="H4661" s="43">
        <v>35.3</v>
      </c>
      <c r="I4661" t="s" s="43">
        <v>30</v>
      </c>
      <c r="J4661" t="s" s="11">
        <v>23547</v>
      </c>
      <c r="K4661" t="s" s="11">
        <v>23548</v>
      </c>
      <c r="L4661" s="17">
        <f>HYPERLINK("http://www.craft3.org", "www.craft3.org")</f>
      </c>
      <c r="M4661" s="17">
        <f>HYPERLINK("https://my.pitchbook.com?c=114489-46", "View Company Online")</f>
      </c>
    </row>
    <row r="4662">
      <c r="A4662" t="s" s="10">
        <v>23550</v>
      </c>
      <c r="B4662" t="s" s="10">
        <v>23551</v>
      </c>
      <c r="C4662" t="s" s="10">
        <v>27</v>
      </c>
      <c r="D4662" t="s" s="10">
        <v>28</v>
      </c>
      <c r="E4662" t="s" s="10">
        <v>345</v>
      </c>
      <c r="F4662" s="27">
        <v>45742</v>
      </c>
      <c r="G4662" t="s" s="10">
        <v>607</v>
      </c>
      <c r="H4662" t="s" s="42">
        <v>30</v>
      </c>
      <c r="I4662" t="s" s="42">
        <v>30</v>
      </c>
      <c r="J4662" t="s" s="10">
        <v>23552</v>
      </c>
      <c r="K4662" t="s" s="10">
        <v>23553</v>
      </c>
      <c r="L4662" s="16">
        <f>HYPERLINK("http://www.craftgate.io", "www.craftgate.io")</f>
      </c>
      <c r="M4662" s="16">
        <f>HYPERLINK("https://my.pitchbook.com?c=497730-88", "View Company Online")</f>
      </c>
    </row>
    <row r="4663">
      <c r="A4663" t="s" s="11">
        <v>23555</v>
      </c>
      <c r="B4663" t="s" s="11">
        <v>23556</v>
      </c>
      <c r="C4663" t="s" s="11">
        <v>46</v>
      </c>
      <c r="D4663" t="s" s="11">
        <v>397</v>
      </c>
      <c r="E4663" t="s" s="11">
        <v>373</v>
      </c>
      <c r="F4663" s="28">
        <v>45992</v>
      </c>
      <c r="G4663" t="s" s="11">
        <v>607</v>
      </c>
      <c r="H4663" t="s" s="43">
        <v>30</v>
      </c>
      <c r="I4663" t="s" s="43">
        <v>30</v>
      </c>
      <c r="J4663" t="s" s="11">
        <v>23557</v>
      </c>
      <c r="K4663" t="s" s="11">
        <v>23558</v>
      </c>
      <c r="L4663" s="17">
        <f>HYPERLINK("http://www.cranston.ai", "www.cranston.ai")</f>
      </c>
      <c r="M4663" s="17">
        <f>HYPERLINK("https://my.pitchbook.com?c=1084996-36", "View Company Online")</f>
      </c>
    </row>
    <row r="4664">
      <c r="A4664" t="s" s="10">
        <v>23560</v>
      </c>
      <c r="B4664" t="s" s="10">
        <v>23561</v>
      </c>
      <c r="C4664" t="s" s="10">
        <v>37</v>
      </c>
      <c r="D4664" t="s" s="10">
        <v>38</v>
      </c>
      <c r="E4664" t="s" s="10">
        <v>414</v>
      </c>
      <c r="F4664" s="27">
        <v>44559</v>
      </c>
      <c r="G4664" t="s" s="10">
        <v>40</v>
      </c>
      <c r="H4664" s="42">
        <v>0.68</v>
      </c>
      <c r="I4664" t="s" s="42">
        <v>30</v>
      </c>
      <c r="J4664" t="s" s="10">
        <v>23562</v>
      </c>
      <c r="K4664" t="s" s="10">
        <v>23563</v>
      </c>
      <c r="L4664" s="16">
        <f>HYPERLINK("http://www.cred.ai", "www.cred.ai")</f>
      </c>
      <c r="M4664" s="16">
        <f>HYPERLINK("https://my.pitchbook.com?c=437920-66", "View Company Online")</f>
      </c>
    </row>
    <row r="4665">
      <c r="A4665" t="s" s="11">
        <v>23565</v>
      </c>
      <c r="B4665" t="s" s="11">
        <v>23566</v>
      </c>
      <c r="C4665" t="s" s="11">
        <v>164</v>
      </c>
      <c r="D4665" t="s" s="11">
        <v>165</v>
      </c>
      <c r="E4665" t="s" s="11">
        <v>253</v>
      </c>
      <c r="F4665" s="28">
        <v>45742</v>
      </c>
      <c r="G4665" t="s" s="11">
        <v>4267</v>
      </c>
      <c r="H4665" t="s" s="43">
        <v>30</v>
      </c>
      <c r="I4665" t="s" s="43">
        <v>30</v>
      </c>
      <c r="J4665" t="s" s="11">
        <v>23567</v>
      </c>
      <c r="K4665" t="s" s="11">
        <v>23568</v>
      </c>
      <c r="L4665" s="17">
        <f>HYPERLINK("http://www.ablegroup.io", "www.ablegroup.io")</f>
      </c>
      <c r="M4665" s="17">
        <f>HYPERLINK("https://my.pitchbook.com?c=490800-43", "View Company Online")</f>
      </c>
    </row>
    <row r="4666">
      <c r="A4666" t="s" s="10">
        <v>23570</v>
      </c>
      <c r="B4666" t="s" s="10">
        <v>23571</v>
      </c>
      <c r="C4666" t="s" s="10">
        <v>164</v>
      </c>
      <c r="D4666" t="s" s="10">
        <v>206</v>
      </c>
      <c r="E4666" t="s" s="10">
        <v>137</v>
      </c>
      <c r="F4666" s="27">
        <v>45910</v>
      </c>
      <c r="G4666" t="s" s="10">
        <v>31</v>
      </c>
      <c r="H4666" s="42">
        <v>100</v>
      </c>
      <c r="I4666" t="s" s="42">
        <v>30</v>
      </c>
      <c r="J4666" t="s" s="10">
        <v>23572</v>
      </c>
      <c r="K4666" t="s" s="10">
        <v>23573</v>
      </c>
      <c r="L4666" s="16">
        <f>HYPERLINK("http://www.crediblex.io", "www.crediblex.io")</f>
      </c>
      <c r="M4666" s="16">
        <f>HYPERLINK("https://my.pitchbook.com?c=530815-24", "View Company Online")</f>
      </c>
    </row>
    <row r="4667">
      <c r="A4667" t="s" s="11">
        <v>23575</v>
      </c>
      <c r="B4667" t="s" s="11">
        <v>23576</v>
      </c>
      <c r="C4667" t="s" s="11">
        <v>114</v>
      </c>
      <c r="D4667" t="s" s="11">
        <v>1386</v>
      </c>
      <c r="E4667" t="s" s="11">
        <v>253</v>
      </c>
      <c r="F4667" s="28">
        <v>45861</v>
      </c>
      <c r="G4667" t="s" s="11">
        <v>4267</v>
      </c>
      <c r="H4667" s="43">
        <v>2.2</v>
      </c>
      <c r="I4667" t="s" s="43">
        <v>30</v>
      </c>
      <c r="J4667" t="s" s="11">
        <v>23577</v>
      </c>
      <c r="K4667" t="s" s="11">
        <v>23578</v>
      </c>
      <c r="L4667" s="17">
        <f>HYPERLINK("http://www.credibur.com", "www.credibur.com")</f>
      </c>
      <c r="M4667" s="17">
        <f>HYPERLINK("https://my.pitchbook.com?c=844677-55", "View Company Online")</f>
      </c>
    </row>
    <row r="4668">
      <c r="A4668" t="s" s="10">
        <v>23580</v>
      </c>
      <c r="B4668" t="s" s="10">
        <v>23581</v>
      </c>
      <c r="C4668" t="s" s="10">
        <v>114</v>
      </c>
      <c r="D4668" t="s" s="10">
        <v>136</v>
      </c>
      <c r="E4668" t="s" s="10">
        <v>414</v>
      </c>
      <c r="F4668" s="27">
        <v>45622</v>
      </c>
      <c r="G4668" t="s" s="10">
        <v>40</v>
      </c>
      <c r="H4668" s="42">
        <v>80</v>
      </c>
      <c r="I4668" t="s" s="42">
        <v>30</v>
      </c>
      <c r="J4668" t="s" s="10">
        <v>23582</v>
      </c>
      <c r="K4668" t="s" s="10">
        <v>23583</v>
      </c>
      <c r="L4668" s="16">
        <f>HYPERLINK("http://www.crediclub.com", "www.crediclub.com")</f>
      </c>
      <c r="M4668" s="16">
        <f>HYPERLINK("https://my.pitchbook.com?c=465288-49", "View Company Online")</f>
      </c>
    </row>
    <row r="4669">
      <c r="A4669" t="s" s="11">
        <v>23585</v>
      </c>
      <c r="B4669" t="s" s="11">
        <v>23586</v>
      </c>
      <c r="C4669" t="s" s="11">
        <v>144</v>
      </c>
      <c r="D4669" t="s" s="11">
        <v>297</v>
      </c>
      <c r="E4669" t="s" s="11">
        <v>2678</v>
      </c>
      <c r="F4669" s="28">
        <v>45874</v>
      </c>
      <c r="G4669" t="s" s="11">
        <v>607</v>
      </c>
      <c r="H4669" t="s" s="43">
        <v>30</v>
      </c>
      <c r="I4669" t="s" s="43">
        <v>30</v>
      </c>
      <c r="J4669" t="s" s="11">
        <v>23587</v>
      </c>
      <c r="K4669" t="s" s="11">
        <v>23588</v>
      </c>
      <c r="L4669" s="17">
        <f>HYPERLINK("http://www.credify.africa", "www.credify.africa")</f>
      </c>
      <c r="M4669" s="17">
        <f>HYPERLINK("https://my.pitchbook.com?c=596279-08", "View Company Online")</f>
      </c>
    </row>
    <row r="4670">
      <c r="A4670" t="s" s="10">
        <v>23590</v>
      </c>
      <c r="B4670" t="s" s="10">
        <v>23591</v>
      </c>
      <c r="C4670" t="s" s="10">
        <v>114</v>
      </c>
      <c r="D4670" t="s" s="10">
        <v>852</v>
      </c>
      <c r="E4670" t="s" s="10">
        <v>253</v>
      </c>
      <c r="F4670" s="27">
        <v>44011</v>
      </c>
      <c r="G4670" t="s" s="10">
        <v>607</v>
      </c>
      <c r="H4670" t="s" s="42">
        <v>30</v>
      </c>
      <c r="I4670" t="s" s="42">
        <v>30</v>
      </c>
      <c r="J4670" t="s" s="10">
        <v>23592</v>
      </c>
      <c r="K4670" t="s" s="10">
        <v>23593</v>
      </c>
      <c r="L4670" s="16">
        <f>HYPERLINK("http://www.crediation.com", "www.crediation.com")</f>
      </c>
      <c r="M4670" s="16">
        <f>HYPERLINK("https://my.pitchbook.com?c=264512-26", "View Company Online")</f>
      </c>
    </row>
    <row r="4671">
      <c r="A4671" t="s" s="11">
        <v>23595</v>
      </c>
      <c r="B4671" t="s" s="11">
        <v>23596</v>
      </c>
      <c r="C4671" t="s" s="11">
        <v>114</v>
      </c>
      <c r="D4671" t="s" s="11">
        <v>870</v>
      </c>
      <c r="E4671" t="s" s="11">
        <v>137</v>
      </c>
      <c r="F4671" s="28">
        <v>43488</v>
      </c>
      <c r="G4671" t="s" s="11">
        <v>146</v>
      </c>
      <c r="H4671" s="43">
        <v>29.5</v>
      </c>
      <c r="I4671" t="s" s="43">
        <v>30</v>
      </c>
      <c r="J4671" t="s" s="11">
        <v>23597</v>
      </c>
      <c r="K4671" t="s" s="11">
        <v>23598</v>
      </c>
      <c r="L4671" s="17">
        <f>HYPERLINK("http://www.creditculture.sg", "www.creditculture.sg")</f>
      </c>
      <c r="M4671" s="17">
        <f>HYPERLINK("https://my.pitchbook.com?c=264988-54", "View Company Online")</f>
      </c>
    </row>
    <row r="4672">
      <c r="A4672" t="s" s="10">
        <v>23600</v>
      </c>
      <c r="B4672" t="s" s="10">
        <v>23601</v>
      </c>
      <c r="C4672" t="s" s="10">
        <v>60</v>
      </c>
      <c r="D4672" t="s" s="10">
        <v>192</v>
      </c>
      <c r="E4672" t="s" s="10">
        <v>193</v>
      </c>
      <c r="F4672" t="s" s="27">
        <v>30</v>
      </c>
      <c r="G4672" t="s" s="10">
        <v>48</v>
      </c>
      <c r="H4672" t="s" s="42">
        <v>30</v>
      </c>
      <c r="I4672" t="s" s="42">
        <v>30</v>
      </c>
      <c r="J4672" t="s" s="10">
        <v>23602</v>
      </c>
      <c r="K4672" t="s" s="10">
        <v>23603</v>
      </c>
      <c r="L4672" s="16">
        <f>HYPERLINK("http://creditdharma.in", "creditdharma.in")</f>
      </c>
      <c r="M4672" s="16">
        <f>HYPERLINK("https://my.pitchbook.com?c=464411-35", "View Company Online")</f>
      </c>
    </row>
    <row r="4673">
      <c r="A4673" t="s" s="11">
        <v>23605</v>
      </c>
      <c r="B4673" t="s" s="11">
        <v>23606</v>
      </c>
      <c r="C4673" t="s" s="11">
        <v>164</v>
      </c>
      <c r="D4673" t="s" s="11">
        <v>206</v>
      </c>
      <c r="E4673" t="s" s="11">
        <v>253</v>
      </c>
      <c r="F4673" s="28">
        <v>43530</v>
      </c>
      <c r="G4673" t="s" s="11">
        <v>146</v>
      </c>
      <c r="H4673" s="43">
        <v>273.22</v>
      </c>
      <c r="I4673" t="s" s="43">
        <v>30</v>
      </c>
      <c r="J4673" t="s" s="11">
        <v>23607</v>
      </c>
      <c r="K4673" t="s" s="11">
        <v>23608</v>
      </c>
      <c r="L4673" s="17">
        <f>HYPERLINK("http://www.credit4sales.com", "www.credit4sales.com")</f>
      </c>
      <c r="M4673" s="17">
        <f>HYPERLINK("https://my.pitchbook.com?c=225684-91", "View Company Online")</f>
      </c>
    </row>
    <row r="4674">
      <c r="A4674" t="s" s="10">
        <v>23610</v>
      </c>
      <c r="B4674" t="s" s="10">
        <v>23611</v>
      </c>
      <c r="C4674" t="s" s="10">
        <v>164</v>
      </c>
      <c r="D4674" t="s" s="10">
        <v>206</v>
      </c>
      <c r="E4674" t="s" s="10">
        <v>373</v>
      </c>
      <c r="F4674" s="27">
        <v>45457</v>
      </c>
      <c r="G4674" t="s" s="10">
        <v>40</v>
      </c>
      <c r="H4674" s="42">
        <v>2.7</v>
      </c>
      <c r="I4674" t="s" s="42">
        <v>30</v>
      </c>
      <c r="J4674" t="s" s="10">
        <v>23612</v>
      </c>
      <c r="K4674" t="s" s="10">
        <v>23613</v>
      </c>
      <c r="L4674" s="16">
        <f>HYPERLINK("http://www.creditapp.ca", "www.creditapp.ca")</f>
      </c>
      <c r="M4674" s="16">
        <f>HYPERLINK("https://my.pitchbook.com?c=539744-77", "View Company Online")</f>
      </c>
    </row>
    <row r="4675">
      <c r="A4675" t="s" s="11">
        <v>23615</v>
      </c>
      <c r="B4675" t="s" s="11">
        <v>23616</v>
      </c>
      <c r="C4675" t="s" s="11">
        <v>46</v>
      </c>
      <c r="D4675" t="s" s="11">
        <v>397</v>
      </c>
      <c r="E4675" t="s" s="11">
        <v>270</v>
      </c>
      <c r="F4675" s="28">
        <v>44546</v>
      </c>
      <c r="G4675" t="s" s="11">
        <v>146</v>
      </c>
      <c r="H4675" s="43">
        <v>11</v>
      </c>
      <c r="I4675" t="s" s="43">
        <v>30</v>
      </c>
      <c r="J4675" t="s" s="11">
        <v>23617</v>
      </c>
      <c r="K4675" t="s" s="11">
        <v>23618</v>
      </c>
      <c r="L4675" s="17">
        <f>HYPERLINK("http://www.creditbook.pk", "www.creditbook.pk")</f>
      </c>
      <c r="M4675" s="17">
        <f>HYPERLINK("https://my.pitchbook.com?c=463180-06", "View Company Online")</f>
      </c>
    </row>
    <row r="4676">
      <c r="A4676" t="s" s="10">
        <v>23620</v>
      </c>
      <c r="B4676" t="s" s="10">
        <v>23621</v>
      </c>
      <c r="C4676" t="s" s="10">
        <v>164</v>
      </c>
      <c r="D4676" t="s" s="10">
        <v>165</v>
      </c>
      <c r="E4676" t="s" s="10">
        <v>137</v>
      </c>
      <c r="F4676" s="27">
        <v>44424</v>
      </c>
      <c r="G4676" t="s" s="10">
        <v>146</v>
      </c>
      <c r="H4676" t="s" s="42">
        <v>30</v>
      </c>
      <c r="I4676" t="s" s="42">
        <v>30</v>
      </c>
      <c r="J4676" t="s" s="10">
        <v>23622</v>
      </c>
      <c r="K4676" t="s" s="10">
        <v>23623</v>
      </c>
      <c r="L4676" s="16">
        <f>HYPERLINK("http://www.wecreditlife.com", "www.wecreditlife.com")</f>
      </c>
      <c r="M4676" s="16">
        <f>HYPERLINK("https://my.pitchbook.com?c=343124-29", "View Company Online")</f>
      </c>
    </row>
    <row r="4677">
      <c r="A4677" t="s" s="11">
        <v>23625</v>
      </c>
      <c r="B4677" t="s" s="11">
        <v>23626</v>
      </c>
      <c r="C4677" t="s" s="11">
        <v>114</v>
      </c>
      <c r="D4677" t="s" s="11">
        <v>136</v>
      </c>
      <c r="E4677" t="s" s="11">
        <v>193</v>
      </c>
      <c r="F4677" s="28">
        <v>45874</v>
      </c>
      <c r="G4677" t="s" s="11">
        <v>40</v>
      </c>
      <c r="H4677" s="43">
        <v>3.7</v>
      </c>
      <c r="I4677" t="s" s="43">
        <v>30</v>
      </c>
      <c r="J4677" t="s" s="11">
        <v>23627</v>
      </c>
      <c r="K4677" t="s" s="11">
        <v>23628</v>
      </c>
      <c r="L4677" s="17">
        <f>HYPERLINK("http://www.creditop.com", "www.creditop.com")</f>
      </c>
      <c r="M4677" s="17">
        <f>HYPERLINK("https://my.pitchbook.com?c=501610-42", "View Company Online")</f>
      </c>
    </row>
    <row r="4678">
      <c r="A4678" t="s" s="10">
        <v>23630</v>
      </c>
      <c r="B4678" t="s" s="10">
        <v>23631</v>
      </c>
      <c r="C4678" t="s" s="10">
        <v>114</v>
      </c>
      <c r="D4678" t="s" s="10">
        <v>136</v>
      </c>
      <c r="E4678" t="s" s="10">
        <v>116</v>
      </c>
      <c r="F4678" s="27">
        <v>44363</v>
      </c>
      <c r="G4678" t="s" s="10">
        <v>4267</v>
      </c>
      <c r="H4678" t="s" s="42">
        <v>30</v>
      </c>
      <c r="I4678" t="s" s="42">
        <v>30</v>
      </c>
      <c r="J4678" t="s" s="10">
        <v>23632</v>
      </c>
      <c r="K4678" t="s" s="10">
        <v>23633</v>
      </c>
      <c r="L4678" s="16">
        <f>HYPERLINK("http://www.creditper.pk", "www.creditper.pk")</f>
      </c>
      <c r="M4678" s="16">
        <f>HYPERLINK("https://my.pitchbook.com?c=182452-60", "View Company Online")</f>
      </c>
    </row>
    <row r="4679">
      <c r="A4679" t="s" s="11">
        <v>23635</v>
      </c>
      <c r="B4679" t="s" s="11">
        <v>23636</v>
      </c>
      <c r="C4679" t="s" s="11">
        <v>114</v>
      </c>
      <c r="D4679" t="s" s="11">
        <v>115</v>
      </c>
      <c r="E4679" t="s" s="11">
        <v>2782</v>
      </c>
      <c r="F4679" s="28">
        <v>46049</v>
      </c>
      <c r="G4679" t="s" s="11">
        <v>31</v>
      </c>
      <c r="H4679" s="43">
        <v>2.3</v>
      </c>
      <c r="I4679" t="s" s="43">
        <v>30</v>
      </c>
      <c r="J4679" t="s" s="11">
        <v>23637</v>
      </c>
      <c r="K4679" t="s" s="11">
        <v>23638</v>
      </c>
      <c r="L4679" s="17">
        <f>HYPERLINK("http://www.creditu.com", "www.creditu.com")</f>
      </c>
      <c r="M4679" s="17">
        <f>HYPERLINK("https://my.pitchbook.com?c=268744-51", "View Company Online")</f>
      </c>
    </row>
    <row r="4680">
      <c r="A4680" t="s" s="10">
        <v>23640</v>
      </c>
      <c r="B4680" t="s" s="10">
        <v>23641</v>
      </c>
      <c r="C4680" t="s" s="10">
        <v>172</v>
      </c>
      <c r="D4680" t="s" s="10">
        <v>1454</v>
      </c>
      <c r="E4680" t="s" s="10">
        <v>367</v>
      </c>
      <c r="F4680" t="s" s="27">
        <v>30</v>
      </c>
      <c r="G4680" t="s" s="10">
        <v>40</v>
      </c>
      <c r="H4680" t="s" s="42">
        <v>30</v>
      </c>
      <c r="I4680" t="s" s="42">
        <v>30</v>
      </c>
      <c r="J4680" t="s" s="10">
        <v>23642</v>
      </c>
      <c r="K4680" t="s" s="10">
        <v>23643</v>
      </c>
      <c r="L4680" s="16">
        <f>HYPERLINK("http://www.crediwatch.com", "www.crediwatch.com")</f>
      </c>
      <c r="M4680" s="16">
        <f>HYPERLINK("https://my.pitchbook.com?c=228838-69", "View Company Online")</f>
      </c>
    </row>
    <row r="4681">
      <c r="A4681" t="s" s="11">
        <v>23645</v>
      </c>
      <c r="B4681" t="s" s="11">
        <v>23646</v>
      </c>
      <c r="C4681" t="s" s="11">
        <v>27</v>
      </c>
      <c r="D4681" t="s" s="11">
        <v>28</v>
      </c>
      <c r="E4681" t="s" s="11">
        <v>137</v>
      </c>
      <c r="F4681" s="28">
        <v>44630</v>
      </c>
      <c r="G4681" t="s" s="11">
        <v>4267</v>
      </c>
      <c r="H4681" s="43">
        <v>5</v>
      </c>
      <c r="I4681" t="s" s="43">
        <v>30</v>
      </c>
      <c r="J4681" t="s" s="11">
        <v>23647</v>
      </c>
      <c r="K4681" t="s" s="11">
        <v>23648</v>
      </c>
      <c r="L4681" s="17">
        <f>HYPERLINK("http://www.credopay.com", "www.credopay.com")</f>
      </c>
      <c r="M4681" s="17">
        <f>HYPERLINK("https://my.pitchbook.com?c=493461-01", "View Company Online")</f>
      </c>
    </row>
    <row r="4682">
      <c r="A4682" t="s" s="10">
        <v>23650</v>
      </c>
      <c r="B4682" t="s" s="10">
        <v>23651</v>
      </c>
      <c r="C4682" t="s" s="10">
        <v>46</v>
      </c>
      <c r="D4682" t="s" s="10">
        <v>47</v>
      </c>
      <c r="E4682" t="s" s="10">
        <v>253</v>
      </c>
      <c r="F4682" s="27">
        <v>45492</v>
      </c>
      <c r="G4682" t="s" s="10">
        <v>146</v>
      </c>
      <c r="H4682" s="42">
        <v>2</v>
      </c>
      <c r="I4682" t="s" s="42">
        <v>30</v>
      </c>
      <c r="J4682" t="s" s="10">
        <v>23652</v>
      </c>
      <c r="K4682" t="s" s="10">
        <v>23653</v>
      </c>
      <c r="L4682" s="16">
        <f>HYPERLINK("http://www.credrails.com", "www.credrails.com")</f>
      </c>
      <c r="M4682" s="16">
        <f>HYPERLINK("https://my.pitchbook.com?c=490211-74", "View Company Online")</f>
      </c>
    </row>
    <row r="4683">
      <c r="A4683" t="s" s="11">
        <v>23655</v>
      </c>
      <c r="B4683" t="s" s="11">
        <v>23656</v>
      </c>
      <c r="C4683" t="s" s="11">
        <v>27</v>
      </c>
      <c r="D4683" t="s" s="11">
        <v>28</v>
      </c>
      <c r="E4683" t="s" s="11">
        <v>373</v>
      </c>
      <c r="F4683" s="28">
        <v>45838</v>
      </c>
      <c r="G4683" t="s" s="11">
        <v>146</v>
      </c>
      <c r="H4683" s="43">
        <v>2.07</v>
      </c>
      <c r="I4683" t="s" s="43">
        <v>30</v>
      </c>
      <c r="J4683" t="s" s="11">
        <v>23657</v>
      </c>
      <c r="K4683" t="s" s="11">
        <v>23658</v>
      </c>
      <c r="L4683" s="17">
        <f>HYPERLINK("http://www.creem.io", "www.creem.io")</f>
      </c>
      <c r="M4683" s="17">
        <f>HYPERLINK("https://my.pitchbook.com?c=741918-52", "View Company Online")</f>
      </c>
    </row>
    <row r="4684">
      <c r="A4684" t="s" s="10">
        <v>23660</v>
      </c>
      <c r="B4684" t="s" s="10">
        <v>23661</v>
      </c>
      <c r="C4684" t="s" s="10">
        <v>114</v>
      </c>
      <c r="D4684" t="s" s="10">
        <v>870</v>
      </c>
      <c r="E4684" t="s" s="10">
        <v>137</v>
      </c>
      <c r="F4684" s="27">
        <v>44635</v>
      </c>
      <c r="G4684" t="s" s="10">
        <v>146</v>
      </c>
      <c r="H4684" s="42">
        <v>0.4</v>
      </c>
      <c r="I4684" t="s" s="42">
        <v>30</v>
      </c>
      <c r="J4684" t="s" s="10">
        <v>23662</v>
      </c>
      <c r="K4684" t="s" s="10">
        <v>23663</v>
      </c>
      <c r="L4684" s="16">
        <f>HYPERLINK("http://www.creizer.com", "www.creizer.com")</f>
      </c>
      <c r="M4684" s="16">
        <f>HYPERLINK("https://my.pitchbook.com?c=493352-56", "View Company Online")</f>
      </c>
    </row>
    <row r="4685">
      <c r="A4685" t="s" s="11">
        <v>23665</v>
      </c>
      <c r="B4685" t="s" s="11">
        <v>23666</v>
      </c>
      <c r="C4685" t="s" s="11">
        <v>172</v>
      </c>
      <c r="D4685" t="s" s="11">
        <v>1454</v>
      </c>
      <c r="E4685" t="s" s="11">
        <v>1349</v>
      </c>
      <c r="F4685" s="28">
        <v>45422</v>
      </c>
      <c r="G4685" t="s" s="11">
        <v>40</v>
      </c>
      <c r="H4685" t="s" s="43">
        <v>30</v>
      </c>
      <c r="I4685" t="s" s="43">
        <v>30</v>
      </c>
      <c r="J4685" t="s" s="11">
        <v>23667</v>
      </c>
      <c r="K4685" t="s" s="11">
        <v>23668</v>
      </c>
      <c r="L4685" s="17">
        <f>HYPERLINK("http://www.crepass.com", "www.crepass.com")</f>
      </c>
      <c r="M4685" s="17">
        <f>HYPERLINK("https://my.pitchbook.com?c=464240-44", "View Company Online")</f>
      </c>
    </row>
    <row r="4686">
      <c r="A4686" t="s" s="10">
        <v>23670</v>
      </c>
      <c r="B4686" t="s" s="10">
        <v>23671</v>
      </c>
      <c r="C4686" t="s" s="10">
        <v>37</v>
      </c>
      <c r="D4686" t="s" s="10">
        <v>304</v>
      </c>
      <c r="E4686" t="s" s="10">
        <v>270</v>
      </c>
      <c r="F4686" s="27">
        <v>45292</v>
      </c>
      <c r="G4686" t="s" s="10">
        <v>4267</v>
      </c>
      <c r="H4686" t="s" s="42">
        <v>30</v>
      </c>
      <c r="I4686" t="s" s="42">
        <v>30</v>
      </c>
      <c r="J4686" t="s" s="10">
        <v>23672</v>
      </c>
      <c r="K4686" t="s" s="10">
        <v>23673</v>
      </c>
      <c r="L4686" s="16">
        <f>HYPERLINK("http://www.crepay.com", "www.crepay.com")</f>
      </c>
      <c r="M4686" s="16">
        <f>HYPERLINK("https://my.pitchbook.com?c=553130-56", "View Company Online")</f>
      </c>
    </row>
    <row r="4687">
      <c r="A4687" t="s" s="11">
        <v>23675</v>
      </c>
      <c r="B4687" t="s" s="11">
        <v>23676</v>
      </c>
      <c r="C4687" t="s" s="11">
        <v>46</v>
      </c>
      <c r="D4687" t="s" s="11">
        <v>47</v>
      </c>
      <c r="E4687" t="s" s="11">
        <v>193</v>
      </c>
      <c r="F4687" s="28">
        <v>45658</v>
      </c>
      <c r="G4687" t="s" s="11">
        <v>40</v>
      </c>
      <c r="H4687" s="43">
        <v>6.5</v>
      </c>
      <c r="I4687" t="s" s="43">
        <v>30</v>
      </c>
      <c r="J4687" t="s" s="11">
        <v>23677</v>
      </c>
      <c r="K4687" t="s" s="11">
        <v>23678</v>
      </c>
      <c r="L4687" s="17">
        <f>HYPERLINK("http://www.getcrescent.com", "www.getcrescent.com")</f>
      </c>
      <c r="M4687" s="17">
        <f>HYPERLINK("https://my.pitchbook.com?c=501058-00", "View Company Online")</f>
      </c>
    </row>
    <row r="4688">
      <c r="A4688" t="s" s="10">
        <v>23680</v>
      </c>
      <c r="B4688" t="s" s="10">
        <v>23681</v>
      </c>
      <c r="C4688" t="s" s="10">
        <v>60</v>
      </c>
      <c r="D4688" t="s" s="10">
        <v>192</v>
      </c>
      <c r="E4688" t="s" s="10">
        <v>137</v>
      </c>
      <c r="F4688" s="27">
        <v>46120</v>
      </c>
      <c r="G4688" t="s" s="10">
        <v>146</v>
      </c>
      <c r="H4688" s="42">
        <v>5.77</v>
      </c>
      <c r="I4688" t="s" s="42">
        <v>30</v>
      </c>
      <c r="J4688" t="s" s="10">
        <v>23682</v>
      </c>
      <c r="K4688" t="s" s="10">
        <v>23683</v>
      </c>
      <c r="L4688" s="16">
        <f>HYPERLINK("http://www.crescenta.com", "www.crescenta.com")</f>
      </c>
      <c r="M4688" s="16">
        <f>HYPERLINK("https://my.pitchbook.com?c=515945-26", "View Company Online")</f>
      </c>
    </row>
    <row r="4689">
      <c r="A4689" t="s" s="11">
        <v>23685</v>
      </c>
      <c r="B4689" t="s" s="11">
        <v>23686</v>
      </c>
      <c r="C4689" t="s" s="11">
        <v>46</v>
      </c>
      <c r="D4689" t="s" s="11">
        <v>47</v>
      </c>
      <c r="E4689" t="s" s="11">
        <v>414</v>
      </c>
      <c r="F4689" s="28">
        <v>46178</v>
      </c>
      <c r="G4689" t="s" s="11">
        <v>391</v>
      </c>
      <c r="H4689" t="s" s="43">
        <v>30</v>
      </c>
      <c r="I4689" t="s" s="43">
        <v>30</v>
      </c>
      <c r="J4689" t="s" s="11">
        <v>23687</v>
      </c>
      <c r="K4689" t="s" s="11">
        <v>30</v>
      </c>
      <c r="L4689" s="17">
        <f>HYPERLINK("http://www.crescitalia-mctech.com", "www.crescitalia-mctech.com")</f>
      </c>
      <c r="M4689" s="17">
        <f>HYPERLINK("https://my.pitchbook.com?c=500610-70", "View Company Online")</f>
      </c>
    </row>
    <row r="4690">
      <c r="A4690" t="s" s="10">
        <v>23689</v>
      </c>
      <c r="B4690" t="s" s="10">
        <v>23690</v>
      </c>
      <c r="C4690" t="s" s="10">
        <v>164</v>
      </c>
      <c r="D4690" t="s" s="10">
        <v>165</v>
      </c>
      <c r="E4690" t="s" s="10">
        <v>3604</v>
      </c>
      <c r="F4690" s="27">
        <v>45120</v>
      </c>
      <c r="G4690" t="s" s="10">
        <v>607</v>
      </c>
      <c r="H4690" s="42">
        <v>0.11</v>
      </c>
      <c r="I4690" t="s" s="42">
        <v>30</v>
      </c>
      <c r="J4690" t="s" s="10">
        <v>23691</v>
      </c>
      <c r="K4690" t="s" s="10">
        <v>23692</v>
      </c>
      <c r="L4690" s="16">
        <f>HYPERLINK("http://www.crex.digital", "www.crex.digital")</f>
      </c>
      <c r="M4690" s="16">
        <f>HYPERLINK("https://my.pitchbook.com?c=522492-76", "View Company Online")</f>
      </c>
    </row>
    <row r="4691">
      <c r="A4691" t="s" s="11">
        <v>23694</v>
      </c>
      <c r="B4691" t="s" s="11">
        <v>23695</v>
      </c>
      <c r="C4691" t="s" s="11">
        <v>172</v>
      </c>
      <c r="D4691" t="s" s="11">
        <v>1454</v>
      </c>
      <c r="E4691" t="s" s="11">
        <v>634</v>
      </c>
      <c r="F4691" s="28">
        <v>45554</v>
      </c>
      <c r="G4691" t="s" s="11">
        <v>607</v>
      </c>
      <c r="H4691" t="s" s="43">
        <v>30</v>
      </c>
      <c r="I4691" t="s" s="43">
        <v>30</v>
      </c>
      <c r="J4691" t="s" s="11">
        <v>23696</v>
      </c>
      <c r="K4691" t="s" s="11">
        <v>23697</v>
      </c>
      <c r="L4691" s="17">
        <f>HYPERLINK("http://www.criskco.com", "www.criskco.com")</f>
      </c>
      <c r="M4691" s="17">
        <f>HYPERLINK("https://my.pitchbook.com?c=121376-53", "View Company Online")</f>
      </c>
    </row>
    <row r="4692">
      <c r="A4692" t="s" s="10">
        <v>23699</v>
      </c>
      <c r="B4692" t="s" s="10">
        <v>23700</v>
      </c>
      <c r="C4692" t="s" s="10">
        <v>114</v>
      </c>
      <c r="D4692" t="s" s="10">
        <v>870</v>
      </c>
      <c r="E4692" t="s" s="10">
        <v>6058</v>
      </c>
      <c r="F4692" t="s" s="27">
        <v>30</v>
      </c>
      <c r="G4692" t="s" s="10">
        <v>607</v>
      </c>
      <c r="H4692" t="s" s="42">
        <v>30</v>
      </c>
      <c r="I4692" t="s" s="42">
        <v>30</v>
      </c>
      <c r="J4692" t="s" s="10">
        <v>23701</v>
      </c>
      <c r="K4692" t="s" s="10">
        <v>23702</v>
      </c>
      <c r="L4692" s="16">
        <f>HYPERLINK("http://www.crop2cash.com.ng", "www.crop2cash.com.ng")</f>
      </c>
      <c r="M4692" s="16">
        <f>HYPERLINK("https://my.pitchbook.com?c=399106-18", "View Company Online")</f>
      </c>
    </row>
    <row r="4693">
      <c r="A4693" t="s" s="11">
        <v>23704</v>
      </c>
      <c r="B4693" t="s" s="11">
        <v>23705</v>
      </c>
      <c r="C4693" t="s" s="11">
        <v>222</v>
      </c>
      <c r="D4693" t="s" s="11">
        <v>223</v>
      </c>
      <c r="E4693" t="s" s="11">
        <v>634</v>
      </c>
      <c r="F4693" s="28">
        <v>45996</v>
      </c>
      <c r="G4693" t="s" s="11">
        <v>40</v>
      </c>
      <c r="H4693" t="s" s="43">
        <v>30</v>
      </c>
      <c r="I4693" t="s" s="43">
        <v>30</v>
      </c>
      <c r="J4693" t="s" s="11">
        <v>23706</v>
      </c>
      <c r="K4693" t="s" s="11">
        <v>23707</v>
      </c>
      <c r="L4693" s="17">
        <f>HYPERLINK("http://www.crossval.com", "www.crossval.com")</f>
      </c>
      <c r="M4693" s="17">
        <f>HYPERLINK("https://my.pitchbook.com?c=442428-13", "View Company Online")</f>
      </c>
    </row>
    <row r="4694">
      <c r="A4694" t="s" s="10">
        <v>23709</v>
      </c>
      <c r="B4694" t="s" s="10">
        <v>23710</v>
      </c>
      <c r="C4694" t="s" s="10">
        <v>60</v>
      </c>
      <c r="D4694" t="s" s="10">
        <v>727</v>
      </c>
      <c r="E4694" t="s" s="10">
        <v>2782</v>
      </c>
      <c r="F4694" s="27">
        <v>45974</v>
      </c>
      <c r="G4694" t="s" s="10">
        <v>40</v>
      </c>
      <c r="H4694" t="s" s="42">
        <v>30</v>
      </c>
      <c r="I4694" t="s" s="42">
        <v>30</v>
      </c>
      <c r="J4694" t="s" s="10">
        <v>23711</v>
      </c>
      <c r="K4694" t="s" s="10">
        <v>23712</v>
      </c>
      <c r="L4694" s="16">
        <f>HYPERLINK("http://www.crowdfunz.com", "www.crowdfunz.com")</f>
      </c>
      <c r="M4694" s="16">
        <f>HYPERLINK("https://my.pitchbook.com?c=288538-57", "View Company Online")</f>
      </c>
    </row>
    <row r="4695">
      <c r="A4695" t="s" s="11">
        <v>23714</v>
      </c>
      <c r="B4695" t="s" s="11">
        <v>23715</v>
      </c>
      <c r="C4695" t="s" s="11">
        <v>60</v>
      </c>
      <c r="D4695" t="s" s="11">
        <v>727</v>
      </c>
      <c r="E4695" t="s" s="11">
        <v>270</v>
      </c>
      <c r="F4695" s="28">
        <v>45078</v>
      </c>
      <c r="G4695" t="s" s="11">
        <v>4267</v>
      </c>
      <c r="H4695" s="43">
        <v>1.37</v>
      </c>
      <c r="I4695" t="s" s="43">
        <v>30</v>
      </c>
      <c r="J4695" t="s" s="11">
        <v>23716</v>
      </c>
      <c r="K4695" t="s" s="11">
        <v>23717</v>
      </c>
      <c r="L4695" s="17">
        <f>HYPERLINK("http://www.crowdinvest.com", "www.crowdinvest.com")</f>
      </c>
      <c r="M4695" s="17">
        <f>HYPERLINK("https://my.pitchbook.com?c=221789-17", "View Company Online")</f>
      </c>
    </row>
    <row r="4696">
      <c r="A4696" t="s" s="10">
        <v>23719</v>
      </c>
      <c r="B4696" t="s" s="10">
        <v>23720</v>
      </c>
      <c r="C4696" t="s" s="10">
        <v>164</v>
      </c>
      <c r="D4696" t="s" s="10">
        <v>206</v>
      </c>
      <c r="E4696" t="s" s="10">
        <v>23721</v>
      </c>
      <c r="F4696" s="27">
        <v>44986</v>
      </c>
      <c r="G4696" t="s" s="10">
        <v>146</v>
      </c>
      <c r="H4696" t="s" s="42">
        <v>30</v>
      </c>
      <c r="I4696" t="s" s="42">
        <v>30</v>
      </c>
      <c r="J4696" t="s" s="10">
        <v>23722</v>
      </c>
      <c r="K4696" t="s" s="10">
        <v>23723</v>
      </c>
      <c r="L4696" s="16">
        <f>HYPERLINK("http://www.crscreditapi.com", "www.crscreditapi.com")</f>
      </c>
      <c r="M4696" s="16">
        <f>HYPERLINK("https://my.pitchbook.com?c=482344-30", "View Company Online")</f>
      </c>
    </row>
    <row r="4697">
      <c r="A4697" t="s" s="11">
        <v>23725</v>
      </c>
      <c r="B4697" t="s" s="11">
        <v>23726</v>
      </c>
      <c r="C4697" t="s" s="11">
        <v>46</v>
      </c>
      <c r="D4697" t="s" s="11">
        <v>915</v>
      </c>
      <c r="E4697" t="s" s="11">
        <v>414</v>
      </c>
      <c r="F4697" s="28">
        <v>45972</v>
      </c>
      <c r="G4697" t="s" s="11">
        <v>4267</v>
      </c>
      <c r="H4697" t="s" s="43">
        <v>30</v>
      </c>
      <c r="I4697" t="s" s="43">
        <v>30</v>
      </c>
      <c r="J4697" t="s" s="11">
        <v>23727</v>
      </c>
      <c r="K4697" t="s" s="11">
        <v>23728</v>
      </c>
      <c r="L4697" s="17">
        <f>HYPERLINK("http://www.usecrunched.com", "www.usecrunched.com")</f>
      </c>
      <c r="M4697" s="17">
        <f>HYPERLINK("https://my.pitchbook.com?c=1153752-67", "View Company Online")</f>
      </c>
    </row>
    <row r="4698">
      <c r="A4698" t="s" s="10">
        <v>23730</v>
      </c>
      <c r="B4698" t="s" s="10">
        <v>23731</v>
      </c>
      <c r="C4698" t="s" s="10">
        <v>60</v>
      </c>
      <c r="D4698" t="s" s="10">
        <v>432</v>
      </c>
      <c r="E4698" t="s" s="10">
        <v>253</v>
      </c>
      <c r="F4698" s="27">
        <v>45992</v>
      </c>
      <c r="G4698" t="s" s="10">
        <v>146</v>
      </c>
      <c r="H4698" t="s" s="42">
        <v>30</v>
      </c>
      <c r="I4698" t="s" s="42">
        <v>30</v>
      </c>
      <c r="J4698" t="s" s="10">
        <v>23732</v>
      </c>
      <c r="K4698" t="s" s="10">
        <v>23733</v>
      </c>
      <c r="L4698" s="16">
        <f>HYPERLINK("http://www.cruxanalytics.com", "www.cruxanalytics.com")</f>
      </c>
      <c r="M4698" s="16">
        <f>HYPERLINK("https://my.pitchbook.com?c=529877-17", "View Company Online")</f>
      </c>
    </row>
    <row r="4699">
      <c r="A4699" t="s" s="11">
        <v>23735</v>
      </c>
      <c r="B4699" t="s" s="11">
        <v>23736</v>
      </c>
      <c r="C4699" t="s" s="11">
        <v>60</v>
      </c>
      <c r="D4699" t="s" s="11">
        <v>61</v>
      </c>
      <c r="E4699" t="s" s="11">
        <v>23737</v>
      </c>
      <c r="F4699" s="28">
        <v>46157</v>
      </c>
      <c r="G4699" t="s" s="11">
        <v>2051</v>
      </c>
      <c r="H4699" t="s" s="43">
        <v>30</v>
      </c>
      <c r="I4699" t="s" s="43">
        <v>30</v>
      </c>
      <c r="J4699" t="s" s="11">
        <v>23738</v>
      </c>
      <c r="K4699" t="s" s="11">
        <v>30</v>
      </c>
      <c r="L4699" s="17">
        <f>HYPERLINK("http://www.cryptade.com", "www.cryptade.com")</f>
      </c>
      <c r="M4699" s="17">
        <f>HYPERLINK("https://my.pitchbook.com?c=820353-52", "View Company Online")</f>
      </c>
    </row>
    <row r="4700">
      <c r="A4700" t="s" s="10">
        <v>23740</v>
      </c>
      <c r="B4700" t="s" s="10">
        <v>23741</v>
      </c>
      <c r="C4700" t="s" s="10">
        <v>164</v>
      </c>
      <c r="D4700" t="s" s="10">
        <v>206</v>
      </c>
      <c r="E4700" t="s" s="10">
        <v>629</v>
      </c>
      <c r="F4700" s="27">
        <v>46182</v>
      </c>
      <c r="G4700" t="s" s="10">
        <v>607</v>
      </c>
      <c r="H4700" t="s" s="42">
        <v>30</v>
      </c>
      <c r="I4700" t="s" s="42">
        <v>30</v>
      </c>
      <c r="J4700" t="s" s="10">
        <v>23742</v>
      </c>
      <c r="K4700" t="s" s="10">
        <v>23743</v>
      </c>
      <c r="L4700" s="16">
        <f>HYPERLINK("http://www.cryptomate.me", "www.cryptomate.me")</f>
      </c>
      <c r="M4700" s="16">
        <f>HYPERLINK("https://my.pitchbook.com?c=489580-21", "View Company Online")</f>
      </c>
    </row>
    <row r="4701">
      <c r="A4701" t="s" s="11">
        <v>23745</v>
      </c>
      <c r="B4701" t="s" s="11">
        <v>23746</v>
      </c>
      <c r="C4701" t="s" s="11">
        <v>60</v>
      </c>
      <c r="D4701" t="s" s="11">
        <v>61</v>
      </c>
      <c r="E4701" t="s" s="11">
        <v>23747</v>
      </c>
      <c r="F4701" s="28">
        <v>46023</v>
      </c>
      <c r="G4701" t="s" s="11">
        <v>40</v>
      </c>
      <c r="H4701" t="s" s="43">
        <v>30</v>
      </c>
      <c r="I4701" t="s" s="43">
        <v>30</v>
      </c>
      <c r="J4701" t="s" s="11">
        <v>23748</v>
      </c>
      <c r="K4701" t="s" s="11">
        <v>23749</v>
      </c>
      <c r="L4701" s="17">
        <f>HYPERLINK("http://www.cryptostein.org", "www.cryptostein.org")</f>
      </c>
      <c r="M4701" s="17">
        <f>HYPERLINK("https://my.pitchbook.com?c=1241056-36", "View Company Online")</f>
      </c>
    </row>
    <row r="4702">
      <c r="A4702" t="s" s="10">
        <v>23751</v>
      </c>
      <c r="B4702" t="s" s="10">
        <v>23752</v>
      </c>
      <c r="C4702" t="s" s="10">
        <v>46</v>
      </c>
      <c r="D4702" t="s" s="10">
        <v>47</v>
      </c>
      <c r="E4702" t="s" s="10">
        <v>29</v>
      </c>
      <c r="F4702" s="27">
        <v>45917</v>
      </c>
      <c r="G4702" t="s" s="10">
        <v>146</v>
      </c>
      <c r="H4702" t="s" s="42">
        <v>30</v>
      </c>
      <c r="I4702" t="s" s="42">
        <v>30</v>
      </c>
      <c r="J4702" t="s" s="10">
        <v>23753</v>
      </c>
      <c r="K4702" t="s" s="10">
        <v>23754</v>
      </c>
      <c r="L4702" s="16">
        <f>HYPERLINK("http://www.cub.com.br", "www.cub.com.br")</f>
      </c>
      <c r="M4702" s="16">
        <f>HYPERLINK("https://my.pitchbook.com?c=332683-39", "View Company Online")</f>
      </c>
    </row>
    <row r="4703">
      <c r="A4703" t="s" s="11">
        <v>23756</v>
      </c>
      <c r="B4703" t="s" s="11">
        <v>23757</v>
      </c>
      <c r="C4703" t="s" s="11">
        <v>114</v>
      </c>
      <c r="D4703" t="s" s="11">
        <v>852</v>
      </c>
      <c r="E4703" t="s" s="11">
        <v>6058</v>
      </c>
      <c r="F4703" t="s" s="28">
        <v>30</v>
      </c>
      <c r="G4703" t="s" s="11">
        <v>40</v>
      </c>
      <c r="H4703" s="43">
        <v>19.18</v>
      </c>
      <c r="I4703" t="s" s="43">
        <v>30</v>
      </c>
      <c r="J4703" t="s" s="11">
        <v>23758</v>
      </c>
      <c r="K4703" t="s" s="11">
        <v>23759</v>
      </c>
      <c r="L4703" s="17">
        <f>HYPERLINK("http://www.culttivo.com", "www.culttivo.com")</f>
      </c>
      <c r="M4703" s="17">
        <f>HYPERLINK("https://my.pitchbook.com?c=491693-50", "View Company Online")</f>
      </c>
    </row>
    <row r="4704">
      <c r="A4704" t="s" s="10">
        <v>23761</v>
      </c>
      <c r="B4704" t="s" s="10">
        <v>23762</v>
      </c>
      <c r="C4704" t="s" s="10">
        <v>60</v>
      </c>
      <c r="D4704" t="s" s="10">
        <v>246</v>
      </c>
      <c r="E4704" t="s" s="10">
        <v>137</v>
      </c>
      <c r="F4704" s="27">
        <v>45162</v>
      </c>
      <c r="G4704" t="s" s="10">
        <v>4267</v>
      </c>
      <c r="H4704" s="42">
        <v>3</v>
      </c>
      <c r="I4704" t="s" s="42">
        <v>30</v>
      </c>
      <c r="J4704" t="s" s="10">
        <v>23763</v>
      </c>
      <c r="K4704" t="s" s="10">
        <v>23764</v>
      </c>
      <c r="L4704" s="16">
        <f>HYPERLINK("http://www.cumbuca.com", "www.cumbuca.com")</f>
      </c>
      <c r="M4704" s="16">
        <f>HYPERLINK("https://my.pitchbook.com?c=489056-05", "View Company Online")</f>
      </c>
    </row>
    <row r="4705">
      <c r="A4705" t="s" s="11">
        <v>23766</v>
      </c>
      <c r="B4705" t="s" s="11">
        <v>23767</v>
      </c>
      <c r="C4705" t="s" s="11">
        <v>114</v>
      </c>
      <c r="D4705" t="s" s="11">
        <v>852</v>
      </c>
      <c r="E4705" t="s" s="11">
        <v>137</v>
      </c>
      <c r="F4705" s="28">
        <v>45085</v>
      </c>
      <c r="G4705" t="s" s="11">
        <v>607</v>
      </c>
      <c r="H4705" t="s" s="43">
        <v>30</v>
      </c>
      <c r="I4705" t="s" s="43">
        <v>30</v>
      </c>
      <c r="J4705" t="s" s="11">
        <v>23768</v>
      </c>
      <c r="K4705" t="s" s="11">
        <v>23769</v>
      </c>
      <c r="L4705" s="17">
        <f>HYPERLINK("http://www.cumplo.com", "www.cumplo.com")</f>
      </c>
      <c r="M4705" s="17">
        <f>HYPERLINK("https://my.pitchbook.com?c=105745-33", "View Company Online")</f>
      </c>
    </row>
    <row r="4706">
      <c r="A4706" t="s" s="10">
        <v>23771</v>
      </c>
      <c r="B4706" t="s" s="10">
        <v>23772</v>
      </c>
      <c r="C4706" t="s" s="10">
        <v>37</v>
      </c>
      <c r="D4706" t="s" s="10">
        <v>38</v>
      </c>
      <c r="E4706" t="s" s="10">
        <v>137</v>
      </c>
      <c r="F4706" s="27">
        <v>45645</v>
      </c>
      <c r="G4706" t="s" s="10">
        <v>4267</v>
      </c>
      <c r="H4706" s="42">
        <v>1.2</v>
      </c>
      <c r="I4706" t="s" s="42">
        <v>30</v>
      </c>
      <c r="J4706" t="s" s="10">
        <v>23773</v>
      </c>
      <c r="K4706" t="s" s="10">
        <v>23774</v>
      </c>
      <c r="L4706" s="16">
        <f>HYPERLINK("http://www.curie.money", "www.curie.money")</f>
      </c>
      <c r="M4706" s="16">
        <f>HYPERLINK("https://my.pitchbook.com?c=527529-16", "View Company Online")</f>
      </c>
    </row>
    <row r="4707">
      <c r="A4707" t="s" s="11">
        <v>23776</v>
      </c>
      <c r="B4707" t="s" s="11">
        <v>23777</v>
      </c>
      <c r="C4707" t="s" s="11">
        <v>27</v>
      </c>
      <c r="D4707" t="s" s="11">
        <v>122</v>
      </c>
      <c r="E4707" t="s" s="11">
        <v>1859</v>
      </c>
      <c r="F4707" s="28">
        <v>44531</v>
      </c>
      <c r="G4707" t="s" s="11">
        <v>607</v>
      </c>
      <c r="H4707" t="s" s="43">
        <v>30</v>
      </c>
      <c r="I4707" t="s" s="43">
        <v>30</v>
      </c>
      <c r="J4707" t="s" s="11">
        <v>23778</v>
      </c>
      <c r="K4707" t="s" s="11">
        <v>23779</v>
      </c>
      <c r="L4707" s="17">
        <f>HYPERLINK("http://www.currencyclear.com", "www.currencyclear.com")</f>
      </c>
      <c r="M4707" s="17">
        <f>HYPERLINK("https://my.pitchbook.com?c=464206-24", "View Company Online")</f>
      </c>
    </row>
    <row r="4708">
      <c r="A4708" t="s" s="10">
        <v>23781</v>
      </c>
      <c r="B4708" t="s" s="10">
        <v>23782</v>
      </c>
      <c r="C4708" t="s" s="10">
        <v>27</v>
      </c>
      <c r="D4708" t="s" s="10">
        <v>28</v>
      </c>
      <c r="E4708" t="s" s="10">
        <v>137</v>
      </c>
      <c r="F4708" s="27">
        <v>44713</v>
      </c>
      <c r="G4708" t="s" s="10">
        <v>48</v>
      </c>
      <c r="H4708" t="s" s="42">
        <v>30</v>
      </c>
      <c r="I4708" t="s" s="42">
        <v>30</v>
      </c>
      <c r="J4708" t="s" s="10">
        <v>23783</v>
      </c>
      <c r="K4708" t="s" s="10">
        <v>23784</v>
      </c>
      <c r="L4708" s="16">
        <f>HYPERLINK("http://www.cvsystems.com", "www.cvsystems.com")</f>
      </c>
      <c r="M4708" s="16">
        <f>HYPERLINK("https://my.pitchbook.com?c=173141-47", "View Company Online")</f>
      </c>
    </row>
    <row r="4709">
      <c r="A4709" t="s" s="11">
        <v>23786</v>
      </c>
      <c r="B4709" t="s" s="11">
        <v>23787</v>
      </c>
      <c r="C4709" t="s" s="11">
        <v>128</v>
      </c>
      <c r="D4709" t="s" s="11">
        <v>199</v>
      </c>
      <c r="E4709" t="s" s="11">
        <v>270</v>
      </c>
      <c r="F4709" s="28">
        <v>45425</v>
      </c>
      <c r="G4709" t="s" s="11">
        <v>40</v>
      </c>
      <c r="H4709" s="43">
        <v>1.5</v>
      </c>
      <c r="I4709" t="s" s="43">
        <v>30</v>
      </c>
      <c r="J4709" t="s" s="11">
        <v>23788</v>
      </c>
      <c r="K4709" t="s" s="11">
        <v>23789</v>
      </c>
      <c r="L4709" s="17">
        <f>HYPERLINK("http://cwallet.qa", "cwallet.qa")</f>
      </c>
      <c r="M4709" s="17">
        <f>HYPERLINK("https://my.pitchbook.com?c=442968-49", "View Company Online")</f>
      </c>
    </row>
    <row r="4710">
      <c r="A4710" t="s" s="10">
        <v>23791</v>
      </c>
      <c r="B4710" t="s" s="10">
        <v>23792</v>
      </c>
      <c r="C4710" t="s" s="10">
        <v>222</v>
      </c>
      <c r="D4710" t="s" s="10">
        <v>252</v>
      </c>
      <c r="E4710" t="s" s="10">
        <v>859</v>
      </c>
      <c r="F4710" s="27">
        <v>46163</v>
      </c>
      <c r="G4710" t="s" s="10">
        <v>146</v>
      </c>
      <c r="H4710" s="42">
        <v>6.4</v>
      </c>
      <c r="I4710" t="s" s="42">
        <v>30</v>
      </c>
      <c r="J4710" t="s" s="10">
        <v>23793</v>
      </c>
      <c r="K4710" t="s" s="10">
        <v>23794</v>
      </c>
      <c r="L4710" s="16">
        <f>HYPERLINK("http://www.cycles.money", "www.cycles.money")</f>
      </c>
      <c r="M4710" s="16">
        <f>HYPERLINK("https://my.pitchbook.com?c=897304-15", "View Company Online")</f>
      </c>
    </row>
    <row r="4711">
      <c r="A4711" t="s" s="11">
        <v>23796</v>
      </c>
      <c r="B4711" t="s" s="11">
        <v>23797</v>
      </c>
      <c r="C4711" t="s" s="11">
        <v>164</v>
      </c>
      <c r="D4711" t="s" s="11">
        <v>206</v>
      </c>
      <c r="E4711" t="s" s="11">
        <v>634</v>
      </c>
      <c r="F4711" s="28">
        <v>43263</v>
      </c>
      <c r="G4711" t="s" s="11">
        <v>40</v>
      </c>
      <c r="H4711" t="s" s="43">
        <v>30</v>
      </c>
      <c r="I4711" t="s" s="43">
        <v>30</v>
      </c>
      <c r="J4711" t="s" s="11">
        <v>23798</v>
      </c>
      <c r="K4711" t="s" s="11">
        <v>23799</v>
      </c>
      <c r="L4711" s="17">
        <f>HYPERLINK("http://www.cyndx.com", "www.cyndx.com")</f>
      </c>
      <c r="M4711" s="17">
        <f>HYPERLINK("https://my.pitchbook.com?c=83543-05", "View Company Online")</f>
      </c>
    </row>
    <row r="4712">
      <c r="A4712" t="s" s="10">
        <v>23801</v>
      </c>
      <c r="B4712" t="s" s="10">
        <v>23802</v>
      </c>
      <c r="C4712" t="s" s="10">
        <v>222</v>
      </c>
      <c r="D4712" t="s" s="10">
        <v>537</v>
      </c>
      <c r="E4712" t="s" s="10">
        <v>859</v>
      </c>
      <c r="F4712" s="27">
        <v>45999</v>
      </c>
      <c r="G4712" t="s" s="10">
        <v>607</v>
      </c>
      <c r="H4712" t="s" s="42">
        <v>30</v>
      </c>
      <c r="I4712" t="s" s="42">
        <v>30</v>
      </c>
      <c r="J4712" t="s" s="10">
        <v>23803</v>
      </c>
      <c r="K4712" t="s" s="10">
        <v>23804</v>
      </c>
      <c r="L4712" s="16">
        <f>HYPERLINK("http://www.cypator.com", "www.cypator.com")</f>
      </c>
      <c r="M4712" s="16">
        <f>HYPERLINK("https://my.pitchbook.com?c=527644-00", "View Company Online")</f>
      </c>
    </row>
    <row r="4713">
      <c r="A4713" t="s" s="11">
        <v>23806</v>
      </c>
      <c r="B4713" t="s" s="11">
        <v>23807</v>
      </c>
      <c r="C4713" t="s" s="11">
        <v>60</v>
      </c>
      <c r="D4713" t="s" s="11">
        <v>192</v>
      </c>
      <c r="E4713" t="s" s="11">
        <v>116</v>
      </c>
      <c r="F4713" s="28">
        <v>45951</v>
      </c>
      <c r="G4713" t="s" s="11">
        <v>2651</v>
      </c>
      <c r="H4713" s="43">
        <v>0.2</v>
      </c>
      <c r="I4713" t="s" s="43">
        <v>30</v>
      </c>
      <c r="J4713" t="s" s="11">
        <v>23808</v>
      </c>
      <c r="K4713" t="s" s="11">
        <v>23809</v>
      </c>
      <c r="L4713" s="17">
        <f>HYPERLINK("http://www.cyrannus.io", "www.cyrannus.io")</f>
      </c>
      <c r="M4713" s="17">
        <f>HYPERLINK("https://my.pitchbook.com?c=546447-88", "View Company Online")</f>
      </c>
    </row>
    <row r="4714">
      <c r="A4714" t="s" s="10">
        <v>23811</v>
      </c>
      <c r="B4714" t="s" s="10">
        <v>23812</v>
      </c>
      <c r="C4714" t="s" s="10">
        <v>60</v>
      </c>
      <c r="D4714" t="s" s="10">
        <v>432</v>
      </c>
      <c r="E4714" t="s" s="10">
        <v>253</v>
      </c>
      <c r="F4714" s="27">
        <v>45854</v>
      </c>
      <c r="G4714" t="s" s="10">
        <v>40</v>
      </c>
      <c r="H4714" t="s" s="42">
        <v>30</v>
      </c>
      <c r="I4714" t="s" s="42">
        <v>30</v>
      </c>
      <c r="J4714" t="s" s="10">
        <v>23813</v>
      </c>
      <c r="K4714" t="s" s="10">
        <v>23814</v>
      </c>
      <c r="L4714" s="16">
        <f>HYPERLINK("http://www.d1g1t.com", "www.d1g1t.com")</f>
      </c>
      <c r="M4714" s="16">
        <f>HYPERLINK("https://my.pitchbook.com?c=186004-99", "View Company Online")</f>
      </c>
    </row>
    <row r="4715">
      <c r="A4715" t="s" s="11">
        <v>23816</v>
      </c>
      <c r="B4715" t="s" s="11">
        <v>23817</v>
      </c>
      <c r="C4715" t="s" s="11">
        <v>27</v>
      </c>
      <c r="D4715" t="s" s="11">
        <v>70</v>
      </c>
      <c r="E4715" t="s" s="11">
        <v>859</v>
      </c>
      <c r="F4715" s="28">
        <v>45987</v>
      </c>
      <c r="G4715" t="s" s="11">
        <v>146</v>
      </c>
      <c r="H4715" s="43">
        <v>3</v>
      </c>
      <c r="I4715" t="s" s="43">
        <v>30</v>
      </c>
      <c r="J4715" t="s" s="11">
        <v>23818</v>
      </c>
      <c r="K4715" t="s" s="11">
        <v>23819</v>
      </c>
      <c r="L4715" s="17">
        <f>HYPERLINK("http://d3labs.io", "d3labs.io")</f>
      </c>
      <c r="M4715" s="17">
        <f>HYPERLINK("https://my.pitchbook.com?c=525360-52", "View Company Online")</f>
      </c>
    </row>
    <row r="4716">
      <c r="A4716" t="s" s="10">
        <v>23821</v>
      </c>
      <c r="B4716" t="s" s="10">
        <v>23822</v>
      </c>
      <c r="C4716" t="s" s="10">
        <v>60</v>
      </c>
      <c r="D4716" t="s" s="10">
        <v>192</v>
      </c>
      <c r="E4716" t="s" s="10">
        <v>270</v>
      </c>
      <c r="F4716" s="27">
        <v>45563</v>
      </c>
      <c r="G4716" t="s" s="10">
        <v>2651</v>
      </c>
      <c r="H4716" s="42">
        <v>0.05</v>
      </c>
      <c r="I4716" t="s" s="42">
        <v>30</v>
      </c>
      <c r="J4716" t="s" s="10">
        <v>23823</v>
      </c>
      <c r="K4716" t="s" s="10">
        <v>23824</v>
      </c>
      <c r="L4716" s="16">
        <f>HYPERLINK("http://www.dabafinance.com", "www.dabafinance.com")</f>
      </c>
      <c r="M4716" s="16">
        <f>HYPERLINK("https://my.pitchbook.com?c=494618-77", "View Company Online")</f>
      </c>
    </row>
    <row r="4717">
      <c r="A4717" t="s" s="11">
        <v>23826</v>
      </c>
      <c r="B4717" t="s" s="11">
        <v>23827</v>
      </c>
      <c r="C4717" t="s" s="11">
        <v>46</v>
      </c>
      <c r="D4717" t="s" s="11">
        <v>47</v>
      </c>
      <c r="E4717" t="s" s="11">
        <v>137</v>
      </c>
      <c r="F4717" s="28">
        <v>46023</v>
      </c>
      <c r="G4717" t="s" s="11">
        <v>607</v>
      </c>
      <c r="H4717" t="s" s="43">
        <v>30</v>
      </c>
      <c r="I4717" t="s" s="43">
        <v>30</v>
      </c>
      <c r="J4717" t="s" s="11">
        <v>23828</v>
      </c>
      <c r="K4717" t="s" s="11">
        <v>23829</v>
      </c>
      <c r="L4717" s="17">
        <f>HYPERLINK("http://www.daily-pay.co.kr", "www.daily-pay.co.kr")</f>
      </c>
      <c r="M4717" s="17">
        <f>HYPERLINK("https://my.pitchbook.com?c=642509-65", "View Company Online")</f>
      </c>
    </row>
    <row r="4718">
      <c r="A4718" t="s" s="10">
        <v>23831</v>
      </c>
      <c r="B4718" t="s" s="10">
        <v>23832</v>
      </c>
      <c r="C4718" t="s" s="10">
        <v>60</v>
      </c>
      <c r="D4718" t="s" s="10">
        <v>246</v>
      </c>
      <c r="E4718" t="s" s="10">
        <v>29</v>
      </c>
      <c r="F4718" s="27">
        <v>46005</v>
      </c>
      <c r="G4718" t="s" s="10">
        <v>607</v>
      </c>
      <c r="H4718" t="s" s="42">
        <v>30</v>
      </c>
      <c r="I4718" t="s" s="42">
        <v>30</v>
      </c>
      <c r="J4718" t="s" s="10">
        <v>23833</v>
      </c>
      <c r="K4718" t="s" s="10">
        <v>23834</v>
      </c>
      <c r="L4718" s="16">
        <f>HYPERLINK("http://www.getdaleel.com", "www.getdaleel.com")</f>
      </c>
      <c r="M4718" s="16">
        <f>HYPERLINK("https://my.pitchbook.com?c=520531-30", "View Company Online")</f>
      </c>
    </row>
    <row r="4719">
      <c r="A4719" t="s" s="11">
        <v>23836</v>
      </c>
      <c r="B4719" t="s" s="11">
        <v>23837</v>
      </c>
      <c r="C4719" t="s" s="11">
        <v>60</v>
      </c>
      <c r="D4719" t="s" s="11">
        <v>246</v>
      </c>
      <c r="E4719" t="s" s="11">
        <v>414</v>
      </c>
      <c r="F4719" s="28">
        <v>45999</v>
      </c>
      <c r="G4719" t="s" s="11">
        <v>146</v>
      </c>
      <c r="H4719" t="s" s="43">
        <v>30</v>
      </c>
      <c r="I4719" t="s" s="43">
        <v>30</v>
      </c>
      <c r="J4719" t="s" s="11">
        <v>23838</v>
      </c>
      <c r="K4719" t="s" s="11">
        <v>23839</v>
      </c>
      <c r="L4719" s="17">
        <f>HYPERLINK("http://www.dalinora.com", "www.dalinora.com")</f>
      </c>
      <c r="M4719" s="17">
        <f>HYPERLINK("https://my.pitchbook.com?c=1168892-29", "View Company Online")</f>
      </c>
    </row>
    <row r="4720">
      <c r="A4720" t="s" s="10">
        <v>23841</v>
      </c>
      <c r="B4720" t="s" s="10">
        <v>23842</v>
      </c>
      <c r="C4720" t="s" s="10">
        <v>60</v>
      </c>
      <c r="D4720" t="s" s="10">
        <v>246</v>
      </c>
      <c r="E4720" t="s" s="10">
        <v>137</v>
      </c>
      <c r="F4720" s="27">
        <v>44522</v>
      </c>
      <c r="G4720" t="s" s="10">
        <v>4267</v>
      </c>
      <c r="H4720" s="42">
        <v>1.69</v>
      </c>
      <c r="I4720" t="s" s="42">
        <v>30</v>
      </c>
      <c r="J4720" t="s" s="10">
        <v>23843</v>
      </c>
      <c r="K4720" t="s" s="10">
        <v>23844</v>
      </c>
      <c r="L4720" s="16">
        <f>HYPERLINK("http://www.dambee.com", "www.dambee.com")</f>
      </c>
      <c r="M4720" s="16">
        <f>HYPERLINK("https://my.pitchbook.com?c=497789-56", "View Company Online")</f>
      </c>
    </row>
    <row r="4721">
      <c r="A4721" t="s" s="11">
        <v>23846</v>
      </c>
      <c r="B4721" t="s" s="11">
        <v>23847</v>
      </c>
      <c r="C4721" t="s" s="11">
        <v>37</v>
      </c>
      <c r="D4721" t="s" s="11">
        <v>304</v>
      </c>
      <c r="E4721" t="s" s="11">
        <v>29</v>
      </c>
      <c r="F4721" t="s" s="28">
        <v>30</v>
      </c>
      <c r="G4721" t="s" s="11">
        <v>48</v>
      </c>
      <c r="H4721" t="s" s="43">
        <v>30</v>
      </c>
      <c r="I4721" t="s" s="43">
        <v>30</v>
      </c>
      <c r="J4721" t="s" s="11">
        <v>23848</v>
      </c>
      <c r="K4721" t="s" s="11">
        <v>23849</v>
      </c>
      <c r="L4721" s="17">
        <f>HYPERLINK("http://www.dana.money", "www.dana.money")</f>
      </c>
      <c r="M4721" s="17">
        <f>HYPERLINK("https://my.pitchbook.com?c=489711-79", "View Company Online")</f>
      </c>
    </row>
    <row r="4722">
      <c r="A4722" t="s" s="10">
        <v>23851</v>
      </c>
      <c r="B4722" t="s" s="10">
        <v>23852</v>
      </c>
      <c r="C4722" t="s" s="10">
        <v>60</v>
      </c>
      <c r="D4722" t="s" s="10">
        <v>727</v>
      </c>
      <c r="E4722" t="s" s="10">
        <v>137</v>
      </c>
      <c r="F4722" s="27">
        <v>45698</v>
      </c>
      <c r="G4722" t="s" s="10">
        <v>146</v>
      </c>
      <c r="H4722" t="s" s="42">
        <v>30</v>
      </c>
      <c r="I4722" t="s" s="42">
        <v>30</v>
      </c>
      <c r="J4722" t="s" s="10">
        <v>23853</v>
      </c>
      <c r="K4722" t="s" s="10">
        <v>23854</v>
      </c>
      <c r="L4722" s="16">
        <f>HYPERLINK("http://www.getdaphne.com", "www.getdaphne.com")</f>
      </c>
      <c r="M4722" s="16">
        <f>HYPERLINK("https://my.pitchbook.com?c=538175-89", "View Company Online")</f>
      </c>
    </row>
    <row r="4723">
      <c r="A4723" t="s" s="11">
        <v>23856</v>
      </c>
      <c r="B4723" t="s" s="11">
        <v>23857</v>
      </c>
      <c r="C4723" t="s" s="11">
        <v>27</v>
      </c>
      <c r="D4723" t="s" s="11">
        <v>70</v>
      </c>
      <c r="E4723" t="s" s="11">
        <v>23858</v>
      </c>
      <c r="F4723" s="28">
        <v>44561</v>
      </c>
      <c r="G4723" t="s" s="11">
        <v>40</v>
      </c>
      <c r="H4723" s="43">
        <v>2.5</v>
      </c>
      <c r="I4723" t="s" s="43">
        <v>30</v>
      </c>
      <c r="J4723" t="s" s="11">
        <v>23859</v>
      </c>
      <c r="K4723" t="s" s="11">
        <v>23860</v>
      </c>
      <c r="L4723" s="17">
        <f>HYPERLINK("http://www.dash.fi", "www.dash.fi")</f>
      </c>
      <c r="M4723" s="17">
        <f>HYPERLINK("https://my.pitchbook.com?c=490676-86", "View Company Online")</f>
      </c>
    </row>
    <row r="4724">
      <c r="A4724" t="s" s="10">
        <v>23862</v>
      </c>
      <c r="B4724" t="s" s="10">
        <v>23863</v>
      </c>
      <c r="C4724" t="s" s="10">
        <v>60</v>
      </c>
      <c r="D4724" t="s" s="10">
        <v>432</v>
      </c>
      <c r="E4724" t="s" s="10">
        <v>634</v>
      </c>
      <c r="F4724" s="27">
        <v>46226</v>
      </c>
      <c r="G4724" t="s" s="10">
        <v>391</v>
      </c>
      <c r="H4724" t="s" s="42">
        <v>30</v>
      </c>
      <c r="I4724" t="s" s="42">
        <v>30</v>
      </c>
      <c r="J4724" t="s" s="10">
        <v>23864</v>
      </c>
      <c r="K4724" t="s" s="10">
        <v>23865</v>
      </c>
      <c r="L4724" s="16">
        <f>HYPERLINK("http://www.dasseti.com", "www.dasseti.com")</f>
      </c>
      <c r="M4724" s="16">
        <f>HYPERLINK("https://my.pitchbook.com?c=375600-70", "View Company Online")</f>
      </c>
    </row>
    <row r="4725">
      <c r="A4725" t="s" s="11">
        <v>23867</v>
      </c>
      <c r="B4725" t="s" s="11">
        <v>23868</v>
      </c>
      <c r="C4725" t="s" s="11">
        <v>128</v>
      </c>
      <c r="D4725" t="s" s="11">
        <v>129</v>
      </c>
      <c r="E4725" t="s" s="11">
        <v>414</v>
      </c>
      <c r="F4725" s="28">
        <v>44918</v>
      </c>
      <c r="G4725" t="s" s="11">
        <v>4267</v>
      </c>
      <c r="H4725" s="43">
        <v>1.05</v>
      </c>
      <c r="I4725" t="s" s="43">
        <v>30</v>
      </c>
      <c r="J4725" t="s" s="11">
        <v>23869</v>
      </c>
      <c r="K4725" t="s" s="11">
        <v>23870</v>
      </c>
      <c r="L4725" s="17">
        <f>HYPERLINK("http://www.datafordeals.com", "www.datafordeals.com")</f>
      </c>
      <c r="M4725" s="17">
        <f>HYPERLINK("https://my.pitchbook.com?c=517249-63", "View Company Online")</f>
      </c>
    </row>
    <row r="4726">
      <c r="A4726" t="s" s="10">
        <v>23872</v>
      </c>
      <c r="B4726" t="s" s="10">
        <v>23873</v>
      </c>
      <c r="C4726" t="s" s="10">
        <v>172</v>
      </c>
      <c r="D4726" t="s" s="10">
        <v>1454</v>
      </c>
      <c r="E4726" t="s" s="10">
        <v>367</v>
      </c>
      <c r="F4726" s="27">
        <v>46020</v>
      </c>
      <c r="G4726" t="s" s="10">
        <v>40</v>
      </c>
      <c r="H4726" t="s" s="42">
        <v>30</v>
      </c>
      <c r="I4726" t="s" s="42">
        <v>30</v>
      </c>
      <c r="J4726" t="s" s="10">
        <v>23874</v>
      </c>
      <c r="K4726" t="s" s="10">
        <v>23875</v>
      </c>
      <c r="L4726" s="16">
        <f>HYPERLINK("http://www.datacanvas.com", "www.datacanvas.com")</f>
      </c>
      <c r="M4726" s="16">
        <f>HYPERLINK("https://my.pitchbook.com?c=231202-45", "View Company Online")</f>
      </c>
    </row>
    <row r="4727">
      <c r="A4727" t="s" s="11">
        <v>23877</v>
      </c>
      <c r="B4727" t="s" s="11">
        <v>23878</v>
      </c>
      <c r="C4727" t="s" s="11">
        <v>172</v>
      </c>
      <c r="D4727" t="s" s="11">
        <v>173</v>
      </c>
      <c r="E4727" t="s" s="11">
        <v>414</v>
      </c>
      <c r="F4727" t="s" s="28">
        <v>30</v>
      </c>
      <c r="G4727" t="s" s="11">
        <v>40</v>
      </c>
      <c r="H4727" s="43">
        <v>5</v>
      </c>
      <c r="I4727" t="s" s="43">
        <v>30</v>
      </c>
      <c r="J4727" t="s" s="11">
        <v>23879</v>
      </c>
      <c r="K4727" t="s" s="11">
        <v>23880</v>
      </c>
      <c r="L4727" s="17">
        <f>HYPERLINK("http://www.datacultr.com", "www.datacultr.com")</f>
      </c>
      <c r="M4727" s="17">
        <f>HYPERLINK("https://my.pitchbook.com?c=232473-88", "View Company Online")</f>
      </c>
    </row>
    <row r="4728">
      <c r="A4728" t="s" s="10">
        <v>23882</v>
      </c>
      <c r="B4728" t="s" s="10">
        <v>23883</v>
      </c>
      <c r="C4728" t="s" s="10">
        <v>60</v>
      </c>
      <c r="D4728" t="s" s="10">
        <v>727</v>
      </c>
      <c r="E4728" t="s" s="10">
        <v>4331</v>
      </c>
      <c r="F4728" s="27">
        <v>45352</v>
      </c>
      <c r="G4728" t="s" s="10">
        <v>40</v>
      </c>
      <c r="H4728" t="s" s="42">
        <v>30</v>
      </c>
      <c r="I4728" t="s" s="42">
        <v>30</v>
      </c>
      <c r="J4728" t="s" s="10">
        <v>23884</v>
      </c>
      <c r="K4728" t="s" s="10">
        <v>23885</v>
      </c>
      <c r="L4728" s="16">
        <f>HYPERLINK("http://www.dataknows.ai", "www.dataknows.ai")</f>
      </c>
      <c r="M4728" s="16">
        <f>HYPERLINK("https://my.pitchbook.com?c=497780-29", "View Company Online")</f>
      </c>
    </row>
    <row r="4729">
      <c r="A4729" t="s" s="11">
        <v>23887</v>
      </c>
      <c r="B4729" t="s" s="11">
        <v>23888</v>
      </c>
      <c r="C4729" t="s" s="11">
        <v>164</v>
      </c>
      <c r="D4729" t="s" s="11">
        <v>206</v>
      </c>
      <c r="E4729" t="s" s="11">
        <v>253</v>
      </c>
      <c r="F4729" s="28">
        <v>45341</v>
      </c>
      <c r="G4729" t="s" s="11">
        <v>607</v>
      </c>
      <c r="H4729" t="s" s="43">
        <v>30</v>
      </c>
      <c r="I4729" t="s" s="43">
        <v>30</v>
      </c>
      <c r="J4729" t="s" s="11">
        <v>23889</v>
      </c>
      <c r="K4729" t="s" s="11">
        <v>23890</v>
      </c>
      <c r="L4729" s="17">
        <f>HYPERLINK("http://www.datanomik.com", "www.datanomik.com")</f>
      </c>
      <c r="M4729" s="17">
        <f>HYPERLINK("https://my.pitchbook.com?c=494480-71", "View Company Online")</f>
      </c>
    </row>
    <row r="4730">
      <c r="A4730" t="s" s="10">
        <v>23892</v>
      </c>
      <c r="B4730" t="s" s="10">
        <v>23893</v>
      </c>
      <c r="C4730" t="s" s="10">
        <v>46</v>
      </c>
      <c r="D4730" t="s" s="10">
        <v>397</v>
      </c>
      <c r="E4730" t="s" s="10">
        <v>373</v>
      </c>
      <c r="F4730" s="27">
        <v>44965</v>
      </c>
      <c r="G4730" t="s" s="10">
        <v>40</v>
      </c>
      <c r="H4730" s="42">
        <v>3.89</v>
      </c>
      <c r="I4730" t="s" s="42">
        <v>30</v>
      </c>
      <c r="J4730" t="s" s="10">
        <v>23894</v>
      </c>
      <c r="K4730" t="s" s="10">
        <v>23895</v>
      </c>
      <c r="L4730" s="16">
        <f>HYPERLINK("http://www.dattos.com.br", "www.dattos.com.br")</f>
      </c>
      <c r="M4730" s="16">
        <f>HYPERLINK("https://my.pitchbook.com?c=327302-11", "View Company Online")</f>
      </c>
    </row>
    <row r="4731">
      <c r="A4731" t="s" s="11">
        <v>23897</v>
      </c>
      <c r="B4731" t="s" s="11">
        <v>23898</v>
      </c>
      <c r="C4731" t="s" s="11">
        <v>60</v>
      </c>
      <c r="D4731" t="s" s="11">
        <v>192</v>
      </c>
      <c r="E4731" t="s" s="11">
        <v>193</v>
      </c>
      <c r="F4731" s="28">
        <v>44531</v>
      </c>
      <c r="G4731" t="s" s="11">
        <v>4267</v>
      </c>
      <c r="H4731" s="43">
        <v>5.06</v>
      </c>
      <c r="I4731" t="s" s="43">
        <v>30</v>
      </c>
      <c r="J4731" t="s" s="11">
        <v>23899</v>
      </c>
      <c r="K4731" t="s" s="11">
        <v>23900</v>
      </c>
      <c r="L4731" s="17">
        <f>HYPERLINK("http://www.dawul.net", "www.dawul.net")</f>
      </c>
      <c r="M4731" s="17">
        <f>HYPERLINK("https://my.pitchbook.com?c=471091-87", "View Company Online")</f>
      </c>
    </row>
    <row r="4732">
      <c r="A4732" t="s" s="10">
        <v>23902</v>
      </c>
      <c r="B4732" t="s" s="10">
        <v>23903</v>
      </c>
      <c r="C4732" t="s" s="10">
        <v>164</v>
      </c>
      <c r="D4732" t="s" s="10">
        <v>206</v>
      </c>
      <c r="E4732" t="s" s="10">
        <v>270</v>
      </c>
      <c r="F4732" t="s" s="27">
        <v>30</v>
      </c>
      <c r="G4732" t="s" s="10">
        <v>48</v>
      </c>
      <c r="H4732" t="s" s="42">
        <v>30</v>
      </c>
      <c r="I4732" t="s" s="42">
        <v>30</v>
      </c>
      <c r="J4732" t="s" s="10">
        <v>23904</v>
      </c>
      <c r="K4732" t="s" s="10">
        <v>23905</v>
      </c>
      <c r="L4732" s="16">
        <f>HYPERLINK("http://www.dayra.co", "www.dayra.co")</f>
      </c>
      <c r="M4732" s="16">
        <f>HYPERLINK("https://my.pitchbook.com?c=399098-08", "View Company Online")</f>
      </c>
    </row>
    <row r="4733">
      <c r="A4733" t="s" s="11">
        <v>23907</v>
      </c>
      <c r="B4733" t="s" s="11">
        <v>23908</v>
      </c>
      <c r="C4733" t="s" s="11">
        <v>46</v>
      </c>
      <c r="D4733" t="s" s="11">
        <v>397</v>
      </c>
      <c r="E4733" t="s" s="11">
        <v>108</v>
      </c>
      <c r="F4733" s="28">
        <v>45597</v>
      </c>
      <c r="G4733" t="s" s="11">
        <v>607</v>
      </c>
      <c r="H4733" t="s" s="43">
        <v>30</v>
      </c>
      <c r="I4733" t="s" s="43">
        <v>30</v>
      </c>
      <c r="J4733" t="s" s="11">
        <v>23909</v>
      </c>
      <c r="K4733" t="s" s="11">
        <v>23910</v>
      </c>
      <c r="L4733" s="17">
        <f>HYPERLINK("http://www.ondayzero.com", "www.ondayzero.com")</f>
      </c>
      <c r="M4733" s="17">
        <f>HYPERLINK("https://my.pitchbook.com?c=588974-41", "View Company Online")</f>
      </c>
    </row>
    <row r="4734">
      <c r="A4734" t="s" s="10">
        <v>23912</v>
      </c>
      <c r="B4734" t="s" s="10">
        <v>23913</v>
      </c>
      <c r="C4734" t="s" s="10">
        <v>164</v>
      </c>
      <c r="D4734" t="s" s="10">
        <v>165</v>
      </c>
      <c r="E4734" t="s" s="10">
        <v>373</v>
      </c>
      <c r="F4734" s="27">
        <v>45594</v>
      </c>
      <c r="G4734" t="s" s="10">
        <v>146</v>
      </c>
      <c r="H4734" t="s" s="42">
        <v>30</v>
      </c>
      <c r="I4734" t="s" s="42">
        <v>30</v>
      </c>
      <c r="J4734" t="s" s="10">
        <v>23914</v>
      </c>
      <c r="K4734" t="s" s="10">
        <v>23915</v>
      </c>
      <c r="L4734" s="16">
        <f>HYPERLINK("http://www.dcap.com.my", "www.dcap.com.my")</f>
      </c>
      <c r="M4734" s="16">
        <f>HYPERLINK("https://my.pitchbook.com?c=559512-01", "View Company Online")</f>
      </c>
    </row>
    <row r="4735">
      <c r="A4735" t="s" s="11">
        <v>23917</v>
      </c>
      <c r="B4735" t="s" s="11">
        <v>23918</v>
      </c>
      <c r="C4735" t="s" s="11">
        <v>114</v>
      </c>
      <c r="D4735" t="s" s="11">
        <v>136</v>
      </c>
      <c r="E4735" t="s" s="11">
        <v>137</v>
      </c>
      <c r="F4735" s="28">
        <v>45242</v>
      </c>
      <c r="G4735" t="s" s="11">
        <v>4267</v>
      </c>
      <c r="H4735" s="43">
        <v>8</v>
      </c>
      <c r="I4735" t="s" s="43">
        <v>30</v>
      </c>
      <c r="J4735" t="s" s="11">
        <v>23919</v>
      </c>
      <c r="K4735" t="s" s="11">
        <v>23920</v>
      </c>
      <c r="L4735" t="s" s="11">
        <v>30</v>
      </c>
      <c r="M4735" s="17">
        <f>HYPERLINK("https://my.pitchbook.com?c=542257-57", "View Company Online")</f>
      </c>
    </row>
    <row r="4736">
      <c r="A4736" t="s" s="10">
        <v>23921</v>
      </c>
      <c r="B4736" t="s" s="10">
        <v>23922</v>
      </c>
      <c r="C4736" t="s" s="10">
        <v>222</v>
      </c>
      <c r="D4736" t="s" s="10">
        <v>235</v>
      </c>
      <c r="E4736" t="s" s="10">
        <v>137</v>
      </c>
      <c r="F4736" s="27">
        <v>45826</v>
      </c>
      <c r="G4736" t="s" s="10">
        <v>4267</v>
      </c>
      <c r="H4736" s="42">
        <v>0.55</v>
      </c>
      <c r="I4736" t="s" s="42">
        <v>30</v>
      </c>
      <c r="J4736" t="s" s="10">
        <v>23923</v>
      </c>
      <c r="K4736" t="s" s="10">
        <v>30</v>
      </c>
      <c r="L4736" s="16">
        <f>HYPERLINK("http://www.uedfx.com", "www.uedfx.com")</f>
      </c>
      <c r="M4736" s="16">
        <f>HYPERLINK("https://my.pitchbook.com?c=706917-97", "View Company Online")</f>
      </c>
    </row>
    <row r="4737">
      <c r="A4737" t="s" s="11">
        <v>23925</v>
      </c>
      <c r="B4737" t="s" s="11">
        <v>23926</v>
      </c>
      <c r="C4737" t="s" s="11">
        <v>222</v>
      </c>
      <c r="D4737" t="s" s="11">
        <v>223</v>
      </c>
      <c r="E4737" t="s" s="11">
        <v>1207</v>
      </c>
      <c r="F4737" s="28">
        <v>45820</v>
      </c>
      <c r="G4737" t="s" s="11">
        <v>40</v>
      </c>
      <c r="H4737" s="43">
        <v>5.67</v>
      </c>
      <c r="I4737" t="s" s="43">
        <v>30</v>
      </c>
      <c r="J4737" t="s" s="11">
        <v>23927</v>
      </c>
      <c r="K4737" t="s" s="11">
        <v>23928</v>
      </c>
      <c r="L4737" s="17">
        <f>HYPERLINK("http://www.dealcircle.com", "www.dealcircle.com")</f>
      </c>
      <c r="M4737" s="17">
        <f>HYPERLINK("https://my.pitchbook.com?c=300298-96", "View Company Online")</f>
      </c>
    </row>
    <row r="4738">
      <c r="A4738" t="s" s="10">
        <v>23930</v>
      </c>
      <c r="B4738" t="s" s="10">
        <v>23931</v>
      </c>
      <c r="C4738" t="s" s="10">
        <v>114</v>
      </c>
      <c r="D4738" t="s" s="10">
        <v>136</v>
      </c>
      <c r="E4738" t="s" s="10">
        <v>253</v>
      </c>
      <c r="F4738" t="s" s="27">
        <v>30</v>
      </c>
      <c r="G4738" t="s" s="10">
        <v>146</v>
      </c>
      <c r="H4738" t="s" s="42">
        <v>30</v>
      </c>
      <c r="I4738" t="s" s="42">
        <v>30</v>
      </c>
      <c r="J4738" t="s" s="10">
        <v>23932</v>
      </c>
      <c r="K4738" t="s" s="10">
        <v>23933</v>
      </c>
      <c r="L4738" s="16">
        <f>HYPERLINK("http://www.dealflow.no", "www.dealflow.no")</f>
      </c>
      <c r="M4738" s="16">
        <f>HYPERLINK("https://my.pitchbook.com?c=230098-15", "View Company Online")</f>
      </c>
    </row>
    <row r="4739">
      <c r="A4739" t="s" s="11">
        <v>23935</v>
      </c>
      <c r="B4739" t="s" s="11">
        <v>23936</v>
      </c>
      <c r="C4739" t="s" s="11">
        <v>172</v>
      </c>
      <c r="D4739" t="s" s="11">
        <v>1454</v>
      </c>
      <c r="E4739" t="s" s="11">
        <v>253</v>
      </c>
      <c r="F4739" s="28">
        <v>45697</v>
      </c>
      <c r="G4739" t="s" s="11">
        <v>40</v>
      </c>
      <c r="H4739" t="s" s="43">
        <v>30</v>
      </c>
      <c r="I4739" t="s" s="43">
        <v>30</v>
      </c>
      <c r="J4739" t="s" s="11">
        <v>23937</v>
      </c>
      <c r="K4739" t="s" s="11">
        <v>23938</v>
      </c>
      <c r="L4739" s="17">
        <f>HYPERLINK("http://www.deal-risk.com", "www.deal-risk.com")</f>
      </c>
      <c r="M4739" s="17">
        <f>HYPERLINK("https://my.pitchbook.com?c=747313-93", "View Company Online")</f>
      </c>
    </row>
    <row r="4740">
      <c r="A4740" t="s" s="10">
        <v>23940</v>
      </c>
      <c r="B4740" t="s" s="10">
        <v>23941</v>
      </c>
      <c r="C4740" t="s" s="10">
        <v>114</v>
      </c>
      <c r="D4740" t="s" s="10">
        <v>136</v>
      </c>
      <c r="E4740" t="s" s="10">
        <v>62</v>
      </c>
      <c r="F4740" s="27">
        <v>46036</v>
      </c>
      <c r="G4740" t="s" s="10">
        <v>40</v>
      </c>
      <c r="H4740" s="42">
        <v>1.03</v>
      </c>
      <c r="I4740" t="s" s="42">
        <v>30</v>
      </c>
      <c r="J4740" t="s" s="10">
        <v>23942</v>
      </c>
      <c r="K4740" t="s" s="10">
        <v>23943</v>
      </c>
      <c r="L4740" s="16">
        <f>HYPERLINK("http://www.debifi.com", "www.debifi.com")</f>
      </c>
      <c r="M4740" s="16">
        <f>HYPERLINK("https://my.pitchbook.com?c=515949-94", "View Company Online")</f>
      </c>
    </row>
    <row r="4741">
      <c r="A4741" t="s" s="11">
        <v>23945</v>
      </c>
      <c r="B4741" t="s" s="11">
        <v>23946</v>
      </c>
      <c r="C4741" t="s" s="11">
        <v>46</v>
      </c>
      <c r="D4741" t="s" s="11">
        <v>47</v>
      </c>
      <c r="E4741" t="s" s="11">
        <v>137</v>
      </c>
      <c r="F4741" s="28">
        <v>43243</v>
      </c>
      <c r="G4741" t="s" s="11">
        <v>138</v>
      </c>
      <c r="H4741" t="s" s="43">
        <v>30</v>
      </c>
      <c r="I4741" t="s" s="43">
        <v>30</v>
      </c>
      <c r="J4741" t="s" s="11">
        <v>23947</v>
      </c>
      <c r="K4741" t="s" s="11">
        <v>23948</v>
      </c>
      <c r="L4741" t="s" s="11">
        <v>30</v>
      </c>
      <c r="M4741" s="17">
        <f>HYPERLINK("https://my.pitchbook.com?c=111204-37", "View Company Online")</f>
      </c>
    </row>
    <row r="4742">
      <c r="A4742" t="s" s="10">
        <v>23949</v>
      </c>
      <c r="B4742" t="s" s="10">
        <v>23950</v>
      </c>
      <c r="C4742" t="s" s="10">
        <v>60</v>
      </c>
      <c r="D4742" t="s" s="10">
        <v>246</v>
      </c>
      <c r="E4742" t="s" s="10">
        <v>137</v>
      </c>
      <c r="F4742" s="27">
        <v>45778</v>
      </c>
      <c r="G4742" t="s" s="10">
        <v>146</v>
      </c>
      <c r="H4742" t="s" s="42">
        <v>30</v>
      </c>
      <c r="I4742" t="s" s="42">
        <v>30</v>
      </c>
      <c r="J4742" t="s" s="10">
        <v>23951</v>
      </c>
      <c r="K4742" t="s" s="10">
        <v>23952</v>
      </c>
      <c r="L4742" s="16">
        <f>HYPERLINK("http://www.debto.it", "www.debto.it")</f>
      </c>
      <c r="M4742" s="16">
        <f>HYPERLINK("https://my.pitchbook.com?c=820480-60", "View Company Online")</f>
      </c>
    </row>
    <row r="4743">
      <c r="A4743" t="s" s="11">
        <v>23954</v>
      </c>
      <c r="B4743" t="s" s="11">
        <v>23955</v>
      </c>
      <c r="C4743" t="s" s="11">
        <v>172</v>
      </c>
      <c r="D4743" t="s" s="11">
        <v>173</v>
      </c>
      <c r="E4743" t="s" s="11">
        <v>916</v>
      </c>
      <c r="F4743" s="28">
        <v>45182</v>
      </c>
      <c r="G4743" t="s" s="11">
        <v>146</v>
      </c>
      <c r="H4743" s="43">
        <v>3.46</v>
      </c>
      <c r="I4743" t="s" s="43">
        <v>30</v>
      </c>
      <c r="J4743" t="s" s="11">
        <v>23956</v>
      </c>
      <c r="K4743" t="s" s="11">
        <v>23957</v>
      </c>
      <c r="L4743" s="17">
        <f>HYPERLINK("http://www.deceptionandtruthanalysis.com", "www.deceptionandtruthanalysis.com")</f>
      </c>
      <c r="M4743" s="17">
        <f>HYPERLINK("https://my.pitchbook.com?c=470782-99", "View Company Online")</f>
      </c>
    </row>
    <row r="4744">
      <c r="A4744" t="s" s="10">
        <v>23959</v>
      </c>
      <c r="B4744" t="s" s="10">
        <v>23960</v>
      </c>
      <c r="C4744" t="s" s="10">
        <v>164</v>
      </c>
      <c r="D4744" t="s" s="10">
        <v>165</v>
      </c>
      <c r="E4744" t="s" s="10">
        <v>116</v>
      </c>
      <c r="F4744" s="27">
        <v>45631</v>
      </c>
      <c r="G4744" t="s" s="10">
        <v>40</v>
      </c>
      <c r="H4744" t="s" s="42">
        <v>30</v>
      </c>
      <c r="I4744" t="s" s="42">
        <v>30</v>
      </c>
      <c r="J4744" t="s" s="10">
        <v>23961</v>
      </c>
      <c r="K4744" t="s" s="10">
        <v>30</v>
      </c>
      <c r="L4744" s="16">
        <f>HYPERLINK("http://www.decimaltech.com", "www.decimaltech.com")</f>
      </c>
      <c r="M4744" s="16">
        <f>HYPERLINK("https://my.pitchbook.com?c=518164-39", "View Company Online")</f>
      </c>
    </row>
    <row r="4745">
      <c r="A4745" t="s" s="11">
        <v>23963</v>
      </c>
      <c r="B4745" t="s" s="11">
        <v>23964</v>
      </c>
      <c r="C4745" t="s" s="11">
        <v>114</v>
      </c>
      <c r="D4745" t="s" s="11">
        <v>136</v>
      </c>
      <c r="E4745" t="s" s="11">
        <v>373</v>
      </c>
      <c r="F4745" s="28">
        <v>45231</v>
      </c>
      <c r="G4745" t="s" s="11">
        <v>146</v>
      </c>
      <c r="H4745" t="s" s="43">
        <v>30</v>
      </c>
      <c r="I4745" t="s" s="43">
        <v>30</v>
      </c>
      <c r="J4745" t="s" s="11">
        <v>23965</v>
      </c>
      <c r="K4745" t="s" s="11">
        <v>23966</v>
      </c>
      <c r="L4745" s="17">
        <f>HYPERLINK("http://www.decisioning.it", "www.decisioning.it")</f>
      </c>
      <c r="M4745" s="17">
        <f>HYPERLINK("https://my.pitchbook.com?c=521992-54", "View Company Online")</f>
      </c>
    </row>
    <row r="4746">
      <c r="A4746" t="s" s="10">
        <v>23968</v>
      </c>
      <c r="B4746" t="s" s="10">
        <v>23969</v>
      </c>
      <c r="C4746" t="s" s="10">
        <v>172</v>
      </c>
      <c r="D4746" t="s" s="10">
        <v>173</v>
      </c>
      <c r="E4746" t="s" s="10">
        <v>629</v>
      </c>
      <c r="F4746" s="27">
        <v>46030</v>
      </c>
      <c r="G4746" t="s" s="10">
        <v>4267</v>
      </c>
      <c r="H4746" s="42">
        <v>1.75</v>
      </c>
      <c r="I4746" t="s" s="42">
        <v>30</v>
      </c>
      <c r="J4746" t="s" s="10">
        <v>23970</v>
      </c>
      <c r="K4746" t="s" s="10">
        <v>23971</v>
      </c>
      <c r="L4746" s="16">
        <f>HYPERLINK("http://deconflict.com", "deconflict.com")</f>
      </c>
      <c r="M4746" s="16">
        <f>HYPERLINK("https://my.pitchbook.com?c=863739-55", "View Company Online")</f>
      </c>
    </row>
    <row r="4747">
      <c r="A4747" t="s" s="11">
        <v>23973</v>
      </c>
      <c r="B4747" t="s" s="11">
        <v>23974</v>
      </c>
      <c r="C4747" t="s" s="11">
        <v>60</v>
      </c>
      <c r="D4747" t="s" s="11">
        <v>246</v>
      </c>
      <c r="E4747" t="s" s="11">
        <v>137</v>
      </c>
      <c r="F4747" s="28">
        <v>45981</v>
      </c>
      <c r="G4747" t="s" s="11">
        <v>4267</v>
      </c>
      <c r="H4747" s="43">
        <v>2.78</v>
      </c>
      <c r="I4747" t="s" s="43">
        <v>30</v>
      </c>
      <c r="J4747" t="s" s="11">
        <v>23975</v>
      </c>
      <c r="K4747" t="s" s="11">
        <v>23976</v>
      </c>
      <c r="L4747" s="17">
        <f>HYPERLINK("http://www.deduction.com", "www.deduction.com")</f>
      </c>
      <c r="M4747" s="17">
        <f>HYPERLINK("https://my.pitchbook.com?c=894956-68", "View Company Online")</f>
      </c>
    </row>
    <row r="4748">
      <c r="A4748" t="s" s="10">
        <v>23978</v>
      </c>
      <c r="B4748" t="s" s="10">
        <v>23979</v>
      </c>
      <c r="C4748" t="s" s="10">
        <v>60</v>
      </c>
      <c r="D4748" t="s" s="10">
        <v>61</v>
      </c>
      <c r="E4748" t="s" s="10">
        <v>62</v>
      </c>
      <c r="F4748" s="27">
        <v>46090</v>
      </c>
      <c r="G4748" t="s" s="10">
        <v>48</v>
      </c>
      <c r="H4748" t="s" s="42">
        <v>30</v>
      </c>
      <c r="I4748" t="s" s="42">
        <v>30</v>
      </c>
      <c r="J4748" t="s" s="10">
        <v>23980</v>
      </c>
      <c r="K4748" t="s" s="10">
        <v>23981</v>
      </c>
      <c r="L4748" s="16">
        <f>HYPERLINK("http://deek.network", "deek.network")</f>
      </c>
      <c r="M4748" s="16">
        <f>HYPERLINK("https://my.pitchbook.com?c=1164995-02", "View Company Online")</f>
      </c>
    </row>
    <row r="4749">
      <c r="A4749" t="s" s="11">
        <v>23983</v>
      </c>
      <c r="B4749" t="s" s="11">
        <v>23984</v>
      </c>
      <c r="C4749" t="s" s="11">
        <v>172</v>
      </c>
      <c r="D4749" t="s" s="11">
        <v>338</v>
      </c>
      <c r="E4749" t="s" s="11">
        <v>23985</v>
      </c>
      <c r="F4749" t="s" s="28">
        <v>30</v>
      </c>
      <c r="G4749" t="s" s="11">
        <v>48</v>
      </c>
      <c r="H4749" t="s" s="43">
        <v>30</v>
      </c>
      <c r="I4749" t="s" s="43">
        <v>30</v>
      </c>
      <c r="J4749" t="s" s="11">
        <v>23986</v>
      </c>
      <c r="K4749" t="s" s="11">
        <v>23987</v>
      </c>
      <c r="L4749" s="17">
        <f>HYPERLINK("http://www.deepdiscovery.ai", "www.deepdiscovery.ai")</f>
      </c>
      <c r="M4749" s="17">
        <f>HYPERLINK("https://my.pitchbook.com?c=465351-49", "View Company Online")</f>
      </c>
    </row>
    <row r="4750">
      <c r="A4750" t="s" s="10">
        <v>23989</v>
      </c>
      <c r="B4750" t="s" s="10">
        <v>23990</v>
      </c>
      <c r="C4750" t="s" s="10">
        <v>164</v>
      </c>
      <c r="D4750" t="s" s="10">
        <v>165</v>
      </c>
      <c r="E4750" t="s" s="10">
        <v>759</v>
      </c>
      <c r="F4750" s="27">
        <v>44624</v>
      </c>
      <c r="G4750" t="s" s="10">
        <v>4267</v>
      </c>
      <c r="H4750" s="42">
        <v>0.55</v>
      </c>
      <c r="I4750" t="s" s="42">
        <v>30</v>
      </c>
      <c r="J4750" t="s" s="10">
        <v>23991</v>
      </c>
      <c r="K4750" t="s" s="10">
        <v>23992</v>
      </c>
      <c r="L4750" s="16">
        <f>HYPERLINK("http://www.deepsystems.com", "www.deepsystems.com")</f>
      </c>
      <c r="M4750" s="16">
        <f>HYPERLINK("https://my.pitchbook.com?c=229945-60", "View Company Online")</f>
      </c>
    </row>
    <row r="4751">
      <c r="A4751" t="s" s="11">
        <v>23994</v>
      </c>
      <c r="B4751" t="s" s="11">
        <v>23995</v>
      </c>
      <c r="C4751" t="s" s="11">
        <v>144</v>
      </c>
      <c r="D4751" t="s" s="11">
        <v>297</v>
      </c>
      <c r="E4751" t="s" s="11">
        <v>2152</v>
      </c>
      <c r="F4751" s="28">
        <v>44997</v>
      </c>
      <c r="G4751" t="s" s="11">
        <v>146</v>
      </c>
      <c r="H4751" t="s" s="43">
        <v>30</v>
      </c>
      <c r="I4751" t="s" s="43">
        <v>30</v>
      </c>
      <c r="J4751" t="s" s="11">
        <v>23996</v>
      </c>
      <c r="K4751" t="s" s="11">
        <v>23997</v>
      </c>
      <c r="L4751" s="17">
        <f>HYPERLINK("http://www.deeptier.io", "www.deeptier.io")</f>
      </c>
      <c r="M4751" s="17">
        <f>HYPERLINK("https://my.pitchbook.com?c=491588-83", "View Company Online")</f>
      </c>
    </row>
    <row r="4752">
      <c r="A4752" t="s" s="10">
        <v>23999</v>
      </c>
      <c r="B4752" t="s" s="10">
        <v>24000</v>
      </c>
      <c r="C4752" t="s" s="10">
        <v>46</v>
      </c>
      <c r="D4752" t="s" s="10">
        <v>397</v>
      </c>
      <c r="E4752" t="s" s="10">
        <v>29</v>
      </c>
      <c r="F4752" s="27">
        <v>44868</v>
      </c>
      <c r="G4752" t="s" s="10">
        <v>4267</v>
      </c>
      <c r="H4752" s="42">
        <v>0.67</v>
      </c>
      <c r="I4752" t="s" s="42">
        <v>30</v>
      </c>
      <c r="J4752" t="s" s="10">
        <v>24001</v>
      </c>
      <c r="K4752" t="s" s="10">
        <v>24002</v>
      </c>
      <c r="L4752" s="16">
        <f>HYPERLINK("http://www.deepfin.io", "www.deepfin.io")</f>
      </c>
      <c r="M4752" s="16">
        <f>HYPERLINK("https://my.pitchbook.com?c=510422-95", "View Company Online")</f>
      </c>
    </row>
    <row r="4753">
      <c r="A4753" t="s" s="11">
        <v>24004</v>
      </c>
      <c r="B4753" t="s" s="11">
        <v>24005</v>
      </c>
      <c r="C4753" t="s" s="11">
        <v>164</v>
      </c>
      <c r="D4753" t="s" s="11">
        <v>206</v>
      </c>
      <c r="E4753" t="s" s="11">
        <v>137</v>
      </c>
      <c r="F4753" s="28">
        <v>44537</v>
      </c>
      <c r="G4753" t="s" s="11">
        <v>40</v>
      </c>
      <c r="H4753" t="s" s="43">
        <v>30</v>
      </c>
      <c r="I4753" t="s" s="43">
        <v>30</v>
      </c>
      <c r="J4753" t="s" s="11">
        <v>24006</v>
      </c>
      <c r="K4753" t="s" s="11">
        <v>24007</v>
      </c>
      <c r="L4753" s="17">
        <f>HYPERLINK("http://www.deepfinance.com", "www.deepfinance.com")</f>
      </c>
      <c r="M4753" s="17">
        <f>HYPERLINK("https://my.pitchbook.com?c=443202-40", "View Company Online")</f>
      </c>
    </row>
    <row r="4754">
      <c r="A4754" t="s" s="10">
        <v>24009</v>
      </c>
      <c r="B4754" t="s" s="10">
        <v>24010</v>
      </c>
      <c r="C4754" t="s" s="10">
        <v>172</v>
      </c>
      <c r="D4754" t="s" s="10">
        <v>173</v>
      </c>
      <c r="E4754" t="s" s="10">
        <v>373</v>
      </c>
      <c r="F4754" s="27">
        <v>46093</v>
      </c>
      <c r="G4754" t="s" s="10">
        <v>4267</v>
      </c>
      <c r="H4754" s="42">
        <v>1</v>
      </c>
      <c r="I4754" t="s" s="42">
        <v>30</v>
      </c>
      <c r="J4754" t="s" s="10">
        <v>24011</v>
      </c>
      <c r="K4754" t="s" s="10">
        <v>30</v>
      </c>
      <c r="L4754" s="16">
        <f>HYPERLINK("http://www.deepidv.com", "www.deepidv.com")</f>
      </c>
      <c r="M4754" s="16">
        <f>HYPERLINK("https://my.pitchbook.com?c=1159319-71", "View Company Online")</f>
      </c>
    </row>
    <row r="4755">
      <c r="A4755" t="s" s="11">
        <v>24013</v>
      </c>
      <c r="B4755" t="s" s="11">
        <v>24014</v>
      </c>
      <c r="C4755" t="s" s="11">
        <v>60</v>
      </c>
      <c r="D4755" t="s" s="11">
        <v>432</v>
      </c>
      <c r="E4755" t="s" s="11">
        <v>1826</v>
      </c>
      <c r="F4755" s="28">
        <v>45042</v>
      </c>
      <c r="G4755" t="s" s="11">
        <v>40</v>
      </c>
      <c r="H4755" t="s" s="43">
        <v>30</v>
      </c>
      <c r="I4755" t="s" s="43">
        <v>30</v>
      </c>
      <c r="J4755" t="s" s="11">
        <v>24015</v>
      </c>
      <c r="K4755" t="s" s="11">
        <v>24016</v>
      </c>
      <c r="L4755" s="17">
        <f>HYPERLINK("http://www.shenqingtech.com", "www.shenqingtech.com")</f>
      </c>
      <c r="M4755" s="17">
        <f>HYPERLINK("https://my.pitchbook.com?c=343080-82", "View Company Online")</f>
      </c>
    </row>
    <row r="4756">
      <c r="A4756" t="s" s="10">
        <v>24018</v>
      </c>
      <c r="B4756" t="s" s="10">
        <v>24019</v>
      </c>
      <c r="C4756" t="s" s="10">
        <v>37</v>
      </c>
      <c r="D4756" t="s" s="10">
        <v>304</v>
      </c>
      <c r="E4756" t="s" s="10">
        <v>270</v>
      </c>
      <c r="F4756" s="27">
        <v>44804</v>
      </c>
      <c r="G4756" t="s" s="10">
        <v>146</v>
      </c>
      <c r="H4756" s="42">
        <v>32</v>
      </c>
      <c r="I4756" t="s" s="42">
        <v>30</v>
      </c>
      <c r="J4756" t="s" s="10">
        <v>24020</v>
      </c>
      <c r="K4756" t="s" s="10">
        <v>24021</v>
      </c>
      <c r="L4756" s="16">
        <f>HYPERLINK("http://www.deferit.com", "www.deferit.com")</f>
      </c>
      <c r="M4756" s="16">
        <f>HYPERLINK("https://my.pitchbook.com?c=327149-29", "View Company Online")</f>
      </c>
    </row>
    <row r="4757">
      <c r="A4757" t="s" s="11">
        <v>24023</v>
      </c>
      <c r="B4757" t="s" s="11">
        <v>24024</v>
      </c>
      <c r="C4757" t="s" s="11">
        <v>164</v>
      </c>
      <c r="D4757" t="s" s="11">
        <v>206</v>
      </c>
      <c r="E4757" t="s" s="11">
        <v>10114</v>
      </c>
      <c r="F4757" t="s" s="28">
        <v>30</v>
      </c>
      <c r="G4757" t="s" s="11">
        <v>48</v>
      </c>
      <c r="H4757" t="s" s="43">
        <v>30</v>
      </c>
      <c r="I4757" t="s" s="43">
        <v>30</v>
      </c>
      <c r="J4757" t="s" s="11">
        <v>24025</v>
      </c>
      <c r="K4757" t="s" s="11">
        <v>24026</v>
      </c>
      <c r="L4757" s="17">
        <f>HYPERLINK("http://www.defisolutions.com", "www.defisolutions.com")</f>
      </c>
      <c r="M4757" s="17">
        <f>HYPERLINK("https://my.pitchbook.com?c=111099-07", "View Company Online")</f>
      </c>
    </row>
    <row r="4758">
      <c r="A4758" t="s" s="10">
        <v>24028</v>
      </c>
      <c r="B4758" t="s" s="10">
        <v>24029</v>
      </c>
      <c r="C4758" t="s" s="10">
        <v>172</v>
      </c>
      <c r="D4758" t="s" s="10">
        <v>338</v>
      </c>
      <c r="E4758" t="s" s="10">
        <v>145</v>
      </c>
      <c r="F4758" t="s" s="27">
        <v>30</v>
      </c>
      <c r="G4758" t="s" s="10">
        <v>607</v>
      </c>
      <c r="H4758" t="s" s="42">
        <v>30</v>
      </c>
      <c r="I4758" t="s" s="42">
        <v>30</v>
      </c>
      <c r="J4758" t="s" s="10">
        <v>24030</v>
      </c>
      <c r="K4758" t="s" s="10">
        <v>24031</v>
      </c>
      <c r="L4758" s="16">
        <f>HYPERLINK("http://www.getdefy.co", "www.getdefy.co")</f>
      </c>
      <c r="M4758" s="16">
        <f>HYPERLINK("https://my.pitchbook.com?c=520794-37", "View Company Online")</f>
      </c>
    </row>
    <row r="4759">
      <c r="A4759" t="s" s="11">
        <v>24033</v>
      </c>
      <c r="B4759" t="s" s="11">
        <v>24034</v>
      </c>
      <c r="C4759" t="s" s="11">
        <v>60</v>
      </c>
      <c r="D4759" t="s" s="11">
        <v>420</v>
      </c>
      <c r="E4759" t="s" s="11">
        <v>2824</v>
      </c>
      <c r="F4759" s="28">
        <v>44963</v>
      </c>
      <c r="G4759" t="s" s="11">
        <v>4267</v>
      </c>
      <c r="H4759" s="43">
        <v>2.38</v>
      </c>
      <c r="I4759" t="s" s="43">
        <v>30</v>
      </c>
      <c r="J4759" t="s" s="11">
        <v>24035</v>
      </c>
      <c r="K4759" t="s" s="11">
        <v>24036</v>
      </c>
      <c r="L4759" s="17">
        <f>HYPERLINK("http://www.degura.de", "www.degura.de")</f>
      </c>
      <c r="M4759" s="17">
        <f>HYPERLINK("https://my.pitchbook.com?c=469542-70", "View Company Online")</f>
      </c>
    </row>
    <row r="4760">
      <c r="A4760" t="s" s="10">
        <v>24038</v>
      </c>
      <c r="B4760" t="s" s="10">
        <v>24039</v>
      </c>
      <c r="C4760" t="s" s="10">
        <v>114</v>
      </c>
      <c r="D4760" t="s" s="10">
        <v>852</v>
      </c>
      <c r="E4760" t="s" s="10">
        <v>634</v>
      </c>
      <c r="F4760" s="27">
        <v>45962</v>
      </c>
      <c r="G4760" t="s" s="10">
        <v>146</v>
      </c>
      <c r="H4760" t="s" s="42">
        <v>30</v>
      </c>
      <c r="I4760" t="s" s="42">
        <v>30</v>
      </c>
      <c r="J4760" t="s" s="10">
        <v>24040</v>
      </c>
      <c r="K4760" t="s" s="10">
        <v>24041</v>
      </c>
      <c r="L4760" s="16">
        <f>HYPERLINK("http://www.delend.finance", "www.delend.finance")</f>
      </c>
      <c r="M4760" s="16">
        <f>HYPERLINK("https://my.pitchbook.com?c=527333-95", "View Company Online")</f>
      </c>
    </row>
    <row r="4761">
      <c r="A4761" t="s" s="11">
        <v>24043</v>
      </c>
      <c r="B4761" t="s" s="11">
        <v>24044</v>
      </c>
      <c r="C4761" t="s" s="11">
        <v>172</v>
      </c>
      <c r="D4761" t="s" s="11">
        <v>1454</v>
      </c>
      <c r="E4761" t="s" s="11">
        <v>414</v>
      </c>
      <c r="F4761" s="28">
        <v>45945</v>
      </c>
      <c r="G4761" t="s" s="11">
        <v>607</v>
      </c>
      <c r="H4761" t="s" s="43">
        <v>30</v>
      </c>
      <c r="I4761" t="s" s="43">
        <v>30</v>
      </c>
      <c r="J4761" t="s" s="11">
        <v>24045</v>
      </c>
      <c r="K4761" t="s" s="11">
        <v>24046</v>
      </c>
      <c r="L4761" s="17">
        <f>HYPERLINK("http://www.delfi.co", "www.delfi.co")</f>
      </c>
      <c r="M4761" s="17">
        <f>HYPERLINK("https://my.pitchbook.com?c=534481-21", "View Company Online")</f>
      </c>
    </row>
    <row r="4762">
      <c r="A4762" t="s" s="10">
        <v>24048</v>
      </c>
      <c r="B4762" t="s" s="10">
        <v>24049</v>
      </c>
      <c r="C4762" t="s" s="10">
        <v>46</v>
      </c>
      <c r="D4762" t="s" s="10">
        <v>397</v>
      </c>
      <c r="E4762" t="s" s="10">
        <v>373</v>
      </c>
      <c r="F4762" s="27">
        <v>46086</v>
      </c>
      <c r="G4762" t="s" s="10">
        <v>146</v>
      </c>
      <c r="H4762" s="42">
        <v>4.1</v>
      </c>
      <c r="I4762" t="s" s="42">
        <v>30</v>
      </c>
      <c r="J4762" t="s" s="10">
        <v>24050</v>
      </c>
      <c r="K4762" t="s" s="10">
        <v>24051</v>
      </c>
      <c r="L4762" s="16">
        <f>HYPERLINK("http://www.denki.ai", "www.denki.ai")</f>
      </c>
      <c r="M4762" s="16">
        <f>HYPERLINK("https://my.pitchbook.com?c=1131632-74", "View Company Online")</f>
      </c>
    </row>
    <row r="4763">
      <c r="A4763" t="s" s="11">
        <v>24053</v>
      </c>
      <c r="B4763" t="s" s="11">
        <v>24054</v>
      </c>
      <c r="C4763" t="s" s="11">
        <v>46</v>
      </c>
      <c r="D4763" t="s" s="11">
        <v>47</v>
      </c>
      <c r="E4763" t="s" s="11">
        <v>443</v>
      </c>
      <c r="F4763" s="28">
        <v>45658</v>
      </c>
      <c r="G4763" t="s" s="11">
        <v>4267</v>
      </c>
      <c r="H4763" t="s" s="43">
        <v>30</v>
      </c>
      <c r="I4763" t="s" s="43">
        <v>30</v>
      </c>
      <c r="J4763" t="s" s="11">
        <v>24055</v>
      </c>
      <c r="K4763" t="s" s="11">
        <v>24056</v>
      </c>
      <c r="L4763" s="17">
        <f>HYPERLINK("http://www.dentite.com", "www.dentite.com")</f>
      </c>
      <c r="M4763" s="17">
        <f>HYPERLINK("https://my.pitchbook.com?c=600568-21", "View Company Online")</f>
      </c>
    </row>
    <row r="4764">
      <c r="A4764" t="s" s="10">
        <v>24058</v>
      </c>
      <c r="B4764" t="s" s="10">
        <v>24059</v>
      </c>
      <c r="C4764" t="s" s="10">
        <v>27</v>
      </c>
      <c r="D4764" t="s" s="10">
        <v>28</v>
      </c>
      <c r="E4764" t="s" s="10">
        <v>859</v>
      </c>
      <c r="F4764" t="s" s="27">
        <v>30</v>
      </c>
      <c r="G4764" t="s" s="10">
        <v>48</v>
      </c>
      <c r="H4764" t="s" s="42">
        <v>30</v>
      </c>
      <c r="I4764" t="s" s="42">
        <v>30</v>
      </c>
      <c r="J4764" t="s" s="10">
        <v>24060</v>
      </c>
      <c r="K4764" t="s" s="10">
        <v>24061</v>
      </c>
      <c r="L4764" s="16">
        <f>HYPERLINK("http://www.depay.com", "www.depay.com")</f>
      </c>
      <c r="M4764" s="16">
        <f>HYPERLINK("https://my.pitchbook.com?c=470442-88", "View Company Online")</f>
      </c>
    </row>
    <row r="4765">
      <c r="A4765" t="s" s="11">
        <v>24063</v>
      </c>
      <c r="B4765" t="s" s="11">
        <v>24064</v>
      </c>
      <c r="C4765" t="s" s="11">
        <v>164</v>
      </c>
      <c r="D4765" t="s" s="11">
        <v>206</v>
      </c>
      <c r="E4765" t="s" s="11">
        <v>373</v>
      </c>
      <c r="F4765" t="s" s="28">
        <v>30</v>
      </c>
      <c r="G4765" t="s" s="11">
        <v>40</v>
      </c>
      <c r="H4765" s="43">
        <v>0.85</v>
      </c>
      <c r="I4765" t="s" s="43">
        <v>30</v>
      </c>
      <c r="J4765" t="s" s="11">
        <v>24065</v>
      </c>
      <c r="K4765" t="s" s="11">
        <v>24066</v>
      </c>
      <c r="L4765" s="17">
        <f>HYPERLINK("http://www.deposit-book.com", "www.deposit-book.com")</f>
      </c>
      <c r="M4765" s="17">
        <f>HYPERLINK("https://my.pitchbook.com?c=226895-32", "View Company Online")</f>
      </c>
    </row>
    <row r="4766">
      <c r="A4766" t="s" s="10">
        <v>24068</v>
      </c>
      <c r="B4766" t="s" s="10">
        <v>24069</v>
      </c>
      <c r="C4766" t="s" s="10">
        <v>60</v>
      </c>
      <c r="D4766" t="s" s="10">
        <v>246</v>
      </c>
      <c r="E4766" t="s" s="10">
        <v>137</v>
      </c>
      <c r="F4766" s="27">
        <v>45056</v>
      </c>
      <c r="G4766" t="s" s="10">
        <v>146</v>
      </c>
      <c r="H4766" t="s" s="42">
        <v>30</v>
      </c>
      <c r="I4766" t="s" s="42">
        <v>30</v>
      </c>
      <c r="J4766" t="s" s="10">
        <v>24070</v>
      </c>
      <c r="K4766" t="s" s="10">
        <v>24071</v>
      </c>
      <c r="L4766" s="16">
        <f>HYPERLINK("http://www.depozit.uz", "www.depozit.uz")</f>
      </c>
      <c r="M4766" s="16">
        <f>HYPERLINK("https://my.pitchbook.com?c=528803-02", "View Company Online")</f>
      </c>
    </row>
    <row r="4767">
      <c r="A4767" t="s" s="11">
        <v>24073</v>
      </c>
      <c r="B4767" t="s" s="11">
        <v>24074</v>
      </c>
      <c r="C4767" t="s" s="11">
        <v>60</v>
      </c>
      <c r="D4767" t="s" s="11">
        <v>61</v>
      </c>
      <c r="E4767" t="s" s="11">
        <v>995</v>
      </c>
      <c r="F4767" s="28">
        <v>45200</v>
      </c>
      <c r="G4767" t="s" s="11">
        <v>48</v>
      </c>
      <c r="H4767" t="s" s="43">
        <v>30</v>
      </c>
      <c r="I4767" t="s" s="43">
        <v>30</v>
      </c>
      <c r="J4767" t="s" s="11">
        <v>24075</v>
      </c>
      <c r="K4767" t="s" s="11">
        <v>24076</v>
      </c>
      <c r="L4767" s="17">
        <f>HYPERLINK("http://www.derify.finance", "www.derify.finance")</f>
      </c>
      <c r="M4767" s="17">
        <f>HYPERLINK("https://my.pitchbook.com?c=494114-41", "View Company Online")</f>
      </c>
    </row>
    <row r="4768">
      <c r="A4768" t="s" s="10">
        <v>24078</v>
      </c>
      <c r="B4768" t="s" s="10">
        <v>24079</v>
      </c>
      <c r="C4768" t="s" s="10">
        <v>60</v>
      </c>
      <c r="D4768" t="s" s="10">
        <v>246</v>
      </c>
      <c r="E4768" t="s" s="10">
        <v>5920</v>
      </c>
      <c r="F4768" s="27">
        <v>44893</v>
      </c>
      <c r="G4768" t="s" s="10">
        <v>40</v>
      </c>
      <c r="H4768" s="42">
        <v>10</v>
      </c>
      <c r="I4768" t="s" s="42">
        <v>30</v>
      </c>
      <c r="J4768" t="s" s="10">
        <v>24080</v>
      </c>
      <c r="K4768" t="s" s="10">
        <v>24081</v>
      </c>
      <c r="L4768" s="16">
        <f>HYPERLINK("http://www.destacame.cl", "www.destacame.cl")</f>
      </c>
      <c r="M4768" s="16">
        <f>HYPERLINK("https://my.pitchbook.com?c=155627-02", "View Company Online")</f>
      </c>
    </row>
    <row r="4769">
      <c r="A4769" t="s" s="11">
        <v>24083</v>
      </c>
      <c r="B4769" t="s" s="11">
        <v>24084</v>
      </c>
      <c r="C4769" t="s" s="11">
        <v>27</v>
      </c>
      <c r="D4769" t="s" s="11">
        <v>28</v>
      </c>
      <c r="E4769" t="s" s="11">
        <v>4087</v>
      </c>
      <c r="F4769" t="s" s="28">
        <v>30</v>
      </c>
      <c r="G4769" t="s" s="11">
        <v>48</v>
      </c>
      <c r="H4769" t="s" s="43">
        <v>30</v>
      </c>
      <c r="I4769" t="s" s="43">
        <v>30</v>
      </c>
      <c r="J4769" t="s" s="11">
        <v>24085</v>
      </c>
      <c r="K4769" t="s" s="11">
        <v>24086</v>
      </c>
      <c r="L4769" s="17">
        <f>HYPERLINK("http://www.destaxa.com.br", "www.destaxa.com.br")</f>
      </c>
      <c r="M4769" s="17">
        <f>HYPERLINK("https://my.pitchbook.com?c=498402-55", "View Company Online")</f>
      </c>
    </row>
    <row r="4770">
      <c r="A4770" t="s" s="10">
        <v>24088</v>
      </c>
      <c r="B4770" t="s" s="10">
        <v>24089</v>
      </c>
      <c r="C4770" t="s" s="10">
        <v>60</v>
      </c>
      <c r="D4770" t="s" s="10">
        <v>727</v>
      </c>
      <c r="E4770" t="s" s="10">
        <v>137</v>
      </c>
      <c r="F4770" s="27">
        <v>44483</v>
      </c>
      <c r="G4770" t="s" s="10">
        <v>146</v>
      </c>
      <c r="H4770" s="42">
        <v>100</v>
      </c>
      <c r="I4770" t="s" s="42">
        <v>30</v>
      </c>
      <c r="J4770" t="s" s="10">
        <v>24090</v>
      </c>
      <c r="K4770" t="s" s="10">
        <v>24091</v>
      </c>
      <c r="L4770" s="16">
        <f>HYPERLINK("http://www.destiny.xyz", "www.destiny.xyz")</f>
      </c>
      <c r="M4770" s="16">
        <f>HYPERLINK("https://my.pitchbook.com?c=458417-71", "View Company Online")</f>
      </c>
    </row>
    <row r="4771">
      <c r="A4771" t="s" s="11">
        <v>24093</v>
      </c>
      <c r="B4771" t="s" s="11">
        <v>24094</v>
      </c>
      <c r="C4771" t="s" s="11">
        <v>114</v>
      </c>
      <c r="D4771" t="s" s="11">
        <v>852</v>
      </c>
      <c r="E4771" t="s" s="11">
        <v>137</v>
      </c>
      <c r="F4771" s="28">
        <v>44678</v>
      </c>
      <c r="G4771" t="s" s="11">
        <v>4267</v>
      </c>
      <c r="H4771" s="43">
        <v>5.44</v>
      </c>
      <c r="I4771" t="s" s="43">
        <v>30</v>
      </c>
      <c r="J4771" t="s" s="11">
        <v>24095</v>
      </c>
      <c r="K4771" t="s" s="11">
        <v>24096</v>
      </c>
      <c r="L4771" s="17">
        <f>HYPERLINK("http://www.dfkp.de", "www.dfkp.de")</f>
      </c>
      <c r="M4771" s="17">
        <f>HYPERLINK("https://my.pitchbook.com?c=438301-45", "View Company Online")</f>
      </c>
    </row>
    <row r="4772">
      <c r="A4772" t="s" s="10">
        <v>24098</v>
      </c>
      <c r="B4772" t="s" s="10">
        <v>24099</v>
      </c>
      <c r="C4772" t="s" s="10">
        <v>114</v>
      </c>
      <c r="D4772" t="s" s="10">
        <v>1386</v>
      </c>
      <c r="E4772" t="s" s="10">
        <v>137</v>
      </c>
      <c r="F4772" s="27">
        <v>43804</v>
      </c>
      <c r="G4772" t="s" s="10">
        <v>40</v>
      </c>
      <c r="H4772" t="s" s="42">
        <v>30</v>
      </c>
      <c r="I4772" t="s" s="42">
        <v>30</v>
      </c>
      <c r="J4772" t="s" s="10">
        <v>24100</v>
      </c>
      <c r="K4772" t="s" s="10">
        <v>24101</v>
      </c>
      <c r="L4772" s="16">
        <f>HYPERLINK("http://www.dfwytech.com", "www.dfwytech.com")</f>
      </c>
      <c r="M4772" s="16">
        <f>HYPERLINK("https://my.pitchbook.com?c=339812-38", "View Company Online")</f>
      </c>
    </row>
    <row r="4773">
      <c r="A4773" t="s" s="11">
        <v>24103</v>
      </c>
      <c r="B4773" t="s" s="11">
        <v>24104</v>
      </c>
      <c r="C4773" t="s" s="11">
        <v>37</v>
      </c>
      <c r="D4773" t="s" s="11">
        <v>38</v>
      </c>
      <c r="E4773" t="s" s="11">
        <v>414</v>
      </c>
      <c r="F4773" s="28">
        <v>46130</v>
      </c>
      <c r="G4773" t="s" s="11">
        <v>2051</v>
      </c>
      <c r="H4773" t="s" s="43">
        <v>30</v>
      </c>
      <c r="I4773" t="s" s="43">
        <v>30</v>
      </c>
      <c r="J4773" t="s" s="11">
        <v>24105</v>
      </c>
      <c r="K4773" t="s" s="11">
        <v>30</v>
      </c>
      <c r="L4773" s="17">
        <f>HYPERLINK("http://www.din.global", "www.din.global")</f>
      </c>
      <c r="M4773" s="17">
        <f>HYPERLINK("https://my.pitchbook.com?c=494561-44", "View Company Online")</f>
      </c>
    </row>
    <row r="4774">
      <c r="A4774" t="s" s="10">
        <v>24107</v>
      </c>
      <c r="B4774" t="s" s="10">
        <v>24108</v>
      </c>
      <c r="C4774" t="s" s="10">
        <v>222</v>
      </c>
      <c r="D4774" t="s" s="10">
        <v>235</v>
      </c>
      <c r="E4774" t="s" s="10">
        <v>414</v>
      </c>
      <c r="F4774" s="27">
        <v>45170</v>
      </c>
      <c r="G4774" t="s" s="10">
        <v>4267</v>
      </c>
      <c r="H4774" s="42">
        <v>0.6</v>
      </c>
      <c r="I4774" t="s" s="42">
        <v>30</v>
      </c>
      <c r="J4774" t="s" s="10">
        <v>24109</v>
      </c>
      <c r="K4774" t="s" s="10">
        <v>24110</v>
      </c>
      <c r="L4774" s="16">
        <f>HYPERLINK("http://joindiadem.com", "joindiadem.com")</f>
      </c>
      <c r="M4774" s="16">
        <f>HYPERLINK("https://my.pitchbook.com?c=490796-56", "View Company Online")</f>
      </c>
    </row>
    <row r="4775">
      <c r="A4775" t="s" s="11">
        <v>24112</v>
      </c>
      <c r="B4775" t="s" s="11">
        <v>24113</v>
      </c>
      <c r="C4775" t="s" s="11">
        <v>60</v>
      </c>
      <c r="D4775" t="s" s="11">
        <v>61</v>
      </c>
      <c r="E4775" t="s" s="11">
        <v>859</v>
      </c>
      <c r="F4775" s="28">
        <v>45200</v>
      </c>
      <c r="G4775" t="s" s="11">
        <v>40</v>
      </c>
      <c r="H4775" t="s" s="43">
        <v>30</v>
      </c>
      <c r="I4775" t="s" s="43">
        <v>30</v>
      </c>
      <c r="J4775" t="s" s="11">
        <v>24114</v>
      </c>
      <c r="K4775" t="s" s="11">
        <v>24115</v>
      </c>
      <c r="L4775" s="17">
        <f>HYPERLINK("http://www.dibscapital.com", "www.dibscapital.com")</f>
      </c>
      <c r="M4775" s="17">
        <f>HYPERLINK("https://my.pitchbook.com?c=343451-35", "View Company Online")</f>
      </c>
    </row>
    <row r="4776">
      <c r="A4776" t="s" s="10">
        <v>24117</v>
      </c>
      <c r="B4776" t="s" s="10">
        <v>24118</v>
      </c>
      <c r="C4776" t="s" s="10">
        <v>27</v>
      </c>
      <c r="D4776" t="s" s="10">
        <v>28</v>
      </c>
      <c r="E4776" t="s" s="10">
        <v>1859</v>
      </c>
      <c r="F4776" s="27">
        <v>44347</v>
      </c>
      <c r="G4776" t="s" s="10">
        <v>4267</v>
      </c>
      <c r="H4776" s="42">
        <v>0.3</v>
      </c>
      <c r="I4776" t="s" s="42">
        <v>30</v>
      </c>
      <c r="J4776" t="s" s="10">
        <v>24119</v>
      </c>
      <c r="K4776" t="s" s="10">
        <v>24120</v>
      </c>
      <c r="L4776" s="16">
        <f>HYPERLINK("http://www.dibsy.one", "www.dibsy.one")</f>
      </c>
      <c r="M4776" s="16">
        <f>HYPERLINK("https://my.pitchbook.com?c=466976-26", "View Company Online")</f>
      </c>
    </row>
    <row r="4777">
      <c r="A4777" t="s" s="11">
        <v>24122</v>
      </c>
      <c r="B4777" t="s" s="11">
        <v>24123</v>
      </c>
      <c r="C4777" t="s" s="11">
        <v>27</v>
      </c>
      <c r="D4777" t="s" s="11">
        <v>28</v>
      </c>
      <c r="E4777" t="s" s="11">
        <v>2695</v>
      </c>
      <c r="F4777" s="28">
        <v>46108</v>
      </c>
      <c r="G4777" t="s" s="11">
        <v>607</v>
      </c>
      <c r="H4777" t="s" s="43">
        <v>30</v>
      </c>
      <c r="I4777" t="s" s="43">
        <v>30</v>
      </c>
      <c r="J4777" t="s" s="11">
        <v>24124</v>
      </c>
      <c r="K4777" t="s" s="11">
        <v>24125</v>
      </c>
      <c r="L4777" s="17">
        <f>HYPERLINK("http://www.diesta.co.uk", "www.diesta.co.uk")</f>
      </c>
      <c r="M4777" s="17">
        <f>HYPERLINK("https://my.pitchbook.com?c=515355-04", "View Company Online")</f>
      </c>
    </row>
    <row r="4778">
      <c r="A4778" t="s" s="10">
        <v>24127</v>
      </c>
      <c r="B4778" t="s" s="10">
        <v>24128</v>
      </c>
      <c r="C4778" t="s" s="10">
        <v>222</v>
      </c>
      <c r="D4778" t="s" s="10">
        <v>252</v>
      </c>
      <c r="E4778" t="s" s="10">
        <v>311</v>
      </c>
      <c r="F4778" s="27">
        <v>45889</v>
      </c>
      <c r="G4778" t="s" s="10">
        <v>40</v>
      </c>
      <c r="H4778" s="42">
        <v>14.5</v>
      </c>
      <c r="I4778" t="s" s="42">
        <v>30</v>
      </c>
      <c r="J4778" t="s" s="10">
        <v>24129</v>
      </c>
      <c r="K4778" t="s" s="10">
        <v>24130</v>
      </c>
      <c r="L4778" s="16">
        <f>HYPERLINK("http://www.digift.io", "www.digift.io")</f>
      </c>
      <c r="M4778" s="16">
        <f>HYPERLINK("https://my.pitchbook.com?c=520863-31", "View Company Online")</f>
      </c>
    </row>
    <row r="4779">
      <c r="A4779" t="s" s="11">
        <v>24132</v>
      </c>
      <c r="B4779" t="s" s="11">
        <v>24133</v>
      </c>
      <c r="C4779" t="s" s="11">
        <v>46</v>
      </c>
      <c r="D4779" t="s" s="11">
        <v>397</v>
      </c>
      <c r="E4779" t="s" s="11">
        <v>193</v>
      </c>
      <c r="F4779" s="28">
        <v>44613</v>
      </c>
      <c r="G4779" t="s" s="11">
        <v>4267</v>
      </c>
      <c r="H4779" s="43">
        <v>0.15</v>
      </c>
      <c r="I4779" t="s" s="43">
        <v>30</v>
      </c>
      <c r="J4779" t="s" s="11">
        <v>24134</v>
      </c>
      <c r="K4779" t="s" s="11">
        <v>24135</v>
      </c>
      <c r="L4779" s="17">
        <f>HYPERLINK("http://www.digikhata.pk", "www.digikhata.pk")</f>
      </c>
      <c r="M4779" s="17">
        <f>HYPERLINK("https://my.pitchbook.com?c=466061-86", "View Company Online")</f>
      </c>
    </row>
    <row r="4780">
      <c r="A4780" t="s" s="10">
        <v>24137</v>
      </c>
      <c r="B4780" t="s" s="10">
        <v>24138</v>
      </c>
      <c r="C4780" t="s" s="10">
        <v>27</v>
      </c>
      <c r="D4780" t="s" s="10">
        <v>70</v>
      </c>
      <c r="E4780" t="s" s="10">
        <v>270</v>
      </c>
      <c r="F4780" t="s" s="27">
        <v>30</v>
      </c>
      <c r="G4780" t="s" s="10">
        <v>48</v>
      </c>
      <c r="H4780" t="s" s="42">
        <v>30</v>
      </c>
      <c r="I4780" t="s" s="42">
        <v>30</v>
      </c>
      <c r="J4780" t="s" s="10">
        <v>24139</v>
      </c>
      <c r="K4780" t="s" s="10">
        <v>24140</v>
      </c>
      <c r="L4780" s="16">
        <f>HYPERLINK("http://www.digio.co.th", "www.digio.co.th")</f>
      </c>
      <c r="M4780" s="16">
        <f>HYPERLINK("https://my.pitchbook.com?c=183407-14", "View Company Online")</f>
      </c>
    </row>
    <row r="4781">
      <c r="A4781" t="s" s="11">
        <v>24142</v>
      </c>
      <c r="B4781" t="s" s="11">
        <v>24143</v>
      </c>
      <c r="C4781" t="s" s="11">
        <v>172</v>
      </c>
      <c r="D4781" t="s" s="11">
        <v>1454</v>
      </c>
      <c r="E4781" t="s" s="11">
        <v>7575</v>
      </c>
      <c r="F4781" s="28">
        <v>44999</v>
      </c>
      <c r="G4781" t="s" s="11">
        <v>40</v>
      </c>
      <c r="H4781" s="43">
        <v>3</v>
      </c>
      <c r="I4781" t="s" s="43">
        <v>30</v>
      </c>
      <c r="J4781" t="s" s="11">
        <v>24144</v>
      </c>
      <c r="K4781" t="s" s="11">
        <v>24145</v>
      </c>
      <c r="L4781" s="17">
        <f>HYPERLINK("http://www.digitalagricultureservices.com", "www.digitalagricultureservices.com")</f>
      </c>
      <c r="M4781" s="17">
        <f>HYPERLINK("https://my.pitchbook.com?c=234492-76", "View Company Online")</f>
      </c>
    </row>
    <row r="4782">
      <c r="A4782" t="s" s="10">
        <v>24147</v>
      </c>
      <c r="B4782" t="s" s="10">
        <v>24148</v>
      </c>
      <c r="C4782" t="s" s="10">
        <v>114</v>
      </c>
      <c r="D4782" t="s" s="10">
        <v>136</v>
      </c>
      <c r="E4782" t="s" s="10">
        <v>24149</v>
      </c>
      <c r="F4782" s="27">
        <v>46043</v>
      </c>
      <c r="G4782" t="s" s="10">
        <v>40</v>
      </c>
      <c r="H4782" t="s" s="42">
        <v>30</v>
      </c>
      <c r="I4782" t="s" s="42">
        <v>30</v>
      </c>
      <c r="J4782" t="s" s="10">
        <v>24150</v>
      </c>
      <c r="K4782" t="s" s="10">
        <v>24151</v>
      </c>
      <c r="L4782" s="16">
        <f>HYPERLINK("http://www.360shuyin.com", "www.360shuyin.com")</f>
      </c>
      <c r="M4782" s="16">
        <f>HYPERLINK("https://my.pitchbook.com?c=1157717-44", "View Company Online")</f>
      </c>
    </row>
    <row r="4783">
      <c r="A4783" t="s" s="11">
        <v>24153</v>
      </c>
      <c r="B4783" t="s" s="11">
        <v>24154</v>
      </c>
      <c r="C4783" t="s" s="11">
        <v>37</v>
      </c>
      <c r="D4783" t="s" s="11">
        <v>38</v>
      </c>
      <c r="E4783" t="s" s="11">
        <v>137</v>
      </c>
      <c r="F4783" s="28">
        <v>45792</v>
      </c>
      <c r="G4783" t="s" s="11">
        <v>40</v>
      </c>
      <c r="H4783" s="43">
        <v>3.91</v>
      </c>
      <c r="I4783" t="s" s="43">
        <v>30</v>
      </c>
      <c r="J4783" t="s" s="11">
        <v>24155</v>
      </c>
      <c r="K4783" t="s" s="11">
        <v>30</v>
      </c>
      <c r="L4783" s="17">
        <f>HYPERLINK("http://www.bankdib.com", "www.bankdib.com")</f>
      </c>
      <c r="M4783" s="17">
        <f>HYPERLINK("https://my.pitchbook.com?c=398903-05", "View Company Online")</f>
      </c>
    </row>
    <row r="4784">
      <c r="A4784" t="s" s="10">
        <v>24157</v>
      </c>
      <c r="B4784" t="s" s="10">
        <v>24158</v>
      </c>
      <c r="C4784" t="s" s="10">
        <v>46</v>
      </c>
      <c r="D4784" t="s" s="10">
        <v>47</v>
      </c>
      <c r="E4784" t="s" s="10">
        <v>137</v>
      </c>
      <c r="F4784" s="27">
        <v>45931</v>
      </c>
      <c r="G4784" t="s" s="10">
        <v>607</v>
      </c>
      <c r="H4784" t="s" s="42">
        <v>30</v>
      </c>
      <c r="I4784" t="s" s="42">
        <v>30</v>
      </c>
      <c r="J4784" t="s" s="10">
        <v>24159</v>
      </c>
      <c r="K4784" t="s" s="10">
        <v>24160</v>
      </c>
      <c r="L4784" s="16">
        <f>HYPERLINK("http://www.digitax.tech", "www.digitax.tech")</f>
      </c>
      <c r="M4784" s="16">
        <f>HYPERLINK("https://my.pitchbook.com?c=720238-06", "View Company Online")</f>
      </c>
    </row>
    <row r="4785">
      <c r="A4785" t="s" s="11">
        <v>24162</v>
      </c>
      <c r="B4785" t="s" s="11">
        <v>24163</v>
      </c>
      <c r="C4785" t="s" s="11">
        <v>114</v>
      </c>
      <c r="D4785" t="s" s="11">
        <v>136</v>
      </c>
      <c r="E4785" t="s" s="11">
        <v>137</v>
      </c>
      <c r="F4785" s="28">
        <v>46203</v>
      </c>
      <c r="G4785" t="s" s="11">
        <v>72</v>
      </c>
      <c r="H4785" s="43">
        <v>50</v>
      </c>
      <c r="I4785" t="s" s="43">
        <v>30</v>
      </c>
      <c r="J4785" t="s" s="11">
        <v>24164</v>
      </c>
      <c r="K4785" t="s" s="11">
        <v>24165</v>
      </c>
      <c r="L4785" s="17">
        <f>HYPERLINK("http://www.digitt.com", "www.digitt.com")</f>
      </c>
      <c r="M4785" s="17">
        <f>HYPERLINK("https://my.pitchbook.com?c=233230-15", "View Company Online")</f>
      </c>
    </row>
    <row r="4786">
      <c r="A4786" t="s" s="10">
        <v>24167</v>
      </c>
      <c r="B4786" t="s" s="10">
        <v>24168</v>
      </c>
      <c r="C4786" t="s" s="10">
        <v>114</v>
      </c>
      <c r="D4786" t="s" s="10">
        <v>136</v>
      </c>
      <c r="E4786" t="s" s="10">
        <v>270</v>
      </c>
      <c r="F4786" t="s" s="27">
        <v>30</v>
      </c>
      <c r="G4786" t="s" s="10">
        <v>607</v>
      </c>
      <c r="H4786" t="s" s="42">
        <v>30</v>
      </c>
      <c r="I4786" t="s" s="42">
        <v>30</v>
      </c>
      <c r="J4786" t="s" s="10">
        <v>24169</v>
      </c>
      <c r="K4786" t="s" s="10">
        <v>24170</v>
      </c>
      <c r="L4786" s="16">
        <f>HYPERLINK("http://www.diimo.co", "www.diimo.co")</f>
      </c>
      <c r="M4786" s="16">
        <f>HYPERLINK("https://my.pitchbook.com?c=541181-89", "View Company Online")</f>
      </c>
    </row>
    <row r="4787">
      <c r="A4787" t="s" s="11">
        <v>24172</v>
      </c>
      <c r="B4787" t="s" s="11">
        <v>24173</v>
      </c>
      <c r="C4787" t="s" s="11">
        <v>60</v>
      </c>
      <c r="D4787" t="s" s="11">
        <v>192</v>
      </c>
      <c r="E4787" t="s" s="11">
        <v>270</v>
      </c>
      <c r="F4787" s="28">
        <v>45712</v>
      </c>
      <c r="G4787" t="s" s="11">
        <v>4267</v>
      </c>
      <c r="H4787" t="s" s="43">
        <v>30</v>
      </c>
      <c r="I4787" t="s" s="43">
        <v>30</v>
      </c>
      <c r="J4787" t="s" s="11">
        <v>24174</v>
      </c>
      <c r="K4787" t="s" s="11">
        <v>24175</v>
      </c>
      <c r="L4787" s="17">
        <f>HYPERLINK("http://www.dija.money", "www.dija.money")</f>
      </c>
      <c r="M4787" s="17">
        <f>HYPERLINK("https://my.pitchbook.com?c=753158-89", "View Company Online")</f>
      </c>
    </row>
    <row r="4788">
      <c r="A4788" t="s" s="10">
        <v>24177</v>
      </c>
      <c r="B4788" t="s" s="10">
        <v>24178</v>
      </c>
      <c r="C4788" t="s" s="10">
        <v>222</v>
      </c>
      <c r="D4788" t="s" s="10">
        <v>223</v>
      </c>
      <c r="E4788" t="s" s="10">
        <v>373</v>
      </c>
      <c r="F4788" s="27">
        <v>46007</v>
      </c>
      <c r="G4788" t="s" s="10">
        <v>4267</v>
      </c>
      <c r="H4788" s="42">
        <v>5.41</v>
      </c>
      <c r="I4788" t="s" s="42">
        <v>30</v>
      </c>
      <c r="J4788" t="s" s="10">
        <v>24179</v>
      </c>
      <c r="K4788" t="s" s="10">
        <v>24180</v>
      </c>
      <c r="L4788" s="16">
        <f>HYPERLINK("http://www.diligencesquared.com", "www.diligencesquared.com")</f>
      </c>
      <c r="M4788" s="16">
        <f>HYPERLINK("https://my.pitchbook.com?c=1150922-35", "View Company Online")</f>
      </c>
    </row>
    <row r="4789">
      <c r="A4789" t="s" s="11">
        <v>24182</v>
      </c>
      <c r="B4789" t="s" s="11">
        <v>24183</v>
      </c>
      <c r="C4789" t="s" s="11">
        <v>222</v>
      </c>
      <c r="D4789" t="s" s="11">
        <v>223</v>
      </c>
      <c r="E4789" t="s" s="11">
        <v>367</v>
      </c>
      <c r="F4789" s="28">
        <v>44287</v>
      </c>
      <c r="G4789" t="s" s="11">
        <v>2051</v>
      </c>
      <c r="H4789" t="s" s="43">
        <v>30</v>
      </c>
      <c r="I4789" t="s" s="43">
        <v>30</v>
      </c>
      <c r="J4789" t="s" s="11">
        <v>24184</v>
      </c>
      <c r="K4789" t="s" s="11">
        <v>30</v>
      </c>
      <c r="L4789" s="17">
        <f>HYPERLINK("http://www.dingfudata.com", "www.dingfudata.com")</f>
      </c>
      <c r="M4789" s="17">
        <f>HYPERLINK("https://my.pitchbook.com?c=266111-92", "View Company Online")</f>
      </c>
    </row>
    <row r="4790">
      <c r="A4790" t="s" s="10">
        <v>24186</v>
      </c>
      <c r="B4790" t="s" s="10">
        <v>24187</v>
      </c>
      <c r="C4790" t="s" s="10">
        <v>60</v>
      </c>
      <c r="D4790" t="s" s="10">
        <v>246</v>
      </c>
      <c r="E4790" t="s" s="10">
        <v>24188</v>
      </c>
      <c r="F4790" s="27">
        <v>45767</v>
      </c>
      <c r="G4790" t="s" s="10">
        <v>40</v>
      </c>
      <c r="H4790" t="s" s="42">
        <v>30</v>
      </c>
      <c r="I4790" t="s" s="42">
        <v>30</v>
      </c>
      <c r="J4790" t="s" s="10">
        <v>24189</v>
      </c>
      <c r="K4790" t="s" s="10">
        <v>24190</v>
      </c>
      <c r="L4790" s="16">
        <f>HYPERLINK("http://www.dinnertable.com", "www.dinnertable.com")</f>
      </c>
      <c r="M4790" s="16">
        <f>HYPERLINK("https://my.pitchbook.com?c=496455-49", "View Company Online")</f>
      </c>
    </row>
    <row r="4791">
      <c r="A4791" t="s" s="11">
        <v>24192</v>
      </c>
      <c r="B4791" t="s" s="11">
        <v>24193</v>
      </c>
      <c r="C4791" t="s" s="11">
        <v>27</v>
      </c>
      <c r="D4791" t="s" s="11">
        <v>28</v>
      </c>
      <c r="E4791" t="s" s="11">
        <v>332</v>
      </c>
      <c r="F4791" s="28">
        <v>44252</v>
      </c>
      <c r="G4791" t="s" s="11">
        <v>4267</v>
      </c>
      <c r="H4791" s="43">
        <v>3.5</v>
      </c>
      <c r="I4791" t="s" s="43">
        <v>30</v>
      </c>
      <c r="J4791" t="s" s="11">
        <v>24194</v>
      </c>
      <c r="K4791" t="s" s="11">
        <v>24195</v>
      </c>
      <c r="L4791" s="17">
        <f>HYPERLINK("http://www.diool.com", "www.diool.com")</f>
      </c>
      <c r="M4791" s="17">
        <f>HYPERLINK("https://my.pitchbook.com?c=436046-05", "View Company Online")</f>
      </c>
    </row>
    <row r="4792">
      <c r="A4792" t="s" s="10">
        <v>24197</v>
      </c>
      <c r="B4792" t="s" s="10">
        <v>24198</v>
      </c>
      <c r="C4792" t="s" s="10">
        <v>172</v>
      </c>
      <c r="D4792" t="s" s="10">
        <v>173</v>
      </c>
      <c r="E4792" t="s" s="10">
        <v>634</v>
      </c>
      <c r="F4792" s="27">
        <v>45727</v>
      </c>
      <c r="G4792" t="s" s="10">
        <v>4267</v>
      </c>
      <c r="H4792" s="42">
        <v>1.12</v>
      </c>
      <c r="I4792" t="s" s="42">
        <v>30</v>
      </c>
      <c r="J4792" t="s" s="10">
        <v>24199</v>
      </c>
      <c r="K4792" t="s" s="10">
        <v>30</v>
      </c>
      <c r="L4792" s="16">
        <f>HYPERLINK("http://www.disputed.ai", "www.disputed.ai")</f>
      </c>
      <c r="M4792" s="16">
        <f>HYPERLINK("https://my.pitchbook.com?c=757154-26", "View Company Online")</f>
      </c>
    </row>
    <row r="4793">
      <c r="A4793" t="s" s="11">
        <v>24201</v>
      </c>
      <c r="B4793" t="s" s="11">
        <v>24202</v>
      </c>
      <c r="C4793" t="s" s="11">
        <v>27</v>
      </c>
      <c r="D4793" t="s" s="11">
        <v>70</v>
      </c>
      <c r="E4793" t="s" s="11">
        <v>2788</v>
      </c>
      <c r="F4793" s="28">
        <v>46142</v>
      </c>
      <c r="G4793" t="s" s="11">
        <v>391</v>
      </c>
      <c r="H4793" t="s" s="43">
        <v>30</v>
      </c>
      <c r="I4793" t="s" s="43">
        <v>30</v>
      </c>
      <c r="J4793" t="s" s="11">
        <v>24203</v>
      </c>
      <c r="K4793" t="s" s="11">
        <v>30</v>
      </c>
      <c r="L4793" s="17">
        <f>HYPERLINK("http://www.dtr.org", "www.dtr.org")</f>
      </c>
      <c r="M4793" s="17">
        <f>HYPERLINK("https://my.pitchbook.com?c=720015-31", "View Company Online")</f>
      </c>
    </row>
    <row r="4794">
      <c r="A4794" t="s" s="10">
        <v>24205</v>
      </c>
      <c r="B4794" t="s" s="10">
        <v>24206</v>
      </c>
      <c r="C4794" t="s" s="10">
        <v>114</v>
      </c>
      <c r="D4794" t="s" s="10">
        <v>852</v>
      </c>
      <c r="E4794" t="s" s="10">
        <v>253</v>
      </c>
      <c r="F4794" s="27">
        <v>45749</v>
      </c>
      <c r="G4794" t="s" s="10">
        <v>40</v>
      </c>
      <c r="H4794" s="42">
        <v>8.2</v>
      </c>
      <c r="I4794" t="s" s="42">
        <v>30</v>
      </c>
      <c r="J4794" t="s" s="10">
        <v>24207</v>
      </c>
      <c r="K4794" t="s" s="10">
        <v>24208</v>
      </c>
      <c r="L4794" s="16">
        <f>HYPERLINK("http://www.divibank.co", "www.divibank.co")</f>
      </c>
      <c r="M4794" s="16">
        <f>HYPERLINK("https://my.pitchbook.com?c=434391-13", "View Company Online")</f>
      </c>
    </row>
    <row r="4795">
      <c r="A4795" t="s" s="11">
        <v>24210</v>
      </c>
      <c r="B4795" t="s" s="11">
        <v>24211</v>
      </c>
      <c r="C4795" t="s" s="11">
        <v>46</v>
      </c>
      <c r="D4795" t="s" s="11">
        <v>397</v>
      </c>
      <c r="E4795" t="s" s="11">
        <v>137</v>
      </c>
      <c r="F4795" s="28">
        <v>46083</v>
      </c>
      <c r="G4795" t="s" s="11">
        <v>4267</v>
      </c>
      <c r="H4795" s="43">
        <v>1.18</v>
      </c>
      <c r="I4795" t="s" s="43">
        <v>30</v>
      </c>
      <c r="J4795" t="s" s="11">
        <v>24212</v>
      </c>
      <c r="K4795" t="s" s="11">
        <v>24213</v>
      </c>
      <c r="L4795" s="17">
        <f>HYPERLINK("http://www.div.tax", "www.div.tax")</f>
      </c>
      <c r="M4795" s="17">
        <f>HYPERLINK("https://my.pitchbook.com?c=593888-05", "View Company Online")</f>
      </c>
    </row>
    <row r="4796">
      <c r="A4796" t="s" s="10">
        <v>24215</v>
      </c>
      <c r="B4796" t="s" s="10">
        <v>24216</v>
      </c>
      <c r="C4796" t="s" s="10">
        <v>114</v>
      </c>
      <c r="D4796" t="s" s="10">
        <v>852</v>
      </c>
      <c r="E4796" t="s" s="10">
        <v>24217</v>
      </c>
      <c r="F4796" s="27">
        <v>43762</v>
      </c>
      <c r="G4796" t="s" s="10">
        <v>48</v>
      </c>
      <c r="H4796" t="s" s="42">
        <v>30</v>
      </c>
      <c r="I4796" t="s" s="42">
        <v>30</v>
      </c>
      <c r="J4796" t="s" s="10">
        <v>24218</v>
      </c>
      <c r="K4796" t="s" s="10">
        <v>24219</v>
      </c>
      <c r="L4796" s="16">
        <f>HYPERLINK("http://www.1che.com", "www.1che.com")</f>
      </c>
      <c r="M4796" s="16">
        <f>HYPERLINK("https://my.pitchbook.com?c=156446-11", "View Company Online")</f>
      </c>
    </row>
    <row r="4797">
      <c r="A4797" t="s" s="11">
        <v>24221</v>
      </c>
      <c r="B4797" t="s" s="11">
        <v>24222</v>
      </c>
      <c r="C4797" t="s" s="11">
        <v>27</v>
      </c>
      <c r="D4797" t="s" s="11">
        <v>28</v>
      </c>
      <c r="E4797" t="s" s="11">
        <v>270</v>
      </c>
      <c r="F4797" t="s" s="28">
        <v>30</v>
      </c>
      <c r="G4797" t="s" s="11">
        <v>40</v>
      </c>
      <c r="H4797" s="43">
        <v>40</v>
      </c>
      <c r="I4797" t="s" s="43">
        <v>30</v>
      </c>
      <c r="J4797" t="s" s="11">
        <v>24223</v>
      </c>
      <c r="K4797" t="s" s="11">
        <v>24224</v>
      </c>
      <c r="L4797" s="17">
        <f>HYPERLINK("http://www.djamo.com", "www.djamo.com")</f>
      </c>
      <c r="M4797" s="17">
        <f>HYPERLINK("https://my.pitchbook.com?c=459803-98", "View Company Online")</f>
      </c>
    </row>
    <row r="4798">
      <c r="A4798" t="s" s="10">
        <v>24226</v>
      </c>
      <c r="B4798" t="s" s="10">
        <v>24227</v>
      </c>
      <c r="C4798" t="s" s="10">
        <v>222</v>
      </c>
      <c r="D4798" t="s" s="10">
        <v>223</v>
      </c>
      <c r="E4798" t="s" s="10">
        <v>253</v>
      </c>
      <c r="F4798" s="27">
        <v>46044</v>
      </c>
      <c r="G4798" t="s" s="10">
        <v>4267</v>
      </c>
      <c r="H4798" s="42">
        <v>5</v>
      </c>
      <c r="I4798" t="s" s="42">
        <v>30</v>
      </c>
      <c r="J4798" t="s" s="10">
        <v>24228</v>
      </c>
      <c r="K4798" t="s" s="10">
        <v>24229</v>
      </c>
      <c r="L4798" s="16">
        <f>HYPERLINK("http://www.dl.software", "www.dl.software")</f>
      </c>
      <c r="M4798" s="16">
        <f>HYPERLINK("https://my.pitchbook.com?c=638542-45", "View Company Online")</f>
      </c>
    </row>
    <row r="4799">
      <c r="A4799" t="s" s="11">
        <v>24231</v>
      </c>
      <c r="B4799" t="s" s="11">
        <v>24232</v>
      </c>
      <c r="C4799" t="s" s="11">
        <v>60</v>
      </c>
      <c r="D4799" t="s" s="11">
        <v>246</v>
      </c>
      <c r="E4799" t="s" s="11">
        <v>6640</v>
      </c>
      <c r="F4799" t="s" s="28">
        <v>30</v>
      </c>
      <c r="G4799" t="s" s="11">
        <v>607</v>
      </c>
      <c r="H4799" t="s" s="43">
        <v>30</v>
      </c>
      <c r="I4799" t="s" s="43">
        <v>30</v>
      </c>
      <c r="J4799" t="s" s="11">
        <v>24233</v>
      </c>
      <c r="K4799" t="s" s="11">
        <v>24234</v>
      </c>
      <c r="L4799" s="17">
        <f>HYPERLINK("http://www.dneuro.ai", "www.dneuro.ai")</f>
      </c>
      <c r="M4799" s="17">
        <f>HYPERLINK("https://my.pitchbook.com?c=530974-09", "View Company Online")</f>
      </c>
    </row>
    <row r="4800">
      <c r="A4800" t="s" s="10">
        <v>24236</v>
      </c>
      <c r="B4800" t="s" s="10">
        <v>24237</v>
      </c>
      <c r="C4800" t="s" s="10">
        <v>172</v>
      </c>
      <c r="D4800" t="s" s="10">
        <v>338</v>
      </c>
      <c r="E4800" t="s" s="10">
        <v>3320</v>
      </c>
      <c r="F4800" s="27">
        <v>45250</v>
      </c>
      <c r="G4800" t="s" s="10">
        <v>607</v>
      </c>
      <c r="H4800" t="s" s="42">
        <v>30</v>
      </c>
      <c r="I4800" t="s" s="42">
        <v>30</v>
      </c>
      <c r="J4800" t="s" s="10">
        <v>24238</v>
      </c>
      <c r="K4800" t="s" s="10">
        <v>24239</v>
      </c>
      <c r="L4800" s="16">
        <f>HYPERLINK("http://www.dojah.io", "www.dojah.io")</f>
      </c>
      <c r="M4800" s="16">
        <f>HYPERLINK("https://my.pitchbook.com?c=454384-63", "View Company Online")</f>
      </c>
    </row>
    <row r="4801">
      <c r="A4801" t="s" s="11">
        <v>24241</v>
      </c>
      <c r="B4801" t="s" s="11">
        <v>24242</v>
      </c>
      <c r="C4801" t="s" s="11">
        <v>46</v>
      </c>
      <c r="D4801" t="s" s="11">
        <v>47</v>
      </c>
      <c r="E4801" t="s" s="11">
        <v>137</v>
      </c>
      <c r="F4801" s="28">
        <v>45881</v>
      </c>
      <c r="G4801" t="s" s="11">
        <v>146</v>
      </c>
      <c r="H4801" t="s" s="43">
        <v>30</v>
      </c>
      <c r="I4801" t="s" s="43">
        <v>30</v>
      </c>
      <c r="J4801" t="s" s="11">
        <v>24243</v>
      </c>
      <c r="K4801" t="s" s="11">
        <v>24244</v>
      </c>
      <c r="L4801" s="17">
        <f>HYPERLINK("http://www.dollycard.com", "www.dollycard.com")</f>
      </c>
      <c r="M4801" s="17">
        <f>HYPERLINK("https://my.pitchbook.com?c=601913-89", "View Company Online")</f>
      </c>
    </row>
    <row r="4802">
      <c r="A4802" t="s" s="10">
        <v>24246</v>
      </c>
      <c r="B4802" t="s" s="10">
        <v>24247</v>
      </c>
      <c r="C4802" t="s" s="10">
        <v>164</v>
      </c>
      <c r="D4802" t="s" s="10">
        <v>165</v>
      </c>
      <c r="E4802" t="s" s="10">
        <v>137</v>
      </c>
      <c r="F4802" s="27">
        <v>45566</v>
      </c>
      <c r="G4802" t="s" s="10">
        <v>146</v>
      </c>
      <c r="H4802" t="s" s="42">
        <v>30</v>
      </c>
      <c r="I4802" t="s" s="42">
        <v>30</v>
      </c>
      <c r="J4802" t="s" s="10">
        <v>24248</v>
      </c>
      <c r="K4802" t="s" s="10">
        <v>24249</v>
      </c>
      <c r="L4802" t="s" s="10">
        <v>30</v>
      </c>
      <c r="M4802" s="16">
        <f>HYPERLINK("https://my.pitchbook.com?c=688451-86", "View Company Online")</f>
      </c>
    </row>
    <row r="4803">
      <c r="A4803" t="s" s="11">
        <v>24250</v>
      </c>
      <c r="B4803" t="s" s="11">
        <v>24251</v>
      </c>
      <c r="C4803" t="s" s="11">
        <v>60</v>
      </c>
      <c r="D4803" t="s" s="11">
        <v>192</v>
      </c>
      <c r="E4803" t="s" s="11">
        <v>130</v>
      </c>
      <c r="F4803" s="28">
        <v>45517</v>
      </c>
      <c r="G4803" t="s" s="11">
        <v>146</v>
      </c>
      <c r="H4803" s="43">
        <v>7.54</v>
      </c>
      <c r="I4803" t="s" s="43">
        <v>30</v>
      </c>
      <c r="J4803" t="s" s="11">
        <v>24252</v>
      </c>
      <c r="K4803" t="s" s="11">
        <v>24253</v>
      </c>
      <c r="L4803" s="17">
        <f>HYPERLINK("http://www.domino.is", "www.domino.is")</f>
      </c>
      <c r="M4803" s="17">
        <f>HYPERLINK("https://my.pitchbook.com?c=493866-91", "View Company Online")</f>
      </c>
    </row>
    <row r="4804">
      <c r="A4804" t="s" s="10">
        <v>24255</v>
      </c>
      <c r="B4804" t="s" s="10">
        <v>24256</v>
      </c>
      <c r="C4804" t="s" s="10">
        <v>46</v>
      </c>
      <c r="D4804" t="s" s="10">
        <v>47</v>
      </c>
      <c r="E4804" t="s" s="10">
        <v>373</v>
      </c>
      <c r="F4804" s="27">
        <v>45981</v>
      </c>
      <c r="G4804" t="s" s="10">
        <v>4267</v>
      </c>
      <c r="H4804" s="42">
        <v>4.3</v>
      </c>
      <c r="I4804" t="s" s="42">
        <v>30</v>
      </c>
      <c r="J4804" t="s" s="10">
        <v>24257</v>
      </c>
      <c r="K4804" t="s" s="10">
        <v>24258</v>
      </c>
      <c r="L4804" s="16">
        <f>HYPERLINK("http://donnerstag.ai", "donnerstag.ai")</f>
      </c>
      <c r="M4804" s="16">
        <f>HYPERLINK("https://my.pitchbook.com?c=1081789-21", "View Company Online")</f>
      </c>
    </row>
    <row r="4805">
      <c r="A4805" t="s" s="11">
        <v>24260</v>
      </c>
      <c r="B4805" t="s" s="11">
        <v>24261</v>
      </c>
      <c r="C4805" t="s" s="11">
        <v>114</v>
      </c>
      <c r="D4805" t="s" s="11">
        <v>136</v>
      </c>
      <c r="E4805" t="s" s="11">
        <v>253</v>
      </c>
      <c r="F4805" s="28">
        <v>44986</v>
      </c>
      <c r="G4805" t="s" s="11">
        <v>271</v>
      </c>
      <c r="H4805" s="43">
        <v>0.29</v>
      </c>
      <c r="I4805" t="s" s="43">
        <v>30</v>
      </c>
      <c r="J4805" t="s" s="11">
        <v>24262</v>
      </c>
      <c r="K4805" t="s" s="11">
        <v>24263</v>
      </c>
      <c r="L4805" s="17">
        <f>HYPERLINK("http://www.donorsee.com", "www.donorsee.com")</f>
      </c>
      <c r="M4805" s="17">
        <f>HYPERLINK("https://my.pitchbook.com?c=471073-78", "View Company Online")</f>
      </c>
    </row>
    <row r="4806">
      <c r="A4806" t="s" s="10">
        <v>24265</v>
      </c>
      <c r="B4806" t="s" s="10">
        <v>24266</v>
      </c>
      <c r="C4806" t="s" s="10">
        <v>164</v>
      </c>
      <c r="D4806" t="s" s="10">
        <v>206</v>
      </c>
      <c r="E4806" t="s" s="10">
        <v>193</v>
      </c>
      <c r="F4806" s="27">
        <v>45497</v>
      </c>
      <c r="G4806" t="s" s="10">
        <v>607</v>
      </c>
      <c r="H4806" t="s" s="42">
        <v>30</v>
      </c>
      <c r="I4806" t="s" s="42">
        <v>30</v>
      </c>
      <c r="J4806" t="s" s="10">
        <v>24267</v>
      </c>
      <c r="K4806" t="s" s="10">
        <v>24268</v>
      </c>
      <c r="L4806" s="16">
        <f>HYPERLINK("http://www.doo.africa", "www.doo.africa")</f>
      </c>
      <c r="M4806" s="16">
        <f>HYPERLINK("https://my.pitchbook.com?c=600578-11", "View Company Online")</f>
      </c>
    </row>
    <row r="4807">
      <c r="A4807" t="s" s="11">
        <v>24270</v>
      </c>
      <c r="B4807" t="s" s="11">
        <v>24271</v>
      </c>
      <c r="C4807" t="s" s="11">
        <v>222</v>
      </c>
      <c r="D4807" t="s" s="11">
        <v>235</v>
      </c>
      <c r="E4807" t="s" s="11">
        <v>137</v>
      </c>
      <c r="F4807" s="28">
        <v>45316</v>
      </c>
      <c r="G4807" t="s" s="11">
        <v>40</v>
      </c>
      <c r="H4807" s="43">
        <v>1.93</v>
      </c>
      <c r="I4807" t="s" s="43">
        <v>30</v>
      </c>
      <c r="J4807" t="s" s="11">
        <v>24272</v>
      </c>
      <c r="K4807" t="s" s="11">
        <v>24273</v>
      </c>
      <c r="L4807" s="17">
        <f>HYPERLINK("http://doorway.investments", "doorway.investments")</f>
      </c>
      <c r="M4807" s="17">
        <f>HYPERLINK("https://my.pitchbook.com?c=268670-62", "View Company Online")</f>
      </c>
    </row>
    <row r="4808">
      <c r="A4808" t="s" s="10">
        <v>24275</v>
      </c>
      <c r="B4808" t="s" s="10">
        <v>24276</v>
      </c>
      <c r="C4808" t="s" s="10">
        <v>46</v>
      </c>
      <c r="D4808" t="s" s="10">
        <v>397</v>
      </c>
      <c r="E4808" t="s" s="10">
        <v>414</v>
      </c>
      <c r="F4808" s="27">
        <v>46082</v>
      </c>
      <c r="G4808" t="s" s="10">
        <v>146</v>
      </c>
      <c r="H4808" t="s" s="42">
        <v>30</v>
      </c>
      <c r="I4808" t="s" s="42">
        <v>30</v>
      </c>
      <c r="J4808" t="s" s="10">
        <v>24277</v>
      </c>
      <c r="K4808" t="s" s="10">
        <v>24278</v>
      </c>
      <c r="L4808" s="16">
        <f>HYPERLINK("http://www.dorje.ai", "www.dorje.ai")</f>
      </c>
      <c r="M4808" s="16">
        <f>HYPERLINK("https://my.pitchbook.com?c=772524-91", "View Company Online")</f>
      </c>
    </row>
    <row r="4809">
      <c r="A4809" t="s" s="11">
        <v>24280</v>
      </c>
      <c r="B4809" t="s" s="11">
        <v>24281</v>
      </c>
      <c r="C4809" t="s" s="11">
        <v>46</v>
      </c>
      <c r="D4809" t="s" s="11">
        <v>915</v>
      </c>
      <c r="E4809" t="s" s="11">
        <v>24282</v>
      </c>
      <c r="F4809" s="28">
        <v>46105</v>
      </c>
      <c r="G4809" t="s" s="11">
        <v>146</v>
      </c>
      <c r="H4809" s="43">
        <v>55</v>
      </c>
      <c r="I4809" t="s" s="43">
        <v>30</v>
      </c>
      <c r="J4809" t="s" s="11">
        <v>24283</v>
      </c>
      <c r="K4809" t="s" s="11">
        <v>24284</v>
      </c>
      <c r="L4809" s="17">
        <f>HYPERLINK("http://www.doss.com", "www.doss.com")</f>
      </c>
      <c r="M4809" s="17">
        <f>HYPERLINK("https://my.pitchbook.com?c=522883-99", "View Company Online")</f>
      </c>
    </row>
    <row r="4810">
      <c r="A4810" t="s" s="10">
        <v>24286</v>
      </c>
      <c r="B4810" t="s" s="10">
        <v>24287</v>
      </c>
      <c r="C4810" t="s" s="10">
        <v>172</v>
      </c>
      <c r="D4810" t="s" s="10">
        <v>338</v>
      </c>
      <c r="E4810" t="s" s="10">
        <v>414</v>
      </c>
      <c r="F4810" s="27">
        <v>46112</v>
      </c>
      <c r="G4810" t="s" s="10">
        <v>146</v>
      </c>
      <c r="H4810" t="s" s="42">
        <v>30</v>
      </c>
      <c r="I4810" t="s" s="42">
        <v>30</v>
      </c>
      <c r="J4810" t="s" s="10">
        <v>24288</v>
      </c>
      <c r="K4810" t="s" s="10">
        <v>24289</v>
      </c>
      <c r="L4810" s="16">
        <f>HYPERLINK("http://www.dossiers.wiki", "www.dossiers.wiki")</f>
      </c>
      <c r="M4810" s="16">
        <f>HYPERLINK("https://my.pitchbook.com?c=664524-73", "View Company Online")</f>
      </c>
    </row>
    <row r="4811">
      <c r="A4811" t="s" s="11">
        <v>24291</v>
      </c>
      <c r="B4811" t="s" s="11">
        <v>24292</v>
      </c>
      <c r="C4811" t="s" s="11">
        <v>46</v>
      </c>
      <c r="D4811" t="s" s="11">
        <v>397</v>
      </c>
      <c r="E4811" t="s" s="11">
        <v>137</v>
      </c>
      <c r="F4811" s="28">
        <v>45016</v>
      </c>
      <c r="G4811" t="s" s="11">
        <v>40</v>
      </c>
      <c r="H4811" s="43">
        <v>27</v>
      </c>
      <c r="I4811" t="s" s="43">
        <v>30</v>
      </c>
      <c r="J4811" t="s" s="11">
        <v>24293</v>
      </c>
      <c r="K4811" t="s" s="11">
        <v>24294</v>
      </c>
      <c r="L4811" s="17">
        <f>HYPERLINK("http://www.dougs.fr", "www.dougs.fr")</f>
      </c>
      <c r="M4811" s="17">
        <f>HYPERLINK("https://my.pitchbook.com?c=442501-12", "View Company Online")</f>
      </c>
    </row>
    <row r="4812">
      <c r="A4812" t="s" s="10">
        <v>24296</v>
      </c>
      <c r="B4812" t="s" s="10">
        <v>24297</v>
      </c>
      <c r="C4812" t="s" s="10">
        <v>114</v>
      </c>
      <c r="D4812" t="s" s="10">
        <v>115</v>
      </c>
      <c r="E4812" t="s" s="10">
        <v>137</v>
      </c>
      <c r="F4812" s="27">
        <v>45301</v>
      </c>
      <c r="G4812" t="s" s="10">
        <v>146</v>
      </c>
      <c r="H4812" s="42">
        <v>32.8</v>
      </c>
      <c r="I4812" t="s" s="42">
        <v>30</v>
      </c>
      <c r="J4812" t="s" s="10">
        <v>24298</v>
      </c>
      <c r="K4812" t="s" s="10">
        <v>24299</v>
      </c>
      <c r="L4812" s="16">
        <f>HYPERLINK("http://www.downpayments.com", "www.downpayments.com")</f>
      </c>
      <c r="M4812" s="16">
        <f>HYPERLINK("https://my.pitchbook.com?c=551735-56", "View Company Online")</f>
      </c>
    </row>
    <row r="4813">
      <c r="A4813" t="s" s="11">
        <v>24301</v>
      </c>
      <c r="B4813" t="s" s="11">
        <v>24302</v>
      </c>
      <c r="C4813" t="s" s="11">
        <v>222</v>
      </c>
      <c r="D4813" t="s" s="11">
        <v>223</v>
      </c>
      <c r="E4813" t="s" s="11">
        <v>414</v>
      </c>
      <c r="F4813" s="28">
        <v>45931</v>
      </c>
      <c r="G4813" t="s" s="11">
        <v>146</v>
      </c>
      <c r="H4813" t="s" s="43">
        <v>30</v>
      </c>
      <c r="I4813" t="s" s="43">
        <v>30</v>
      </c>
      <c r="J4813" t="s" s="11">
        <v>24303</v>
      </c>
      <c r="K4813" t="s" s="11">
        <v>24304</v>
      </c>
      <c r="L4813" s="17">
        <f>HYPERLINK("http://www.draconic.ai", "www.draconic.ai")</f>
      </c>
      <c r="M4813" s="17">
        <f>HYPERLINK("https://my.pitchbook.com?c=1153065-25", "View Company Online")</f>
      </c>
    </row>
    <row r="4814">
      <c r="A4814" t="s" s="10">
        <v>24306</v>
      </c>
      <c r="B4814" t="s" s="10">
        <v>24307</v>
      </c>
      <c r="C4814" t="s" s="10">
        <v>60</v>
      </c>
      <c r="D4814" t="s" s="10">
        <v>61</v>
      </c>
      <c r="E4814" t="s" s="10">
        <v>859</v>
      </c>
      <c r="F4814" s="27">
        <v>45930</v>
      </c>
      <c r="G4814" t="s" s="10">
        <v>4267</v>
      </c>
      <c r="H4814" s="42">
        <v>1</v>
      </c>
      <c r="I4814" t="s" s="42">
        <v>30</v>
      </c>
      <c r="J4814" t="s" s="10">
        <v>24308</v>
      </c>
      <c r="K4814" t="s" s="10">
        <v>24309</v>
      </c>
      <c r="L4814" s="16">
        <f>HYPERLINK("http://www.drake.exchange", "www.drake.exchange")</f>
      </c>
      <c r="M4814" s="16">
        <f>HYPERLINK("https://my.pitchbook.com?c=1157401-63", "View Company Online")</f>
      </c>
    </row>
    <row r="4815">
      <c r="A4815" t="s" s="11">
        <v>24311</v>
      </c>
      <c r="B4815" t="s" s="11">
        <v>24312</v>
      </c>
      <c r="C4815" t="s" s="11">
        <v>27</v>
      </c>
      <c r="D4815" t="s" s="11">
        <v>28</v>
      </c>
      <c r="E4815" t="s" s="11">
        <v>17630</v>
      </c>
      <c r="F4815" s="28">
        <v>45853</v>
      </c>
      <c r="G4815" t="s" s="11">
        <v>40</v>
      </c>
      <c r="H4815" t="s" s="43">
        <v>30</v>
      </c>
      <c r="I4815" t="s" s="43">
        <v>30</v>
      </c>
      <c r="J4815" t="s" s="11">
        <v>24313</v>
      </c>
      <c r="K4815" t="s" s="11">
        <v>24314</v>
      </c>
      <c r="L4815" s="17">
        <f>HYPERLINK("http://www.dreampayments.com", "www.dreampayments.com")</f>
      </c>
      <c r="M4815" s="17">
        <f>HYPERLINK("https://my.pitchbook.com?c=109172-17", "View Company Online")</f>
      </c>
    </row>
    <row r="4816">
      <c r="A4816" t="s" s="10">
        <v>24316</v>
      </c>
      <c r="B4816" t="s" s="10">
        <v>24317</v>
      </c>
      <c r="C4816" t="s" s="10">
        <v>128</v>
      </c>
      <c r="D4816" t="s" s="10">
        <v>276</v>
      </c>
      <c r="E4816" t="s" s="10">
        <v>116</v>
      </c>
      <c r="F4816" s="27">
        <v>46073</v>
      </c>
      <c r="G4816" t="s" s="10">
        <v>4267</v>
      </c>
      <c r="H4816" s="42">
        <v>9.39</v>
      </c>
      <c r="I4816" t="s" s="42">
        <v>30</v>
      </c>
      <c r="J4816" t="s" s="10">
        <v>24318</v>
      </c>
      <c r="K4816" t="s" s="10">
        <v>30</v>
      </c>
      <c r="L4816" s="16">
        <f>HYPERLINK("http://www.dreamfi.com", "www.dreamfi.com")</f>
      </c>
      <c r="M4816" s="16">
        <f>HYPERLINK("https://my.pitchbook.com?c=711341-65", "View Company Online")</f>
      </c>
    </row>
    <row r="4817">
      <c r="A4817" t="s" s="11">
        <v>24320</v>
      </c>
      <c r="B4817" t="s" s="11">
        <v>24321</v>
      </c>
      <c r="C4817" t="s" s="11">
        <v>222</v>
      </c>
      <c r="D4817" t="s" s="11">
        <v>235</v>
      </c>
      <c r="E4817" t="s" s="11">
        <v>16640</v>
      </c>
      <c r="F4817" t="s" s="28">
        <v>30</v>
      </c>
      <c r="G4817" t="s" s="11">
        <v>607</v>
      </c>
      <c r="H4817" t="s" s="43">
        <v>30</v>
      </c>
      <c r="I4817" t="s" s="43">
        <v>30</v>
      </c>
      <c r="J4817" t="s" s="11">
        <v>24322</v>
      </c>
      <c r="K4817" t="s" s="11">
        <v>24323</v>
      </c>
      <c r="L4817" s="17">
        <f>HYPERLINK("http://www.drex.network", "www.drex.network")</f>
      </c>
      <c r="M4817" s="17">
        <f>HYPERLINK("https://my.pitchbook.com?c=521057-35", "View Company Online")</f>
      </c>
    </row>
    <row r="4818">
      <c r="A4818" t="s" s="10">
        <v>24325</v>
      </c>
      <c r="B4818" t="s" s="10">
        <v>24326</v>
      </c>
      <c r="C4818" t="s" s="10">
        <v>60</v>
      </c>
      <c r="D4818" t="s" s="10">
        <v>246</v>
      </c>
      <c r="E4818" t="s" s="10">
        <v>3831</v>
      </c>
      <c r="F4818" s="27">
        <v>45839</v>
      </c>
      <c r="G4818" t="s" s="10">
        <v>146</v>
      </c>
      <c r="H4818" t="s" s="42">
        <v>30</v>
      </c>
      <c r="I4818" t="s" s="42">
        <v>30</v>
      </c>
      <c r="J4818" t="s" s="10">
        <v>24327</v>
      </c>
      <c r="K4818" t="s" s="10">
        <v>24328</v>
      </c>
      <c r="L4818" s="16">
        <f>HYPERLINK("http://www.drivecredit.co", "www.drivecredit.co")</f>
      </c>
      <c r="M4818" s="16">
        <f>HYPERLINK("https://my.pitchbook.com?c=895314-43", "View Company Online")</f>
      </c>
    </row>
    <row r="4819">
      <c r="A4819" t="s" s="11">
        <v>24330</v>
      </c>
      <c r="B4819" t="s" s="11">
        <v>24331</v>
      </c>
      <c r="C4819" t="s" s="11">
        <v>128</v>
      </c>
      <c r="D4819" t="s" s="11">
        <v>129</v>
      </c>
      <c r="E4819" t="s" s="11">
        <v>14409</v>
      </c>
      <c r="F4819" t="s" s="28">
        <v>30</v>
      </c>
      <c r="G4819" t="s" s="11">
        <v>607</v>
      </c>
      <c r="H4819" t="s" s="43">
        <v>30</v>
      </c>
      <c r="I4819" t="s" s="43">
        <v>30</v>
      </c>
      <c r="J4819" t="s" s="11">
        <v>24332</v>
      </c>
      <c r="K4819" t="s" s="11">
        <v>24333</v>
      </c>
      <c r="L4819" s="17">
        <f>HYPERLINK("http://www.joindrop.com", "www.joindrop.com")</f>
      </c>
      <c r="M4819" s="17">
        <f>HYPERLINK("https://my.pitchbook.com?c=162299-44", "View Company Online")</f>
      </c>
    </row>
    <row r="4820">
      <c r="A4820" t="s" s="10">
        <v>24335</v>
      </c>
      <c r="B4820" t="s" s="10">
        <v>24336</v>
      </c>
      <c r="C4820" t="s" s="10">
        <v>27</v>
      </c>
      <c r="D4820" t="s" s="10">
        <v>28</v>
      </c>
      <c r="E4820" t="s" s="10">
        <v>270</v>
      </c>
      <c r="F4820" s="27">
        <v>45951</v>
      </c>
      <c r="G4820" t="s" s="10">
        <v>146</v>
      </c>
      <c r="H4820" s="42">
        <v>2.06</v>
      </c>
      <c r="I4820" t="s" s="42">
        <v>30</v>
      </c>
      <c r="J4820" t="s" s="10">
        <v>24337</v>
      </c>
      <c r="K4820" t="s" s="10">
        <v>24338</v>
      </c>
      <c r="L4820" s="16">
        <f>HYPERLINK("http://www.druo.com", "www.druo.com")</f>
      </c>
      <c r="M4820" s="16">
        <f>HYPERLINK("https://my.pitchbook.com?c=496733-14", "View Company Online")</f>
      </c>
    </row>
    <row r="4821">
      <c r="A4821" t="s" s="11">
        <v>24340</v>
      </c>
      <c r="B4821" t="s" s="11">
        <v>24341</v>
      </c>
      <c r="C4821" t="s" s="11">
        <v>114</v>
      </c>
      <c r="D4821" t="s" s="11">
        <v>852</v>
      </c>
      <c r="E4821" t="s" s="11">
        <v>137</v>
      </c>
      <c r="F4821" s="28">
        <v>45257</v>
      </c>
      <c r="G4821" t="s" s="11">
        <v>4267</v>
      </c>
      <c r="H4821" s="43">
        <v>0.13</v>
      </c>
      <c r="I4821" t="s" s="43">
        <v>30</v>
      </c>
      <c r="J4821" t="s" s="11">
        <v>24342</v>
      </c>
      <c r="K4821" t="s" s="11">
        <v>30</v>
      </c>
      <c r="L4821" s="17">
        <f>HYPERLINK("http://www.drutoloan.com", "www.drutoloan.com")</f>
      </c>
      <c r="M4821" s="17">
        <f>HYPERLINK("https://my.pitchbook.com?c=522095-59", "View Company Online")</f>
      </c>
    </row>
    <row r="4822">
      <c r="A4822" t="s" s="10">
        <v>24344</v>
      </c>
      <c r="B4822" t="s" s="10">
        <v>24345</v>
      </c>
      <c r="C4822" t="s" s="10">
        <v>164</v>
      </c>
      <c r="D4822" t="s" s="10">
        <v>165</v>
      </c>
      <c r="E4822" t="s" s="10">
        <v>253</v>
      </c>
      <c r="F4822" s="27">
        <v>45982</v>
      </c>
      <c r="G4822" t="s" s="10">
        <v>4267</v>
      </c>
      <c r="H4822" s="42">
        <v>2.5</v>
      </c>
      <c r="I4822" t="s" s="42">
        <v>30</v>
      </c>
      <c r="J4822" t="s" s="10">
        <v>24346</v>
      </c>
      <c r="K4822" t="s" s="10">
        <v>30</v>
      </c>
      <c r="L4822" s="16">
        <f>HYPERLINK("http://www.dsscorp.io", "www.dsscorp.io")</f>
      </c>
      <c r="M4822" s="16">
        <f>HYPERLINK("https://my.pitchbook.com?c=624386-53", "View Company Online")</f>
      </c>
    </row>
    <row r="4823">
      <c r="A4823" t="s" s="11">
        <v>24348</v>
      </c>
      <c r="B4823" t="s" s="11">
        <v>24349</v>
      </c>
      <c r="C4823" t="s" s="11">
        <v>164</v>
      </c>
      <c r="D4823" t="s" s="11">
        <v>165</v>
      </c>
      <c r="E4823" t="s" s="11">
        <v>253</v>
      </c>
      <c r="F4823" s="28">
        <v>45440</v>
      </c>
      <c r="G4823" t="s" s="11">
        <v>146</v>
      </c>
      <c r="H4823" s="43">
        <v>1</v>
      </c>
      <c r="I4823" t="s" s="43">
        <v>30</v>
      </c>
      <c r="J4823" t="s" s="11">
        <v>24350</v>
      </c>
      <c r="K4823" t="s" s="11">
        <v>24351</v>
      </c>
      <c r="L4823" s="17">
        <f>HYPERLINK("http://www.gravity.ind.in", "www.gravity.ind.in")</f>
      </c>
      <c r="M4823" s="17">
        <f>HYPERLINK("https://my.pitchbook.com?c=600083-56", "View Company Online")</f>
      </c>
    </row>
    <row r="4824">
      <c r="A4824" t="s" s="10">
        <v>24353</v>
      </c>
      <c r="B4824" t="s" s="10">
        <v>24354</v>
      </c>
      <c r="C4824" t="s" s="10">
        <v>27</v>
      </c>
      <c r="D4824" t="s" s="10">
        <v>122</v>
      </c>
      <c r="E4824" t="s" s="10">
        <v>995</v>
      </c>
      <c r="F4824" s="27">
        <v>46098</v>
      </c>
      <c r="G4824" t="s" s="10">
        <v>40</v>
      </c>
      <c r="H4824" s="42">
        <v>10</v>
      </c>
      <c r="I4824" t="s" s="42">
        <v>30</v>
      </c>
      <c r="J4824" t="s" s="10">
        <v>24355</v>
      </c>
      <c r="K4824" t="s" s="10">
        <v>24356</v>
      </c>
      <c r="L4824" s="16">
        <f>HYPERLINK("http://www.dtcpay.com", "www.dtcpay.com")</f>
      </c>
      <c r="M4824" s="16">
        <f>HYPERLINK("https://my.pitchbook.com?c=529671-43", "View Company Online")</f>
      </c>
    </row>
    <row r="4825">
      <c r="A4825" t="s" s="11">
        <v>24358</v>
      </c>
      <c r="B4825" t="s" s="11">
        <v>24359</v>
      </c>
      <c r="C4825" t="s" s="11">
        <v>37</v>
      </c>
      <c r="D4825" t="s" s="11">
        <v>304</v>
      </c>
      <c r="E4825" t="s" s="11">
        <v>1859</v>
      </c>
      <c r="F4825" s="28">
        <v>46240</v>
      </c>
      <c r="G4825" t="s" s="11">
        <v>2051</v>
      </c>
      <c r="H4825" t="s" s="43">
        <v>30</v>
      </c>
      <c r="I4825" t="s" s="43">
        <v>30</v>
      </c>
      <c r="J4825" t="s" s="11">
        <v>24360</v>
      </c>
      <c r="K4825" t="s" s="11">
        <v>30</v>
      </c>
      <c r="L4825" s="17">
        <f>HYPERLINK("http://www.du-it.my", "www.du-it.my")</f>
      </c>
      <c r="M4825" s="17">
        <f>HYPERLINK("https://my.pitchbook.com?c=469510-84", "View Company Online")</f>
      </c>
    </row>
    <row r="4826">
      <c r="A4826" t="s" s="10">
        <v>24362</v>
      </c>
      <c r="B4826" t="s" s="10">
        <v>24363</v>
      </c>
      <c r="C4826" t="s" s="10">
        <v>46</v>
      </c>
      <c r="D4826" t="s" s="10">
        <v>915</v>
      </c>
      <c r="E4826" t="s" s="10">
        <v>24364</v>
      </c>
      <c r="F4826" s="27">
        <v>46071</v>
      </c>
      <c r="G4826" t="s" s="10">
        <v>4267</v>
      </c>
      <c r="H4826" s="42">
        <v>7.75</v>
      </c>
      <c r="I4826" t="s" s="42">
        <v>30</v>
      </c>
      <c r="J4826" t="s" s="10">
        <v>24365</v>
      </c>
      <c r="K4826" t="s" s="10">
        <v>24366</v>
      </c>
      <c r="L4826" s="16">
        <f>HYPERLINK("http://www.duckbillhq.com", "www.duckbillhq.com")</f>
      </c>
      <c r="M4826" s="16">
        <f>HYPERLINK("https://my.pitchbook.com?c=897521-23", "View Company Online")</f>
      </c>
    </row>
    <row r="4827">
      <c r="A4827" t="s" s="11">
        <v>24368</v>
      </c>
      <c r="B4827" t="s" s="11">
        <v>24369</v>
      </c>
      <c r="C4827" t="s" s="11">
        <v>46</v>
      </c>
      <c r="D4827" t="s" s="11">
        <v>47</v>
      </c>
      <c r="E4827" t="s" s="11">
        <v>253</v>
      </c>
      <c r="F4827" s="28">
        <v>46048</v>
      </c>
      <c r="G4827" t="s" s="11">
        <v>146</v>
      </c>
      <c r="H4827" t="s" s="43">
        <v>30</v>
      </c>
      <c r="I4827" t="s" s="43">
        <v>30</v>
      </c>
      <c r="J4827" t="s" s="11">
        <v>24370</v>
      </c>
      <c r="K4827" t="s" s="11">
        <v>24371</v>
      </c>
      <c r="L4827" s="17">
        <f>HYPERLINK("http://www.dueflow.co", "www.dueflow.co")</f>
      </c>
      <c r="M4827" s="17">
        <f>HYPERLINK("https://my.pitchbook.com?c=1257869-17", "View Company Online")</f>
      </c>
    </row>
    <row r="4828">
      <c r="A4828" t="s" s="10">
        <v>24373</v>
      </c>
      <c r="B4828" t="s" s="10">
        <v>24374</v>
      </c>
      <c r="C4828" t="s" s="10">
        <v>46</v>
      </c>
      <c r="D4828" t="s" s="10">
        <v>47</v>
      </c>
      <c r="E4828" t="s" s="10">
        <v>373</v>
      </c>
      <c r="F4828" s="27">
        <v>44682</v>
      </c>
      <c r="G4828" t="s" s="10">
        <v>40</v>
      </c>
      <c r="H4828" s="42">
        <v>0.01</v>
      </c>
      <c r="I4828" t="s" s="42">
        <v>30</v>
      </c>
      <c r="J4828" t="s" s="10">
        <v>24375</v>
      </c>
      <c r="K4828" t="s" s="10">
        <v>24376</v>
      </c>
      <c r="L4828" s="16">
        <f>HYPERLINK("http://www.duemint.com", "www.duemint.com")</f>
      </c>
      <c r="M4828" s="16">
        <f>HYPERLINK("https://my.pitchbook.com?c=340822-63", "View Company Online")</f>
      </c>
    </row>
    <row r="4829">
      <c r="A4829" t="s" s="11">
        <v>24378</v>
      </c>
      <c r="B4829" t="s" s="11">
        <v>24379</v>
      </c>
      <c r="C4829" t="s" s="11">
        <v>172</v>
      </c>
      <c r="D4829" t="s" s="11">
        <v>173</v>
      </c>
      <c r="E4829" t="s" s="11">
        <v>24380</v>
      </c>
      <c r="F4829" s="28">
        <v>46058</v>
      </c>
      <c r="G4829" t="s" s="11">
        <v>146</v>
      </c>
      <c r="H4829" s="43">
        <v>35.24</v>
      </c>
      <c r="I4829" t="s" s="43">
        <v>30</v>
      </c>
      <c r="J4829" t="s" s="11">
        <v>24381</v>
      </c>
      <c r="K4829" t="s" s="11">
        <v>24382</v>
      </c>
      <c r="L4829" s="17">
        <f>HYPERLINK("http://www.duna.com", "www.duna.com")</f>
      </c>
      <c r="M4829" s="17">
        <f>HYPERLINK("https://my.pitchbook.com?c=711818-47", "View Company Online")</f>
      </c>
    </row>
    <row r="4830">
      <c r="A4830" t="s" s="10">
        <v>24384</v>
      </c>
      <c r="B4830" t="s" s="10">
        <v>24385</v>
      </c>
      <c r="C4830" t="s" s="10">
        <v>46</v>
      </c>
      <c r="D4830" t="s" s="10">
        <v>47</v>
      </c>
      <c r="E4830" t="s" s="10">
        <v>414</v>
      </c>
      <c r="F4830" s="27">
        <v>44197</v>
      </c>
      <c r="G4830" t="s" s="10">
        <v>40</v>
      </c>
      <c r="H4830" t="s" s="42">
        <v>30</v>
      </c>
      <c r="I4830" t="s" s="42">
        <v>30</v>
      </c>
      <c r="J4830" t="s" s="10">
        <v>24386</v>
      </c>
      <c r="K4830" t="s" s="10">
        <v>24387</v>
      </c>
      <c r="L4830" s="16">
        <f>HYPERLINK("http://www.dunning.com.br", "www.dunning.com.br")</f>
      </c>
      <c r="M4830" s="16">
        <f>HYPERLINK("https://my.pitchbook.com?c=520002-46", "View Company Online")</f>
      </c>
    </row>
    <row r="4831">
      <c r="A4831" t="s" s="11">
        <v>24389</v>
      </c>
      <c r="B4831" t="s" s="11">
        <v>24390</v>
      </c>
      <c r="C4831" t="s" s="11">
        <v>60</v>
      </c>
      <c r="D4831" t="s" s="11">
        <v>192</v>
      </c>
      <c r="E4831" t="s" s="11">
        <v>859</v>
      </c>
      <c r="F4831" s="28">
        <v>43405</v>
      </c>
      <c r="G4831" t="s" s="11">
        <v>4267</v>
      </c>
      <c r="H4831" s="43">
        <v>10</v>
      </c>
      <c r="I4831" t="s" s="43">
        <v>30</v>
      </c>
      <c r="J4831" t="s" s="11">
        <v>24391</v>
      </c>
      <c r="K4831" t="s" s="11">
        <v>24392</v>
      </c>
      <c r="L4831" t="s" s="11">
        <v>30</v>
      </c>
      <c r="M4831" s="17">
        <f>HYPERLINK("https://my.pitchbook.com?c=234709-30", "View Company Online")</f>
      </c>
    </row>
    <row r="4832">
      <c r="A4832" t="s" s="10">
        <v>24393</v>
      </c>
      <c r="B4832" t="s" s="10">
        <v>24394</v>
      </c>
      <c r="C4832" t="s" s="10">
        <v>114</v>
      </c>
      <c r="D4832" t="s" s="10">
        <v>1386</v>
      </c>
      <c r="E4832" t="s" s="10">
        <v>373</v>
      </c>
      <c r="F4832" s="27">
        <v>46055</v>
      </c>
      <c r="G4832" t="s" s="10">
        <v>146</v>
      </c>
      <c r="H4832" t="s" s="42">
        <v>30</v>
      </c>
      <c r="I4832" t="s" s="42">
        <v>30</v>
      </c>
      <c r="J4832" t="s" s="10">
        <v>24395</v>
      </c>
      <c r="K4832" t="s" s="10">
        <v>24396</v>
      </c>
      <c r="L4832" s="16">
        <f>HYPERLINK("http://www.dwilar.tech", "www.dwilar.tech")</f>
      </c>
      <c r="M4832" s="16">
        <f>HYPERLINK("https://my.pitchbook.com?c=720035-38", "View Company Online")</f>
      </c>
    </row>
    <row r="4833">
      <c r="A4833" t="s" s="11">
        <v>24398</v>
      </c>
      <c r="B4833" t="s" s="11">
        <v>24399</v>
      </c>
      <c r="C4833" t="s" s="11">
        <v>172</v>
      </c>
      <c r="D4833" t="s" s="11">
        <v>338</v>
      </c>
      <c r="E4833" t="s" s="11">
        <v>916</v>
      </c>
      <c r="F4833" s="28">
        <v>45444</v>
      </c>
      <c r="G4833" t="s" s="11">
        <v>607</v>
      </c>
      <c r="H4833" t="s" s="43">
        <v>30</v>
      </c>
      <c r="I4833" t="s" s="43">
        <v>30</v>
      </c>
      <c r="J4833" t="s" s="11">
        <v>24400</v>
      </c>
      <c r="K4833" t="s" s="11">
        <v>24401</v>
      </c>
      <c r="L4833" s="17">
        <f>HYPERLINK("http://www.dxcompliance.com", "www.dxcompliance.com")</f>
      </c>
      <c r="M4833" s="17">
        <f>HYPERLINK("https://my.pitchbook.com?c=292762-36", "View Company Online")</f>
      </c>
    </row>
    <row r="4834">
      <c r="A4834" t="s" s="10">
        <v>24403</v>
      </c>
      <c r="B4834" t="s" s="10">
        <v>24404</v>
      </c>
      <c r="C4834" t="s" s="10">
        <v>114</v>
      </c>
      <c r="D4834" t="s" s="10">
        <v>870</v>
      </c>
      <c r="E4834" t="s" s="10">
        <v>24405</v>
      </c>
      <c r="F4834" t="s" s="27">
        <v>30</v>
      </c>
      <c r="G4834" t="s" s="10">
        <v>48</v>
      </c>
      <c r="H4834" t="s" s="42">
        <v>30</v>
      </c>
      <c r="I4834" t="s" s="42">
        <v>30</v>
      </c>
      <c r="J4834" t="s" s="10">
        <v>24406</v>
      </c>
      <c r="K4834" t="s" s="10">
        <v>24407</v>
      </c>
      <c r="L4834" s="16">
        <f>HYPERLINK("http://ectare.com.br", "ectare.com.br")</f>
      </c>
      <c r="M4834" s="16">
        <f>HYPERLINK("https://my.pitchbook.com?c=481566-16", "View Company Online")</f>
      </c>
    </row>
    <row r="4835">
      <c r="A4835" t="s" s="11">
        <v>24409</v>
      </c>
      <c r="B4835" t="s" s="11">
        <v>24410</v>
      </c>
      <c r="C4835" t="s" s="11">
        <v>27</v>
      </c>
      <c r="D4835" t="s" s="11">
        <v>122</v>
      </c>
      <c r="E4835" t="s" s="11">
        <v>137</v>
      </c>
      <c r="F4835" s="28">
        <v>45700</v>
      </c>
      <c r="G4835" t="s" s="11">
        <v>4267</v>
      </c>
      <c r="H4835" s="43">
        <v>0.87</v>
      </c>
      <c r="I4835" t="s" s="43">
        <v>30</v>
      </c>
      <c r="J4835" t="s" s="11">
        <v>24411</v>
      </c>
      <c r="K4835" t="s" s="11">
        <v>24412</v>
      </c>
      <c r="L4835" s="17">
        <f>HYPERLINK("http://www.e-moneymarkets.com", "www.e-moneymarkets.com")</f>
      </c>
      <c r="M4835" s="17">
        <f>HYPERLINK("https://my.pitchbook.com?c=749220-49", "View Company Online")</f>
      </c>
    </row>
    <row r="4836">
      <c r="A4836" t="s" s="10">
        <v>24414</v>
      </c>
      <c r="B4836" t="s" s="10">
        <v>24415</v>
      </c>
      <c r="C4836" t="s" s="10">
        <v>27</v>
      </c>
      <c r="D4836" t="s" s="10">
        <v>28</v>
      </c>
      <c r="E4836" t="s" s="10">
        <v>137</v>
      </c>
      <c r="F4836" s="27">
        <v>43232</v>
      </c>
      <c r="G4836" t="s" s="10">
        <v>4267</v>
      </c>
      <c r="H4836" s="42">
        <v>1.2</v>
      </c>
      <c r="I4836" t="s" s="42">
        <v>30</v>
      </c>
      <c r="J4836" t="s" s="10">
        <v>24416</v>
      </c>
      <c r="K4836" t="s" s="10">
        <v>24417</v>
      </c>
      <c r="L4836" s="16">
        <f>HYPERLINK("http://www.esettlementgroup.com", "www.esettlementgroup.com")</f>
      </c>
      <c r="M4836" s="16">
        <f>HYPERLINK("https://my.pitchbook.com?c=56876-59", "View Company Online")</f>
      </c>
    </row>
    <row r="4837">
      <c r="A4837" t="s" s="11">
        <v>24419</v>
      </c>
      <c r="B4837" t="s" s="11">
        <v>24420</v>
      </c>
      <c r="C4837" t="s" s="11">
        <v>46</v>
      </c>
      <c r="D4837" t="s" s="11">
        <v>397</v>
      </c>
      <c r="E4837" t="s" s="11">
        <v>373</v>
      </c>
      <c r="F4837" s="28">
        <v>45918</v>
      </c>
      <c r="G4837" t="s" s="11">
        <v>146</v>
      </c>
      <c r="H4837" s="43">
        <v>0.98</v>
      </c>
      <c r="I4837" t="s" s="43">
        <v>30</v>
      </c>
      <c r="J4837" t="s" s="11">
        <v>24421</v>
      </c>
      <c r="K4837" t="s" s="11">
        <v>24422</v>
      </c>
      <c r="L4837" s="17">
        <f>HYPERLINK("http://www.geteagl.com", "www.geteagl.com")</f>
      </c>
      <c r="M4837" s="17">
        <f>HYPERLINK("https://my.pitchbook.com?c=769463-83", "View Company Online")</f>
      </c>
    </row>
    <row r="4838">
      <c r="A4838" t="s" s="10">
        <v>24424</v>
      </c>
      <c r="B4838" t="s" s="10">
        <v>24425</v>
      </c>
      <c r="C4838" t="s" s="10">
        <v>27</v>
      </c>
      <c r="D4838" t="s" s="10">
        <v>70</v>
      </c>
      <c r="E4838" t="s" s="10">
        <v>253</v>
      </c>
      <c r="F4838" t="s" s="27">
        <v>30</v>
      </c>
      <c r="G4838" t="s" s="10">
        <v>607</v>
      </c>
      <c r="H4838" t="s" s="42">
        <v>30</v>
      </c>
      <c r="I4838" t="s" s="42">
        <v>30</v>
      </c>
      <c r="J4838" t="s" s="10">
        <v>24426</v>
      </c>
      <c r="K4838" t="s" s="10">
        <v>24427</v>
      </c>
      <c r="L4838" s="16">
        <f>HYPERLINK("http://www.earlypay.kr", "www.earlypay.kr")</f>
      </c>
      <c r="M4838" s="16">
        <f>HYPERLINK("https://my.pitchbook.com?c=522887-59", "View Company Online")</f>
      </c>
    </row>
    <row r="4839">
      <c r="A4839" t="s" s="11">
        <v>24429</v>
      </c>
      <c r="B4839" t="s" s="11">
        <v>24430</v>
      </c>
      <c r="C4839" t="s" s="11">
        <v>46</v>
      </c>
      <c r="D4839" t="s" s="11">
        <v>397</v>
      </c>
      <c r="E4839" t="s" s="11">
        <v>270</v>
      </c>
      <c r="F4839" s="28">
        <v>45778</v>
      </c>
      <c r="G4839" t="s" s="11">
        <v>146</v>
      </c>
      <c r="H4839" t="s" s="43">
        <v>30</v>
      </c>
      <c r="I4839" t="s" s="43">
        <v>30</v>
      </c>
      <c r="J4839" t="s" s="11">
        <v>24431</v>
      </c>
      <c r="K4839" t="s" s="11">
        <v>24432</v>
      </c>
      <c r="L4839" s="17">
        <f>HYPERLINK("http://www.earlybirdfinance.ai", "www.earlybirdfinance.ai")</f>
      </c>
      <c r="M4839" s="17">
        <f>HYPERLINK("https://my.pitchbook.com?c=688603-69", "View Company Online")</f>
      </c>
    </row>
    <row r="4840">
      <c r="A4840" t="s" s="10">
        <v>24434</v>
      </c>
      <c r="B4840" t="s" s="10">
        <v>24435</v>
      </c>
      <c r="C4840" t="s" s="10">
        <v>60</v>
      </c>
      <c r="D4840" t="s" s="10">
        <v>432</v>
      </c>
      <c r="E4840" t="s" s="10">
        <v>634</v>
      </c>
      <c r="F4840" s="27">
        <v>45261</v>
      </c>
      <c r="G4840" t="s" s="10">
        <v>40</v>
      </c>
      <c r="H4840" s="42">
        <v>0.28</v>
      </c>
      <c r="I4840" t="s" s="42">
        <v>30</v>
      </c>
      <c r="J4840" t="s" s="10">
        <v>24436</v>
      </c>
      <c r="K4840" t="s" s="10">
        <v>24437</v>
      </c>
      <c r="L4840" s="16">
        <f>HYPERLINK("http://www.earnext.com", "www.earnext.com")</f>
      </c>
      <c r="M4840" s="16">
        <f>HYPERLINK("https://my.pitchbook.com?c=515477-98", "View Company Online")</f>
      </c>
    </row>
    <row r="4841">
      <c r="A4841" t="s" s="11">
        <v>24439</v>
      </c>
      <c r="B4841" t="s" s="11">
        <v>24440</v>
      </c>
      <c r="C4841" t="s" s="11">
        <v>46</v>
      </c>
      <c r="D4841" t="s" s="11">
        <v>78</v>
      </c>
      <c r="E4841" t="s" s="11">
        <v>193</v>
      </c>
      <c r="F4841" s="28">
        <v>44609</v>
      </c>
      <c r="G4841" t="s" s="11">
        <v>4267</v>
      </c>
      <c r="H4841" s="43">
        <v>4</v>
      </c>
      <c r="I4841" t="s" s="43">
        <v>30</v>
      </c>
      <c r="J4841" t="s" s="11">
        <v>24441</v>
      </c>
      <c r="K4841" t="s" s="11">
        <v>24442</v>
      </c>
      <c r="L4841" s="17">
        <f>HYPERLINK("http://www.earnipay.com", "www.earnipay.com")</f>
      </c>
      <c r="M4841" s="17">
        <f>HYPERLINK("https://my.pitchbook.com?c=472021-93", "View Company Online")</f>
      </c>
    </row>
    <row r="4842">
      <c r="A4842" t="s" s="10">
        <v>24444</v>
      </c>
      <c r="B4842" t="s" s="10">
        <v>24445</v>
      </c>
      <c r="C4842" t="s" s="10">
        <v>27</v>
      </c>
      <c r="D4842" t="s" s="10">
        <v>28</v>
      </c>
      <c r="E4842" t="s" s="10">
        <v>137</v>
      </c>
      <c r="F4842" s="27">
        <v>44018</v>
      </c>
      <c r="G4842" t="s" s="10">
        <v>4267</v>
      </c>
      <c r="H4842" s="42">
        <v>2.26</v>
      </c>
      <c r="I4842" t="s" s="42">
        <v>30</v>
      </c>
      <c r="J4842" t="s" s="10">
        <v>24446</v>
      </c>
      <c r="K4842" t="s" s="10">
        <v>24447</v>
      </c>
      <c r="L4842" s="16">
        <f>HYPERLINK("http://www.earnnest.com", "www.earnnest.com")</f>
      </c>
      <c r="M4842" s="16">
        <f>HYPERLINK("https://my.pitchbook.com?c=266326-12", "View Company Online")</f>
      </c>
    </row>
    <row r="4843">
      <c r="A4843" t="s" s="11">
        <v>24449</v>
      </c>
      <c r="B4843" t="s" s="11">
        <v>24450</v>
      </c>
      <c r="C4843" t="s" s="11">
        <v>27</v>
      </c>
      <c r="D4843" t="s" s="11">
        <v>122</v>
      </c>
      <c r="E4843" t="s" s="11">
        <v>137</v>
      </c>
      <c r="F4843" s="28">
        <v>43315</v>
      </c>
      <c r="G4843" t="s" s="11">
        <v>146</v>
      </c>
      <c r="H4843" s="43">
        <v>30</v>
      </c>
      <c r="I4843" t="s" s="43">
        <v>30</v>
      </c>
      <c r="J4843" t="s" s="11">
        <v>24451</v>
      </c>
      <c r="K4843" t="s" s="11">
        <v>24452</v>
      </c>
      <c r="L4843" t="s" s="11">
        <v>30</v>
      </c>
      <c r="M4843" s="17">
        <f>HYPERLINK("https://my.pitchbook.com?c=431666-74", "View Company Online")</f>
      </c>
    </row>
    <row r="4844">
      <c r="A4844" t="s" s="10">
        <v>24453</v>
      </c>
      <c r="B4844" t="s" s="10">
        <v>24454</v>
      </c>
      <c r="C4844" t="s" s="10">
        <v>27</v>
      </c>
      <c r="D4844" t="s" s="10">
        <v>122</v>
      </c>
      <c r="E4844" t="s" s="10">
        <v>1800</v>
      </c>
      <c r="F4844" s="27">
        <v>45047</v>
      </c>
      <c r="G4844" t="s" s="10">
        <v>40</v>
      </c>
      <c r="H4844" t="s" s="42">
        <v>30</v>
      </c>
      <c r="I4844" t="s" s="42">
        <v>30</v>
      </c>
      <c r="J4844" t="s" s="10">
        <v>24455</v>
      </c>
      <c r="K4844" t="s" s="10">
        <v>24456</v>
      </c>
      <c r="L4844" s="16">
        <f>HYPERLINK("http://www.easyeuro.eu", "www.easyeuro.eu")</f>
      </c>
      <c r="M4844" s="16">
        <f>HYPERLINK("https://my.pitchbook.com?c=432420-49", "View Company Online")</f>
      </c>
    </row>
    <row r="4845">
      <c r="A4845" t="s" s="11">
        <v>24458</v>
      </c>
      <c r="B4845" t="s" s="11">
        <v>24459</v>
      </c>
      <c r="C4845" t="s" s="11">
        <v>46</v>
      </c>
      <c r="D4845" t="s" s="11">
        <v>78</v>
      </c>
      <c r="E4845" t="s" s="11">
        <v>253</v>
      </c>
      <c r="F4845" s="28">
        <v>44682</v>
      </c>
      <c r="G4845" t="s" s="11">
        <v>146</v>
      </c>
      <c r="H4845" t="s" s="43">
        <v>30</v>
      </c>
      <c r="I4845" t="s" s="43">
        <v>30</v>
      </c>
      <c r="J4845" t="s" s="11">
        <v>24460</v>
      </c>
      <c r="K4845" t="s" s="11">
        <v>24461</v>
      </c>
      <c r="L4845" s="17">
        <f>HYPERLINK("http://www.myeazipay.com", "www.myeazipay.com")</f>
      </c>
      <c r="M4845" s="17">
        <f>HYPERLINK("https://my.pitchbook.com?c=493333-84", "View Company Online")</f>
      </c>
    </row>
    <row r="4846">
      <c r="A4846" t="s" s="10">
        <v>24463</v>
      </c>
      <c r="B4846" t="s" s="10">
        <v>24464</v>
      </c>
      <c r="C4846" t="s" s="10">
        <v>114</v>
      </c>
      <c r="D4846" t="s" s="10">
        <v>1386</v>
      </c>
      <c r="E4846" t="s" s="10">
        <v>373</v>
      </c>
      <c r="F4846" s="27">
        <v>45701</v>
      </c>
      <c r="G4846" t="s" s="10">
        <v>4267</v>
      </c>
      <c r="H4846" s="42">
        <v>2</v>
      </c>
      <c r="I4846" t="s" s="42">
        <v>30</v>
      </c>
      <c r="J4846" t="s" s="10">
        <v>24465</v>
      </c>
      <c r="K4846" t="s" s="10">
        <v>24466</v>
      </c>
      <c r="L4846" s="16">
        <f>HYPERLINK("http://www.ebra.sa", "www.ebra.sa")</f>
      </c>
      <c r="M4846" s="16">
        <f>HYPERLINK("https://my.pitchbook.com?c=749366-47", "View Company Online")</f>
      </c>
    </row>
    <row r="4847">
      <c r="A4847" t="s" s="11">
        <v>24468</v>
      </c>
      <c r="B4847" t="s" s="11">
        <v>24469</v>
      </c>
      <c r="C4847" t="s" s="11">
        <v>144</v>
      </c>
      <c r="D4847" t="s" s="11">
        <v>297</v>
      </c>
      <c r="E4847" t="s" s="11">
        <v>15151</v>
      </c>
      <c r="F4847" t="s" s="28">
        <v>30</v>
      </c>
      <c r="G4847" t="s" s="11">
        <v>146</v>
      </c>
      <c r="H4847" t="s" s="43">
        <v>30</v>
      </c>
      <c r="I4847" t="s" s="43">
        <v>30</v>
      </c>
      <c r="J4847" t="s" s="11">
        <v>24470</v>
      </c>
      <c r="K4847" t="s" s="11">
        <v>24471</v>
      </c>
      <c r="L4847" s="17">
        <f>HYPERLINK("http://www.ecair.eco", "www.ecair.eco")</f>
      </c>
      <c r="M4847" s="17">
        <f>HYPERLINK("https://my.pitchbook.com?c=571798-18", "View Company Online")</f>
      </c>
    </row>
    <row r="4848">
      <c r="A4848" t="s" s="10">
        <v>24473</v>
      </c>
      <c r="B4848" t="s" s="10">
        <v>24474</v>
      </c>
      <c r="C4848" t="s" s="10">
        <v>37</v>
      </c>
      <c r="D4848" t="s" s="10">
        <v>38</v>
      </c>
      <c r="E4848" t="s" s="10">
        <v>270</v>
      </c>
      <c r="F4848" t="s" s="27">
        <v>30</v>
      </c>
      <c r="G4848" t="s" s="10">
        <v>48</v>
      </c>
      <c r="H4848" t="s" s="42">
        <v>30</v>
      </c>
      <c r="I4848" t="s" s="42">
        <v>30</v>
      </c>
      <c r="J4848" t="s" s="10">
        <v>24475</v>
      </c>
      <c r="K4848" t="s" s="10">
        <v>24476</v>
      </c>
      <c r="L4848" s="16">
        <f>HYPERLINK("http://www.eco.com", "www.eco.com")</f>
      </c>
      <c r="M4848" s="16">
        <f>HYPERLINK("https://my.pitchbook.com?c=340802-92", "View Company Online")</f>
      </c>
    </row>
    <row r="4849">
      <c r="A4849" t="s" s="11">
        <v>24478</v>
      </c>
      <c r="B4849" t="s" s="11">
        <v>24479</v>
      </c>
      <c r="C4849" t="s" s="11">
        <v>114</v>
      </c>
      <c r="D4849" t="s" s="11">
        <v>852</v>
      </c>
      <c r="E4849" t="s" s="11">
        <v>137</v>
      </c>
      <c r="F4849" s="28">
        <v>45252</v>
      </c>
      <c r="G4849" t="s" s="11">
        <v>31</v>
      </c>
      <c r="H4849" s="43">
        <v>10</v>
      </c>
      <c r="I4849" t="s" s="43">
        <v>30</v>
      </c>
      <c r="J4849" t="s" s="11">
        <v>24480</v>
      </c>
      <c r="K4849" t="s" s="11">
        <v>24481</v>
      </c>
      <c r="L4849" s="17">
        <f>HYPERLINK("http://www.edpartnersafrica.com", "www.edpartnersafrica.com")</f>
      </c>
      <c r="M4849" s="17">
        <f>HYPERLINK("https://my.pitchbook.com?c=469055-62", "View Company Online")</f>
      </c>
    </row>
    <row r="4850">
      <c r="A4850" t="s" s="10">
        <v>24483</v>
      </c>
      <c r="B4850" t="s" s="10">
        <v>24484</v>
      </c>
      <c r="C4850" t="s" s="10">
        <v>114</v>
      </c>
      <c r="D4850" t="s" s="10">
        <v>136</v>
      </c>
      <c r="E4850" t="s" s="10">
        <v>1266</v>
      </c>
      <c r="F4850" s="27">
        <v>43976</v>
      </c>
      <c r="G4850" t="s" s="10">
        <v>146</v>
      </c>
      <c r="H4850" s="42">
        <v>1.2</v>
      </c>
      <c r="I4850" t="s" s="42">
        <v>30</v>
      </c>
      <c r="J4850" t="s" s="10">
        <v>24485</v>
      </c>
      <c r="K4850" t="s" s="10">
        <v>24486</v>
      </c>
      <c r="L4850" s="16">
        <f>HYPERLINK("http://www.edbridg.com", "www.edbridg.com")</f>
      </c>
      <c r="M4850" s="16">
        <f>HYPERLINK("https://my.pitchbook.com?c=399482-92", "View Company Online")</f>
      </c>
    </row>
    <row r="4851">
      <c r="A4851" t="s" s="11">
        <v>24488</v>
      </c>
      <c r="B4851" t="s" s="11">
        <v>24489</v>
      </c>
      <c r="C4851" t="s" s="11">
        <v>27</v>
      </c>
      <c r="D4851" t="s" s="11">
        <v>28</v>
      </c>
      <c r="E4851" t="s" s="11">
        <v>367</v>
      </c>
      <c r="F4851" s="28">
        <v>45705</v>
      </c>
      <c r="G4851" t="s" s="11">
        <v>146</v>
      </c>
      <c r="H4851" s="43">
        <v>0.52</v>
      </c>
      <c r="I4851" t="s" s="43">
        <v>30</v>
      </c>
      <c r="J4851" t="s" s="11">
        <v>24490</v>
      </c>
      <c r="K4851" t="s" s="11">
        <v>24491</v>
      </c>
      <c r="L4851" s="17">
        <f>HYPERLINK("http://eddapay.com", "eddapay.com")</f>
      </c>
      <c r="M4851" s="17">
        <f>HYPERLINK("https://my.pitchbook.com?c=752614-03", "View Company Online")</f>
      </c>
    </row>
    <row r="4852">
      <c r="A4852" t="s" s="10">
        <v>24493</v>
      </c>
      <c r="B4852" t="s" s="10">
        <v>24494</v>
      </c>
      <c r="C4852" t="s" s="10">
        <v>222</v>
      </c>
      <c r="D4852" t="s" s="10">
        <v>235</v>
      </c>
      <c r="E4852" t="s" s="10">
        <v>414</v>
      </c>
      <c r="F4852" s="27">
        <v>46100</v>
      </c>
      <c r="G4852" t="s" s="10">
        <v>4267</v>
      </c>
      <c r="H4852" t="s" s="42">
        <v>30</v>
      </c>
      <c r="I4852" t="s" s="42">
        <v>30</v>
      </c>
      <c r="J4852" t="s" s="10">
        <v>24495</v>
      </c>
      <c r="K4852" t="s" s="10">
        <v>24496</v>
      </c>
      <c r="L4852" s="16">
        <f>HYPERLINK("http://www.eddifi.ai", "www.eddifi.ai")</f>
      </c>
      <c r="M4852" s="16">
        <f>HYPERLINK("https://my.pitchbook.com?c=601979-32", "View Company Online")</f>
      </c>
    </row>
    <row r="4853">
      <c r="A4853" t="s" s="11">
        <v>24498</v>
      </c>
      <c r="B4853" t="s" s="11">
        <v>24499</v>
      </c>
      <c r="C4853" t="s" s="11">
        <v>27</v>
      </c>
      <c r="D4853" t="s" s="11">
        <v>28</v>
      </c>
      <c r="E4853" t="s" s="11">
        <v>270</v>
      </c>
      <c r="F4853" s="28">
        <v>45616</v>
      </c>
      <c r="G4853" t="s" s="11">
        <v>146</v>
      </c>
      <c r="H4853" s="43">
        <v>5</v>
      </c>
      <c r="I4853" t="s" s="43">
        <v>30</v>
      </c>
      <c r="J4853" t="s" s="11">
        <v>24500</v>
      </c>
      <c r="K4853" t="s" s="11">
        <v>24501</v>
      </c>
      <c r="L4853" s="17">
        <f>HYPERLINK("http://www.edfapay.com", "www.edfapay.com")</f>
      </c>
      <c r="M4853" s="17">
        <f>HYPERLINK("https://my.pitchbook.com?c=492597-28", "View Company Online")</f>
      </c>
    </row>
    <row r="4854">
      <c r="A4854" t="s" s="10">
        <v>24503</v>
      </c>
      <c r="B4854" t="s" s="10">
        <v>24504</v>
      </c>
      <c r="C4854" t="s" s="10">
        <v>37</v>
      </c>
      <c r="D4854" t="s" s="10">
        <v>38</v>
      </c>
      <c r="E4854" t="s" s="10">
        <v>137</v>
      </c>
      <c r="F4854" s="27">
        <v>43647</v>
      </c>
      <c r="G4854" t="s" s="10">
        <v>146</v>
      </c>
      <c r="H4854" s="42">
        <v>5.06</v>
      </c>
      <c r="I4854" t="s" s="42">
        <v>30</v>
      </c>
      <c r="J4854" t="s" s="10">
        <v>24505</v>
      </c>
      <c r="K4854" t="s" s="10">
        <v>24506</v>
      </c>
      <c r="L4854" s="16">
        <f>HYPERLINK("http://www.edfinmfb.com", "www.edfinmfb.com")</f>
      </c>
      <c r="M4854" s="16">
        <f>HYPERLINK("https://my.pitchbook.com?c=459737-56", "View Company Online")</f>
      </c>
    </row>
    <row r="4855">
      <c r="A4855" t="s" s="11">
        <v>24508</v>
      </c>
      <c r="B4855" t="s" s="11">
        <v>24509</v>
      </c>
      <c r="C4855" t="s" s="11">
        <v>27</v>
      </c>
      <c r="D4855" t="s" s="11">
        <v>28</v>
      </c>
      <c r="E4855" t="s" s="11">
        <v>1038</v>
      </c>
      <c r="F4855" s="28">
        <v>44686</v>
      </c>
      <c r="G4855" t="s" s="11">
        <v>4267</v>
      </c>
      <c r="H4855" s="43">
        <v>2.4</v>
      </c>
      <c r="I4855" t="s" s="43">
        <v>30</v>
      </c>
      <c r="J4855" t="s" s="11">
        <v>24510</v>
      </c>
      <c r="K4855" t="s" s="11">
        <v>24511</v>
      </c>
      <c r="L4855" s="17">
        <f>HYPERLINK("http://www.tryedge.io", "www.tryedge.io")</f>
      </c>
      <c r="M4855" s="17">
        <f>HYPERLINK("https://my.pitchbook.com?c=494010-55", "View Company Online")</f>
      </c>
    </row>
    <row r="4856">
      <c r="A4856" t="s" s="10">
        <v>24513</v>
      </c>
      <c r="B4856" t="s" s="10">
        <v>24514</v>
      </c>
      <c r="C4856" t="s" s="10">
        <v>37</v>
      </c>
      <c r="D4856" t="s" s="10">
        <v>304</v>
      </c>
      <c r="E4856" t="s" s="10">
        <v>367</v>
      </c>
      <c r="F4856" s="27">
        <v>45994</v>
      </c>
      <c r="G4856" t="s" s="10">
        <v>607</v>
      </c>
      <c r="H4856" t="s" s="42">
        <v>30</v>
      </c>
      <c r="I4856" t="s" s="42">
        <v>30</v>
      </c>
      <c r="J4856" t="s" s="10">
        <v>24515</v>
      </c>
      <c r="K4856" t="s" s="10">
        <v>24516</v>
      </c>
      <c r="L4856" s="16">
        <f>HYPERLINK("http://www.edufi.tech", "www.edufi.tech")</f>
      </c>
      <c r="M4856" s="16">
        <f>HYPERLINK("https://my.pitchbook.com?c=539735-68", "View Company Online")</f>
      </c>
    </row>
    <row r="4857">
      <c r="A4857" t="s" s="11">
        <v>24518</v>
      </c>
      <c r="B4857" t="s" s="11">
        <v>24519</v>
      </c>
      <c r="C4857" t="s" s="11">
        <v>114</v>
      </c>
      <c r="D4857" t="s" s="11">
        <v>852</v>
      </c>
      <c r="E4857" t="s" s="11">
        <v>17819</v>
      </c>
      <c r="F4857" s="28">
        <v>43255</v>
      </c>
      <c r="G4857" t="s" s="11">
        <v>40</v>
      </c>
      <c r="H4857" s="43">
        <v>2.73</v>
      </c>
      <c r="I4857" t="s" s="43">
        <v>30</v>
      </c>
      <c r="J4857" t="s" s="11">
        <v>24520</v>
      </c>
      <c r="K4857" t="s" s="11">
        <v>24521</v>
      </c>
      <c r="L4857" s="17">
        <f>HYPERLINK("http://www.efactornetwork.com", "www.efactornetwork.com")</f>
      </c>
      <c r="M4857" s="17">
        <f>HYPERLINK("https://my.pitchbook.com?c=229576-33", "View Company Online")</f>
      </c>
    </row>
    <row r="4858">
      <c r="A4858" t="s" s="10">
        <v>24523</v>
      </c>
      <c r="B4858" t="s" s="10">
        <v>24524</v>
      </c>
      <c r="C4858" t="s" s="10">
        <v>164</v>
      </c>
      <c r="D4858" t="s" s="10">
        <v>206</v>
      </c>
      <c r="E4858" t="s" s="10">
        <v>9889</v>
      </c>
      <c r="F4858" s="27">
        <v>46161</v>
      </c>
      <c r="G4858" t="s" s="10">
        <v>40</v>
      </c>
      <c r="H4858" s="42">
        <v>10</v>
      </c>
      <c r="I4858" t="s" s="42">
        <v>30</v>
      </c>
      <c r="J4858" t="s" s="10">
        <v>24525</v>
      </c>
      <c r="K4858" t="s" s="10">
        <v>24526</v>
      </c>
      <c r="L4858" s="16">
        <f>HYPERLINK("http://www.witheisen.com", "www.witheisen.com")</f>
      </c>
      <c r="M4858" s="16">
        <f>HYPERLINK("https://my.pitchbook.com?c=506939-50", "View Company Online")</f>
      </c>
    </row>
    <row r="4859">
      <c r="A4859" t="s" s="11">
        <v>24528</v>
      </c>
      <c r="B4859" t="s" s="11">
        <v>24529</v>
      </c>
      <c r="C4859" t="s" s="11">
        <v>46</v>
      </c>
      <c r="D4859" t="s" s="11">
        <v>78</v>
      </c>
      <c r="E4859" t="s" s="11">
        <v>13370</v>
      </c>
      <c r="F4859" s="28">
        <v>46056</v>
      </c>
      <c r="G4859" t="s" s="11">
        <v>4267</v>
      </c>
      <c r="H4859" s="43">
        <v>4.2</v>
      </c>
      <c r="I4859" t="s" s="43">
        <v>30</v>
      </c>
      <c r="J4859" t="s" s="11">
        <v>24530</v>
      </c>
      <c r="K4859" t="s" s="11">
        <v>24531</v>
      </c>
      <c r="L4859" s="17">
        <f>HYPERLINK("http://ekko.vn", "ekko.vn")</f>
      </c>
      <c r="M4859" s="17">
        <f>HYPERLINK("https://my.pitchbook.com?c=769752-10", "View Company Online")</f>
      </c>
    </row>
    <row r="4860">
      <c r="A4860" t="s" s="10">
        <v>24533</v>
      </c>
      <c r="B4860" t="s" s="10">
        <v>24534</v>
      </c>
      <c r="C4860" t="s" s="10">
        <v>27</v>
      </c>
      <c r="D4860" t="s" s="10">
        <v>70</v>
      </c>
      <c r="E4860" t="s" s="10">
        <v>1207</v>
      </c>
      <c r="F4860" s="27">
        <v>44431</v>
      </c>
      <c r="G4860" t="s" s="10">
        <v>40</v>
      </c>
      <c r="H4860" s="42">
        <v>154.2</v>
      </c>
      <c r="I4860" t="s" s="42">
        <v>30</v>
      </c>
      <c r="J4860" t="s" s="10">
        <v>24535</v>
      </c>
      <c r="K4860" t="s" s="10">
        <v>24536</v>
      </c>
      <c r="L4860" s="16">
        <f>HYPERLINK("http://www.ekuaibao.com", "www.ekuaibao.com")</f>
      </c>
      <c r="M4860" s="16">
        <f>HYPERLINK("https://my.pitchbook.com?c=178390-09", "View Company Online")</f>
      </c>
    </row>
    <row r="4861">
      <c r="A4861" t="s" s="11">
        <v>24538</v>
      </c>
      <c r="B4861" t="s" s="11">
        <v>24539</v>
      </c>
      <c r="C4861" t="s" s="11">
        <v>164</v>
      </c>
      <c r="D4861" t="s" s="11">
        <v>165</v>
      </c>
      <c r="E4861" t="s" s="11">
        <v>414</v>
      </c>
      <c r="F4861" s="28">
        <v>45931</v>
      </c>
      <c r="G4861" t="s" s="11">
        <v>146</v>
      </c>
      <c r="H4861" t="s" s="43">
        <v>30</v>
      </c>
      <c r="I4861" t="s" s="43">
        <v>30</v>
      </c>
      <c r="J4861" t="s" s="11">
        <v>24540</v>
      </c>
      <c r="K4861" t="s" s="11">
        <v>24541</v>
      </c>
      <c r="L4861" s="17">
        <f>HYPERLINK("http://www.useelevate.dev", "www.useelevate.dev")</f>
      </c>
      <c r="M4861" s="17">
        <f>HYPERLINK("https://my.pitchbook.com?c=597140-02", "View Company Online")</f>
      </c>
    </row>
    <row r="4862">
      <c r="A4862" t="s" s="10">
        <v>24543</v>
      </c>
      <c r="B4862" t="s" s="10">
        <v>24544</v>
      </c>
      <c r="C4862" t="s" s="10">
        <v>164</v>
      </c>
      <c r="D4862" t="s" s="10">
        <v>165</v>
      </c>
      <c r="E4862" t="s" s="10">
        <v>270</v>
      </c>
      <c r="F4862" s="27">
        <v>45449</v>
      </c>
      <c r="G4862" t="s" s="10">
        <v>146</v>
      </c>
      <c r="H4862" s="42">
        <v>5</v>
      </c>
      <c r="I4862" t="s" s="42">
        <v>30</v>
      </c>
      <c r="J4862" t="s" s="10">
        <v>24545</v>
      </c>
      <c r="K4862" t="s" s="10">
        <v>24546</v>
      </c>
      <c r="L4862" s="16">
        <f>HYPERLINK("http://www.elevatepay.co", "www.elevatepay.co")</f>
      </c>
      <c r="M4862" s="16">
        <f>HYPERLINK("https://my.pitchbook.com?c=491524-84", "View Company Online")</f>
      </c>
    </row>
    <row r="4863">
      <c r="A4863" t="s" s="11">
        <v>24548</v>
      </c>
      <c r="B4863" t="s" s="11">
        <v>24549</v>
      </c>
      <c r="C4863" t="s" s="11">
        <v>60</v>
      </c>
      <c r="D4863" t="s" s="11">
        <v>432</v>
      </c>
      <c r="E4863" t="s" s="11">
        <v>137</v>
      </c>
      <c r="F4863" s="28">
        <v>45182</v>
      </c>
      <c r="G4863" t="s" s="11">
        <v>146</v>
      </c>
      <c r="H4863" t="s" s="43">
        <v>30</v>
      </c>
      <c r="I4863" t="s" s="43">
        <v>30</v>
      </c>
      <c r="J4863" t="s" s="11">
        <v>24550</v>
      </c>
      <c r="K4863" t="s" s="11">
        <v>24551</v>
      </c>
      <c r="L4863" s="17">
        <f>HYPERLINK("http://www.elphinstone.us", "www.elphinstone.us")</f>
      </c>
      <c r="M4863" s="17">
        <f>HYPERLINK("https://my.pitchbook.com?c=453493-63", "View Company Online")</f>
      </c>
    </row>
    <row r="4864">
      <c r="A4864" t="s" s="10">
        <v>24553</v>
      </c>
      <c r="B4864" t="s" s="10">
        <v>24554</v>
      </c>
      <c r="C4864" t="s" s="10">
        <v>60</v>
      </c>
      <c r="D4864" t="s" s="10">
        <v>192</v>
      </c>
      <c r="E4864" t="s" s="10">
        <v>1266</v>
      </c>
      <c r="F4864" s="27">
        <v>45688</v>
      </c>
      <c r="G4864" t="s" s="10">
        <v>40</v>
      </c>
      <c r="H4864" t="s" s="42">
        <v>30</v>
      </c>
      <c r="I4864" t="s" s="42">
        <v>30</v>
      </c>
      <c r="J4864" t="s" s="10">
        <v>24555</v>
      </c>
      <c r="K4864" t="s" s="10">
        <v>24556</v>
      </c>
      <c r="L4864" s="16">
        <f>HYPERLINK("http://www.scout-financial.com", "www.scout-financial.com")</f>
      </c>
      <c r="M4864" s="16">
        <f>HYPERLINK("https://my.pitchbook.com?c=464346-55", "View Company Online")</f>
      </c>
    </row>
    <row r="4865">
      <c r="A4865" t="s" s="11">
        <v>24558</v>
      </c>
      <c r="B4865" t="s" s="11">
        <v>24559</v>
      </c>
      <c r="C4865" t="s" s="11">
        <v>144</v>
      </c>
      <c r="D4865" t="s" s="11">
        <v>38</v>
      </c>
      <c r="E4865" t="s" s="11">
        <v>17309</v>
      </c>
      <c r="F4865" s="28">
        <v>46125</v>
      </c>
      <c r="G4865" t="s" s="11">
        <v>607</v>
      </c>
      <c r="H4865" t="s" s="43">
        <v>30</v>
      </c>
      <c r="I4865" t="s" s="43">
        <v>30</v>
      </c>
      <c r="J4865" t="s" s="11">
        <v>24560</v>
      </c>
      <c r="K4865" t="s" s="11">
        <v>24561</v>
      </c>
      <c r="L4865" s="17">
        <f>HYPERLINK("http://www.emaishapay.com", "www.emaishapay.com")</f>
      </c>
      <c r="M4865" s="17">
        <f>HYPERLINK("https://my.pitchbook.com?c=560343-97", "View Company Online")</f>
      </c>
    </row>
    <row r="4866">
      <c r="A4866" t="s" s="10">
        <v>24563</v>
      </c>
      <c r="B4866" t="s" s="10">
        <v>24564</v>
      </c>
      <c r="C4866" t="s" s="10">
        <v>114</v>
      </c>
      <c r="D4866" t="s" s="10">
        <v>870</v>
      </c>
      <c r="E4866" t="s" s="10">
        <v>24565</v>
      </c>
      <c r="F4866" t="s" s="27">
        <v>30</v>
      </c>
      <c r="G4866" t="s" s="10">
        <v>607</v>
      </c>
      <c r="H4866" t="s" s="42">
        <v>30</v>
      </c>
      <c r="I4866" t="s" s="42">
        <v>30</v>
      </c>
      <c r="J4866" t="s" s="10">
        <v>24566</v>
      </c>
      <c r="K4866" t="s" s="10">
        <v>24567</v>
      </c>
      <c r="L4866" s="16">
        <f>HYPERLINK("http://www.emata.io", "www.emata.io")</f>
      </c>
      <c r="M4866" s="16">
        <f>HYPERLINK("https://my.pitchbook.com?c=499926-79", "View Company Online")</f>
      </c>
    </row>
    <row r="4867">
      <c r="A4867" t="s" s="11">
        <v>24569</v>
      </c>
      <c r="B4867" t="s" s="11">
        <v>24570</v>
      </c>
      <c r="C4867" t="s" s="11">
        <v>164</v>
      </c>
      <c r="D4867" t="s" s="11">
        <v>165</v>
      </c>
      <c r="E4867" t="s" s="11">
        <v>373</v>
      </c>
      <c r="F4867" s="28">
        <v>46042</v>
      </c>
      <c r="G4867" t="s" s="11">
        <v>146</v>
      </c>
      <c r="H4867" s="43">
        <v>17.54</v>
      </c>
      <c r="I4867" t="s" s="43">
        <v>30</v>
      </c>
      <c r="J4867" t="s" s="11">
        <v>24571</v>
      </c>
      <c r="K4867" t="s" s="11">
        <v>24572</v>
      </c>
      <c r="L4867" s="17">
        <f>HYPERLINK("http://www.embankment.com", "www.embankment.com")</f>
      </c>
      <c r="M4867" s="17">
        <f>HYPERLINK("https://my.pitchbook.com?c=540747-91", "View Company Online")</f>
      </c>
    </row>
    <row r="4868">
      <c r="A4868" t="s" s="10">
        <v>24574</v>
      </c>
      <c r="B4868" t="s" s="10">
        <v>24575</v>
      </c>
      <c r="C4868" t="s" s="10">
        <v>27</v>
      </c>
      <c r="D4868" t="s" s="10">
        <v>70</v>
      </c>
      <c r="E4868" t="s" s="10">
        <v>629</v>
      </c>
      <c r="F4868" s="27">
        <v>46175</v>
      </c>
      <c r="G4868" t="s" s="10">
        <v>391</v>
      </c>
      <c r="H4868" t="s" s="42">
        <v>30</v>
      </c>
      <c r="I4868" t="s" s="42">
        <v>30</v>
      </c>
      <c r="J4868" t="s" s="10">
        <v>24576</v>
      </c>
      <c r="K4868" t="s" s="10">
        <v>24577</v>
      </c>
      <c r="L4868" s="16">
        <f>HYPERLINK("http://www.embed.co", "www.embed.co")</f>
      </c>
      <c r="M4868" s="16">
        <f>HYPERLINK("https://my.pitchbook.com?c=497939-77", "View Company Online")</f>
      </c>
    </row>
    <row r="4869">
      <c r="A4869" t="s" s="11">
        <v>24579</v>
      </c>
      <c r="B4869" t="s" s="11">
        <v>24580</v>
      </c>
      <c r="C4869" t="s" s="11">
        <v>46</v>
      </c>
      <c r="D4869" t="s" s="11">
        <v>397</v>
      </c>
      <c r="E4869" t="s" s="11">
        <v>373</v>
      </c>
      <c r="F4869" s="28">
        <v>45860</v>
      </c>
      <c r="G4869" t="s" s="11">
        <v>4267</v>
      </c>
      <c r="H4869" s="43">
        <v>2</v>
      </c>
      <c r="I4869" t="s" s="43">
        <v>30</v>
      </c>
      <c r="J4869" t="s" s="11">
        <v>24581</v>
      </c>
      <c r="K4869" t="s" s="11">
        <v>24582</v>
      </c>
      <c r="L4869" s="17">
        <f>HYPERLINK("http://www.emblematic.ai", "www.emblematic.ai")</f>
      </c>
      <c r="M4869" s="17">
        <f>HYPERLINK("https://my.pitchbook.com?c=844276-78", "View Company Online")</f>
      </c>
    </row>
    <row r="4870">
      <c r="A4870" t="s" s="10">
        <v>24584</v>
      </c>
      <c r="B4870" t="s" s="10">
        <v>24585</v>
      </c>
      <c r="C4870" t="s" s="10">
        <v>114</v>
      </c>
      <c r="D4870" t="s" s="10">
        <v>136</v>
      </c>
      <c r="E4870" t="s" s="10">
        <v>137</v>
      </c>
      <c r="F4870" s="27">
        <v>45397</v>
      </c>
      <c r="G4870" t="s" s="10">
        <v>146</v>
      </c>
      <c r="H4870" s="42">
        <v>7.95</v>
      </c>
      <c r="I4870" t="s" s="42">
        <v>30</v>
      </c>
      <c r="J4870" t="s" s="10">
        <v>24586</v>
      </c>
      <c r="K4870" t="s" s="10">
        <v>22376</v>
      </c>
      <c r="L4870" s="16">
        <f>HYPERLINK("http://www.emprex.com.br", "www.emprex.com.br")</f>
      </c>
      <c r="M4870" s="16">
        <f>HYPERLINK("https://my.pitchbook.com?c=503357-95", "View Company Online")</f>
      </c>
    </row>
    <row r="4871">
      <c r="A4871" t="s" s="11">
        <v>24588</v>
      </c>
      <c r="B4871" t="s" s="11">
        <v>24589</v>
      </c>
      <c r="C4871" t="s" s="11">
        <v>60</v>
      </c>
      <c r="D4871" t="s" s="11">
        <v>432</v>
      </c>
      <c r="E4871" t="s" s="11">
        <v>137</v>
      </c>
      <c r="F4871" t="s" s="28">
        <v>30</v>
      </c>
      <c r="G4871" t="s" s="11">
        <v>146</v>
      </c>
      <c r="H4871" t="s" s="43">
        <v>30</v>
      </c>
      <c r="I4871" t="s" s="43">
        <v>30</v>
      </c>
      <c r="J4871" t="s" s="11">
        <v>24590</v>
      </c>
      <c r="K4871" t="s" s="11">
        <v>24591</v>
      </c>
      <c r="L4871" s="17">
        <f>HYPERLINK("http://www.emrgo.com", "www.emrgo.com")</f>
      </c>
      <c r="M4871" s="17">
        <f>HYPERLINK("https://my.pitchbook.com?c=434749-60", "View Company Online")</f>
      </c>
    </row>
    <row r="4872">
      <c r="A4872" t="s" s="10">
        <v>24593</v>
      </c>
      <c r="B4872" t="s" s="10">
        <v>24594</v>
      </c>
      <c r="C4872" t="s" s="10">
        <v>27</v>
      </c>
      <c r="D4872" t="s" s="10">
        <v>28</v>
      </c>
      <c r="E4872" t="s" s="10">
        <v>24595</v>
      </c>
      <c r="F4872" s="27">
        <v>44705</v>
      </c>
      <c r="G4872" t="s" s="10">
        <v>4267</v>
      </c>
      <c r="H4872" s="42">
        <v>1.2</v>
      </c>
      <c r="I4872" t="s" s="42">
        <v>30</v>
      </c>
      <c r="J4872" t="s" s="10">
        <v>24596</v>
      </c>
      <c r="K4872" t="s" s="10">
        <v>24597</v>
      </c>
      <c r="L4872" s="16">
        <f>HYPERLINK("http://enabill.com", "enabill.com")</f>
      </c>
      <c r="M4872" s="16">
        <f>HYPERLINK("https://my.pitchbook.com?c=497276-74", "View Company Online")</f>
      </c>
    </row>
    <row r="4873">
      <c r="A4873" t="s" s="11">
        <v>24599</v>
      </c>
      <c r="B4873" t="s" s="11">
        <v>24600</v>
      </c>
      <c r="C4873" t="s" s="11">
        <v>144</v>
      </c>
      <c r="D4873" t="s" s="11">
        <v>38</v>
      </c>
      <c r="E4873" t="s" s="11">
        <v>29</v>
      </c>
      <c r="F4873" s="28">
        <v>45476</v>
      </c>
      <c r="G4873" t="s" s="11">
        <v>607</v>
      </c>
      <c r="H4873" t="s" s="43">
        <v>30</v>
      </c>
      <c r="I4873" t="s" s="43">
        <v>30</v>
      </c>
      <c r="J4873" t="s" s="11">
        <v>24601</v>
      </c>
      <c r="K4873" t="s" s="11">
        <v>24602</v>
      </c>
      <c r="L4873" s="17">
        <f>HYPERLINK("http://www.enablenow.nl", "www.enablenow.nl")</f>
      </c>
      <c r="M4873" s="17">
        <f>HYPERLINK("https://my.pitchbook.com?c=512774-74", "View Company Online")</f>
      </c>
    </row>
    <row r="4874">
      <c r="A4874" t="s" s="10">
        <v>24604</v>
      </c>
      <c r="B4874" t="s" s="10">
        <v>24605</v>
      </c>
      <c r="C4874" t="s" s="10">
        <v>46</v>
      </c>
      <c r="D4874" t="s" s="10">
        <v>47</v>
      </c>
      <c r="E4874" t="s" s="10">
        <v>1652</v>
      </c>
      <c r="F4874" s="27">
        <v>46113</v>
      </c>
      <c r="G4874" t="s" s="10">
        <v>4267</v>
      </c>
      <c r="H4874" t="s" s="42">
        <v>30</v>
      </c>
      <c r="I4874" t="s" s="42">
        <v>30</v>
      </c>
      <c r="J4874" t="s" s="10">
        <v>24606</v>
      </c>
      <c r="K4874" t="s" s="10">
        <v>24607</v>
      </c>
      <c r="L4874" s="16">
        <f>HYPERLINK("http://www.endclose.com", "www.endclose.com")</f>
      </c>
      <c r="M4874" s="16">
        <f>HYPERLINK("https://my.pitchbook.com?c=1360886-41", "View Company Online")</f>
      </c>
    </row>
    <row r="4875">
      <c r="A4875" t="s" s="11">
        <v>24609</v>
      </c>
      <c r="B4875" t="s" s="11">
        <v>24610</v>
      </c>
      <c r="C4875" t="s" s="11">
        <v>27</v>
      </c>
      <c r="D4875" t="s" s="11">
        <v>28</v>
      </c>
      <c r="E4875" t="s" s="11">
        <v>24611</v>
      </c>
      <c r="F4875" s="28">
        <v>46080</v>
      </c>
      <c r="G4875" t="s" s="11">
        <v>146</v>
      </c>
      <c r="H4875" t="s" s="43">
        <v>30</v>
      </c>
      <c r="I4875" t="s" s="43">
        <v>30</v>
      </c>
      <c r="J4875" t="s" s="11">
        <v>24612</v>
      </c>
      <c r="K4875" t="s" s="11">
        <v>24613</v>
      </c>
      <c r="L4875" s="17">
        <f>HYPERLINK("http://www.endeavorflow.com", "www.endeavorflow.com")</f>
      </c>
      <c r="M4875" s="17">
        <f>HYPERLINK("https://my.pitchbook.com?c=756075-97", "View Company Online")</f>
      </c>
    </row>
    <row r="4876">
      <c r="A4876" t="s" s="10">
        <v>24615</v>
      </c>
      <c r="B4876" t="s" s="10">
        <v>24616</v>
      </c>
      <c r="C4876" t="s" s="10">
        <v>27</v>
      </c>
      <c r="D4876" t="s" s="10">
        <v>70</v>
      </c>
      <c r="E4876" t="s" s="10">
        <v>887</v>
      </c>
      <c r="F4876" s="27">
        <v>46066</v>
      </c>
      <c r="G4876" t="s" s="10">
        <v>4267</v>
      </c>
      <c r="H4876" s="42">
        <v>1.5</v>
      </c>
      <c r="I4876" t="s" s="42">
        <v>30</v>
      </c>
      <c r="J4876" t="s" s="10">
        <v>24617</v>
      </c>
      <c r="K4876" t="s" s="10">
        <v>24618</v>
      </c>
      <c r="L4876" s="16">
        <f>HYPERLINK("http://www.endl.io", "www.endl.io")</f>
      </c>
      <c r="M4876" s="16">
        <f>HYPERLINK("https://my.pitchbook.com?c=866469-70", "View Company Online")</f>
      </c>
    </row>
    <row r="4877">
      <c r="A4877" t="s" s="11">
        <v>24620</v>
      </c>
      <c r="B4877" t="s" s="11">
        <v>24621</v>
      </c>
      <c r="C4877" t="s" s="11">
        <v>60</v>
      </c>
      <c r="D4877" t="s" s="11">
        <v>727</v>
      </c>
      <c r="E4877" t="s" s="11">
        <v>130</v>
      </c>
      <c r="F4877" s="28">
        <v>44488</v>
      </c>
      <c r="G4877" t="s" s="11">
        <v>146</v>
      </c>
      <c r="H4877" s="43">
        <v>150</v>
      </c>
      <c r="I4877" t="s" s="43">
        <v>30</v>
      </c>
      <c r="J4877" t="s" s="11">
        <v>24622</v>
      </c>
      <c r="K4877" t="s" s="11">
        <v>24623</v>
      </c>
      <c r="L4877" s="17">
        <f>HYPERLINK("http://www.endpoint.com", "www.endpoint.com")</f>
      </c>
      <c r="M4877" s="17">
        <f>HYPERLINK("https://my.pitchbook.com?c=230625-91", "View Company Online")</f>
      </c>
    </row>
    <row r="4878">
      <c r="A4878" t="s" s="10">
        <v>24625</v>
      </c>
      <c r="B4878" t="s" s="10">
        <v>24626</v>
      </c>
      <c r="C4878" t="s" s="10">
        <v>164</v>
      </c>
      <c r="D4878" t="s" s="10">
        <v>165</v>
      </c>
      <c r="E4878" t="s" s="10">
        <v>414</v>
      </c>
      <c r="F4878" s="27">
        <v>46057</v>
      </c>
      <c r="G4878" t="s" s="10">
        <v>146</v>
      </c>
      <c r="H4878" s="42">
        <v>15</v>
      </c>
      <c r="I4878" t="s" s="42">
        <v>30</v>
      </c>
      <c r="J4878" t="s" s="10">
        <v>24627</v>
      </c>
      <c r="K4878" t="s" s="10">
        <v>24628</v>
      </c>
      <c r="L4878" s="16">
        <f>HYPERLINK("http://www.enfi.ai", "www.enfi.ai")</f>
      </c>
      <c r="M4878" s="16">
        <f>HYPERLINK("https://my.pitchbook.com?c=601899-13", "View Company Online")</f>
      </c>
    </row>
    <row r="4879">
      <c r="A4879" t="s" s="11">
        <v>24630</v>
      </c>
      <c r="B4879" t="s" s="11">
        <v>24631</v>
      </c>
      <c r="C4879" t="s" s="11">
        <v>172</v>
      </c>
      <c r="D4879" t="s" s="11">
        <v>338</v>
      </c>
      <c r="E4879" t="s" s="11">
        <v>414</v>
      </c>
      <c r="F4879" s="28">
        <v>43831</v>
      </c>
      <c r="G4879" t="s" s="11">
        <v>4267</v>
      </c>
      <c r="H4879" s="43">
        <v>0.05</v>
      </c>
      <c r="I4879" t="s" s="43">
        <v>30</v>
      </c>
      <c r="J4879" t="s" s="11">
        <v>24632</v>
      </c>
      <c r="K4879" t="s" s="11">
        <v>30</v>
      </c>
      <c r="L4879" t="s" s="11">
        <v>30</v>
      </c>
      <c r="M4879" s="17">
        <f>HYPERLINK("https://my.pitchbook.com?c=490219-12", "View Company Online")</f>
      </c>
    </row>
    <row r="4880">
      <c r="A4880" t="s" s="10">
        <v>24633</v>
      </c>
      <c r="B4880" t="s" s="10">
        <v>24634</v>
      </c>
      <c r="C4880" t="s" s="10">
        <v>37</v>
      </c>
      <c r="D4880" t="s" s="10">
        <v>304</v>
      </c>
      <c r="E4880" t="s" s="10">
        <v>137</v>
      </c>
      <c r="F4880" s="27">
        <v>45407</v>
      </c>
      <c r="G4880" t="s" s="10">
        <v>146</v>
      </c>
      <c r="H4880" s="42">
        <v>6.92</v>
      </c>
      <c r="I4880" t="s" s="42">
        <v>30</v>
      </c>
      <c r="J4880" t="s" s="10">
        <v>24635</v>
      </c>
      <c r="K4880" t="s" s="10">
        <v>30</v>
      </c>
      <c r="L4880" s="16">
        <f>HYPERLINK("http://www.alixxhf.com", "www.alixxhf.com")</f>
      </c>
      <c r="M4880" s="16">
        <f>HYPERLINK("https://my.pitchbook.com?c=540834-04", "View Company Online")</f>
      </c>
    </row>
    <row r="4881">
      <c r="A4881" t="s" s="11">
        <v>24637</v>
      </c>
      <c r="B4881" t="s" s="11">
        <v>24638</v>
      </c>
      <c r="C4881" t="s" s="11">
        <v>164</v>
      </c>
      <c r="D4881" t="s" s="11">
        <v>206</v>
      </c>
      <c r="E4881" t="s" s="11">
        <v>253</v>
      </c>
      <c r="F4881" s="28">
        <v>44136</v>
      </c>
      <c r="G4881" t="s" s="11">
        <v>4267</v>
      </c>
      <c r="H4881" s="43">
        <v>0.29</v>
      </c>
      <c r="I4881" t="s" s="43">
        <v>30</v>
      </c>
      <c r="J4881" t="s" s="11">
        <v>24639</v>
      </c>
      <c r="K4881" t="s" s="11">
        <v>30</v>
      </c>
      <c r="L4881" s="17">
        <f>HYPERLINK("http://www.enrollsy.com", "www.enrollsy.com")</f>
      </c>
      <c r="M4881" s="17">
        <f>HYPERLINK("https://my.pitchbook.com?c=503000-56", "View Company Online")</f>
      </c>
    </row>
    <row r="4882">
      <c r="A4882" t="s" s="10">
        <v>24641</v>
      </c>
      <c r="B4882" t="s" s="10">
        <v>24642</v>
      </c>
      <c r="C4882" t="s" s="10">
        <v>128</v>
      </c>
      <c r="D4882" t="s" s="10">
        <v>276</v>
      </c>
      <c r="E4882" t="s" s="10">
        <v>345</v>
      </c>
      <c r="F4882" t="s" s="27">
        <v>30</v>
      </c>
      <c r="G4882" t="s" s="10">
        <v>48</v>
      </c>
      <c r="H4882" t="s" s="42">
        <v>30</v>
      </c>
      <c r="I4882" t="s" s="42">
        <v>30</v>
      </c>
      <c r="J4882" t="s" s="10">
        <v>24643</v>
      </c>
      <c r="K4882" t="s" s="10">
        <v>30</v>
      </c>
      <c r="L4882" s="16">
        <f>HYPERLINK("http://www.joinenso.com", "www.joinenso.com")</f>
      </c>
      <c r="M4882" s="16">
        <f>HYPERLINK("https://my.pitchbook.com?c=470077-30", "View Company Online")</f>
      </c>
    </row>
    <row r="4883">
      <c r="A4883" t="s" s="11">
        <v>24645</v>
      </c>
      <c r="B4883" t="s" s="11">
        <v>24646</v>
      </c>
      <c r="C4883" t="s" s="11">
        <v>27</v>
      </c>
      <c r="D4883" t="s" s="11">
        <v>28</v>
      </c>
      <c r="E4883" t="s" s="11">
        <v>1054</v>
      </c>
      <c r="F4883" s="28">
        <v>44987</v>
      </c>
      <c r="G4883" t="s" s="11">
        <v>146</v>
      </c>
      <c r="H4883" s="43">
        <v>3</v>
      </c>
      <c r="I4883" t="s" s="43">
        <v>30</v>
      </c>
      <c r="J4883" t="s" s="11">
        <v>24647</v>
      </c>
      <c r="K4883" t="s" s="11">
        <v>24648</v>
      </c>
      <c r="L4883" s="17">
        <f>HYPERLINK("http://www.enstack.com", "www.enstack.com")</f>
      </c>
      <c r="M4883" s="17">
        <f>HYPERLINK("https://my.pitchbook.com?c=509111-38", "View Company Online")</f>
      </c>
    </row>
    <row r="4884">
      <c r="A4884" t="s" s="10">
        <v>24650</v>
      </c>
      <c r="B4884" t="s" s="10">
        <v>24651</v>
      </c>
      <c r="C4884" t="s" s="10">
        <v>172</v>
      </c>
      <c r="D4884" t="s" s="10">
        <v>1454</v>
      </c>
      <c r="E4884" t="s" s="10">
        <v>24652</v>
      </c>
      <c r="F4884" s="27">
        <v>43363</v>
      </c>
      <c r="G4884" t="s" s="10">
        <v>40</v>
      </c>
      <c r="H4884" s="42">
        <v>0.54</v>
      </c>
      <c r="I4884" t="s" s="42">
        <v>30</v>
      </c>
      <c r="J4884" t="s" s="10">
        <v>24653</v>
      </c>
      <c r="K4884" t="s" s="10">
        <v>30</v>
      </c>
      <c r="L4884" s="16">
        <f>HYPERLINK("http://www.enterpriserc.com", "www.enterpriserc.com")</f>
      </c>
      <c r="M4884" s="16">
        <f>HYPERLINK("https://my.pitchbook.com?c=57886-39", "View Company Online")</f>
      </c>
    </row>
    <row r="4885">
      <c r="A4885" t="s" s="11">
        <v>24655</v>
      </c>
      <c r="B4885" t="s" s="11">
        <v>24656</v>
      </c>
      <c r="C4885" t="s" s="11">
        <v>46</v>
      </c>
      <c r="D4885" t="s" s="11">
        <v>397</v>
      </c>
      <c r="E4885" t="s" s="11">
        <v>137</v>
      </c>
      <c r="F4885" s="28">
        <v>45394</v>
      </c>
      <c r="G4885" t="s" s="11">
        <v>146</v>
      </c>
      <c r="H4885" s="43">
        <v>1.39</v>
      </c>
      <c r="I4885" t="s" s="43">
        <v>30</v>
      </c>
      <c r="J4885" t="s" s="11">
        <v>24657</v>
      </c>
      <c r="K4885" t="s" s="11">
        <v>30</v>
      </c>
      <c r="L4885" t="s" s="11">
        <v>30</v>
      </c>
      <c r="M4885" s="17">
        <f>HYPERLINK("https://my.pitchbook.com?c=593964-37", "View Company Online")</f>
      </c>
    </row>
    <row r="4886">
      <c r="A4886" t="s" s="10">
        <v>24658</v>
      </c>
      <c r="B4886" t="s" s="10">
        <v>24659</v>
      </c>
      <c r="C4886" t="s" s="10">
        <v>46</v>
      </c>
      <c r="D4886" t="s" s="10">
        <v>397</v>
      </c>
      <c r="E4886" t="s" s="10">
        <v>3825</v>
      </c>
      <c r="F4886" s="27">
        <v>44958</v>
      </c>
      <c r="G4886" t="s" s="10">
        <v>146</v>
      </c>
      <c r="H4886" t="s" s="42">
        <v>30</v>
      </c>
      <c r="I4886" t="s" s="42">
        <v>30</v>
      </c>
      <c r="J4886" t="s" s="10">
        <v>24660</v>
      </c>
      <c r="K4886" t="s" s="10">
        <v>24661</v>
      </c>
      <c r="L4886" s="16">
        <f>HYPERLINK("http://www.entries.ai", "www.entries.ai")</f>
      </c>
      <c r="M4886" s="16">
        <f>HYPERLINK("https://my.pitchbook.com?c=519946-12", "View Company Online")</f>
      </c>
    </row>
    <row r="4887">
      <c r="A4887" t="s" s="11">
        <v>24663</v>
      </c>
      <c r="B4887" t="s" s="11">
        <v>24664</v>
      </c>
      <c r="C4887" t="s" s="11">
        <v>27</v>
      </c>
      <c r="D4887" t="s" s="11">
        <v>28</v>
      </c>
      <c r="E4887" t="s" s="11">
        <v>1065</v>
      </c>
      <c r="F4887" t="s" s="28">
        <v>24665</v>
      </c>
      <c r="G4887" t="s" s="11">
        <v>146</v>
      </c>
      <c r="H4887" s="43">
        <v>20</v>
      </c>
      <c r="I4887" t="s" s="43">
        <v>30</v>
      </c>
      <c r="J4887" t="s" s="11">
        <v>24666</v>
      </c>
      <c r="K4887" t="s" s="11">
        <v>24667</v>
      </c>
      <c r="L4887" s="17">
        <f>HYPERLINK("http://www.enzagroup.global", "www.enzagroup.global")</f>
      </c>
      <c r="M4887" s="17">
        <f>HYPERLINK("https://my.pitchbook.com?c=707478-76", "View Company Online")</f>
      </c>
    </row>
    <row r="4888">
      <c r="A4888" t="s" s="10">
        <v>24669</v>
      </c>
      <c r="B4888" t="s" s="10">
        <v>24670</v>
      </c>
      <c r="C4888" t="s" s="10">
        <v>60</v>
      </c>
      <c r="D4888" t="s" s="10">
        <v>192</v>
      </c>
      <c r="E4888" t="s" s="10">
        <v>253</v>
      </c>
      <c r="F4888" s="27">
        <v>45809</v>
      </c>
      <c r="G4888" t="s" s="10">
        <v>146</v>
      </c>
      <c r="H4888" t="s" s="42">
        <v>30</v>
      </c>
      <c r="I4888" t="s" s="42">
        <v>30</v>
      </c>
      <c r="J4888" t="s" s="10">
        <v>24671</v>
      </c>
      <c r="K4888" t="s" s="10">
        <v>24672</v>
      </c>
      <c r="L4888" s="16">
        <f>HYPERLINK("http://www.epsmomentum.com", "www.epsmomentum.com")</f>
      </c>
      <c r="M4888" s="16">
        <f>HYPERLINK("https://my.pitchbook.com?c=865638-46", "View Company Online")</f>
      </c>
    </row>
    <row r="4889">
      <c r="A4889" t="s" s="11">
        <v>24674</v>
      </c>
      <c r="B4889" t="s" s="11">
        <v>24675</v>
      </c>
      <c r="C4889" t="s" s="11">
        <v>37</v>
      </c>
      <c r="D4889" t="s" s="11">
        <v>38</v>
      </c>
      <c r="E4889" t="s" s="11">
        <v>137</v>
      </c>
      <c r="F4889" s="28">
        <v>44277</v>
      </c>
      <c r="G4889" t="s" s="11">
        <v>40</v>
      </c>
      <c r="H4889" s="43">
        <v>9.93</v>
      </c>
      <c r="I4889" t="s" s="43">
        <v>30</v>
      </c>
      <c r="J4889" t="s" s="11">
        <v>24676</v>
      </c>
      <c r="K4889" t="s" s="11">
        <v>24677</v>
      </c>
      <c r="L4889" s="17">
        <f>HYPERLINK("http://www.eqibank.com", "www.eqibank.com")</f>
      </c>
      <c r="M4889" s="17">
        <f>HYPERLINK("https://my.pitchbook.com?c=279940-51", "View Company Online")</f>
      </c>
    </row>
    <row r="4890">
      <c r="A4890" t="s" s="10">
        <v>24679</v>
      </c>
      <c r="B4890" t="s" s="10">
        <v>24680</v>
      </c>
      <c r="C4890" t="s" s="10">
        <v>222</v>
      </c>
      <c r="D4890" t="s" s="10">
        <v>223</v>
      </c>
      <c r="E4890" t="s" s="10">
        <v>414</v>
      </c>
      <c r="F4890" s="27">
        <v>46023</v>
      </c>
      <c r="G4890" t="s" s="10">
        <v>48</v>
      </c>
      <c r="H4890" t="s" s="42">
        <v>30</v>
      </c>
      <c r="I4890" t="s" s="42">
        <v>30</v>
      </c>
      <c r="J4890" t="s" s="10">
        <v>24681</v>
      </c>
      <c r="K4890" t="s" s="10">
        <v>24682</v>
      </c>
      <c r="L4890" s="16">
        <f>HYPERLINK("http://www.equbot.com", "www.equbot.com")</f>
      </c>
      <c r="M4890" s="16">
        <f>HYPERLINK("https://my.pitchbook.com?c=171560-98", "View Company Online")</f>
      </c>
    </row>
    <row r="4891">
      <c r="A4891" t="s" s="11">
        <v>24684</v>
      </c>
      <c r="B4891" t="s" s="11">
        <v>24685</v>
      </c>
      <c r="C4891" t="s" s="11">
        <v>222</v>
      </c>
      <c r="D4891" t="s" s="11">
        <v>252</v>
      </c>
      <c r="E4891" t="s" s="11">
        <v>253</v>
      </c>
      <c r="F4891" s="28">
        <v>45870</v>
      </c>
      <c r="G4891" t="s" s="11">
        <v>4267</v>
      </c>
      <c r="H4891" s="43">
        <v>0.03</v>
      </c>
      <c r="I4891" t="s" s="43">
        <v>30</v>
      </c>
      <c r="J4891" t="s" s="11">
        <v>24686</v>
      </c>
      <c r="K4891" t="s" s="11">
        <v>30</v>
      </c>
      <c r="L4891" s="17">
        <f>HYPERLINK("http://www.equidefi.com", "www.equidefi.com")</f>
      </c>
      <c r="M4891" s="17">
        <f>HYPERLINK("https://my.pitchbook.com?c=431677-09", "View Company Online")</f>
      </c>
    </row>
    <row r="4892">
      <c r="A4892" t="s" s="10">
        <v>24688</v>
      </c>
      <c r="B4892" t="s" s="10">
        <v>24689</v>
      </c>
      <c r="C4892" t="s" s="10">
        <v>60</v>
      </c>
      <c r="D4892" t="s" s="10">
        <v>192</v>
      </c>
      <c r="E4892" t="s" s="10">
        <v>137</v>
      </c>
      <c r="F4892" s="27">
        <v>43643</v>
      </c>
      <c r="G4892" t="s" s="10">
        <v>40</v>
      </c>
      <c r="H4892" s="42">
        <v>3.66</v>
      </c>
      <c r="I4892" t="s" s="42">
        <v>30</v>
      </c>
      <c r="J4892" t="s" s="10">
        <v>24690</v>
      </c>
      <c r="K4892" t="s" s="10">
        <v>24691</v>
      </c>
      <c r="L4892" s="16">
        <f>HYPERLINK("http://www.equiduct.com", "www.equiduct.com")</f>
      </c>
      <c r="M4892" s="16">
        <f>HYPERLINK("https://my.pitchbook.com?c=339949-81", "View Company Online")</f>
      </c>
    </row>
    <row r="4893">
      <c r="A4893" t="s" s="11">
        <v>24693</v>
      </c>
      <c r="B4893" t="s" s="11">
        <v>24694</v>
      </c>
      <c r="C4893" t="s" s="11">
        <v>60</v>
      </c>
      <c r="D4893" t="s" s="11">
        <v>727</v>
      </c>
      <c r="E4893" t="s" s="11">
        <v>2782</v>
      </c>
      <c r="F4893" s="28">
        <v>44453</v>
      </c>
      <c r="G4893" t="s" s="11">
        <v>40</v>
      </c>
      <c r="H4893" t="s" s="43">
        <v>30</v>
      </c>
      <c r="I4893" t="s" s="43">
        <v>30</v>
      </c>
      <c r="J4893" t="s" s="11">
        <v>24695</v>
      </c>
      <c r="K4893" t="s" s="11">
        <v>24696</v>
      </c>
      <c r="L4893" s="17">
        <f>HYPERLINK("http://www.equifi.com", "www.equifi.com")</f>
      </c>
      <c r="M4893" s="17">
        <f>HYPERLINK("https://my.pitchbook.com?c=222296-86", "View Company Online")</f>
      </c>
    </row>
    <row r="4894">
      <c r="A4894" t="s" s="10">
        <v>24698</v>
      </c>
      <c r="B4894" t="s" s="10">
        <v>24699</v>
      </c>
      <c r="C4894" t="s" s="10">
        <v>60</v>
      </c>
      <c r="D4894" t="s" s="10">
        <v>727</v>
      </c>
      <c r="E4894" t="s" s="10">
        <v>137</v>
      </c>
      <c r="F4894" s="27">
        <v>44806</v>
      </c>
      <c r="G4894" t="s" s="10">
        <v>146</v>
      </c>
      <c r="H4894" s="42">
        <v>15</v>
      </c>
      <c r="I4894" t="s" s="42">
        <v>30</v>
      </c>
      <c r="J4894" t="s" s="10">
        <v>24700</v>
      </c>
      <c r="K4894" t="s" s="10">
        <v>24701</v>
      </c>
      <c r="L4894" s="16">
        <f>HYPERLINK("http://www.equi.com", "www.equi.com")</f>
      </c>
      <c r="M4894" s="16">
        <f>HYPERLINK("https://my.pitchbook.com?c=464029-39", "View Company Online")</f>
      </c>
    </row>
    <row r="4895">
      <c r="A4895" t="s" s="11">
        <v>24703</v>
      </c>
      <c r="B4895" t="s" s="11">
        <v>24704</v>
      </c>
      <c r="C4895" t="s" s="11">
        <v>222</v>
      </c>
      <c r="D4895" t="s" s="11">
        <v>235</v>
      </c>
      <c r="E4895" t="s" s="11">
        <v>1032</v>
      </c>
      <c r="F4895" s="28">
        <v>45804</v>
      </c>
      <c r="G4895" t="s" s="11">
        <v>31</v>
      </c>
      <c r="H4895" s="43">
        <v>21</v>
      </c>
      <c r="I4895" t="s" s="43">
        <v>30</v>
      </c>
      <c r="J4895" t="s" s="11">
        <v>24705</v>
      </c>
      <c r="K4895" t="s" s="11">
        <v>24706</v>
      </c>
      <c r="L4895" s="17">
        <f>HYPERLINK("http://www.equitymultiple.com", "www.equitymultiple.com")</f>
      </c>
      <c r="M4895" s="17">
        <f>HYPERLINK("https://my.pitchbook.com?c=117440-38", "View Company Online")</f>
      </c>
    </row>
    <row r="4896">
      <c r="A4896" t="s" s="10">
        <v>24708</v>
      </c>
      <c r="B4896" t="s" s="10">
        <v>24709</v>
      </c>
      <c r="C4896" t="s" s="10">
        <v>222</v>
      </c>
      <c r="D4896" t="s" s="10">
        <v>235</v>
      </c>
      <c r="E4896" t="s" s="10">
        <v>253</v>
      </c>
      <c r="F4896" t="s" s="27">
        <v>24710</v>
      </c>
      <c r="G4896" t="s" s="10">
        <v>186</v>
      </c>
      <c r="H4896" t="s" s="42">
        <v>30</v>
      </c>
      <c r="I4896" t="s" s="42">
        <v>30</v>
      </c>
      <c r="J4896" t="s" s="10">
        <v>24711</v>
      </c>
      <c r="K4896" t="s" s="10">
        <v>24712</v>
      </c>
      <c r="L4896" s="16">
        <f>HYPERLINK("http://www.eqvista.com", "www.eqvista.com")</f>
      </c>
      <c r="M4896" s="16">
        <f>HYPERLINK("https://my.pitchbook.com?c=431696-17", "View Company Online")</f>
      </c>
    </row>
    <row r="4897">
      <c r="A4897" t="s" s="11">
        <v>24714</v>
      </c>
      <c r="B4897" t="s" s="11">
        <v>24715</v>
      </c>
      <c r="C4897" t="s" s="11">
        <v>222</v>
      </c>
      <c r="D4897" t="s" s="11">
        <v>235</v>
      </c>
      <c r="E4897" t="s" s="11">
        <v>137</v>
      </c>
      <c r="F4897" s="28">
        <v>45778</v>
      </c>
      <c r="G4897" t="s" s="11">
        <v>40</v>
      </c>
      <c r="H4897" t="s" s="43">
        <v>30</v>
      </c>
      <c r="I4897" t="s" s="43">
        <v>30</v>
      </c>
      <c r="J4897" t="s" s="11">
        <v>24716</v>
      </c>
      <c r="K4897" t="s" s="11">
        <v>24717</v>
      </c>
      <c r="L4897" s="17">
        <f>HYPERLINK("http://www.erable.com", "www.erable.com")</f>
      </c>
      <c r="M4897" s="17">
        <f>HYPERLINK("https://my.pitchbook.com?c=214110-37", "View Company Online")</f>
      </c>
    </row>
    <row r="4898">
      <c r="A4898" t="s" s="10">
        <v>24719</v>
      </c>
      <c r="B4898" t="s" s="10">
        <v>24720</v>
      </c>
      <c r="C4898" t="s" s="10">
        <v>164</v>
      </c>
      <c r="D4898" t="s" s="10">
        <v>206</v>
      </c>
      <c r="E4898" t="s" s="10">
        <v>137</v>
      </c>
      <c r="F4898" s="27">
        <v>44900</v>
      </c>
      <c r="G4898" t="s" s="10">
        <v>4267</v>
      </c>
      <c r="H4898" s="42">
        <v>2.63</v>
      </c>
      <c r="I4898" t="s" s="42">
        <v>30</v>
      </c>
      <c r="J4898" t="s" s="10">
        <v>24721</v>
      </c>
      <c r="K4898" t="s" s="10">
        <v>24722</v>
      </c>
      <c r="L4898" s="16">
        <f>HYPERLINK("http://www.erbeo.com", "www.erbeo.com")</f>
      </c>
      <c r="M4898" s="16">
        <f>HYPERLINK("https://my.pitchbook.com?c=503590-33", "View Company Online")</f>
      </c>
    </row>
    <row r="4899">
      <c r="A4899" t="s" s="11">
        <v>24724</v>
      </c>
      <c r="B4899" t="s" s="11">
        <v>24725</v>
      </c>
      <c r="C4899" t="s" s="11">
        <v>114</v>
      </c>
      <c r="D4899" t="s" s="11">
        <v>115</v>
      </c>
      <c r="E4899" t="s" s="11">
        <v>2782</v>
      </c>
      <c r="F4899" s="28">
        <v>45383</v>
      </c>
      <c r="G4899" t="s" s="11">
        <v>146</v>
      </c>
      <c r="H4899" t="s" s="43">
        <v>30</v>
      </c>
      <c r="I4899" t="s" s="43">
        <v>30</v>
      </c>
      <c r="J4899" t="s" s="11">
        <v>24726</v>
      </c>
      <c r="K4899" t="s" s="11">
        <v>24727</v>
      </c>
      <c r="L4899" s="17">
        <f>HYPERLINK("http://www.erithmitic.com", "www.erithmitic.com")</f>
      </c>
      <c r="M4899" s="17">
        <f>HYPERLINK("https://my.pitchbook.com?c=500540-23", "View Company Online")</f>
      </c>
    </row>
    <row r="4900">
      <c r="A4900" t="s" s="10">
        <v>24729</v>
      </c>
      <c r="B4900" t="s" s="10">
        <v>24730</v>
      </c>
      <c r="C4900" t="s" s="10">
        <v>46</v>
      </c>
      <c r="D4900" t="s" s="10">
        <v>47</v>
      </c>
      <c r="E4900" t="s" s="10">
        <v>253</v>
      </c>
      <c r="F4900" s="27">
        <v>45901</v>
      </c>
      <c r="G4900" t="s" s="10">
        <v>146</v>
      </c>
      <c r="H4900" t="s" s="42">
        <v>30</v>
      </c>
      <c r="I4900" t="s" s="42">
        <v>30</v>
      </c>
      <c r="J4900" t="s" s="10">
        <v>24731</v>
      </c>
      <c r="K4900" t="s" s="10">
        <v>24732</v>
      </c>
      <c r="L4900" s="16">
        <f>HYPERLINK("http://www.ertikaz-tech.com", "www.ertikaz-tech.com")</f>
      </c>
      <c r="M4900" s="16">
        <f>HYPERLINK("https://my.pitchbook.com?c=894593-80", "View Company Online")</f>
      </c>
    </row>
    <row r="4901">
      <c r="A4901" t="s" s="11">
        <v>24734</v>
      </c>
      <c r="B4901" t="s" s="11">
        <v>24735</v>
      </c>
      <c r="C4901" t="s" s="11">
        <v>114</v>
      </c>
      <c r="D4901" t="s" s="11">
        <v>870</v>
      </c>
      <c r="E4901" t="s" s="11">
        <v>137</v>
      </c>
      <c r="F4901" s="28">
        <v>45307</v>
      </c>
      <c r="G4901" t="s" s="11">
        <v>146</v>
      </c>
      <c r="H4901" s="43">
        <v>5</v>
      </c>
      <c r="I4901" t="s" s="43">
        <v>30</v>
      </c>
      <c r="J4901" t="s" s="11">
        <v>24736</v>
      </c>
      <c r="K4901" t="s" s="11">
        <v>24737</v>
      </c>
      <c r="L4901" s="17">
        <f>HYPERLINK("http://www.escarlata.co", "www.escarlata.co")</f>
      </c>
      <c r="M4901" s="17">
        <f>HYPERLINK("https://my.pitchbook.com?c=537528-07", "View Company Online")</f>
      </c>
    </row>
    <row r="4902">
      <c r="A4902" t="s" s="10">
        <v>24739</v>
      </c>
      <c r="B4902" t="s" s="10">
        <v>24740</v>
      </c>
      <c r="C4902" t="s" s="10">
        <v>27</v>
      </c>
      <c r="D4902" t="s" s="10">
        <v>28</v>
      </c>
      <c r="E4902" t="s" s="10">
        <v>270</v>
      </c>
      <c r="F4902" s="27">
        <v>45022</v>
      </c>
      <c r="G4902" t="s" s="10">
        <v>40</v>
      </c>
      <c r="H4902" s="42">
        <v>0.18</v>
      </c>
      <c r="I4902" t="s" s="42">
        <v>30</v>
      </c>
      <c r="J4902" t="s" s="10">
        <v>24741</v>
      </c>
      <c r="K4902" t="s" s="10">
        <v>24742</v>
      </c>
      <c r="L4902" s="16">
        <f>HYPERLINK("http://esther.international", "esther.international")</f>
      </c>
      <c r="M4902" s="16">
        <f>HYPERLINK("https://my.pitchbook.com?c=454469-68", "View Company Online")</f>
      </c>
    </row>
    <row r="4903">
      <c r="A4903" t="s" s="11">
        <v>24744</v>
      </c>
      <c r="B4903" t="s" s="11">
        <v>24745</v>
      </c>
      <c r="C4903" t="s" s="11">
        <v>60</v>
      </c>
      <c r="D4903" t="s" s="11">
        <v>246</v>
      </c>
      <c r="E4903" t="s" s="11">
        <v>311</v>
      </c>
      <c r="F4903" s="28">
        <v>45910</v>
      </c>
      <c r="G4903" t="s" s="11">
        <v>146</v>
      </c>
      <c r="H4903" s="43">
        <v>0.7</v>
      </c>
      <c r="I4903" t="s" s="43">
        <v>30</v>
      </c>
      <c r="J4903" t="s" s="11">
        <v>24746</v>
      </c>
      <c r="K4903" t="s" s="11">
        <v>24747</v>
      </c>
      <c r="L4903" s="17">
        <f>HYPERLINK("http://www.eterny.io", "www.eterny.io")</f>
      </c>
      <c r="M4903" s="17">
        <f>HYPERLINK("https://my.pitchbook.com?c=973464-40", "View Company Online")</f>
      </c>
    </row>
    <row r="4904">
      <c r="A4904" t="s" s="10">
        <v>24749</v>
      </c>
      <c r="B4904" t="s" s="10">
        <v>24750</v>
      </c>
      <c r="C4904" t="s" s="10">
        <v>222</v>
      </c>
      <c r="D4904" t="s" s="10">
        <v>223</v>
      </c>
      <c r="E4904" t="s" s="10">
        <v>253</v>
      </c>
      <c r="F4904" s="27">
        <v>44580</v>
      </c>
      <c r="G4904" t="s" s="10">
        <v>4267</v>
      </c>
      <c r="H4904" s="42">
        <v>2.22</v>
      </c>
      <c r="I4904" t="s" s="42">
        <v>30</v>
      </c>
      <c r="J4904" t="s" s="10">
        <v>24751</v>
      </c>
      <c r="K4904" t="s" s="10">
        <v>30</v>
      </c>
      <c r="L4904" s="16">
        <f>HYPERLINK("http://www.etfaction.com", "www.etfaction.com")</f>
      </c>
      <c r="M4904" s="16">
        <f>HYPERLINK("https://my.pitchbook.com?c=459613-00", "View Company Online")</f>
      </c>
    </row>
    <row r="4905">
      <c r="A4905" t="s" s="11">
        <v>24753</v>
      </c>
      <c r="B4905" t="s" s="11">
        <v>24754</v>
      </c>
      <c r="C4905" t="s" s="11">
        <v>37</v>
      </c>
      <c r="D4905" t="s" s="11">
        <v>304</v>
      </c>
      <c r="E4905" t="s" s="11">
        <v>137</v>
      </c>
      <c r="F4905" s="28">
        <v>43299</v>
      </c>
      <c r="G4905" t="s" s="11">
        <v>31</v>
      </c>
      <c r="H4905" s="43">
        <v>19.81</v>
      </c>
      <c r="I4905" t="s" s="43">
        <v>30</v>
      </c>
      <c r="J4905" t="s" s="11">
        <v>24755</v>
      </c>
      <c r="K4905" t="s" s="11">
        <v>30</v>
      </c>
      <c r="L4905" s="17">
        <f>HYPERLINK("http://www.etika.com", "www.etika.com")</f>
      </c>
      <c r="M4905" s="17">
        <f>HYPERLINK("https://my.pitchbook.com?c=182832-31", "View Company Online")</f>
      </c>
    </row>
    <row r="4906">
      <c r="A4906" t="s" s="10">
        <v>24757</v>
      </c>
      <c r="B4906" t="s" s="10">
        <v>24758</v>
      </c>
      <c r="C4906" t="s" s="10">
        <v>27</v>
      </c>
      <c r="D4906" t="s" s="10">
        <v>28</v>
      </c>
      <c r="E4906" t="s" s="10">
        <v>270</v>
      </c>
      <c r="F4906" s="27">
        <v>45331</v>
      </c>
      <c r="G4906" t="s" s="10">
        <v>40</v>
      </c>
      <c r="H4906" s="42">
        <v>0.66</v>
      </c>
      <c r="I4906" t="s" s="42">
        <v>30</v>
      </c>
      <c r="J4906" t="s" s="10">
        <v>24759</v>
      </c>
      <c r="K4906" t="s" s="10">
        <v>24760</v>
      </c>
      <c r="L4906" s="16">
        <f>HYPERLINK("http://www.etip.com", "www.etip.com")</f>
      </c>
      <c r="M4906" s="16">
        <f>HYPERLINK("https://my.pitchbook.com?c=438741-19", "View Company Online")</f>
      </c>
    </row>
    <row r="4907">
      <c r="A4907" t="s" s="11">
        <v>24762</v>
      </c>
      <c r="B4907" t="s" s="11">
        <v>24763</v>
      </c>
      <c r="C4907" t="s" s="11">
        <v>27</v>
      </c>
      <c r="D4907" t="s" s="11">
        <v>122</v>
      </c>
      <c r="E4907" t="s" s="11">
        <v>137</v>
      </c>
      <c r="F4907" s="28">
        <v>45973</v>
      </c>
      <c r="G4907" t="s" s="11">
        <v>146</v>
      </c>
      <c r="H4907" t="s" s="43">
        <v>30</v>
      </c>
      <c r="I4907" t="s" s="43">
        <v>30</v>
      </c>
      <c r="J4907" t="s" s="11">
        <v>24764</v>
      </c>
      <c r="K4907" t="s" s="11">
        <v>24765</v>
      </c>
      <c r="L4907" s="17">
        <f>HYPERLINK("http://www.eurewax.com", "www.eurewax.com")</f>
      </c>
      <c r="M4907" s="17">
        <f>HYPERLINK("https://my.pitchbook.com?c=1161408-88", "View Company Online")</f>
      </c>
    </row>
    <row r="4908">
      <c r="A4908" t="s" s="10">
        <v>24767</v>
      </c>
      <c r="B4908" t="s" s="10">
        <v>24768</v>
      </c>
      <c r="C4908" t="s" s="10">
        <v>46</v>
      </c>
      <c r="D4908" t="s" s="10">
        <v>47</v>
      </c>
      <c r="E4908" t="s" s="10">
        <v>1207</v>
      </c>
      <c r="F4908" s="27">
        <v>44682</v>
      </c>
      <c r="G4908" t="s" s="10">
        <v>48</v>
      </c>
      <c r="H4908" t="s" s="42">
        <v>30</v>
      </c>
      <c r="I4908" t="s" s="42">
        <v>30</v>
      </c>
      <c r="J4908" t="s" s="10">
        <v>24769</v>
      </c>
      <c r="K4908" t="s" s="10">
        <v>24770</v>
      </c>
      <c r="L4908" s="16">
        <f>HYPERLINK("http://www.eved.com", "www.eved.com")</f>
      </c>
      <c r="M4908" s="16">
        <f>HYPERLINK("https://my.pitchbook.com?c=53575-21", "View Company Online")</f>
      </c>
    </row>
    <row r="4909">
      <c r="A4909" t="s" s="11">
        <v>24772</v>
      </c>
      <c r="B4909" t="s" s="11">
        <v>24773</v>
      </c>
      <c r="C4909" t="s" s="11">
        <v>222</v>
      </c>
      <c r="D4909" t="s" s="11">
        <v>223</v>
      </c>
      <c r="E4909" t="s" s="11">
        <v>253</v>
      </c>
      <c r="F4909" s="28">
        <v>45280</v>
      </c>
      <c r="G4909" t="s" s="11">
        <v>4267</v>
      </c>
      <c r="H4909" s="43">
        <v>0.75</v>
      </c>
      <c r="I4909" t="s" s="43">
        <v>30</v>
      </c>
      <c r="J4909" t="s" s="11">
        <v>24774</v>
      </c>
      <c r="K4909" t="s" s="11">
        <v>30</v>
      </c>
      <c r="L4909" s="17">
        <f>HYPERLINK("http://www.eventvestor.com", "www.eventvestor.com")</f>
      </c>
      <c r="M4909" s="17">
        <f>HYPERLINK("https://my.pitchbook.com?c=279515-44", "View Company Online")</f>
      </c>
    </row>
    <row r="4910">
      <c r="A4910" t="s" s="10">
        <v>24776</v>
      </c>
      <c r="B4910" t="s" s="10">
        <v>24777</v>
      </c>
      <c r="C4910" t="s" s="10">
        <v>60</v>
      </c>
      <c r="D4910" t="s" s="10">
        <v>246</v>
      </c>
      <c r="E4910" t="s" s="10">
        <v>1964</v>
      </c>
      <c r="F4910" s="27">
        <v>45763</v>
      </c>
      <c r="G4910" t="s" s="10">
        <v>40</v>
      </c>
      <c r="H4910" s="42">
        <v>5.48</v>
      </c>
      <c r="I4910" t="s" s="42">
        <v>30</v>
      </c>
      <c r="J4910" t="s" s="10">
        <v>24778</v>
      </c>
      <c r="K4910" t="s" s="10">
        <v>24779</v>
      </c>
      <c r="L4910" s="16">
        <f>HYPERLINK("http://www.evergreen.de", "www.evergreen.de")</f>
      </c>
      <c r="M4910" s="16">
        <f>HYPERLINK("https://my.pitchbook.com?c=512804-08", "View Company Online")</f>
      </c>
    </row>
    <row r="4911">
      <c r="A4911" t="s" s="11">
        <v>24781</v>
      </c>
      <c r="B4911" t="s" s="11">
        <v>24782</v>
      </c>
      <c r="C4911" t="s" s="11">
        <v>60</v>
      </c>
      <c r="D4911" t="s" s="11">
        <v>61</v>
      </c>
      <c r="E4911" t="s" s="11">
        <v>859</v>
      </c>
      <c r="F4911" s="28">
        <v>46048</v>
      </c>
      <c r="G4911" t="s" s="11">
        <v>4267</v>
      </c>
      <c r="H4911" s="43">
        <v>6.9</v>
      </c>
      <c r="I4911" t="s" s="43">
        <v>30</v>
      </c>
      <c r="J4911" t="s" s="11">
        <v>24783</v>
      </c>
      <c r="K4911" t="s" s="11">
        <v>24784</v>
      </c>
      <c r="L4911" s="17">
        <f>HYPERLINK("http://everything.co", "everything.co")</f>
      </c>
      <c r="M4911" s="17">
        <f>HYPERLINK("https://my.pitchbook.com?c=1257575-59", "View Company Online")</f>
      </c>
    </row>
    <row r="4912">
      <c r="A4912" t="s" s="10">
        <v>24786</v>
      </c>
      <c r="B4912" t="s" s="10">
        <v>24787</v>
      </c>
      <c r="C4912" t="s" s="10">
        <v>164</v>
      </c>
      <c r="D4912" t="s" s="10">
        <v>206</v>
      </c>
      <c r="E4912" t="s" s="10">
        <v>859</v>
      </c>
      <c r="F4912" s="27">
        <v>44958</v>
      </c>
      <c r="G4912" t="s" s="10">
        <v>146</v>
      </c>
      <c r="H4912" t="s" s="42">
        <v>30</v>
      </c>
      <c r="I4912" t="s" s="42">
        <v>30</v>
      </c>
      <c r="J4912" t="s" s="10">
        <v>24788</v>
      </c>
      <c r="K4912" t="s" s="10">
        <v>24789</v>
      </c>
      <c r="L4912" s="16">
        <f>HYPERLINK("http://www.evlos4u.com", "www.evlos4u.com")</f>
      </c>
      <c r="M4912" s="16">
        <f>HYPERLINK("https://my.pitchbook.com?c=519969-25", "View Company Online")</f>
      </c>
    </row>
    <row r="4913">
      <c r="A4913" t="s" s="11">
        <v>24791</v>
      </c>
      <c r="B4913" t="s" s="11">
        <v>24792</v>
      </c>
      <c r="C4913" t="s" s="11">
        <v>114</v>
      </c>
      <c r="D4913" t="s" s="11">
        <v>136</v>
      </c>
      <c r="E4913" t="s" s="11">
        <v>253</v>
      </c>
      <c r="F4913" t="s" s="28">
        <v>30</v>
      </c>
      <c r="G4913" t="s" s="11">
        <v>607</v>
      </c>
      <c r="H4913" s="43">
        <v>0.03</v>
      </c>
      <c r="I4913" t="s" s="43">
        <v>30</v>
      </c>
      <c r="J4913" t="s" s="11">
        <v>24793</v>
      </c>
      <c r="K4913" t="s" s="11">
        <v>24794</v>
      </c>
      <c r="L4913" s="17">
        <f>HYPERLINK("http://www.evolvecredit.co", "www.evolvecredit.co")</f>
      </c>
      <c r="M4913" s="17">
        <f>HYPERLINK("https://my.pitchbook.com?c=442598-32", "View Company Online")</f>
      </c>
    </row>
    <row r="4914">
      <c r="A4914" t="s" s="10">
        <v>24796</v>
      </c>
      <c r="B4914" t="s" s="10">
        <v>24797</v>
      </c>
      <c r="C4914" t="s" s="10">
        <v>60</v>
      </c>
      <c r="D4914" t="s" s="10">
        <v>192</v>
      </c>
      <c r="E4914" t="s" s="10">
        <v>193</v>
      </c>
      <c r="F4914" s="27">
        <v>46054</v>
      </c>
      <c r="G4914" t="s" s="10">
        <v>40</v>
      </c>
      <c r="H4914" t="s" s="42">
        <v>30</v>
      </c>
      <c r="I4914" t="s" s="42">
        <v>30</v>
      </c>
      <c r="J4914" t="s" s="10">
        <v>24798</v>
      </c>
      <c r="K4914" t="s" s="10">
        <v>24799</v>
      </c>
      <c r="L4914" s="16">
        <f>HYPERLINK("http://www.exchangelodge.com", "www.exchangelodge.com")</f>
      </c>
      <c r="M4914" s="16">
        <f>HYPERLINK("https://my.pitchbook.com?c=156533-59", "View Company Online")</f>
      </c>
    </row>
    <row r="4915">
      <c r="A4915" t="s" s="11">
        <v>24801</v>
      </c>
      <c r="B4915" t="s" s="11">
        <v>24802</v>
      </c>
      <c r="C4915" t="s" s="11">
        <v>46</v>
      </c>
      <c r="D4915" t="s" s="11">
        <v>915</v>
      </c>
      <c r="E4915" t="s" s="11">
        <v>253</v>
      </c>
      <c r="F4915" s="28">
        <v>45996</v>
      </c>
      <c r="G4915" t="s" s="11">
        <v>4267</v>
      </c>
      <c r="H4915" s="43">
        <v>0.2</v>
      </c>
      <c r="I4915" t="s" s="43">
        <v>30</v>
      </c>
      <c r="J4915" t="s" s="11">
        <v>24803</v>
      </c>
      <c r="K4915" t="s" s="11">
        <v>15996</v>
      </c>
      <c r="L4915" s="17">
        <f>HYPERLINK("http://www.exchao.com", "www.exchao.com")</f>
      </c>
      <c r="M4915" s="17">
        <f>HYPERLINK("https://my.pitchbook.com?c=1318447-90", "View Company Online")</f>
      </c>
    </row>
    <row r="4916">
      <c r="A4916" t="s" s="10">
        <v>24805</v>
      </c>
      <c r="B4916" t="s" s="10">
        <v>24806</v>
      </c>
      <c r="C4916" t="s" s="10">
        <v>114</v>
      </c>
      <c r="D4916" t="s" s="10">
        <v>852</v>
      </c>
      <c r="E4916" t="s" s="10">
        <v>116</v>
      </c>
      <c r="F4916" s="27">
        <v>46082</v>
      </c>
      <c r="G4916" t="s" s="10">
        <v>48</v>
      </c>
      <c r="H4916" t="s" s="42">
        <v>30</v>
      </c>
      <c r="I4916" t="s" s="42">
        <v>30</v>
      </c>
      <c r="J4916" t="s" s="10">
        <v>24807</v>
      </c>
      <c r="K4916" t="s" s="10">
        <v>24808</v>
      </c>
      <c r="L4916" s="16">
        <f>HYPERLINK("http://www.exuus.com", "www.exuus.com")</f>
      </c>
      <c r="M4916" s="16">
        <f>HYPERLINK("https://my.pitchbook.com?c=267491-08", "View Company Online")</f>
      </c>
    </row>
    <row r="4917">
      <c r="A4917" t="s" s="11">
        <v>24810</v>
      </c>
      <c r="B4917" t="s" s="11">
        <v>24811</v>
      </c>
      <c r="C4917" t="s" s="11">
        <v>164</v>
      </c>
      <c r="D4917" t="s" s="11">
        <v>206</v>
      </c>
      <c r="E4917" t="s" s="11">
        <v>137</v>
      </c>
      <c r="F4917" s="28">
        <v>45070</v>
      </c>
      <c r="G4917" t="s" s="11">
        <v>4267</v>
      </c>
      <c r="H4917" s="43">
        <v>1.5</v>
      </c>
      <c r="I4917" t="s" s="43">
        <v>30</v>
      </c>
      <c r="J4917" t="s" s="11">
        <v>24812</v>
      </c>
      <c r="K4917" t="s" s="11">
        <v>24813</v>
      </c>
      <c r="L4917" s="17">
        <f>HYPERLINK("http://www.ezcale.com", "www.ezcale.com")</f>
      </c>
      <c r="M4917" s="17">
        <f>HYPERLINK("https://my.pitchbook.com?c=534610-18", "View Company Online")</f>
      </c>
    </row>
    <row r="4918">
      <c r="A4918" t="s" s="10">
        <v>24815</v>
      </c>
      <c r="B4918" t="s" s="10">
        <v>24816</v>
      </c>
      <c r="C4918" t="s" s="10">
        <v>27</v>
      </c>
      <c r="D4918" t="s" s="10">
        <v>28</v>
      </c>
      <c r="E4918" t="s" s="10">
        <v>71</v>
      </c>
      <c r="F4918" s="27">
        <v>45964</v>
      </c>
      <c r="G4918" t="s" s="10">
        <v>4267</v>
      </c>
      <c r="H4918" s="42">
        <v>2.1</v>
      </c>
      <c r="I4918" t="s" s="42">
        <v>30</v>
      </c>
      <c r="J4918" t="s" s="10">
        <v>24817</v>
      </c>
      <c r="K4918" t="s" s="10">
        <v>24818</v>
      </c>
      <c r="L4918" s="16">
        <f>HYPERLINK("http://www.ezeebit.com", "www.ezeebit.com")</f>
      </c>
      <c r="M4918" s="16">
        <f>HYPERLINK("https://my.pitchbook.com?c=1167802-12", "View Company Online")</f>
      </c>
    </row>
    <row r="4919">
      <c r="A4919" t="s" s="11">
        <v>24820</v>
      </c>
      <c r="B4919" t="s" s="11">
        <v>24821</v>
      </c>
      <c r="C4919" t="s" s="11">
        <v>46</v>
      </c>
      <c r="D4919" t="s" s="11">
        <v>397</v>
      </c>
      <c r="E4919" t="s" s="11">
        <v>253</v>
      </c>
      <c r="F4919" t="s" s="28">
        <v>30</v>
      </c>
      <c r="G4919" t="s" s="11">
        <v>607</v>
      </c>
      <c r="H4919" t="s" s="43">
        <v>30</v>
      </c>
      <c r="I4919" t="s" s="43">
        <v>30</v>
      </c>
      <c r="J4919" t="s" s="11">
        <v>24822</v>
      </c>
      <c r="K4919" t="s" s="11">
        <v>24823</v>
      </c>
      <c r="L4919" s="17">
        <f>HYPERLINK("http://store.ezobooks.in", "store.ezobooks.in")</f>
      </c>
      <c r="M4919" s="17">
        <f>HYPERLINK("https://my.pitchbook.com?c=534960-28", "View Company Online")</f>
      </c>
    </row>
    <row r="4920">
      <c r="A4920" t="s" s="10">
        <v>24825</v>
      </c>
      <c r="B4920" t="s" s="10">
        <v>24826</v>
      </c>
      <c r="C4920" t="s" s="10">
        <v>60</v>
      </c>
      <c r="D4920" t="s" s="10">
        <v>192</v>
      </c>
      <c r="E4920" t="s" s="10">
        <v>9259</v>
      </c>
      <c r="F4920" s="27">
        <v>45658</v>
      </c>
      <c r="G4920" t="s" s="10">
        <v>607</v>
      </c>
      <c r="H4920" t="s" s="42">
        <v>30</v>
      </c>
      <c r="I4920" t="s" s="42">
        <v>30</v>
      </c>
      <c r="J4920" t="s" s="10">
        <v>24827</v>
      </c>
      <c r="K4920" t="s" s="10">
        <v>24828</v>
      </c>
      <c r="L4920" s="16">
        <f>HYPERLINK("http://www.tryezra.com", "www.tryezra.com")</f>
      </c>
      <c r="M4920" s="16">
        <f>HYPERLINK("https://my.pitchbook.com?c=599699-62", "View Company Online")</f>
      </c>
    </row>
    <row r="4921">
      <c r="A4921" t="s" s="11">
        <v>24830</v>
      </c>
      <c r="B4921" t="s" s="11">
        <v>24831</v>
      </c>
      <c r="C4921" t="s" s="11">
        <v>222</v>
      </c>
      <c r="D4921" t="s" s="11">
        <v>235</v>
      </c>
      <c r="E4921" t="s" s="11">
        <v>9284</v>
      </c>
      <c r="F4921" s="28">
        <v>46183</v>
      </c>
      <c r="G4921" t="s" s="11">
        <v>4267</v>
      </c>
      <c r="H4921" s="43">
        <v>14</v>
      </c>
      <c r="I4921" t="s" s="43">
        <v>30</v>
      </c>
      <c r="J4921" t="s" s="11">
        <v>24832</v>
      </c>
      <c r="K4921" t="s" s="11">
        <v>24833</v>
      </c>
      <c r="L4921" s="17">
        <f>HYPERLINK("http://www.f2.ai", "www.f2.ai")</f>
      </c>
      <c r="M4921" s="17">
        <f>HYPERLINK("https://my.pitchbook.com?c=969424-66", "View Company Online")</f>
      </c>
    </row>
    <row r="4922">
      <c r="A4922" t="s" s="10">
        <v>24835</v>
      </c>
      <c r="B4922" t="s" s="10">
        <v>24836</v>
      </c>
      <c r="C4922" t="s" s="10">
        <v>46</v>
      </c>
      <c r="D4922" t="s" s="10">
        <v>47</v>
      </c>
      <c r="E4922" t="s" s="10">
        <v>137</v>
      </c>
      <c r="F4922" s="27">
        <v>43831</v>
      </c>
      <c r="G4922" t="s" s="10">
        <v>40</v>
      </c>
      <c r="H4922" s="42">
        <v>9.27</v>
      </c>
      <c r="I4922" t="s" s="42">
        <v>30</v>
      </c>
      <c r="J4922" t="s" s="10">
        <v>24837</v>
      </c>
      <c r="K4922" t="s" s="10">
        <v>24838</v>
      </c>
      <c r="L4922" s="16">
        <f>HYPERLINK("http://www.f360.com.br", "www.f360.com.br")</f>
      </c>
      <c r="M4922" s="16">
        <f>HYPERLINK("https://my.pitchbook.com?c=495962-02", "View Company Online")</f>
      </c>
    </row>
    <row r="4923">
      <c r="A4923" t="s" s="11">
        <v>24840</v>
      </c>
      <c r="B4923" t="s" s="11">
        <v>24841</v>
      </c>
      <c r="C4923" t="s" s="11">
        <v>60</v>
      </c>
      <c r="D4923" t="s" s="11">
        <v>246</v>
      </c>
      <c r="E4923" t="s" s="11">
        <v>137</v>
      </c>
      <c r="F4923" s="28">
        <v>45315</v>
      </c>
      <c r="G4923" t="s" s="11">
        <v>4267</v>
      </c>
      <c r="H4923" t="s" s="43">
        <v>30</v>
      </c>
      <c r="I4923" t="s" s="43">
        <v>30</v>
      </c>
      <c r="J4923" t="s" s="11">
        <v>24842</v>
      </c>
      <c r="K4923" t="s" s="11">
        <v>30</v>
      </c>
      <c r="L4923" s="17">
        <f>HYPERLINK("http://www.fabits.com", "www.fabits.com")</f>
      </c>
      <c r="M4923" s="17">
        <f>HYPERLINK("https://my.pitchbook.com?c=556994-26", "View Company Online")</f>
      </c>
    </row>
    <row r="4924">
      <c r="A4924" t="s" s="10">
        <v>24844</v>
      </c>
      <c r="B4924" t="s" s="10">
        <v>24845</v>
      </c>
      <c r="C4924" t="s" s="10">
        <v>164</v>
      </c>
      <c r="D4924" t="s" s="10">
        <v>1678</v>
      </c>
      <c r="E4924" t="s" s="10">
        <v>414</v>
      </c>
      <c r="F4924" s="27">
        <v>46023</v>
      </c>
      <c r="G4924" t="s" s="10">
        <v>146</v>
      </c>
      <c r="H4924" t="s" s="42">
        <v>30</v>
      </c>
      <c r="I4924" t="s" s="42">
        <v>30</v>
      </c>
      <c r="J4924" t="s" s="10">
        <v>24846</v>
      </c>
      <c r="K4924" t="s" s="10">
        <v>24847</v>
      </c>
      <c r="L4924" s="16">
        <f>HYPERLINK("http://www.facet-ai.com", "www.facet-ai.com")</f>
      </c>
      <c r="M4924" s="16">
        <f>HYPERLINK("https://my.pitchbook.com?c=1240032-52", "View Company Online")</f>
      </c>
    </row>
    <row r="4925">
      <c r="A4925" t="s" s="11">
        <v>24849</v>
      </c>
      <c r="B4925" t="s" s="11">
        <v>24850</v>
      </c>
      <c r="C4925" t="s" s="11">
        <v>128</v>
      </c>
      <c r="D4925" t="s" s="11">
        <v>129</v>
      </c>
      <c r="E4925" t="s" s="11">
        <v>12814</v>
      </c>
      <c r="F4925" s="28">
        <v>45799</v>
      </c>
      <c r="G4925" t="s" s="11">
        <v>40</v>
      </c>
      <c r="H4925" s="43">
        <v>9.03</v>
      </c>
      <c r="I4925" t="s" s="43">
        <v>30</v>
      </c>
      <c r="J4925" t="s" s="11">
        <v>24851</v>
      </c>
      <c r="K4925" t="s" s="11">
        <v>24852</v>
      </c>
      <c r="L4925" s="17">
        <f>HYPERLINK("http://www.facilipay.io", "www.facilipay.io")</f>
      </c>
      <c r="M4925" s="17">
        <f>HYPERLINK("https://my.pitchbook.com?c=93859-39", "View Company Online")</f>
      </c>
    </row>
    <row r="4926">
      <c r="A4926" t="s" s="10">
        <v>24854</v>
      </c>
      <c r="B4926" t="s" s="10">
        <v>24855</v>
      </c>
      <c r="C4926" t="s" s="10">
        <v>46</v>
      </c>
      <c r="D4926" t="s" s="10">
        <v>915</v>
      </c>
      <c r="E4926" t="s" s="10">
        <v>253</v>
      </c>
      <c r="F4926" s="27">
        <v>44952</v>
      </c>
      <c r="G4926" t="s" s="10">
        <v>4267</v>
      </c>
      <c r="H4926" s="42">
        <v>4</v>
      </c>
      <c r="I4926" t="s" s="42">
        <v>30</v>
      </c>
      <c r="J4926" t="s" s="10">
        <v>24856</v>
      </c>
      <c r="K4926" t="s" s="10">
        <v>24857</v>
      </c>
      <c r="L4926" s="16">
        <f>HYPERLINK("http://www.facta.io", "www.facta.io")</f>
      </c>
      <c r="M4926" s="16">
        <f>HYPERLINK("https://my.pitchbook.com?c=442255-87", "View Company Online")</f>
      </c>
    </row>
    <row r="4927">
      <c r="A4927" t="s" s="11">
        <v>24859</v>
      </c>
      <c r="B4927" t="s" s="11">
        <v>24860</v>
      </c>
      <c r="C4927" t="s" s="11">
        <v>114</v>
      </c>
      <c r="D4927" t="s" s="11">
        <v>852</v>
      </c>
      <c r="E4927" t="s" s="11">
        <v>253</v>
      </c>
      <c r="F4927" s="28">
        <v>45909</v>
      </c>
      <c r="G4927" t="s" s="11">
        <v>31</v>
      </c>
      <c r="H4927" s="43">
        <v>116.78</v>
      </c>
      <c r="I4927" t="s" s="43">
        <v>30</v>
      </c>
      <c r="J4927" t="s" s="11">
        <v>24861</v>
      </c>
      <c r="K4927" t="s" s="11">
        <v>24862</v>
      </c>
      <c r="L4927" s="17">
        <f>HYPERLINK("http://www.factris.com", "www.factris.com")</f>
      </c>
      <c r="M4927" s="17">
        <f>HYPERLINK("https://my.pitchbook.com?c=231576-04", "View Company Online")</f>
      </c>
    </row>
    <row r="4928">
      <c r="A4928" t="s" s="10">
        <v>24864</v>
      </c>
      <c r="B4928" t="s" s="10">
        <v>24865</v>
      </c>
      <c r="C4928" t="s" s="10">
        <v>46</v>
      </c>
      <c r="D4928" t="s" s="10">
        <v>397</v>
      </c>
      <c r="E4928" t="s" s="10">
        <v>253</v>
      </c>
      <c r="F4928" s="27">
        <v>45809</v>
      </c>
      <c r="G4928" t="s" s="10">
        <v>146</v>
      </c>
      <c r="H4928" t="s" s="42">
        <v>30</v>
      </c>
      <c r="I4928" t="s" s="42">
        <v>30</v>
      </c>
      <c r="J4928" t="s" s="10">
        <v>24866</v>
      </c>
      <c r="K4928" t="s" s="10">
        <v>24867</v>
      </c>
      <c r="L4928" s="16">
        <f>HYPERLINK("http://www.fai.sa", "www.fai.sa")</f>
      </c>
      <c r="M4928" s="16">
        <f>HYPERLINK("https://my.pitchbook.com?c=589673-89", "View Company Online")</f>
      </c>
    </row>
    <row r="4929">
      <c r="A4929" t="s" s="11">
        <v>24869</v>
      </c>
      <c r="B4929" t="s" s="11">
        <v>24870</v>
      </c>
      <c r="C4929" t="s" s="11">
        <v>144</v>
      </c>
      <c r="D4929" t="s" s="11">
        <v>297</v>
      </c>
      <c r="E4929" t="s" s="11">
        <v>116</v>
      </c>
      <c r="F4929" t="s" s="28">
        <v>30</v>
      </c>
      <c r="G4929" t="s" s="11">
        <v>48</v>
      </c>
      <c r="H4929" t="s" s="43">
        <v>30</v>
      </c>
      <c r="I4929" t="s" s="43">
        <v>30</v>
      </c>
      <c r="J4929" t="s" s="11">
        <v>24871</v>
      </c>
      <c r="K4929" t="s" s="11">
        <v>24872</v>
      </c>
      <c r="L4929" s="17">
        <f>HYPERLINK("http://www.fairbanc.app", "www.fairbanc.app")</f>
      </c>
      <c r="M4929" s="17">
        <f>HYPERLINK("https://my.pitchbook.com?c=407220-58", "View Company Online")</f>
      </c>
    </row>
    <row r="4930">
      <c r="A4930" t="s" s="10">
        <v>24874</v>
      </c>
      <c r="B4930" t="s" s="10">
        <v>24875</v>
      </c>
      <c r="C4930" t="s" s="10">
        <v>164</v>
      </c>
      <c r="D4930" t="s" s="10">
        <v>206</v>
      </c>
      <c r="E4930" t="s" s="10">
        <v>634</v>
      </c>
      <c r="F4930" s="27">
        <v>46207</v>
      </c>
      <c r="G4930" t="s" s="10">
        <v>2051</v>
      </c>
      <c r="H4930" t="s" s="42">
        <v>30</v>
      </c>
      <c r="I4930" t="s" s="42">
        <v>30</v>
      </c>
      <c r="J4930" t="s" s="10">
        <v>24876</v>
      </c>
      <c r="K4930" t="s" s="10">
        <v>30</v>
      </c>
      <c r="L4930" s="16">
        <f>HYPERLINK("http://www.faire.ai", "www.faire.ai")</f>
      </c>
      <c r="M4930" s="16">
        <f>HYPERLINK("https://my.pitchbook.com?c=442767-16", "View Company Online")</f>
      </c>
    </row>
    <row r="4931">
      <c r="A4931" t="s" s="11">
        <v>24878</v>
      </c>
      <c r="B4931" t="s" s="11">
        <v>24879</v>
      </c>
      <c r="C4931" t="s" s="11">
        <v>172</v>
      </c>
      <c r="D4931" t="s" s="11">
        <v>338</v>
      </c>
      <c r="E4931" t="s" s="11">
        <v>373</v>
      </c>
      <c r="F4931" s="28">
        <v>46023</v>
      </c>
      <c r="G4931" t="s" s="11">
        <v>40</v>
      </c>
      <c r="H4931" t="s" s="43">
        <v>30</v>
      </c>
      <c r="I4931" t="s" s="43">
        <v>30</v>
      </c>
      <c r="J4931" t="s" s="11">
        <v>24880</v>
      </c>
      <c r="K4931" t="s" s="11">
        <v>24881</v>
      </c>
      <c r="L4931" s="17">
        <f>HYPERLINK("http://www.asenion.ai", "www.asenion.ai")</f>
      </c>
      <c r="M4931" s="17">
        <f>HYPERLINK("https://my.pitchbook.com?c=454726-18", "View Company Online")</f>
      </c>
    </row>
    <row r="4932">
      <c r="A4932" t="s" s="10">
        <v>24883</v>
      </c>
      <c r="B4932" t="s" s="10">
        <v>24884</v>
      </c>
      <c r="C4932" t="s" s="10">
        <v>37</v>
      </c>
      <c r="D4932" t="s" s="10">
        <v>38</v>
      </c>
      <c r="E4932" t="s" s="10">
        <v>193</v>
      </c>
      <c r="F4932" s="27">
        <v>45974</v>
      </c>
      <c r="G4932" t="s" s="10">
        <v>40</v>
      </c>
      <c r="H4932" t="s" s="42">
        <v>30</v>
      </c>
      <c r="I4932" t="s" s="42">
        <v>30</v>
      </c>
      <c r="J4932" t="s" s="10">
        <v>24885</v>
      </c>
      <c r="K4932" t="s" s="10">
        <v>24886</v>
      </c>
      <c r="L4932" s="16">
        <f>HYPERLINK("http://fairmoney.io", "fairmoney.io")</f>
      </c>
      <c r="M4932" s="16">
        <f>HYPERLINK("https://my.pitchbook.com?c=231098-14", "View Company Online")</f>
      </c>
    </row>
    <row r="4933">
      <c r="A4933" t="s" s="11">
        <v>24888</v>
      </c>
      <c r="B4933" t="s" s="11">
        <v>24889</v>
      </c>
      <c r="C4933" t="s" s="11">
        <v>114</v>
      </c>
      <c r="D4933" t="s" s="11">
        <v>852</v>
      </c>
      <c r="E4933" t="s" s="11">
        <v>137</v>
      </c>
      <c r="F4933" s="28">
        <v>45594</v>
      </c>
      <c r="G4933" t="s" s="11">
        <v>31</v>
      </c>
      <c r="H4933" s="43">
        <v>35.64</v>
      </c>
      <c r="I4933" t="s" s="43">
        <v>30</v>
      </c>
      <c r="J4933" t="s" s="11">
        <v>24890</v>
      </c>
      <c r="K4933" t="s" s="11">
        <v>24891</v>
      </c>
      <c r="L4933" s="17">
        <f>HYPERLINK("http://www.getfairplay.com", "www.getfairplay.com")</f>
      </c>
      <c r="M4933" s="17">
        <f>HYPERLINK("https://my.pitchbook.com?c=433900-99", "View Company Online")</f>
      </c>
    </row>
    <row r="4934">
      <c r="A4934" t="s" s="10">
        <v>24893</v>
      </c>
      <c r="B4934" t="s" s="10">
        <v>24894</v>
      </c>
      <c r="C4934" t="s" s="10">
        <v>128</v>
      </c>
      <c r="D4934" t="s" s="10">
        <v>129</v>
      </c>
      <c r="E4934" t="s" s="10">
        <v>24895</v>
      </c>
      <c r="F4934" s="27">
        <v>46023</v>
      </c>
      <c r="G4934" t="s" s="10">
        <v>607</v>
      </c>
      <c r="H4934" t="s" s="42">
        <v>30</v>
      </c>
      <c r="I4934" t="s" s="42">
        <v>30</v>
      </c>
      <c r="J4934" t="s" s="10">
        <v>24896</v>
      </c>
      <c r="K4934" t="s" s="10">
        <v>24897</v>
      </c>
      <c r="L4934" s="16">
        <f>HYPERLINK("http://www.fairytech.ai", "www.fairytech.ai")</f>
      </c>
      <c r="M4934" s="16">
        <f>HYPERLINK("https://my.pitchbook.com?c=503985-43", "View Company Online")</f>
      </c>
    </row>
    <row r="4935">
      <c r="A4935" t="s" s="11">
        <v>24899</v>
      </c>
      <c r="B4935" t="s" s="11">
        <v>24900</v>
      </c>
      <c r="C4935" t="s" s="11">
        <v>60</v>
      </c>
      <c r="D4935" t="s" s="11">
        <v>727</v>
      </c>
      <c r="E4935" t="s" s="11">
        <v>629</v>
      </c>
      <c r="F4935" s="28">
        <v>45357</v>
      </c>
      <c r="G4935" t="s" s="11">
        <v>146</v>
      </c>
      <c r="H4935" t="s" s="43">
        <v>30</v>
      </c>
      <c r="I4935" t="s" s="43">
        <v>30</v>
      </c>
      <c r="J4935" t="s" s="11">
        <v>24901</v>
      </c>
      <c r="K4935" t="s" s="11">
        <v>24902</v>
      </c>
      <c r="L4935" s="17">
        <f>HYPERLINK("http://www.fantium.com", "www.fantium.com")</f>
      </c>
      <c r="M4935" s="17">
        <f>HYPERLINK("https://my.pitchbook.com?c=510357-88", "View Company Online")</f>
      </c>
    </row>
    <row r="4936">
      <c r="A4936" t="s" s="10">
        <v>24904</v>
      </c>
      <c r="B4936" t="s" s="10">
        <v>24905</v>
      </c>
      <c r="C4936" t="s" s="10">
        <v>60</v>
      </c>
      <c r="D4936" t="s" s="10">
        <v>727</v>
      </c>
      <c r="E4936" t="s" s="10">
        <v>270</v>
      </c>
      <c r="F4936" s="27">
        <v>44561</v>
      </c>
      <c r="G4936" t="s" s="10">
        <v>5274</v>
      </c>
      <c r="H4936" s="42">
        <v>0.72</v>
      </c>
      <c r="I4936" t="s" s="42">
        <v>30</v>
      </c>
      <c r="J4936" t="s" s="10">
        <v>24906</v>
      </c>
      <c r="K4936" t="s" s="10">
        <v>24907</v>
      </c>
      <c r="L4936" s="16">
        <f>HYPERLINK("http://www.fanvestor.com", "www.fanvestor.com")</f>
      </c>
      <c r="M4936" s="16">
        <f>HYPERLINK("https://my.pitchbook.com?c=439429-42", "View Company Online")</f>
      </c>
    </row>
    <row r="4937">
      <c r="A4937" t="s" s="11">
        <v>24909</v>
      </c>
      <c r="B4937" t="s" s="11">
        <v>24910</v>
      </c>
      <c r="C4937" t="s" s="11">
        <v>114</v>
      </c>
      <c r="D4937" t="s" s="11">
        <v>1386</v>
      </c>
      <c r="E4937" t="s" s="11">
        <v>270</v>
      </c>
      <c r="F4937" s="28">
        <v>45017</v>
      </c>
      <c r="G4937" t="s" s="11">
        <v>48</v>
      </c>
      <c r="H4937" t="s" s="43">
        <v>30</v>
      </c>
      <c r="I4937" t="s" s="43">
        <v>30</v>
      </c>
      <c r="J4937" t="s" s="11">
        <v>24911</v>
      </c>
      <c r="K4937" t="s" s="11">
        <v>24912</v>
      </c>
      <c r="L4937" s="17">
        <f>HYPERLINK("http://www.farmdrive.co", "www.farmdrive.co")</f>
      </c>
      <c r="M4937" s="17">
        <f>HYPERLINK("https://my.pitchbook.com?c=170705-71", "View Company Online")</f>
      </c>
    </row>
    <row r="4938">
      <c r="A4938" t="s" s="10">
        <v>24914</v>
      </c>
      <c r="B4938" t="s" s="10">
        <v>24915</v>
      </c>
      <c r="C4938" t="s" s="10">
        <v>222</v>
      </c>
      <c r="D4938" t="s" s="10">
        <v>235</v>
      </c>
      <c r="E4938" t="s" s="10">
        <v>7575</v>
      </c>
      <c r="F4938" s="27">
        <v>44530</v>
      </c>
      <c r="G4938" t="s" s="10">
        <v>4267</v>
      </c>
      <c r="H4938" s="42">
        <v>1.96</v>
      </c>
      <c r="I4938" t="s" s="42">
        <v>30</v>
      </c>
      <c r="J4938" t="s" s="10">
        <v>24916</v>
      </c>
      <c r="K4938" t="s" s="10">
        <v>30</v>
      </c>
      <c r="L4938" s="16">
        <f>HYPERLINK("http://www.farmfundr.com", "www.farmfundr.com")</f>
      </c>
      <c r="M4938" s="16">
        <f>HYPERLINK("https://my.pitchbook.com?c=452764-72", "View Company Online")</f>
      </c>
    </row>
    <row r="4939">
      <c r="A4939" t="s" s="11">
        <v>24918</v>
      </c>
      <c r="B4939" t="s" s="11">
        <v>24919</v>
      </c>
      <c r="C4939" t="s" s="11">
        <v>46</v>
      </c>
      <c r="D4939" t="s" s="11">
        <v>915</v>
      </c>
      <c r="E4939" t="s" s="11">
        <v>373</v>
      </c>
      <c r="F4939" s="28">
        <v>46065</v>
      </c>
      <c r="G4939" t="s" s="11">
        <v>40</v>
      </c>
      <c r="H4939" s="43">
        <v>7.2</v>
      </c>
      <c r="I4939" t="s" s="43">
        <v>30</v>
      </c>
      <c r="J4939" t="s" s="11">
        <v>24920</v>
      </c>
      <c r="K4939" t="s" s="11">
        <v>24921</v>
      </c>
      <c r="L4939" s="17">
        <f>HYPERLINK("http://www.farseer.com", "www.farseer.com")</f>
      </c>
      <c r="M4939" s="17">
        <f>HYPERLINK("https://my.pitchbook.com?c=467074-27", "View Company Online")</f>
      </c>
    </row>
    <row r="4940">
      <c r="A4940" t="s" s="10">
        <v>24923</v>
      </c>
      <c r="B4940" t="s" s="10">
        <v>24924</v>
      </c>
      <c r="C4940" t="s" s="10">
        <v>46</v>
      </c>
      <c r="D4940" t="s" s="10">
        <v>47</v>
      </c>
      <c r="E4940" t="s" s="10">
        <v>253</v>
      </c>
      <c r="F4940" s="27">
        <v>44986</v>
      </c>
      <c r="G4940" t="s" s="10">
        <v>146</v>
      </c>
      <c r="H4940" t="s" s="42">
        <v>30</v>
      </c>
      <c r="I4940" t="s" s="42">
        <v>30</v>
      </c>
      <c r="J4940" t="s" s="10">
        <v>24925</v>
      </c>
      <c r="K4940" t="s" s="10">
        <v>24926</v>
      </c>
      <c r="L4940" s="16">
        <f>HYPERLINK("http://www.fauree.com", "www.fauree.com")</f>
      </c>
      <c r="M4940" s="16">
        <f>HYPERLINK("https://my.pitchbook.com?c=522340-21", "View Company Online")</f>
      </c>
    </row>
    <row r="4941">
      <c r="A4941" t="s" s="11">
        <v>24928</v>
      </c>
      <c r="B4941" t="s" s="11">
        <v>24929</v>
      </c>
      <c r="C4941" t="s" s="11">
        <v>27</v>
      </c>
      <c r="D4941" t="s" s="11">
        <v>28</v>
      </c>
      <c r="E4941" t="s" s="11">
        <v>253</v>
      </c>
      <c r="F4941" s="28">
        <v>45051</v>
      </c>
      <c r="G4941" t="s" s="11">
        <v>4267</v>
      </c>
      <c r="H4941" t="s" s="43">
        <v>30</v>
      </c>
      <c r="I4941" t="s" s="43">
        <v>30</v>
      </c>
      <c r="J4941" t="s" s="11">
        <v>24930</v>
      </c>
      <c r="K4941" t="s" s="11">
        <v>24931</v>
      </c>
      <c r="L4941" s="17">
        <f>HYPERLINK("http://www.fawaterk.com", "www.fawaterk.com")</f>
      </c>
      <c r="M4941" s="17">
        <f>HYPERLINK("https://my.pitchbook.com?c=312904-63", "View Company Online")</f>
      </c>
    </row>
    <row r="4942">
      <c r="A4942" t="s" s="10">
        <v>24933</v>
      </c>
      <c r="B4942" t="s" s="10">
        <v>24934</v>
      </c>
      <c r="C4942" t="s" s="10">
        <v>144</v>
      </c>
      <c r="D4942" t="s" s="10">
        <v>38</v>
      </c>
      <c r="E4942" t="s" s="10">
        <v>253</v>
      </c>
      <c r="F4942" s="27">
        <v>46240</v>
      </c>
      <c r="G4942" t="s" s="10">
        <v>40</v>
      </c>
      <c r="H4942" s="42">
        <v>12.5</v>
      </c>
      <c r="I4942" t="s" s="42">
        <v>30</v>
      </c>
      <c r="J4942" t="s" s="10">
        <v>24935</v>
      </c>
      <c r="K4942" t="s" s="10">
        <v>24936</v>
      </c>
      <c r="L4942" s="16">
        <f>HYPERLINK("http://www.fazz.com", "www.fazz.com")</f>
      </c>
      <c r="M4942" s="16">
        <f>HYPERLINK("https://my.pitchbook.com?c=462652-66", "View Company Online")</f>
      </c>
    </row>
    <row r="4943">
      <c r="A4943" t="s" s="11">
        <v>24938</v>
      </c>
      <c r="B4943" t="s" s="11">
        <v>24939</v>
      </c>
      <c r="C4943" t="s" s="11">
        <v>46</v>
      </c>
      <c r="D4943" t="s" s="11">
        <v>397</v>
      </c>
      <c r="E4943" t="s" s="11">
        <v>4751</v>
      </c>
      <c r="F4943" s="28">
        <v>45749</v>
      </c>
      <c r="G4943" t="s" s="11">
        <v>40</v>
      </c>
      <c r="H4943" s="43">
        <v>0.26</v>
      </c>
      <c r="I4943" t="s" s="43">
        <v>30</v>
      </c>
      <c r="J4943" t="s" s="11">
        <v>24940</v>
      </c>
      <c r="K4943" t="s" s="11">
        <v>24941</v>
      </c>
      <c r="L4943" s="17">
        <f>HYPERLINK("http://www.fdintelligence.co.uk", "www.fdintelligence.co.uk")</f>
      </c>
      <c r="M4943" s="17">
        <f>HYPERLINK("https://my.pitchbook.com?c=633108-88", "View Company Online")</f>
      </c>
    </row>
    <row r="4944">
      <c r="A4944" t="s" s="10">
        <v>24943</v>
      </c>
      <c r="B4944" t="s" s="10">
        <v>24944</v>
      </c>
      <c r="C4944" t="s" s="10">
        <v>27</v>
      </c>
      <c r="D4944" t="s" s="10">
        <v>28</v>
      </c>
      <c r="E4944" t="s" s="10">
        <v>951</v>
      </c>
      <c r="F4944" s="27">
        <v>45717</v>
      </c>
      <c r="G4944" t="s" s="10">
        <v>146</v>
      </c>
      <c r="H4944" t="s" s="42">
        <v>30</v>
      </c>
      <c r="I4944" t="s" s="42">
        <v>30</v>
      </c>
      <c r="J4944" t="s" s="10">
        <v>24945</v>
      </c>
      <c r="K4944" t="s" s="10">
        <v>24946</v>
      </c>
      <c r="L4944" s="16">
        <f>HYPERLINK("http://www.allfeather.com", "www.allfeather.com")</f>
      </c>
      <c r="M4944" s="16">
        <f>HYPERLINK("https://my.pitchbook.com?c=762536-53", "View Company Online")</f>
      </c>
    </row>
    <row r="4945">
      <c r="A4945" t="s" s="11">
        <v>24948</v>
      </c>
      <c r="B4945" t="s" s="11">
        <v>24949</v>
      </c>
      <c r="C4945" t="s" s="11">
        <v>27</v>
      </c>
      <c r="D4945" t="s" s="11">
        <v>28</v>
      </c>
      <c r="E4945" t="s" s="11">
        <v>270</v>
      </c>
      <c r="F4945" s="28">
        <v>45754</v>
      </c>
      <c r="G4945" t="s" s="11">
        <v>4267</v>
      </c>
      <c r="H4945" s="43">
        <v>0.3</v>
      </c>
      <c r="I4945" t="s" s="43">
        <v>30</v>
      </c>
      <c r="J4945" t="s" s="11">
        <v>24950</v>
      </c>
      <c r="K4945" t="s" s="11">
        <v>30</v>
      </c>
      <c r="L4945" s="17">
        <f>HYPERLINK("http://www.feesolution.com", "www.feesolution.com")</f>
      </c>
      <c r="M4945" s="17">
        <f>HYPERLINK("https://my.pitchbook.com?c=772594-12", "View Company Online")</f>
      </c>
    </row>
    <row r="4946">
      <c r="A4946" t="s" s="10">
        <v>24952</v>
      </c>
      <c r="B4946" t="s" s="10">
        <v>24953</v>
      </c>
      <c r="C4946" t="s" s="10">
        <v>60</v>
      </c>
      <c r="D4946" t="s" s="10">
        <v>246</v>
      </c>
      <c r="E4946" t="s" s="10">
        <v>1054</v>
      </c>
      <c r="F4946" s="27">
        <v>43006</v>
      </c>
      <c r="G4946" t="s" s="10">
        <v>40</v>
      </c>
      <c r="H4946" s="42">
        <v>200</v>
      </c>
      <c r="I4946" t="s" s="42">
        <v>30</v>
      </c>
      <c r="J4946" t="s" s="10">
        <v>24954</v>
      </c>
      <c r="K4946" t="s" s="10">
        <v>24955</v>
      </c>
      <c r="L4946" s="16">
        <f>HYPERLINK("http://www.sui.com", "www.sui.com")</f>
      </c>
      <c r="M4946" s="16">
        <f>HYPERLINK("https://my.pitchbook.com?c=84575-62", "View Company Online")</f>
      </c>
    </row>
    <row r="4947">
      <c r="A4947" t="s" s="11">
        <v>24957</v>
      </c>
      <c r="B4947" t="s" s="11">
        <v>24958</v>
      </c>
      <c r="C4947" t="s" s="11">
        <v>222</v>
      </c>
      <c r="D4947" t="s" s="11">
        <v>235</v>
      </c>
      <c r="E4947" t="s" s="11">
        <v>116</v>
      </c>
      <c r="F4947" t="s" s="28">
        <v>30</v>
      </c>
      <c r="G4947" t="s" s="11">
        <v>146</v>
      </c>
      <c r="H4947" t="s" s="43">
        <v>30</v>
      </c>
      <c r="I4947" t="s" s="43">
        <v>30</v>
      </c>
      <c r="J4947" t="s" s="11">
        <v>24959</v>
      </c>
      <c r="K4947" t="s" s="11">
        <v>24960</v>
      </c>
      <c r="L4947" s="17">
        <f>HYPERLINK("http://www.fellowfunders.es", "www.fellowfunders.es")</f>
      </c>
      <c r="M4947" s="17">
        <f>HYPERLINK("https://my.pitchbook.com?c=185391-82", "View Company Online")</f>
      </c>
    </row>
    <row r="4948">
      <c r="A4948" t="s" s="10">
        <v>24962</v>
      </c>
      <c r="B4948" t="s" s="10">
        <v>24963</v>
      </c>
      <c r="C4948" t="s" s="10">
        <v>114</v>
      </c>
      <c r="D4948" t="s" s="10">
        <v>136</v>
      </c>
      <c r="E4948" t="s" s="10">
        <v>629</v>
      </c>
      <c r="F4948" s="27">
        <v>46141</v>
      </c>
      <c r="G4948" t="s" s="10">
        <v>146</v>
      </c>
      <c r="H4948" s="42">
        <v>50</v>
      </c>
      <c r="I4948" t="s" s="42">
        <v>30</v>
      </c>
      <c r="J4948" t="s" s="10">
        <v>24964</v>
      </c>
      <c r="K4948" t="s" s="10">
        <v>24965</v>
      </c>
      <c r="L4948" s="16">
        <f>HYPERLINK("http://www.fence.finance", "www.fence.finance")</f>
      </c>
      <c r="M4948" s="16">
        <f>HYPERLINK("https://my.pitchbook.com?c=535466-62", "View Company Online")</f>
      </c>
    </row>
    <row r="4949">
      <c r="A4949" t="s" s="11">
        <v>24967</v>
      </c>
      <c r="B4949" t="s" s="11">
        <v>24968</v>
      </c>
      <c r="C4949" t="s" s="11">
        <v>114</v>
      </c>
      <c r="D4949" t="s" s="11">
        <v>852</v>
      </c>
      <c r="E4949" t="s" s="11">
        <v>2152</v>
      </c>
      <c r="F4949" s="28">
        <v>43271</v>
      </c>
      <c r="G4949" t="s" s="11">
        <v>4267</v>
      </c>
      <c r="H4949" s="43">
        <v>7.8</v>
      </c>
      <c r="I4949" t="s" s="43">
        <v>30</v>
      </c>
      <c r="J4949" t="s" s="11">
        <v>24969</v>
      </c>
      <c r="K4949" t="s" s="11">
        <v>24970</v>
      </c>
      <c r="L4949" t="s" s="11">
        <v>30</v>
      </c>
      <c r="M4949" s="17">
        <f>HYPERLINK("https://my.pitchbook.com?c=433422-19", "View Company Online")</f>
      </c>
    </row>
    <row r="4950">
      <c r="A4950" t="s" s="10">
        <v>24971</v>
      </c>
      <c r="B4950" t="s" s="10">
        <v>24972</v>
      </c>
      <c r="C4950" t="s" s="10">
        <v>60</v>
      </c>
      <c r="D4950" t="s" s="10">
        <v>61</v>
      </c>
      <c r="E4950" t="s" s="10">
        <v>270</v>
      </c>
      <c r="F4950" s="27">
        <v>45082</v>
      </c>
      <c r="G4950" t="s" s="10">
        <v>4267</v>
      </c>
      <c r="H4950" s="42">
        <v>3.5</v>
      </c>
      <c r="I4950" t="s" s="42">
        <v>30</v>
      </c>
      <c r="J4950" t="s" s="10">
        <v>24973</v>
      </c>
      <c r="K4950" t="s" s="10">
        <v>24974</v>
      </c>
      <c r="L4950" s="16">
        <f>HYPERLINK("http://www.fennel.com", "www.fennel.com")</f>
      </c>
      <c r="M4950" s="16">
        <f>HYPERLINK("https://my.pitchbook.com?c=513351-64", "View Company Online")</f>
      </c>
    </row>
    <row r="4951">
      <c r="A4951" t="s" s="11">
        <v>24976</v>
      </c>
      <c r="B4951" t="s" s="11">
        <v>24977</v>
      </c>
      <c r="C4951" t="s" s="11">
        <v>172</v>
      </c>
      <c r="D4951" t="s" s="11">
        <v>338</v>
      </c>
      <c r="E4951" t="s" s="11">
        <v>373</v>
      </c>
      <c r="F4951" s="28">
        <v>46113</v>
      </c>
      <c r="G4951" t="s" s="11">
        <v>146</v>
      </c>
      <c r="H4951" s="43">
        <v>3</v>
      </c>
      <c r="I4951" t="s" s="43">
        <v>30</v>
      </c>
      <c r="J4951" t="s" s="11">
        <v>24978</v>
      </c>
      <c r="K4951" t="s" s="11">
        <v>24979</v>
      </c>
      <c r="L4951" s="17">
        <f>HYPERLINK("http://www.fenrock.ai", "www.fenrock.ai")</f>
      </c>
      <c r="M4951" s="17">
        <f>HYPERLINK("https://my.pitchbook.com?c=1305225-28", "View Company Online")</f>
      </c>
    </row>
    <row r="4952">
      <c r="A4952" t="s" s="10">
        <v>24981</v>
      </c>
      <c r="B4952" t="s" s="10">
        <v>24982</v>
      </c>
      <c r="C4952" t="s" s="10">
        <v>114</v>
      </c>
      <c r="D4952" t="s" s="10">
        <v>852</v>
      </c>
      <c r="E4952" t="s" s="10">
        <v>22859</v>
      </c>
      <c r="F4952" s="27">
        <v>45838</v>
      </c>
      <c r="G4952" t="s" s="10">
        <v>31</v>
      </c>
      <c r="H4952" s="42">
        <v>550</v>
      </c>
      <c r="I4952" t="s" s="42">
        <v>30</v>
      </c>
      <c r="J4952" t="s" s="10">
        <v>24983</v>
      </c>
      <c r="K4952" t="s" s="10">
        <v>24984</v>
      </c>
      <c r="L4952" s="16">
        <f>HYPERLINK("http://www.ferodrinks.com", "www.ferodrinks.com")</f>
      </c>
      <c r="M4952" s="16">
        <f>HYPERLINK("https://my.pitchbook.com?c=510251-59", "View Company Online")</f>
      </c>
    </row>
    <row r="4953">
      <c r="A4953" t="s" s="11">
        <v>24986</v>
      </c>
      <c r="B4953" t="s" s="11">
        <v>24987</v>
      </c>
      <c r="C4953" t="s" s="11">
        <v>27</v>
      </c>
      <c r="D4953" t="s" s="11">
        <v>28</v>
      </c>
      <c r="E4953" t="s" s="11">
        <v>414</v>
      </c>
      <c r="F4953" s="28">
        <v>45198</v>
      </c>
      <c r="G4953" t="s" s="11">
        <v>4267</v>
      </c>
      <c r="H4953" s="43">
        <v>3</v>
      </c>
      <c r="I4953" t="s" s="43">
        <v>30</v>
      </c>
      <c r="J4953" t="s" s="11">
        <v>24988</v>
      </c>
      <c r="K4953" t="s" s="11">
        <v>24989</v>
      </c>
      <c r="L4953" s="17">
        <f>HYPERLINK("http://www.fero.com", "www.fero.com")</f>
      </c>
      <c r="M4953" s="17">
        <f>HYPERLINK("https://my.pitchbook.com?c=527746-87", "View Company Online")</f>
      </c>
    </row>
    <row r="4954">
      <c r="A4954" t="s" s="10">
        <v>24991</v>
      </c>
      <c r="B4954" t="s" s="10">
        <v>24992</v>
      </c>
      <c r="C4954" t="s" s="10">
        <v>27</v>
      </c>
      <c r="D4954" t="s" s="10">
        <v>28</v>
      </c>
      <c r="E4954" t="s" s="10">
        <v>859</v>
      </c>
      <c r="F4954" s="27">
        <v>45308</v>
      </c>
      <c r="G4954" t="s" s="10">
        <v>4267</v>
      </c>
      <c r="H4954" s="42">
        <v>1.5</v>
      </c>
      <c r="I4954" t="s" s="42">
        <v>30</v>
      </c>
      <c r="J4954" t="s" s="10">
        <v>24993</v>
      </c>
      <c r="K4954" t="s" s="10">
        <v>24994</v>
      </c>
      <c r="L4954" s="16">
        <f>HYPERLINK("http://www.fetcch.xyz", "www.fetcch.xyz")</f>
      </c>
      <c r="M4954" s="16">
        <f>HYPERLINK("https://my.pitchbook.com?c=519858-01", "View Company Online")</f>
      </c>
    </row>
    <row r="4955">
      <c r="A4955" t="s" s="11">
        <v>24996</v>
      </c>
      <c r="B4955" t="s" s="11">
        <v>24997</v>
      </c>
      <c r="C4955" t="s" s="11">
        <v>46</v>
      </c>
      <c r="D4955" t="s" s="11">
        <v>915</v>
      </c>
      <c r="E4955" t="s" s="11">
        <v>24998</v>
      </c>
      <c r="F4955" s="28">
        <v>45321</v>
      </c>
      <c r="G4955" t="s" s="11">
        <v>40</v>
      </c>
      <c r="H4955" t="s" s="43">
        <v>30</v>
      </c>
      <c r="I4955" t="s" s="43">
        <v>30</v>
      </c>
      <c r="J4955" t="s" s="11">
        <v>24999</v>
      </c>
      <c r="K4955" t="s" s="11">
        <v>25000</v>
      </c>
      <c r="L4955" s="17">
        <f>HYPERLINK("http://www.fiable.com.au", "www.fiable.com.au")</f>
      </c>
      <c r="M4955" s="17">
        <f>HYPERLINK("https://my.pitchbook.com?c=267729-40", "View Company Online")</f>
      </c>
    </row>
    <row r="4956">
      <c r="A4956" t="s" s="10">
        <v>25002</v>
      </c>
      <c r="B4956" t="s" s="10">
        <v>25003</v>
      </c>
      <c r="C4956" t="s" s="10">
        <v>46</v>
      </c>
      <c r="D4956" t="s" s="10">
        <v>397</v>
      </c>
      <c r="E4956" t="s" s="10">
        <v>1349</v>
      </c>
      <c r="F4956" t="s" s="27">
        <v>30</v>
      </c>
      <c r="G4956" t="s" s="10">
        <v>146</v>
      </c>
      <c r="H4956" t="s" s="42">
        <v>30</v>
      </c>
      <c r="I4956" t="s" s="42">
        <v>30</v>
      </c>
      <c r="J4956" t="s" s="10">
        <v>25004</v>
      </c>
      <c r="K4956" t="s" s="10">
        <v>25005</v>
      </c>
      <c r="L4956" s="16">
        <f>HYPERLINK("http://www.fibotax.com", "www.fibotax.com")</f>
      </c>
      <c r="M4956" s="16">
        <f>HYPERLINK("https://my.pitchbook.com?c=436211-20", "View Company Online")</f>
      </c>
    </row>
    <row r="4957">
      <c r="A4957" t="s" s="11">
        <v>25007</v>
      </c>
      <c r="B4957" t="s" s="11">
        <v>25008</v>
      </c>
      <c r="C4957" t="s" s="11">
        <v>222</v>
      </c>
      <c r="D4957" t="s" s="11">
        <v>252</v>
      </c>
      <c r="E4957" t="s" s="11">
        <v>634</v>
      </c>
      <c r="F4957" s="28">
        <v>46173</v>
      </c>
      <c r="G4957" t="s" s="11">
        <v>2051</v>
      </c>
      <c r="H4957" t="s" s="43">
        <v>30</v>
      </c>
      <c r="I4957" t="s" s="43">
        <v>30</v>
      </c>
      <c r="J4957" t="s" s="11">
        <v>25009</v>
      </c>
      <c r="K4957" t="s" s="11">
        <v>30</v>
      </c>
      <c r="L4957" s="17">
        <f>HYPERLINK("http://www.ficc.ai", "www.ficc.ai")</f>
      </c>
      <c r="M4957" s="17">
        <f>HYPERLINK("https://my.pitchbook.com?c=484032-34", "View Company Online")</f>
      </c>
    </row>
    <row r="4958">
      <c r="A4958" t="s" s="10">
        <v>25011</v>
      </c>
      <c r="B4958" t="s" s="10">
        <v>25012</v>
      </c>
      <c r="C4958" t="s" s="10">
        <v>46</v>
      </c>
      <c r="D4958" t="s" s="10">
        <v>397</v>
      </c>
      <c r="E4958" t="s" s="10">
        <v>137</v>
      </c>
      <c r="F4958" s="27">
        <v>45390</v>
      </c>
      <c r="G4958" t="s" s="10">
        <v>40</v>
      </c>
      <c r="H4958" s="42">
        <v>10.86</v>
      </c>
      <c r="I4958" t="s" s="42">
        <v>30</v>
      </c>
      <c r="J4958" t="s" s="10">
        <v>25013</v>
      </c>
      <c r="K4958" t="s" s="10">
        <v>30</v>
      </c>
      <c r="L4958" s="16">
        <f>HYPERLINK("http://www.fichorga.fr", "www.fichorga.fr")</f>
      </c>
      <c r="M4958" s="16">
        <f>HYPERLINK("https://my.pitchbook.com?c=207692-20", "View Company Online")</f>
      </c>
    </row>
    <row r="4959">
      <c r="A4959" t="s" s="11">
        <v>25015</v>
      </c>
      <c r="B4959" t="s" s="11">
        <v>25016</v>
      </c>
      <c r="C4959" t="s" s="11">
        <v>114</v>
      </c>
      <c r="D4959" t="s" s="11">
        <v>136</v>
      </c>
      <c r="E4959" t="s" s="11">
        <v>137</v>
      </c>
      <c r="F4959" s="28">
        <v>46071</v>
      </c>
      <c r="G4959" t="s" s="11">
        <v>31</v>
      </c>
      <c r="H4959" s="43">
        <v>5.5</v>
      </c>
      <c r="I4959" t="s" s="43">
        <v>30</v>
      </c>
      <c r="J4959" t="s" s="11">
        <v>25017</v>
      </c>
      <c r="K4959" t="s" s="11">
        <v>25018</v>
      </c>
      <c r="L4959" s="17">
        <f>HYPERLINK("http://gh.fido.money", "gh.fido.money")</f>
      </c>
      <c r="M4959" s="17">
        <f>HYPERLINK("https://my.pitchbook.com?c=147941-47", "View Company Online")</f>
      </c>
    </row>
    <row r="4960">
      <c r="A4960" t="s" s="10">
        <v>25020</v>
      </c>
      <c r="B4960" t="s" s="10">
        <v>25021</v>
      </c>
      <c r="C4960" t="s" s="10">
        <v>144</v>
      </c>
      <c r="D4960" t="s" s="10">
        <v>297</v>
      </c>
      <c r="E4960" t="s" s="10">
        <v>137</v>
      </c>
      <c r="F4960" s="27">
        <v>44214</v>
      </c>
      <c r="G4960" t="s" s="10">
        <v>4267</v>
      </c>
      <c r="H4960" s="42">
        <v>0.09</v>
      </c>
      <c r="I4960" t="s" s="42">
        <v>30</v>
      </c>
      <c r="J4960" t="s" s="10">
        <v>25022</v>
      </c>
      <c r="K4960" t="s" s="10">
        <v>22855</v>
      </c>
      <c r="L4960" s="16">
        <f>HYPERLINK("http://www.fidutrade.com", "www.fidutrade.com")</f>
      </c>
      <c r="M4960" s="16">
        <f>HYPERLINK("https://my.pitchbook.com?c=496470-61", "View Company Online")</f>
      </c>
    </row>
    <row r="4961">
      <c r="A4961" t="s" s="11">
        <v>25024</v>
      </c>
      <c r="B4961" t="s" s="11">
        <v>25025</v>
      </c>
      <c r="C4961" t="s" s="11">
        <v>60</v>
      </c>
      <c r="D4961" t="s" s="11">
        <v>432</v>
      </c>
      <c r="E4961" t="s" s="11">
        <v>2824</v>
      </c>
      <c r="F4961" s="28">
        <v>45825</v>
      </c>
      <c r="G4961" t="s" s="11">
        <v>40</v>
      </c>
      <c r="H4961" t="s" s="43">
        <v>30</v>
      </c>
      <c r="I4961" t="s" s="43">
        <v>30</v>
      </c>
      <c r="J4961" t="s" s="11">
        <v>25026</v>
      </c>
      <c r="K4961" t="s" s="11">
        <v>25027</v>
      </c>
      <c r="L4961" s="17">
        <f>HYPERLINK("http://www.fidx.io", "www.fidx.io")</f>
      </c>
      <c r="M4961" s="17">
        <f>HYPERLINK("https://my.pitchbook.com?c=459567-82", "View Company Online")</f>
      </c>
    </row>
    <row r="4962">
      <c r="A4962" t="s" s="10">
        <v>25029</v>
      </c>
      <c r="B4962" t="s" s="10">
        <v>25030</v>
      </c>
      <c r="C4962" t="s" s="10">
        <v>46</v>
      </c>
      <c r="D4962" t="s" s="10">
        <v>78</v>
      </c>
      <c r="E4962" t="s" s="10">
        <v>253</v>
      </c>
      <c r="F4962" s="27">
        <v>45870</v>
      </c>
      <c r="G4962" t="s" s="10">
        <v>146</v>
      </c>
      <c r="H4962" t="s" s="42">
        <v>30</v>
      </c>
      <c r="I4962" t="s" s="42">
        <v>30</v>
      </c>
      <c r="J4962" t="s" s="10">
        <v>25031</v>
      </c>
      <c r="K4962" t="s" s="10">
        <v>25032</v>
      </c>
      <c r="L4962" s="16">
        <f>HYPERLINK("http://www.myfieldpay.com", "www.myfieldpay.com")</f>
      </c>
      <c r="M4962" s="16">
        <f>HYPERLINK("https://my.pitchbook.com?c=903149-47", "View Company Online")</f>
      </c>
    </row>
    <row r="4963">
      <c r="A4963" t="s" s="11">
        <v>25034</v>
      </c>
      <c r="B4963" t="s" s="11">
        <v>25035</v>
      </c>
      <c r="C4963" t="s" s="11">
        <v>60</v>
      </c>
      <c r="D4963" t="s" s="11">
        <v>192</v>
      </c>
      <c r="E4963" t="s" s="11">
        <v>253</v>
      </c>
      <c r="F4963" s="28">
        <v>45986</v>
      </c>
      <c r="G4963" t="s" s="11">
        <v>5274</v>
      </c>
      <c r="H4963" s="43">
        <v>1.45</v>
      </c>
      <c r="I4963" t="s" s="43">
        <v>30</v>
      </c>
      <c r="J4963" t="s" s="11">
        <v>25036</v>
      </c>
      <c r="K4963" t="s" s="11">
        <v>30</v>
      </c>
      <c r="L4963" s="17">
        <f>HYPERLINK("http://www.fifr.io", "www.fifr.io")</f>
      </c>
      <c r="M4963" s="17">
        <f>HYPERLINK("https://my.pitchbook.com?c=621860-68", "View Company Online")</f>
      </c>
    </row>
    <row r="4964">
      <c r="A4964" t="s" s="10">
        <v>25038</v>
      </c>
      <c r="B4964" t="s" s="10">
        <v>25039</v>
      </c>
      <c r="C4964" t="s" s="10">
        <v>46</v>
      </c>
      <c r="D4964" t="s" s="10">
        <v>397</v>
      </c>
      <c r="E4964" t="s" s="10">
        <v>137</v>
      </c>
      <c r="F4964" s="27">
        <v>45698</v>
      </c>
      <c r="G4964" t="s" s="10">
        <v>4267</v>
      </c>
      <c r="H4964" s="42">
        <v>8.25</v>
      </c>
      <c r="I4964" t="s" s="42">
        <v>30</v>
      </c>
      <c r="J4964" t="s" s="10">
        <v>25040</v>
      </c>
      <c r="K4964" t="s" s="10">
        <v>25041</v>
      </c>
      <c r="L4964" s="16">
        <f>HYPERLINK("http://www.fifteenth.com", "www.fifteenth.com")</f>
      </c>
      <c r="M4964" s="16">
        <f>HYPERLINK("https://my.pitchbook.com?c=640208-71", "View Company Online")</f>
      </c>
    </row>
    <row r="4965">
      <c r="A4965" t="s" s="11">
        <v>25043</v>
      </c>
      <c r="B4965" t="s" s="11">
        <v>25044</v>
      </c>
      <c r="C4965" t="s" s="11">
        <v>128</v>
      </c>
      <c r="D4965" t="s" s="11">
        <v>199</v>
      </c>
      <c r="E4965" t="s" s="11">
        <v>158</v>
      </c>
      <c r="F4965" s="28">
        <v>45427</v>
      </c>
      <c r="G4965" t="s" s="11">
        <v>607</v>
      </c>
      <c r="H4965" t="s" s="43">
        <v>30</v>
      </c>
      <c r="I4965" t="s" s="43">
        <v>30</v>
      </c>
      <c r="J4965" t="s" s="11">
        <v>25045</v>
      </c>
      <c r="K4965" t="s" s="11">
        <v>25046</v>
      </c>
      <c r="L4965" s="17">
        <f>HYPERLINK("http://www.fillipfleet.com", "www.fillipfleet.com")</f>
      </c>
      <c r="M4965" s="17">
        <f>HYPERLINK("https://my.pitchbook.com?c=431733-25", "View Company Online")</f>
      </c>
    </row>
    <row r="4966">
      <c r="A4966" t="s" s="10">
        <v>25048</v>
      </c>
      <c r="B4966" t="s" s="10">
        <v>25049</v>
      </c>
      <c r="C4966" t="s" s="10">
        <v>128</v>
      </c>
      <c r="D4966" t="s" s="10">
        <v>129</v>
      </c>
      <c r="E4966" t="s" s="10">
        <v>270</v>
      </c>
      <c r="F4966" s="27">
        <v>46206</v>
      </c>
      <c r="G4966" t="s" s="10">
        <v>2051</v>
      </c>
      <c r="H4966" t="s" s="42">
        <v>30</v>
      </c>
      <c r="I4966" t="s" s="42">
        <v>30</v>
      </c>
      <c r="J4966" t="s" s="10">
        <v>25050</v>
      </c>
      <c r="K4966" t="s" s="10">
        <v>30</v>
      </c>
      <c r="L4966" s="16">
        <f>HYPERLINK("http://www.filtroo.ai", "www.filtroo.ai")</f>
      </c>
      <c r="M4966" s="16">
        <f>HYPERLINK("https://my.pitchbook.com?c=547663-24", "View Company Online")</f>
      </c>
    </row>
    <row r="4967">
      <c r="A4967" t="s" s="11">
        <v>25052</v>
      </c>
      <c r="B4967" t="s" s="11">
        <v>25053</v>
      </c>
      <c r="C4967" t="s" s="11">
        <v>114</v>
      </c>
      <c r="D4967" t="s" s="11">
        <v>870</v>
      </c>
      <c r="E4967" t="s" s="11">
        <v>373</v>
      </c>
      <c r="F4967" s="28">
        <v>44902</v>
      </c>
      <c r="G4967" t="s" s="11">
        <v>4267</v>
      </c>
      <c r="H4967" s="43">
        <v>22</v>
      </c>
      <c r="I4967" t="s" s="43">
        <v>30</v>
      </c>
      <c r="J4967" t="s" s="11">
        <v>25054</v>
      </c>
      <c r="K4967" t="s" s="11">
        <v>25055</v>
      </c>
      <c r="L4967" s="17">
        <f>HYPERLINK("http://fin.africa", "fin.africa")</f>
      </c>
      <c r="M4967" s="17">
        <f>HYPERLINK("https://my.pitchbook.com?c=481293-01", "View Company Online")</f>
      </c>
    </row>
    <row r="4968">
      <c r="A4968" t="s" s="10">
        <v>25057</v>
      </c>
      <c r="B4968" t="s" s="10">
        <v>25058</v>
      </c>
      <c r="C4968" t="s" s="10">
        <v>27</v>
      </c>
      <c r="D4968" t="s" s="10">
        <v>28</v>
      </c>
      <c r="E4968" t="s" s="10">
        <v>270</v>
      </c>
      <c r="F4968" s="27">
        <v>46139</v>
      </c>
      <c r="G4968" t="s" s="10">
        <v>2051</v>
      </c>
      <c r="H4968" t="s" s="42">
        <v>30</v>
      </c>
      <c r="I4968" t="s" s="42">
        <v>30</v>
      </c>
      <c r="J4968" t="s" s="10">
        <v>25059</v>
      </c>
      <c r="K4968" t="s" s="10">
        <v>30</v>
      </c>
      <c r="L4968" s="16">
        <f>HYPERLINK("http://www.finpay.co", "www.finpay.co")</f>
      </c>
      <c r="M4968" s="16">
        <f>HYPERLINK("https://my.pitchbook.com?c=484201-81", "View Company Online")</f>
      </c>
    </row>
    <row r="4969">
      <c r="A4969" t="s" s="11">
        <v>25061</v>
      </c>
      <c r="B4969" t="s" s="11">
        <v>25062</v>
      </c>
      <c r="C4969" t="s" s="11">
        <v>27</v>
      </c>
      <c r="D4969" t="s" s="11">
        <v>70</v>
      </c>
      <c r="E4969" t="s" s="11">
        <v>2788</v>
      </c>
      <c r="F4969" s="28">
        <v>45644</v>
      </c>
      <c r="G4969" t="s" s="11">
        <v>607</v>
      </c>
      <c r="H4969" t="s" s="43">
        <v>30</v>
      </c>
      <c r="I4969" t="s" s="43">
        <v>30</v>
      </c>
      <c r="J4969" t="s" s="11">
        <v>25063</v>
      </c>
      <c r="K4969" t="s" s="11">
        <v>25064</v>
      </c>
      <c r="L4969" s="17">
        <f>HYPERLINK("http://www.fin3.tech", "www.fin3.tech")</f>
      </c>
      <c r="M4969" s="17">
        <f>HYPERLINK("https://my.pitchbook.com?c=498428-02", "View Company Online")</f>
      </c>
    </row>
    <row r="4970">
      <c r="A4970" t="s" s="10">
        <v>25066</v>
      </c>
      <c r="B4970" t="s" s="10">
        <v>25067</v>
      </c>
      <c r="C4970" t="s" s="10">
        <v>164</v>
      </c>
      <c r="D4970" t="s" s="10">
        <v>165</v>
      </c>
      <c r="E4970" t="s" s="10">
        <v>253</v>
      </c>
      <c r="F4970" s="27">
        <v>44747</v>
      </c>
      <c r="G4970" t="s" s="10">
        <v>40</v>
      </c>
      <c r="H4970" s="42">
        <v>2.6</v>
      </c>
      <c r="I4970" t="s" s="42">
        <v>30</v>
      </c>
      <c r="J4970" t="s" s="10">
        <v>25068</v>
      </c>
      <c r="K4970" t="s" s="10">
        <v>25069</v>
      </c>
      <c r="L4970" s="16">
        <f>HYPERLINK("http://www.finaccess.co", "www.finaccess.co")</f>
      </c>
      <c r="M4970" s="16">
        <f>HYPERLINK("https://my.pitchbook.com?c=433624-69", "View Company Online")</f>
      </c>
    </row>
    <row r="4971">
      <c r="A4971" t="s" s="11">
        <v>25071</v>
      </c>
      <c r="B4971" t="s" s="11">
        <v>25072</v>
      </c>
      <c r="C4971" t="s" s="11">
        <v>144</v>
      </c>
      <c r="D4971" t="s" s="11">
        <v>297</v>
      </c>
      <c r="E4971" t="s" s="11">
        <v>253</v>
      </c>
      <c r="F4971" s="28">
        <v>45845</v>
      </c>
      <c r="G4971" t="s" s="11">
        <v>40</v>
      </c>
      <c r="H4971" s="43">
        <v>7.45</v>
      </c>
      <c r="I4971" t="s" s="43">
        <v>30</v>
      </c>
      <c r="J4971" t="s" s="11">
        <v>25073</v>
      </c>
      <c r="K4971" t="s" s="11">
        <v>25074</v>
      </c>
      <c r="L4971" s="17">
        <f>HYPERLINK("http://www.finaktiva.com", "www.finaktiva.com")</f>
      </c>
      <c r="M4971" s="17">
        <f>HYPERLINK("https://my.pitchbook.com?c=327296-98", "View Company Online")</f>
      </c>
    </row>
    <row r="4972">
      <c r="A4972" t="s" s="10">
        <v>25076</v>
      </c>
      <c r="B4972" t="s" s="10">
        <v>25077</v>
      </c>
      <c r="C4972" t="s" s="10">
        <v>222</v>
      </c>
      <c r="D4972" t="s" s="10">
        <v>223</v>
      </c>
      <c r="E4972" t="s" s="10">
        <v>414</v>
      </c>
      <c r="F4972" s="27">
        <v>45078</v>
      </c>
      <c r="G4972" t="s" s="10">
        <v>146</v>
      </c>
      <c r="H4972" t="s" s="42">
        <v>30</v>
      </c>
      <c r="I4972" t="s" s="42">
        <v>30</v>
      </c>
      <c r="J4972" t="s" s="10">
        <v>25078</v>
      </c>
      <c r="K4972" t="s" s="10">
        <v>25079</v>
      </c>
      <c r="L4972" s="16">
        <f>HYPERLINK("http://www.finalle.ai", "www.finalle.ai")</f>
      </c>
      <c r="M4972" s="16">
        <f>HYPERLINK("https://my.pitchbook.com?c=529059-43", "View Company Online")</f>
      </c>
    </row>
    <row r="4973">
      <c r="A4973" t="s" s="11">
        <v>25081</v>
      </c>
      <c r="B4973" t="s" s="11">
        <v>25082</v>
      </c>
      <c r="C4973" t="s" s="11">
        <v>46</v>
      </c>
      <c r="D4973" t="s" s="11">
        <v>397</v>
      </c>
      <c r="E4973" t="s" s="11">
        <v>253</v>
      </c>
      <c r="F4973" s="28">
        <v>45460</v>
      </c>
      <c r="G4973" t="s" s="11">
        <v>40</v>
      </c>
      <c r="H4973" s="43">
        <v>35</v>
      </c>
      <c r="I4973" t="s" s="43">
        <v>30</v>
      </c>
      <c r="J4973" t="s" s="11">
        <v>25083</v>
      </c>
      <c r="K4973" t="s" s="11">
        <v>25084</v>
      </c>
      <c r="L4973" s="17">
        <f>HYPERLINK("http://www.finaloop.com", "www.finaloop.com")</f>
      </c>
      <c r="M4973" s="17">
        <f>HYPERLINK("https://my.pitchbook.com?c=442589-05", "View Company Online")</f>
      </c>
    </row>
    <row r="4974">
      <c r="A4974" t="s" s="10">
        <v>25086</v>
      </c>
      <c r="B4974" t="s" s="10">
        <v>25087</v>
      </c>
      <c r="C4974" t="s" s="10">
        <v>222</v>
      </c>
      <c r="D4974" t="s" s="10">
        <v>223</v>
      </c>
      <c r="E4974" t="s" s="10">
        <v>16640</v>
      </c>
      <c r="F4974" s="27">
        <v>46149</v>
      </c>
      <c r="G4974" t="s" s="10">
        <v>2051</v>
      </c>
      <c r="H4974" t="s" s="42">
        <v>30</v>
      </c>
      <c r="I4974" t="s" s="42">
        <v>30</v>
      </c>
      <c r="J4974" t="s" s="10">
        <v>25088</v>
      </c>
      <c r="K4974" t="s" s="10">
        <v>30</v>
      </c>
      <c r="L4974" s="16">
        <f>HYPERLINK("http://www.financarbon.com", "www.financarbon.com")</f>
      </c>
      <c r="M4974" s="16">
        <f>HYPERLINK("https://my.pitchbook.com?c=740130-67", "View Company Online")</f>
      </c>
    </row>
    <row r="4975">
      <c r="A4975" t="s" s="11">
        <v>25090</v>
      </c>
      <c r="B4975" t="s" s="11">
        <v>25091</v>
      </c>
      <c r="C4975" t="s" s="11">
        <v>46</v>
      </c>
      <c r="D4975" t="s" s="11">
        <v>47</v>
      </c>
      <c r="E4975" t="s" s="11">
        <v>253</v>
      </c>
      <c r="F4975" s="28">
        <v>45817</v>
      </c>
      <c r="G4975" t="s" s="11">
        <v>4267</v>
      </c>
      <c r="H4975" s="43">
        <v>3.39</v>
      </c>
      <c r="I4975" t="s" s="43">
        <v>30</v>
      </c>
      <c r="J4975" t="s" s="11">
        <v>25092</v>
      </c>
      <c r="K4975" t="s" s="11">
        <v>25093</v>
      </c>
      <c r="L4975" s="17">
        <f>HYPERLINK("http://www.financekey.com", "www.financekey.com")</f>
      </c>
      <c r="M4975" s="17">
        <f>HYPERLINK("https://my.pitchbook.com?c=503280-10", "View Company Online")</f>
      </c>
    </row>
    <row r="4976">
      <c r="A4976" t="s" s="10">
        <v>25095</v>
      </c>
      <c r="B4976" t="s" s="10">
        <v>25096</v>
      </c>
      <c r="C4976" t="s" s="10">
        <v>172</v>
      </c>
      <c r="D4976" t="s" s="10">
        <v>1454</v>
      </c>
      <c r="E4976" t="s" s="10">
        <v>367</v>
      </c>
      <c r="F4976" s="27">
        <v>44173</v>
      </c>
      <c r="G4976" t="s" s="10">
        <v>40</v>
      </c>
      <c r="H4976" s="42">
        <v>15.18</v>
      </c>
      <c r="I4976" t="s" s="42">
        <v>30</v>
      </c>
      <c r="J4976" t="s" s="10">
        <v>25097</v>
      </c>
      <c r="K4976" t="s" s="10">
        <v>25098</v>
      </c>
      <c r="L4976" s="16">
        <f>HYPERLINK("http://www.sinofas.cn", "www.sinofas.cn")</f>
      </c>
      <c r="M4976" s="16">
        <f>HYPERLINK("https://my.pitchbook.com?c=460187-83", "View Company Online")</f>
      </c>
    </row>
    <row r="4977">
      <c r="A4977" t="s" s="11">
        <v>25100</v>
      </c>
      <c r="B4977" t="s" s="11">
        <v>25101</v>
      </c>
      <c r="C4977" t="s" s="11">
        <v>164</v>
      </c>
      <c r="D4977" t="s" s="11">
        <v>165</v>
      </c>
      <c r="E4977" t="s" s="11">
        <v>414</v>
      </c>
      <c r="F4977" s="28">
        <v>44872</v>
      </c>
      <c r="G4977" t="s" s="11">
        <v>40</v>
      </c>
      <c r="H4977" s="43">
        <v>4.98</v>
      </c>
      <c r="I4977" t="s" s="43">
        <v>30</v>
      </c>
      <c r="J4977" t="s" s="11">
        <v>25102</v>
      </c>
      <c r="K4977" t="s" s="11">
        <v>25103</v>
      </c>
      <c r="L4977" s="17">
        <f>HYPERLINK("http://www.fisgroup.ru", "www.fisgroup.ru")</f>
      </c>
      <c r="M4977" s="17">
        <f>HYPERLINK("https://my.pitchbook.com?c=481814-65", "View Company Online")</f>
      </c>
    </row>
    <row r="4978">
      <c r="A4978" t="s" s="10">
        <v>25105</v>
      </c>
      <c r="B4978" t="s" s="10">
        <v>25106</v>
      </c>
      <c r="C4978" t="s" s="10">
        <v>60</v>
      </c>
      <c r="D4978" t="s" s="10">
        <v>432</v>
      </c>
      <c r="E4978" t="s" s="10">
        <v>759</v>
      </c>
      <c r="F4978" s="27">
        <v>45931</v>
      </c>
      <c r="G4978" t="s" s="10">
        <v>40</v>
      </c>
      <c r="H4978" t="s" s="42">
        <v>30</v>
      </c>
      <c r="I4978" t="s" s="42">
        <v>30</v>
      </c>
      <c r="J4978" t="s" s="10">
        <v>25107</v>
      </c>
      <c r="K4978" t="s" s="10">
        <v>25108</v>
      </c>
      <c r="L4978" s="16">
        <f>HYPERLINK("http://www.frsltd.com", "www.frsltd.com")</f>
      </c>
      <c r="M4978" s="16">
        <f>HYPERLINK("https://my.pitchbook.com?c=141525-10", "View Company Online")</f>
      </c>
    </row>
    <row r="4979">
      <c r="A4979" t="s" s="11">
        <v>25110</v>
      </c>
      <c r="B4979" t="s" s="11">
        <v>25111</v>
      </c>
      <c r="C4979" t="s" s="11">
        <v>60</v>
      </c>
      <c r="D4979" t="s" s="11">
        <v>246</v>
      </c>
      <c r="E4979" t="s" s="11">
        <v>1006</v>
      </c>
      <c r="F4979" s="28">
        <v>44348</v>
      </c>
      <c r="G4979" t="s" s="11">
        <v>40</v>
      </c>
      <c r="H4979" t="s" s="43">
        <v>30</v>
      </c>
      <c r="I4979" t="s" s="43">
        <v>30</v>
      </c>
      <c r="J4979" t="s" s="11">
        <v>25112</v>
      </c>
      <c r="K4979" t="s" s="11">
        <v>25113</v>
      </c>
      <c r="L4979" s="17">
        <f>HYPERLINK("http://www.licaimofang.com", "www.licaimofang.com")</f>
      </c>
      <c r="M4979" s="17">
        <f>HYPERLINK("https://my.pitchbook.com?c=399158-47", "View Company Online")</f>
      </c>
    </row>
    <row r="4980">
      <c r="A4980" t="s" s="10">
        <v>25115</v>
      </c>
      <c r="B4980" t="s" s="10">
        <v>25116</v>
      </c>
      <c r="C4980" t="s" s="10">
        <v>222</v>
      </c>
      <c r="D4980" t="s" s="10">
        <v>223</v>
      </c>
      <c r="E4980" t="s" s="10">
        <v>25117</v>
      </c>
      <c r="F4980" s="27">
        <v>45589</v>
      </c>
      <c r="G4980" t="s" s="10">
        <v>40</v>
      </c>
      <c r="H4980" s="42">
        <v>1.05</v>
      </c>
      <c r="I4980" t="s" s="42">
        <v>30</v>
      </c>
      <c r="J4980" t="s" s="10">
        <v>25118</v>
      </c>
      <c r="K4980" t="s" s="10">
        <v>25119</v>
      </c>
      <c r="L4980" s="16">
        <f>HYPERLINK("http://www.fin-ctrl.ru", "www.fin-ctrl.ru")</f>
      </c>
      <c r="M4980" s="16">
        <f>HYPERLINK("https://my.pitchbook.com?c=267755-05", "View Company Online")</f>
      </c>
    </row>
    <row r="4981">
      <c r="A4981" t="s" s="11">
        <v>25121</v>
      </c>
      <c r="B4981" t="s" s="11">
        <v>25122</v>
      </c>
      <c r="C4981" t="s" s="11">
        <v>60</v>
      </c>
      <c r="D4981" t="s" s="11">
        <v>192</v>
      </c>
      <c r="E4981" t="s" s="11">
        <v>2210</v>
      </c>
      <c r="F4981" s="28">
        <v>46023</v>
      </c>
      <c r="G4981" t="s" s="11">
        <v>607</v>
      </c>
      <c r="H4981" t="s" s="43">
        <v>30</v>
      </c>
      <c r="I4981" t="s" s="43">
        <v>30</v>
      </c>
      <c r="J4981" t="s" s="11">
        <v>25123</v>
      </c>
      <c r="K4981" t="s" s="11">
        <v>25124</v>
      </c>
      <c r="L4981" s="17">
        <f>HYPERLINK("http://www.finanzapp.io", "www.finanzapp.io")</f>
      </c>
      <c r="M4981" s="17">
        <f>HYPERLINK("https://my.pitchbook.com?c=547722-64", "View Company Online")</f>
      </c>
    </row>
    <row r="4982">
      <c r="A4982" t="s" s="10">
        <v>25126</v>
      </c>
      <c r="B4982" t="s" s="10">
        <v>25127</v>
      </c>
      <c r="C4982" t="s" s="10">
        <v>222</v>
      </c>
      <c r="D4982" t="s" s="10">
        <v>223</v>
      </c>
      <c r="E4982" t="s" s="10">
        <v>634</v>
      </c>
      <c r="F4982" s="27">
        <v>45881</v>
      </c>
      <c r="G4982" t="s" s="10">
        <v>4267</v>
      </c>
      <c r="H4982" t="s" s="42">
        <v>30</v>
      </c>
      <c r="I4982" t="s" s="42">
        <v>30</v>
      </c>
      <c r="J4982" t="s" s="10">
        <v>25128</v>
      </c>
      <c r="K4982" t="s" s="10">
        <v>25129</v>
      </c>
      <c r="L4982" s="16">
        <f>HYPERLINK("http://www.finbar.com", "www.finbar.com")</f>
      </c>
      <c r="M4982" s="16">
        <f>HYPERLINK("https://my.pitchbook.com?c=676205-56", "View Company Online")</f>
      </c>
    </row>
    <row r="4983">
      <c r="A4983" t="s" s="11">
        <v>25131</v>
      </c>
      <c r="B4983" t="s" s="11">
        <v>25132</v>
      </c>
      <c r="C4983" t="s" s="11">
        <v>114</v>
      </c>
      <c r="D4983" t="s" s="11">
        <v>1386</v>
      </c>
      <c r="E4983" t="s" s="11">
        <v>3433</v>
      </c>
      <c r="F4983" s="28">
        <v>45884</v>
      </c>
      <c r="G4983" t="s" s="11">
        <v>146</v>
      </c>
      <c r="H4983" t="s" s="43">
        <v>30</v>
      </c>
      <c r="I4983" t="s" s="43">
        <v>30</v>
      </c>
      <c r="J4983" t="s" s="11">
        <v>25133</v>
      </c>
      <c r="K4983" t="s" s="11">
        <v>25134</v>
      </c>
      <c r="L4983" s="17">
        <f>HYPERLINK("http://www.finbiztech.eu", "www.finbiztech.eu")</f>
      </c>
      <c r="M4983" s="17">
        <f>HYPERLINK("https://my.pitchbook.com?c=592723-18", "View Company Online")</f>
      </c>
    </row>
    <row r="4984">
      <c r="A4984" t="s" s="10">
        <v>25136</v>
      </c>
      <c r="B4984" t="s" s="10">
        <v>25137</v>
      </c>
      <c r="C4984" t="s" s="10">
        <v>164</v>
      </c>
      <c r="D4984" t="s" s="10">
        <v>165</v>
      </c>
      <c r="E4984" t="s" s="10">
        <v>253</v>
      </c>
      <c r="F4984" s="27">
        <v>45431</v>
      </c>
      <c r="G4984" t="s" s="10">
        <v>607</v>
      </c>
      <c r="H4984" t="s" s="42">
        <v>30</v>
      </c>
      <c r="I4984" t="s" s="42">
        <v>30</v>
      </c>
      <c r="J4984" t="s" s="10">
        <v>25138</v>
      </c>
      <c r="K4984" t="s" s="10">
        <v>25139</v>
      </c>
      <c r="L4984" s="16">
        <f>HYPERLINK("http://www.finboa.com", "www.finboa.com")</f>
      </c>
      <c r="M4984" s="16">
        <f>HYPERLINK("https://my.pitchbook.com?c=179599-06", "View Company Online")</f>
      </c>
    </row>
    <row r="4985">
      <c r="A4985" t="s" s="11">
        <v>25141</v>
      </c>
      <c r="B4985" t="s" s="11">
        <v>25142</v>
      </c>
      <c r="C4985" t="s" s="11">
        <v>37</v>
      </c>
      <c r="D4985" t="s" s="11">
        <v>304</v>
      </c>
      <c r="E4985" t="s" s="11">
        <v>25143</v>
      </c>
      <c r="F4985" s="28">
        <v>46230</v>
      </c>
      <c r="G4985" t="s" s="11">
        <v>4267</v>
      </c>
      <c r="H4985" s="43">
        <v>2.8</v>
      </c>
      <c r="I4985" t="s" s="43">
        <v>30</v>
      </c>
      <c r="J4985" t="s" s="11">
        <v>25144</v>
      </c>
      <c r="K4985" t="s" s="11">
        <v>25145</v>
      </c>
      <c r="L4985" s="17">
        <f>HYPERLINK("http://www.fincart.io", "www.fincart.io")</f>
      </c>
      <c r="M4985" s="17">
        <f>HYPERLINK("https://my.pitchbook.com?c=533533-15", "View Company Online")</f>
      </c>
    </row>
    <row r="4986">
      <c r="A4986" t="s" s="10">
        <v>25147</v>
      </c>
      <c r="B4986" t="s" s="10">
        <v>25148</v>
      </c>
      <c r="C4986" t="s" s="10">
        <v>46</v>
      </c>
      <c r="D4986" t="s" s="10">
        <v>397</v>
      </c>
      <c r="E4986" t="s" s="10">
        <v>373</v>
      </c>
      <c r="F4986" s="27">
        <v>45292</v>
      </c>
      <c r="G4986" t="s" s="10">
        <v>146</v>
      </c>
      <c r="H4986" t="s" s="42">
        <v>30</v>
      </c>
      <c r="I4986" t="s" s="42">
        <v>30</v>
      </c>
      <c r="J4986" t="s" s="10">
        <v>25149</v>
      </c>
      <c r="K4986" t="s" s="10">
        <v>25150</v>
      </c>
      <c r="L4986" s="16">
        <f>HYPERLINK("http://www.fincent.com", "www.fincent.com")</f>
      </c>
      <c r="M4986" s="16">
        <f>HYPERLINK("https://my.pitchbook.com?c=491551-48", "View Company Online")</f>
      </c>
    </row>
    <row r="4987">
      <c r="A4987" t="s" s="11">
        <v>25152</v>
      </c>
      <c r="B4987" t="s" s="11">
        <v>25153</v>
      </c>
      <c r="C4987" t="s" s="11">
        <v>60</v>
      </c>
      <c r="D4987" t="s" s="11">
        <v>246</v>
      </c>
      <c r="E4987" t="s" s="11">
        <v>253</v>
      </c>
      <c r="F4987" s="28">
        <v>43703</v>
      </c>
      <c r="G4987" t="s" s="11">
        <v>146</v>
      </c>
      <c r="H4987" s="43">
        <v>0.29</v>
      </c>
      <c r="I4987" t="s" s="43">
        <v>30</v>
      </c>
      <c r="J4987" t="s" s="11">
        <v>25154</v>
      </c>
      <c r="K4987" t="s" s="11">
        <v>25155</v>
      </c>
      <c r="L4987" s="17">
        <f>HYPERLINK("http://www.finch-technologies.com", "www.finch-technologies.com")</f>
      </c>
      <c r="M4987" s="17">
        <f>HYPERLINK("https://my.pitchbook.com?c=187953-85", "View Company Online")</f>
      </c>
    </row>
    <row r="4988">
      <c r="A4988" t="s" s="10">
        <v>25157</v>
      </c>
      <c r="B4988" t="s" s="10">
        <v>25158</v>
      </c>
      <c r="C4988" t="s" s="10">
        <v>27</v>
      </c>
      <c r="D4988" t="s" s="10">
        <v>28</v>
      </c>
      <c r="E4988" t="s" s="10">
        <v>634</v>
      </c>
      <c r="F4988" s="27">
        <v>46002</v>
      </c>
      <c r="G4988" t="s" s="10">
        <v>4267</v>
      </c>
      <c r="H4988" s="42">
        <v>3.6</v>
      </c>
      <c r="I4988" t="s" s="42">
        <v>30</v>
      </c>
      <c r="J4988" t="s" s="10">
        <v>25159</v>
      </c>
      <c r="K4988" t="s" s="10">
        <v>30</v>
      </c>
      <c r="L4988" s="16">
        <f>HYPERLINK("http://www.fincretive.com", "www.fincretive.com")</f>
      </c>
      <c r="M4988" s="16">
        <f>HYPERLINK("https://my.pitchbook.com?c=615740-05", "View Company Online")</f>
      </c>
    </row>
    <row r="4989">
      <c r="A4989" t="s" s="11">
        <v>25161</v>
      </c>
      <c r="B4989" t="s" s="11">
        <v>25162</v>
      </c>
      <c r="C4989" t="s" s="11">
        <v>27</v>
      </c>
      <c r="D4989" t="s" s="11">
        <v>122</v>
      </c>
      <c r="E4989" t="s" s="11">
        <v>270</v>
      </c>
      <c r="F4989" s="28">
        <v>43994</v>
      </c>
      <c r="G4989" t="s" s="11">
        <v>146</v>
      </c>
      <c r="H4989" s="43">
        <v>11</v>
      </c>
      <c r="I4989" t="s" s="43">
        <v>30</v>
      </c>
      <c r="J4989" t="s" s="11">
        <v>25163</v>
      </c>
      <c r="K4989" t="s" s="11">
        <v>25164</v>
      </c>
      <c r="L4989" s="17">
        <f>HYPERLINK("http://www.fincy.com", "www.fincy.com")</f>
      </c>
      <c r="M4989" s="17">
        <f>HYPERLINK("https://my.pitchbook.com?c=436062-16", "View Company Online")</f>
      </c>
    </row>
    <row r="4990">
      <c r="A4990" t="s" s="10">
        <v>25166</v>
      </c>
      <c r="B4990" t="s" s="10">
        <v>25167</v>
      </c>
      <c r="C4990" t="s" s="10">
        <v>46</v>
      </c>
      <c r="D4990" t="s" s="10">
        <v>397</v>
      </c>
      <c r="E4990" t="s" s="10">
        <v>253</v>
      </c>
      <c r="F4990" s="27">
        <v>45717</v>
      </c>
      <c r="G4990" t="s" s="10">
        <v>146</v>
      </c>
      <c r="H4990" t="s" s="42">
        <v>30</v>
      </c>
      <c r="I4990" t="s" s="42">
        <v>30</v>
      </c>
      <c r="J4990" t="s" s="10">
        <v>25168</v>
      </c>
      <c r="K4990" t="s" s="10">
        <v>25169</v>
      </c>
      <c r="L4990" s="16">
        <f>HYPERLINK("http://www.findaily.io", "www.findaily.io")</f>
      </c>
      <c r="M4990" s="16">
        <f>HYPERLINK("https://my.pitchbook.com?c=531361-00", "View Company Online")</f>
      </c>
    </row>
    <row r="4991">
      <c r="A4991" t="s" s="11">
        <v>25171</v>
      </c>
      <c r="B4991" t="s" s="11">
        <v>25172</v>
      </c>
      <c r="C4991" t="s" s="11">
        <v>46</v>
      </c>
      <c r="D4991" t="s" s="11">
        <v>47</v>
      </c>
      <c r="E4991" t="s" s="11">
        <v>253</v>
      </c>
      <c r="F4991" s="28">
        <v>44958</v>
      </c>
      <c r="G4991" t="s" s="11">
        <v>146</v>
      </c>
      <c r="H4991" t="s" s="43">
        <v>30</v>
      </c>
      <c r="I4991" t="s" s="43">
        <v>30</v>
      </c>
      <c r="J4991" t="s" s="11">
        <v>25173</v>
      </c>
      <c r="K4991" t="s" s="11">
        <v>25174</v>
      </c>
      <c r="L4991" s="17">
        <f>HYPERLINK("http://www.finedu.tech", "www.finedu.tech")</f>
      </c>
      <c r="M4991" s="17">
        <f>HYPERLINK("https://my.pitchbook.com?c=519975-82", "View Company Online")</f>
      </c>
    </row>
    <row r="4992">
      <c r="A4992" t="s" s="10">
        <v>25176</v>
      </c>
      <c r="B4992" t="s" s="10">
        <v>25177</v>
      </c>
      <c r="C4992" t="s" s="10">
        <v>46</v>
      </c>
      <c r="D4992" t="s" s="10">
        <v>47</v>
      </c>
      <c r="E4992" t="s" s="10">
        <v>259</v>
      </c>
      <c r="F4992" s="27">
        <v>45055</v>
      </c>
      <c r="G4992" t="s" s="10">
        <v>40</v>
      </c>
      <c r="H4992" s="42">
        <v>5</v>
      </c>
      <c r="I4992" t="s" s="42">
        <v>30</v>
      </c>
      <c r="J4992" t="s" s="10">
        <v>25178</v>
      </c>
      <c r="K4992" t="s" s="10">
        <v>25179</v>
      </c>
      <c r="L4992" s="16">
        <f>HYPERLINK("http://www.finekra.com", "www.finekra.com")</f>
      </c>
      <c r="M4992" s="16">
        <f>HYPERLINK("https://my.pitchbook.com?c=459299-80", "View Company Online")</f>
      </c>
    </row>
    <row r="4993">
      <c r="A4993" t="s" s="11">
        <v>25181</v>
      </c>
      <c r="B4993" t="s" s="11">
        <v>25182</v>
      </c>
      <c r="C4993" t="s" s="11">
        <v>46</v>
      </c>
      <c r="D4993" t="s" s="11">
        <v>915</v>
      </c>
      <c r="E4993" t="s" s="11">
        <v>253</v>
      </c>
      <c r="F4993" s="28">
        <v>44927</v>
      </c>
      <c r="G4993" t="s" s="11">
        <v>607</v>
      </c>
      <c r="H4993" t="s" s="43">
        <v>30</v>
      </c>
      <c r="I4993" t="s" s="43">
        <v>30</v>
      </c>
      <c r="J4993" t="s" s="11">
        <v>25183</v>
      </c>
      <c r="K4993" t="s" s="11">
        <v>18120</v>
      </c>
      <c r="L4993" s="17">
        <f>HYPERLINK("http://www.finergia.es", "www.finergia.es")</f>
      </c>
      <c r="M4993" s="17">
        <f>HYPERLINK("https://my.pitchbook.com?c=494504-92", "View Company Online")</f>
      </c>
    </row>
    <row r="4994">
      <c r="A4994" t="s" s="10">
        <v>25185</v>
      </c>
      <c r="B4994" t="s" s="10">
        <v>25186</v>
      </c>
      <c r="C4994" t="s" s="10">
        <v>164</v>
      </c>
      <c r="D4994" t="s" s="10">
        <v>206</v>
      </c>
      <c r="E4994" t="s" s="10">
        <v>253</v>
      </c>
      <c r="F4994" s="27">
        <v>46140</v>
      </c>
      <c r="G4994" t="s" s="10">
        <v>4267</v>
      </c>
      <c r="H4994" t="s" s="42">
        <v>30</v>
      </c>
      <c r="I4994" t="s" s="42">
        <v>30</v>
      </c>
      <c r="J4994" t="s" s="10">
        <v>25187</v>
      </c>
      <c r="K4994" t="s" s="10">
        <v>25188</v>
      </c>
      <c r="L4994" s="16">
        <f>HYPERLINK("http://www.finertydata.com", "www.finertydata.com")</f>
      </c>
      <c r="M4994" s="16">
        <f>HYPERLINK("https://my.pitchbook.com?c=1165530-07", "View Company Online")</f>
      </c>
    </row>
    <row r="4995">
      <c r="A4995" t="s" s="11">
        <v>25190</v>
      </c>
      <c r="B4995" t="s" s="11">
        <v>25191</v>
      </c>
      <c r="C4995" t="s" s="11">
        <v>46</v>
      </c>
      <c r="D4995" t="s" s="11">
        <v>915</v>
      </c>
      <c r="E4995" t="s" s="11">
        <v>373</v>
      </c>
      <c r="F4995" s="28">
        <v>44629</v>
      </c>
      <c r="G4995" t="s" s="11">
        <v>4267</v>
      </c>
      <c r="H4995" s="43">
        <v>20</v>
      </c>
      <c r="I4995" t="s" s="43">
        <v>30</v>
      </c>
      <c r="J4995" t="s" s="11">
        <v>25192</v>
      </c>
      <c r="K4995" t="s" s="11">
        <v>25193</v>
      </c>
      <c r="L4995" s="17">
        <f>HYPERLINK("http://www.finfare.com", "www.finfare.com")</f>
      </c>
      <c r="M4995" s="17">
        <f>HYPERLINK("https://my.pitchbook.com?c=493828-84", "View Company Online")</f>
      </c>
    </row>
    <row r="4996">
      <c r="A4996" t="s" s="10">
        <v>25195</v>
      </c>
      <c r="B4996" t="s" s="10">
        <v>25196</v>
      </c>
      <c r="C4996" t="s" s="10">
        <v>114</v>
      </c>
      <c r="D4996" t="s" s="10">
        <v>136</v>
      </c>
      <c r="E4996" t="s" s="10">
        <v>137</v>
      </c>
      <c r="F4996" s="27">
        <v>46104</v>
      </c>
      <c r="G4996" t="s" s="10">
        <v>4267</v>
      </c>
      <c r="H4996" s="42">
        <v>2.4</v>
      </c>
      <c r="I4996" t="s" s="42">
        <v>30</v>
      </c>
      <c r="J4996" t="s" s="10">
        <v>25197</v>
      </c>
      <c r="K4996" t="s" s="10">
        <v>25198</v>
      </c>
      <c r="L4996" s="16">
        <f>HYPERLINK("http://www.finfinity.co.in", "www.finfinity.co.in")</f>
      </c>
      <c r="M4996" s="16">
        <f>HYPERLINK("https://my.pitchbook.com?c=1364913-64", "View Company Online")</f>
      </c>
    </row>
    <row r="4997">
      <c r="A4997" t="s" s="11">
        <v>25200</v>
      </c>
      <c r="B4997" t="s" s="11">
        <v>25201</v>
      </c>
      <c r="C4997" t="s" s="11">
        <v>164</v>
      </c>
      <c r="D4997" t="s" s="11">
        <v>165</v>
      </c>
      <c r="E4997" t="s" s="11">
        <v>137</v>
      </c>
      <c r="F4997" s="28">
        <v>45512</v>
      </c>
      <c r="G4997" t="s" s="11">
        <v>146</v>
      </c>
      <c r="H4997" s="43">
        <v>2.5</v>
      </c>
      <c r="I4997" t="s" s="43">
        <v>30</v>
      </c>
      <c r="J4997" t="s" s="11">
        <v>25202</v>
      </c>
      <c r="K4997" t="s" s="11">
        <v>25203</v>
      </c>
      <c r="L4997" s="17">
        <f>HYPERLINK("http://www.finfra.io", "www.finfra.io")</f>
      </c>
      <c r="M4997" s="17">
        <f>HYPERLINK("https://my.pitchbook.com?c=510122-98", "View Company Online")</f>
      </c>
    </row>
    <row r="4998">
      <c r="A4998" t="s" s="10">
        <v>25205</v>
      </c>
      <c r="B4998" t="s" s="10">
        <v>25206</v>
      </c>
      <c r="C4998" t="s" s="10">
        <v>37</v>
      </c>
      <c r="D4998" t="s" s="10">
        <v>38</v>
      </c>
      <c r="E4998" t="s" s="10">
        <v>137</v>
      </c>
      <c r="F4998" s="27">
        <v>46048</v>
      </c>
      <c r="G4998" t="s" s="10">
        <v>31</v>
      </c>
      <c r="H4998" s="42">
        <v>2.34</v>
      </c>
      <c r="I4998" t="s" s="42">
        <v>30</v>
      </c>
      <c r="J4998" t="s" s="10">
        <v>25207</v>
      </c>
      <c r="K4998" t="s" s="10">
        <v>25208</v>
      </c>
      <c r="L4998" s="16">
        <f>HYPERLINK("http://fingular.com", "fingular.com")</f>
      </c>
      <c r="M4998" s="16">
        <f>HYPERLINK("https://my.pitchbook.com?c=548321-50", "View Company Online")</f>
      </c>
    </row>
    <row r="4999">
      <c r="A4999" t="s" s="11">
        <v>25210</v>
      </c>
      <c r="B4999" t="s" s="11">
        <v>25211</v>
      </c>
      <c r="C4999" t="s" s="11">
        <v>60</v>
      </c>
      <c r="D4999" t="s" s="11">
        <v>246</v>
      </c>
      <c r="E4999" t="s" s="11">
        <v>116</v>
      </c>
      <c r="F4999" s="28">
        <v>44734</v>
      </c>
      <c r="G4999" t="s" s="11">
        <v>40</v>
      </c>
      <c r="H4999" s="43">
        <v>25</v>
      </c>
      <c r="I4999" t="s" s="43">
        <v>30</v>
      </c>
      <c r="J4999" t="s" s="11">
        <v>25212</v>
      </c>
      <c r="K4999" t="s" s="11">
        <v>25213</v>
      </c>
      <c r="L4999" s="17">
        <f>HYPERLINK("http://www.finhay.com.vn", "www.finhay.com.vn")</f>
      </c>
      <c r="M4999" s="17">
        <f>HYPERLINK("https://my.pitchbook.com?c=227808-37", "View Company Online")</f>
      </c>
    </row>
    <row r="5000">
      <c r="A5000" t="s" s="10">
        <v>25215</v>
      </c>
      <c r="B5000" t="s" s="10">
        <v>25216</v>
      </c>
      <c r="C5000" t="s" s="10">
        <v>27</v>
      </c>
      <c r="D5000" t="s" s="10">
        <v>28</v>
      </c>
      <c r="E5000" t="s" s="10">
        <v>414</v>
      </c>
      <c r="F5000" s="27">
        <v>45786</v>
      </c>
      <c r="G5000" t="s" s="10">
        <v>146</v>
      </c>
      <c r="H5000" s="42">
        <v>1.75</v>
      </c>
      <c r="I5000" t="s" s="42">
        <v>30</v>
      </c>
      <c r="J5000" t="s" s="10">
        <v>25217</v>
      </c>
      <c r="K5000" t="s" s="10">
        <v>25218</v>
      </c>
      <c r="L5000" s="16">
        <f>HYPERLINK("http://www.finia.mx", "www.finia.mx")</f>
      </c>
      <c r="M5000" s="16">
        <f>HYPERLINK("https://my.pitchbook.com?c=533499-76", "View Company Online")</f>
      </c>
    </row>
    <row r="5001">
      <c r="A5001" t="s" s="11">
        <v>25220</v>
      </c>
      <c r="B5001" t="s" s="11">
        <v>25221</v>
      </c>
      <c r="C5001" t="s" s="11">
        <v>222</v>
      </c>
      <c r="D5001" t="s" s="11">
        <v>223</v>
      </c>
      <c r="E5001" t="s" s="11">
        <v>137</v>
      </c>
      <c r="F5001" s="28">
        <v>45560</v>
      </c>
      <c r="G5001" t="s" s="11">
        <v>40</v>
      </c>
      <c r="H5001" s="43">
        <v>5.25</v>
      </c>
      <c r="I5001" t="s" s="43">
        <v>30</v>
      </c>
      <c r="J5001" t="s" s="11">
        <v>25222</v>
      </c>
      <c r="K5001" t="s" s="11">
        <v>25223</v>
      </c>
      <c r="L5001" s="17">
        <f>HYPERLINK("http://us.finit.co.kr", "us.finit.co.kr")</f>
      </c>
      <c r="M5001" s="17">
        <f>HYPERLINK("https://my.pitchbook.com?c=675047-53", "View Company Online")</f>
      </c>
    </row>
    <row r="5002">
      <c r="A5002" t="s" s="10">
        <v>25225</v>
      </c>
      <c r="B5002" t="s" s="10">
        <v>25226</v>
      </c>
      <c r="C5002" t="s" s="10">
        <v>60</v>
      </c>
      <c r="D5002" t="s" s="10">
        <v>246</v>
      </c>
      <c r="E5002" t="s" s="10">
        <v>623</v>
      </c>
      <c r="F5002" s="27">
        <v>43665</v>
      </c>
      <c r="G5002" t="s" s="10">
        <v>146</v>
      </c>
      <c r="H5002" s="42">
        <v>4.63</v>
      </c>
      <c r="I5002" t="s" s="42">
        <v>30</v>
      </c>
      <c r="J5002" t="s" s="10">
        <v>25227</v>
      </c>
      <c r="K5002" t="s" s="10">
        <v>25228</v>
      </c>
      <c r="L5002" s="16">
        <f>HYPERLINK("http://www.finizens.com", "www.finizens.com")</f>
      </c>
      <c r="M5002" s="16">
        <f>HYPERLINK("https://my.pitchbook.com?c=171745-39", "View Company Online")</f>
      </c>
    </row>
    <row r="5003">
      <c r="A5003" t="s" s="11">
        <v>25230</v>
      </c>
      <c r="B5003" t="s" s="11">
        <v>25231</v>
      </c>
      <c r="C5003" t="s" s="11">
        <v>222</v>
      </c>
      <c r="D5003" t="s" s="11">
        <v>223</v>
      </c>
      <c r="E5003" t="s" s="11">
        <v>373</v>
      </c>
      <c r="F5003" s="28">
        <v>46199</v>
      </c>
      <c r="G5003" t="s" s="11">
        <v>146</v>
      </c>
      <c r="H5003" s="43">
        <v>0.15</v>
      </c>
      <c r="I5003" t="s" s="43">
        <v>30</v>
      </c>
      <c r="J5003" t="s" s="11">
        <v>25232</v>
      </c>
      <c r="K5003" t="s" s="11">
        <v>25233</v>
      </c>
      <c r="L5003" s="17">
        <f>HYPERLINK("http://www.finlens.ai", "www.finlens.ai")</f>
      </c>
      <c r="M5003" s="17">
        <f>HYPERLINK("https://my.pitchbook.com?c=638364-70", "View Company Online")</f>
      </c>
    </row>
    <row r="5004">
      <c r="A5004" t="s" s="10">
        <v>25235</v>
      </c>
      <c r="B5004" t="s" s="10">
        <v>25236</v>
      </c>
      <c r="C5004" t="s" s="10">
        <v>164</v>
      </c>
      <c r="D5004" t="s" s="10">
        <v>206</v>
      </c>
      <c r="E5004" t="s" s="10">
        <v>253</v>
      </c>
      <c r="F5004" s="27">
        <v>43678</v>
      </c>
      <c r="G5004" t="s" s="10">
        <v>4267</v>
      </c>
      <c r="H5004" s="42">
        <v>0.09</v>
      </c>
      <c r="I5004" t="s" s="42">
        <v>30</v>
      </c>
      <c r="J5004" t="s" s="10">
        <v>25237</v>
      </c>
      <c r="K5004" t="s" s="10">
        <v>25238</v>
      </c>
      <c r="L5004" s="16">
        <f>HYPERLINK("http://finmaks.ai", "finmaks.ai")</f>
      </c>
      <c r="M5004" s="16">
        <f>HYPERLINK("https://my.pitchbook.com?c=502790-50", "View Company Online")</f>
      </c>
    </row>
    <row r="5005">
      <c r="A5005" t="s" s="11">
        <v>25240</v>
      </c>
      <c r="B5005" t="s" s="11">
        <v>25241</v>
      </c>
      <c r="C5005" t="s" s="11">
        <v>46</v>
      </c>
      <c r="D5005" t="s" s="11">
        <v>397</v>
      </c>
      <c r="E5005" t="s" s="11">
        <v>137</v>
      </c>
      <c r="F5005" s="28">
        <v>45815</v>
      </c>
      <c r="G5005" t="s" s="11">
        <v>40</v>
      </c>
      <c r="H5005" s="43">
        <v>1</v>
      </c>
      <c r="I5005" t="s" s="43">
        <v>30</v>
      </c>
      <c r="J5005" t="s" s="11">
        <v>25242</v>
      </c>
      <c r="K5005" t="s" s="11">
        <v>25243</v>
      </c>
      <c r="L5005" s="17">
        <f>HYPERLINK("http://www.finmap.online", "www.finmap.online")</f>
      </c>
      <c r="M5005" s="17">
        <f>HYPERLINK("https://my.pitchbook.com?c=266138-74", "View Company Online")</f>
      </c>
    </row>
    <row r="5006">
      <c r="A5006" t="s" s="10">
        <v>25245</v>
      </c>
      <c r="B5006" t="s" s="10">
        <v>25246</v>
      </c>
      <c r="C5006" t="s" s="10">
        <v>114</v>
      </c>
      <c r="D5006" t="s" s="10">
        <v>852</v>
      </c>
      <c r="E5006" t="s" s="10">
        <v>137</v>
      </c>
      <c r="F5006" s="27">
        <v>45912</v>
      </c>
      <c r="G5006" t="s" s="10">
        <v>146</v>
      </c>
      <c r="H5006" s="42">
        <v>5</v>
      </c>
      <c r="I5006" t="s" s="42">
        <v>30</v>
      </c>
      <c r="J5006" t="s" s="10">
        <v>25247</v>
      </c>
      <c r="K5006" t="s" s="10">
        <v>25248</v>
      </c>
      <c r="L5006" s="16">
        <f>HYPERLINK("http://www.finmaq.com.co", "www.finmaq.com.co")</f>
      </c>
      <c r="M5006" s="16">
        <f>HYPERLINK("https://my.pitchbook.com?c=529556-86", "View Company Online")</f>
      </c>
    </row>
    <row r="5007">
      <c r="A5007" t="s" s="11">
        <v>25250</v>
      </c>
      <c r="B5007" t="s" s="11">
        <v>25251</v>
      </c>
      <c r="C5007" t="s" s="11">
        <v>60</v>
      </c>
      <c r="D5007" t="s" s="11">
        <v>246</v>
      </c>
      <c r="E5007" t="s" s="11">
        <v>152</v>
      </c>
      <c r="F5007" s="28">
        <v>45261</v>
      </c>
      <c r="G5007" t="s" s="11">
        <v>146</v>
      </c>
      <c r="H5007" t="s" s="43">
        <v>30</v>
      </c>
      <c r="I5007" t="s" s="43">
        <v>30</v>
      </c>
      <c r="J5007" t="s" s="11">
        <v>25252</v>
      </c>
      <c r="K5007" t="s" s="11">
        <v>25253</v>
      </c>
      <c r="L5007" s="17">
        <f>HYPERLINK("http://www.finn-app.com", "www.finn-app.com")</f>
      </c>
      <c r="M5007" s="17">
        <f>HYPERLINK("https://my.pitchbook.com?c=519303-25", "View Company Online")</f>
      </c>
    </row>
    <row r="5008">
      <c r="A5008" t="s" s="10">
        <v>25255</v>
      </c>
      <c r="B5008" t="s" s="10">
        <v>25256</v>
      </c>
      <c r="C5008" t="s" s="10">
        <v>60</v>
      </c>
      <c r="D5008" t="s" s="10">
        <v>192</v>
      </c>
      <c r="E5008" t="s" s="10">
        <v>137</v>
      </c>
      <c r="F5008" s="27">
        <v>46211</v>
      </c>
      <c r="G5008" t="s" s="10">
        <v>64</v>
      </c>
      <c r="H5008" t="s" s="42">
        <v>30</v>
      </c>
      <c r="I5008" t="s" s="42">
        <v>30</v>
      </c>
      <c r="J5008" t="s" s="10">
        <v>25257</v>
      </c>
      <c r="K5008" t="s" s="10">
        <v>25258</v>
      </c>
      <c r="L5008" s="16">
        <f>HYPERLINK("http://www.finnomena.com", "www.finnomena.com")</f>
      </c>
      <c r="M5008" s="16">
        <f>HYPERLINK("https://my.pitchbook.com?c=160471-00", "View Company Online")</f>
      </c>
    </row>
    <row r="5009">
      <c r="A5009" t="s" s="11">
        <v>25260</v>
      </c>
      <c r="B5009" t="s" s="11">
        <v>25261</v>
      </c>
      <c r="C5009" t="s" s="11">
        <v>222</v>
      </c>
      <c r="D5009" t="s" s="11">
        <v>235</v>
      </c>
      <c r="E5009" t="s" s="11">
        <v>137</v>
      </c>
      <c r="F5009" s="28">
        <v>45809</v>
      </c>
      <c r="G5009" t="s" s="11">
        <v>48</v>
      </c>
      <c r="H5009" t="s" s="43">
        <v>30</v>
      </c>
      <c r="I5009" t="s" s="43">
        <v>30</v>
      </c>
      <c r="J5009" t="s" s="11">
        <v>25262</v>
      </c>
      <c r="K5009" t="s" s="11">
        <v>25263</v>
      </c>
      <c r="L5009" s="17">
        <f>HYPERLINK("http://www.finnovista.com", "www.finnovista.com")</f>
      </c>
      <c r="M5009" s="17">
        <f>HYPERLINK("https://my.pitchbook.com?c=113566-33", "View Company Online")</f>
      </c>
    </row>
    <row r="5010">
      <c r="A5010" t="s" s="10">
        <v>25265</v>
      </c>
      <c r="B5010" t="s" s="10">
        <v>25266</v>
      </c>
      <c r="C5010" t="s" s="10">
        <v>46</v>
      </c>
      <c r="D5010" t="s" s="10">
        <v>47</v>
      </c>
      <c r="E5010" t="s" s="10">
        <v>259</v>
      </c>
      <c r="F5010" s="27">
        <v>45818</v>
      </c>
      <c r="G5010" t="s" s="10">
        <v>4267</v>
      </c>
      <c r="H5010" s="42">
        <v>3.3</v>
      </c>
      <c r="I5010" t="s" s="42">
        <v>30</v>
      </c>
      <c r="J5010" t="s" s="10">
        <v>25267</v>
      </c>
      <c r="K5010" t="s" s="10">
        <v>25268</v>
      </c>
      <c r="L5010" s="16">
        <f>HYPERLINK("http://www.finofo.com", "www.finofo.com")</f>
      </c>
      <c r="M5010" s="16">
        <f>HYPERLINK("https://my.pitchbook.com?c=500761-81", "View Company Online")</f>
      </c>
    </row>
    <row r="5011">
      <c r="A5011" t="s" s="11">
        <v>25270</v>
      </c>
      <c r="B5011" t="s" s="11">
        <v>25271</v>
      </c>
      <c r="C5011" t="s" s="11">
        <v>222</v>
      </c>
      <c r="D5011" t="s" s="11">
        <v>223</v>
      </c>
      <c r="E5011" t="s" s="11">
        <v>137</v>
      </c>
      <c r="F5011" s="28">
        <v>45390</v>
      </c>
      <c r="G5011" t="s" s="11">
        <v>40</v>
      </c>
      <c r="H5011" s="43">
        <v>13.89</v>
      </c>
      <c r="I5011" t="s" s="43">
        <v>30</v>
      </c>
      <c r="J5011" t="s" s="11">
        <v>25272</v>
      </c>
      <c r="K5011" t="s" s="11">
        <v>25273</v>
      </c>
      <c r="L5011" s="17">
        <f>HYPERLINK("http://www.finogeeks.com", "www.finogeeks.com")</f>
      </c>
      <c r="M5011" s="17">
        <f>HYPERLINK("https://my.pitchbook.com?c=342189-19", "View Company Online")</f>
      </c>
    </row>
    <row r="5012">
      <c r="A5012" t="s" s="10">
        <v>25275</v>
      </c>
      <c r="B5012" t="s" s="10">
        <v>25276</v>
      </c>
      <c r="C5012" t="s" s="10">
        <v>60</v>
      </c>
      <c r="D5012" t="s" s="10">
        <v>246</v>
      </c>
      <c r="E5012" t="s" s="10">
        <v>116</v>
      </c>
      <c r="F5012" s="27">
        <v>43709</v>
      </c>
      <c r="G5012" t="s" s="10">
        <v>4267</v>
      </c>
      <c r="H5012" s="42">
        <v>0.28</v>
      </c>
      <c r="I5012" t="s" s="42">
        <v>30</v>
      </c>
      <c r="J5012" t="s" s="10">
        <v>25277</v>
      </c>
      <c r="K5012" t="s" s="10">
        <v>25278</v>
      </c>
      <c r="L5012" s="16">
        <f>HYPERLINK("http://www.finoramic.com", "www.finoramic.com")</f>
      </c>
      <c r="M5012" s="16">
        <f>HYPERLINK("https://my.pitchbook.com?c=294514-03", "View Company Online")</f>
      </c>
    </row>
    <row r="5013">
      <c r="A5013" t="s" s="11">
        <v>25280</v>
      </c>
      <c r="B5013" t="s" s="11">
        <v>25281</v>
      </c>
      <c r="C5013" t="s" s="11">
        <v>114</v>
      </c>
      <c r="D5013" t="s" s="11">
        <v>852</v>
      </c>
      <c r="E5013" t="s" s="11">
        <v>116</v>
      </c>
      <c r="F5013" t="s" s="28">
        <v>30</v>
      </c>
      <c r="G5013" t="s" s="11">
        <v>48</v>
      </c>
      <c r="H5013" t="s" s="43">
        <v>30</v>
      </c>
      <c r="I5013" t="s" s="43">
        <v>30</v>
      </c>
      <c r="J5013" t="s" s="11">
        <v>25282</v>
      </c>
      <c r="K5013" t="s" s="11">
        <v>25283</v>
      </c>
      <c r="L5013" s="17">
        <f>HYPERLINK("http://www.finpass.com.br", "www.finpass.com.br")</f>
      </c>
      <c r="M5013" s="17">
        <f>HYPERLINK("https://my.pitchbook.com?c=230005-63", "View Company Online")</f>
      </c>
    </row>
    <row r="5014">
      <c r="A5014" t="s" s="10">
        <v>25285</v>
      </c>
      <c r="B5014" t="s" s="10">
        <v>25286</v>
      </c>
      <c r="C5014" t="s" s="10">
        <v>128</v>
      </c>
      <c r="D5014" t="s" s="10">
        <v>129</v>
      </c>
      <c r="E5014" t="s" s="10">
        <v>887</v>
      </c>
      <c r="F5014" s="27">
        <v>46092</v>
      </c>
      <c r="G5014" t="s" s="10">
        <v>4267</v>
      </c>
      <c r="H5014" s="42">
        <v>4.71</v>
      </c>
      <c r="I5014" t="s" s="42">
        <v>30</v>
      </c>
      <c r="J5014" t="s" s="10">
        <v>25287</v>
      </c>
      <c r="K5014" t="s" s="10">
        <v>25288</v>
      </c>
      <c r="L5014" s="16">
        <f>HYPERLINK("http://www.finperks.com", "www.finperks.com")</f>
      </c>
      <c r="M5014" s="16">
        <f>HYPERLINK("https://my.pitchbook.com?c=1152819-91", "View Company Online")</f>
      </c>
    </row>
    <row r="5015">
      <c r="A5015" t="s" s="11">
        <v>25290</v>
      </c>
      <c r="B5015" t="s" s="11">
        <v>25291</v>
      </c>
      <c r="C5015" t="s" s="11">
        <v>60</v>
      </c>
      <c r="D5015" t="s" s="11">
        <v>192</v>
      </c>
      <c r="E5015" t="s" s="11">
        <v>1652</v>
      </c>
      <c r="F5015" s="28">
        <v>45047</v>
      </c>
      <c r="G5015" t="s" s="11">
        <v>146</v>
      </c>
      <c r="H5015" s="43">
        <v>0.05</v>
      </c>
      <c r="I5015" t="s" s="43">
        <v>30</v>
      </c>
      <c r="J5015" t="s" s="11">
        <v>25292</v>
      </c>
      <c r="K5015" t="s" s="11">
        <v>22855</v>
      </c>
      <c r="L5015" s="17">
        <f>HYPERLINK("http://www.finqup.com", "www.finqup.com")</f>
      </c>
      <c r="M5015" s="17">
        <f>HYPERLINK("https://my.pitchbook.com?c=528903-91", "View Company Online")</f>
      </c>
    </row>
    <row r="5016">
      <c r="A5016" t="s" s="10">
        <v>25294</v>
      </c>
      <c r="B5016" t="s" s="10">
        <v>25295</v>
      </c>
      <c r="C5016" t="s" s="10">
        <v>60</v>
      </c>
      <c r="D5016" t="s" s="10">
        <v>192</v>
      </c>
      <c r="E5016" t="s" s="10">
        <v>137</v>
      </c>
      <c r="F5016" s="27">
        <v>45756</v>
      </c>
      <c r="G5016" t="s" s="10">
        <v>146</v>
      </c>
      <c r="H5016" t="s" s="42">
        <v>30</v>
      </c>
      <c r="I5016" t="s" s="42">
        <v>30</v>
      </c>
      <c r="J5016" t="s" s="10">
        <v>25296</v>
      </c>
      <c r="K5016" t="s" s="10">
        <v>25297</v>
      </c>
      <c r="L5016" s="16">
        <f>HYPERLINK("http://www.finright.in", "www.finright.in")</f>
      </c>
      <c r="M5016" s="16">
        <f>HYPERLINK("https://my.pitchbook.com?c=731795-77", "View Company Online")</f>
      </c>
    </row>
    <row r="5017">
      <c r="A5017" t="s" s="11">
        <v>25299</v>
      </c>
      <c r="B5017" t="s" s="11">
        <v>25300</v>
      </c>
      <c r="C5017" t="s" s="11">
        <v>222</v>
      </c>
      <c r="D5017" t="s" s="11">
        <v>223</v>
      </c>
      <c r="E5017" t="s" s="11">
        <v>414</v>
      </c>
      <c r="F5017" s="28">
        <v>46202</v>
      </c>
      <c r="G5017" t="s" s="11">
        <v>2051</v>
      </c>
      <c r="H5017" t="s" s="43">
        <v>30</v>
      </c>
      <c r="I5017" t="s" s="43">
        <v>30</v>
      </c>
      <c r="J5017" t="s" s="11">
        <v>25301</v>
      </c>
      <c r="K5017" t="s" s="11">
        <v>30</v>
      </c>
      <c r="L5017" s="17">
        <f>HYPERLINK("http://www.finrob.xyz", "www.finrob.xyz")</f>
      </c>
      <c r="M5017" s="17">
        <f>HYPERLINK("https://my.pitchbook.com?c=1319640-67", "View Company Online")</f>
      </c>
    </row>
    <row r="5018">
      <c r="A5018" t="s" s="10">
        <v>25303</v>
      </c>
      <c r="B5018" t="s" s="10">
        <v>25304</v>
      </c>
      <c r="C5018" t="s" s="10">
        <v>222</v>
      </c>
      <c r="D5018" t="s" s="10">
        <v>223</v>
      </c>
      <c r="E5018" t="s" s="10">
        <v>373</v>
      </c>
      <c r="F5018" s="27">
        <v>45973</v>
      </c>
      <c r="G5018" t="s" s="10">
        <v>4267</v>
      </c>
      <c r="H5018" s="42">
        <v>1</v>
      </c>
      <c r="I5018" t="s" s="42">
        <v>30</v>
      </c>
      <c r="J5018" t="s" s="10">
        <v>25305</v>
      </c>
      <c r="K5018" t="s" s="10">
        <v>25306</v>
      </c>
      <c r="L5018" s="16">
        <f>HYPERLINK("http://www.finseeka.com", "www.finseeka.com")</f>
      </c>
      <c r="M5018" s="16">
        <f>HYPERLINK("https://my.pitchbook.com?c=1158729-40", "View Company Online")</f>
      </c>
    </row>
    <row r="5019">
      <c r="A5019" t="s" s="11">
        <v>25308</v>
      </c>
      <c r="B5019" t="s" s="11">
        <v>25309</v>
      </c>
      <c r="C5019" t="s" s="11">
        <v>164</v>
      </c>
      <c r="D5019" t="s" s="11">
        <v>206</v>
      </c>
      <c r="E5019" t="s" s="11">
        <v>414</v>
      </c>
      <c r="F5019" s="28">
        <v>45000</v>
      </c>
      <c r="G5019" t="s" s="11">
        <v>4267</v>
      </c>
      <c r="H5019" s="43">
        <v>1.3</v>
      </c>
      <c r="I5019" t="s" s="43">
        <v>30</v>
      </c>
      <c r="J5019" t="s" s="11">
        <v>25310</v>
      </c>
      <c r="K5019" t="s" s="11">
        <v>25311</v>
      </c>
      <c r="L5019" s="17">
        <f>HYPERLINK("http://www.finsire.com", "www.finsire.com")</f>
      </c>
      <c r="M5019" s="17">
        <f>HYPERLINK("https://my.pitchbook.com?c=521615-44", "View Company Online")</f>
      </c>
    </row>
    <row r="5020">
      <c r="A5020" t="s" s="10">
        <v>25313</v>
      </c>
      <c r="B5020" t="s" s="10">
        <v>25314</v>
      </c>
      <c r="C5020" t="s" s="10">
        <v>114</v>
      </c>
      <c r="D5020" t="s" s="10">
        <v>136</v>
      </c>
      <c r="E5020" t="s" s="10">
        <v>332</v>
      </c>
      <c r="F5020" s="27">
        <v>45209</v>
      </c>
      <c r="G5020" t="s" s="10">
        <v>607</v>
      </c>
      <c r="H5020" s="42">
        <v>0.01</v>
      </c>
      <c r="I5020" t="s" s="42">
        <v>30</v>
      </c>
      <c r="J5020" t="s" s="10">
        <v>25315</v>
      </c>
      <c r="K5020" t="s" s="10">
        <v>25316</v>
      </c>
      <c r="L5020" s="16">
        <f>HYPERLINK("http://www.finso.co.uk", "www.finso.co.uk")</f>
      </c>
      <c r="M5020" s="16">
        <f>HYPERLINK("https://my.pitchbook.com?c=521718-49", "View Company Online")</f>
      </c>
    </row>
    <row r="5021">
      <c r="A5021" t="s" s="11">
        <v>25318</v>
      </c>
      <c r="B5021" t="s" s="11">
        <v>25319</v>
      </c>
      <c r="C5021" t="s" s="11">
        <v>60</v>
      </c>
      <c r="D5021" t="s" s="11">
        <v>246</v>
      </c>
      <c r="E5021" t="s" s="11">
        <v>12640</v>
      </c>
      <c r="F5021" s="28">
        <v>45031</v>
      </c>
      <c r="G5021" t="s" s="11">
        <v>40</v>
      </c>
      <c r="H5021" s="43">
        <v>2.55</v>
      </c>
      <c r="I5021" t="s" s="43">
        <v>30</v>
      </c>
      <c r="J5021" t="s" s="11">
        <v>25320</v>
      </c>
      <c r="K5021" t="s" s="11">
        <v>25321</v>
      </c>
      <c r="L5021" s="17">
        <f>HYPERLINK("http://www.finspo.com.au", "www.finspo.com.au")</f>
      </c>
      <c r="M5021" s="17">
        <f>HYPERLINK("https://my.pitchbook.com?c=470437-57", "View Company Online")</f>
      </c>
    </row>
    <row r="5022">
      <c r="A5022" t="s" s="10">
        <v>25323</v>
      </c>
      <c r="B5022" t="s" s="10">
        <v>25324</v>
      </c>
      <c r="C5022" t="s" s="10">
        <v>164</v>
      </c>
      <c r="D5022" t="s" s="10">
        <v>206</v>
      </c>
      <c r="E5022" t="s" s="10">
        <v>13479</v>
      </c>
      <c r="F5022" s="27">
        <v>45966</v>
      </c>
      <c r="G5022" t="s" s="10">
        <v>146</v>
      </c>
      <c r="H5022" s="42">
        <v>10</v>
      </c>
      <c r="I5022" t="s" s="42">
        <v>30</v>
      </c>
      <c r="J5022" t="s" s="10">
        <v>25325</v>
      </c>
      <c r="K5022" t="s" s="10">
        <v>25326</v>
      </c>
      <c r="L5022" s="16">
        <f>HYPERLINK("http://www.fintary.com", "www.fintary.com")</f>
      </c>
      <c r="M5022" s="16">
        <f>HYPERLINK("https://my.pitchbook.com?c=529773-13", "View Company Online")</f>
      </c>
    </row>
    <row r="5023">
      <c r="A5023" t="s" s="11">
        <v>25328</v>
      </c>
      <c r="B5023" t="s" s="11">
        <v>25329</v>
      </c>
      <c r="C5023" t="s" s="11">
        <v>164</v>
      </c>
      <c r="D5023" t="s" s="11">
        <v>165</v>
      </c>
      <c r="E5023" t="s" s="11">
        <v>373</v>
      </c>
      <c r="F5023" t="s" s="28">
        <v>30</v>
      </c>
      <c r="G5023" t="s" s="11">
        <v>48</v>
      </c>
      <c r="H5023" t="s" s="43">
        <v>30</v>
      </c>
      <c r="I5023" t="s" s="43">
        <v>30</v>
      </c>
      <c r="J5023" t="s" s="11">
        <v>25330</v>
      </c>
      <c r="K5023" t="s" s="11">
        <v>30</v>
      </c>
      <c r="L5023" s="17">
        <f>HYPERLINK("http://www.fintechautomation.com", "www.fintechautomation.com")</f>
      </c>
      <c r="M5023" s="17">
        <f>HYPERLINK("https://my.pitchbook.com?c=465297-31", "View Company Online")</f>
      </c>
    </row>
    <row r="5024">
      <c r="A5024" t="s" s="10">
        <v>25332</v>
      </c>
      <c r="B5024" t="s" s="10">
        <v>25333</v>
      </c>
      <c r="C5024" t="s" s="10">
        <v>164</v>
      </c>
      <c r="D5024" t="s" s="10">
        <v>206</v>
      </c>
      <c r="E5024" t="s" s="10">
        <v>253</v>
      </c>
      <c r="F5024" s="27">
        <v>46233</v>
      </c>
      <c r="G5024" t="s" s="10">
        <v>2051</v>
      </c>
      <c r="H5024" t="s" s="42">
        <v>30</v>
      </c>
      <c r="I5024" t="s" s="42">
        <v>30</v>
      </c>
      <c r="J5024" t="s" s="10">
        <v>25334</v>
      </c>
      <c r="K5024" t="s" s="10">
        <v>30</v>
      </c>
      <c r="L5024" s="16">
        <f>HYPERLINK("http://www.thefinx.io", "www.thefinx.io")</f>
      </c>
      <c r="M5024" s="16">
        <f>HYPERLINK("https://my.pitchbook.com?c=482821-66", "View Company Online")</f>
      </c>
    </row>
    <row r="5025">
      <c r="A5025" t="s" s="11">
        <v>25336</v>
      </c>
      <c r="B5025" t="s" s="11">
        <v>25337</v>
      </c>
      <c r="C5025" t="s" s="11">
        <v>164</v>
      </c>
      <c r="D5025" t="s" s="11">
        <v>165</v>
      </c>
      <c r="E5025" t="s" s="11">
        <v>253</v>
      </c>
      <c r="F5025" s="28">
        <v>45901</v>
      </c>
      <c r="G5025" t="s" s="11">
        <v>607</v>
      </c>
      <c r="H5025" t="s" s="43">
        <v>30</v>
      </c>
      <c r="I5025" t="s" s="43">
        <v>30</v>
      </c>
      <c r="J5025" t="s" s="11">
        <v>25338</v>
      </c>
      <c r="K5025" t="s" s="11">
        <v>25339</v>
      </c>
      <c r="L5025" s="17">
        <f>HYPERLINK("http://www.fintechos.com", "www.fintechos.com")</f>
      </c>
      <c r="M5025" s="17">
        <f>HYPERLINK("https://my.pitchbook.com?c=234727-48", "View Company Online")</f>
      </c>
    </row>
    <row r="5026">
      <c r="A5026" t="s" s="10">
        <v>25341</v>
      </c>
      <c r="B5026" t="s" s="10">
        <v>25342</v>
      </c>
      <c r="C5026" t="s" s="10">
        <v>46</v>
      </c>
      <c r="D5026" t="s" s="10">
        <v>397</v>
      </c>
      <c r="E5026" t="s" s="10">
        <v>253</v>
      </c>
      <c r="F5026" s="27">
        <v>45373</v>
      </c>
      <c r="G5026" t="s" s="10">
        <v>40</v>
      </c>
      <c r="H5026" s="42">
        <v>1.11</v>
      </c>
      <c r="I5026" t="s" s="42">
        <v>30</v>
      </c>
      <c r="J5026" t="s" s="10">
        <v>25343</v>
      </c>
      <c r="K5026" t="s" s="10">
        <v>25344</v>
      </c>
      <c r="L5026" s="16">
        <f>HYPERLINK("http://www.fintelconnect.com", "www.fintelconnect.com")</f>
      </c>
      <c r="M5026" s="16">
        <f>HYPERLINK("https://my.pitchbook.com?c=399210-94", "View Company Online")</f>
      </c>
    </row>
    <row r="5027">
      <c r="A5027" t="s" s="11">
        <v>25346</v>
      </c>
      <c r="B5027" t="s" s="11">
        <v>25347</v>
      </c>
      <c r="C5027" t="s" s="11">
        <v>164</v>
      </c>
      <c r="D5027" t="s" s="11">
        <v>165</v>
      </c>
      <c r="E5027" t="s" s="11">
        <v>367</v>
      </c>
      <c r="F5027" s="28">
        <v>44362</v>
      </c>
      <c r="G5027" t="s" s="11">
        <v>40</v>
      </c>
      <c r="H5027" t="s" s="43">
        <v>30</v>
      </c>
      <c r="I5027" t="s" s="43">
        <v>30</v>
      </c>
      <c r="J5027" t="s" s="11">
        <v>25348</v>
      </c>
      <c r="K5027" t="s" s="11">
        <v>25349</v>
      </c>
      <c r="L5027" s="17">
        <f>HYPERLINK("http://www.fintell.com.cn", "www.fintell.com.cn")</f>
      </c>
      <c r="M5027" s="17">
        <f>HYPERLINK("https://my.pitchbook.com?c=340849-63", "View Company Online")</f>
      </c>
    </row>
    <row r="5028">
      <c r="A5028" t="s" s="10">
        <v>25351</v>
      </c>
      <c r="B5028" t="s" s="10">
        <v>25352</v>
      </c>
      <c r="C5028" t="s" s="10">
        <v>222</v>
      </c>
      <c r="D5028" t="s" s="10">
        <v>223</v>
      </c>
      <c r="E5028" t="s" s="10">
        <v>634</v>
      </c>
      <c r="F5028" s="27">
        <v>45628</v>
      </c>
      <c r="G5028" t="s" s="10">
        <v>40</v>
      </c>
      <c r="H5028" t="s" s="42">
        <v>30</v>
      </c>
      <c r="I5028" t="s" s="42">
        <v>30</v>
      </c>
      <c r="J5028" t="s" s="10">
        <v>25353</v>
      </c>
      <c r="K5028" t="s" s="10">
        <v>25354</v>
      </c>
      <c r="L5028" s="16">
        <f>HYPERLINK("http://www.fintica-ai.com", "www.fintica-ai.com")</f>
      </c>
      <c r="M5028" s="16">
        <f>HYPERLINK("https://my.pitchbook.com?c=439273-45", "View Company Online")</f>
      </c>
    </row>
    <row r="5029">
      <c r="A5029" t="s" s="11">
        <v>25356</v>
      </c>
      <c r="B5029" t="s" s="11">
        <v>25357</v>
      </c>
      <c r="C5029" t="s" s="11">
        <v>164</v>
      </c>
      <c r="D5029" t="s" s="11">
        <v>165</v>
      </c>
      <c r="E5029" t="s" s="11">
        <v>137</v>
      </c>
      <c r="F5029" s="28">
        <v>45915</v>
      </c>
      <c r="G5029" t="s" s="11">
        <v>4267</v>
      </c>
      <c r="H5029" s="43">
        <v>1</v>
      </c>
      <c r="I5029" t="s" s="43">
        <v>30</v>
      </c>
      <c r="J5029" t="s" s="11">
        <v>25358</v>
      </c>
      <c r="K5029" t="s" s="11">
        <v>30</v>
      </c>
      <c r="L5029" s="17">
        <f>HYPERLINK("http://fintologya.com", "fintologya.com")</f>
      </c>
      <c r="M5029" s="17">
        <f>HYPERLINK("https://my.pitchbook.com?c=719135-38", "View Company Online")</f>
      </c>
    </row>
    <row r="5030">
      <c r="A5030" t="s" s="10">
        <v>25360</v>
      </c>
      <c r="B5030" t="s" s="10">
        <v>25361</v>
      </c>
      <c r="C5030" t="s" s="10">
        <v>46</v>
      </c>
      <c r="D5030" t="s" s="10">
        <v>915</v>
      </c>
      <c r="E5030" t="s" s="10">
        <v>373</v>
      </c>
      <c r="F5030" s="27">
        <v>46058</v>
      </c>
      <c r="G5030" t="s" s="10">
        <v>4267</v>
      </c>
      <c r="H5030" s="42">
        <v>1.76</v>
      </c>
      <c r="I5030" t="s" s="42">
        <v>30</v>
      </c>
      <c r="J5030" t="s" s="10">
        <v>25362</v>
      </c>
      <c r="K5030" t="s" s="10">
        <v>25363</v>
      </c>
      <c r="L5030" s="16">
        <f>HYPERLINK("http://www.fintower.ai", "www.fintower.ai")</f>
      </c>
      <c r="M5030" s="16">
        <f>HYPERLINK("https://my.pitchbook.com?c=1233028-36", "View Company Online")</f>
      </c>
    </row>
    <row r="5031">
      <c r="A5031" t="s" s="11">
        <v>25365</v>
      </c>
      <c r="B5031" t="s" s="11">
        <v>25366</v>
      </c>
      <c r="C5031" t="s" s="11">
        <v>27</v>
      </c>
      <c r="D5031" t="s" s="11">
        <v>70</v>
      </c>
      <c r="E5031" t="s" s="11">
        <v>137</v>
      </c>
      <c r="F5031" s="28">
        <v>46023</v>
      </c>
      <c r="G5031" t="s" s="11">
        <v>40</v>
      </c>
      <c r="H5031" t="s" s="43">
        <v>30</v>
      </c>
      <c r="I5031" t="s" s="43">
        <v>30</v>
      </c>
      <c r="J5031" t="s" s="11">
        <v>25367</v>
      </c>
      <c r="K5031" t="s" s="11">
        <v>25368</v>
      </c>
      <c r="L5031" s="17">
        <f>HYPERLINK("http://www.fintwin.vn", "www.fintwin.vn")</f>
      </c>
      <c r="M5031" s="17">
        <f>HYPERLINK("https://my.pitchbook.com?c=520617-52", "View Company Online")</f>
      </c>
    </row>
    <row r="5032">
      <c r="A5032" t="s" s="10">
        <v>25370</v>
      </c>
      <c r="B5032" t="s" s="10">
        <v>25371</v>
      </c>
      <c r="C5032" t="s" s="10">
        <v>60</v>
      </c>
      <c r="D5032" t="s" s="10">
        <v>61</v>
      </c>
      <c r="E5032" t="s" s="10">
        <v>137</v>
      </c>
      <c r="F5032" s="27">
        <v>45916</v>
      </c>
      <c r="G5032" t="s" s="10">
        <v>138</v>
      </c>
      <c r="H5032" t="s" s="42">
        <v>30</v>
      </c>
      <c r="I5032" t="s" s="42">
        <v>30</v>
      </c>
      <c r="J5032" t="s" s="10">
        <v>25372</v>
      </c>
      <c r="K5032" t="s" s="10">
        <v>25373</v>
      </c>
      <c r="L5032" s="16">
        <f>HYPERLINK("http://www.finup24.com", "www.finup24.com")</f>
      </c>
      <c r="M5032" s="16">
        <f>HYPERLINK("https://my.pitchbook.com?c=996457-42", "View Company Online")</f>
      </c>
    </row>
    <row r="5033">
      <c r="A5033" t="s" s="11">
        <v>25375</v>
      </c>
      <c r="B5033" t="s" s="11">
        <v>25376</v>
      </c>
      <c r="C5033" t="s" s="11">
        <v>60</v>
      </c>
      <c r="D5033" t="s" s="11">
        <v>432</v>
      </c>
      <c r="E5033" t="s" s="11">
        <v>373</v>
      </c>
      <c r="F5033" s="28">
        <v>45975</v>
      </c>
      <c r="G5033" t="s" s="11">
        <v>607</v>
      </c>
      <c r="H5033" t="s" s="43">
        <v>30</v>
      </c>
      <c r="I5033" t="s" s="43">
        <v>30</v>
      </c>
      <c r="J5033" t="s" s="11">
        <v>25377</v>
      </c>
      <c r="K5033" t="s" s="11">
        <v>25378</v>
      </c>
      <c r="L5033" s="17">
        <f>HYPERLINK("http://www.finvar.com", "www.finvar.com")</f>
      </c>
      <c r="M5033" s="17">
        <f>HYPERLINK("https://my.pitchbook.com?c=470842-75", "View Company Online")</f>
      </c>
    </row>
    <row r="5034">
      <c r="A5034" t="s" s="10">
        <v>25380</v>
      </c>
      <c r="B5034" t="s" s="10">
        <v>25381</v>
      </c>
      <c r="C5034" t="s" s="10">
        <v>114</v>
      </c>
      <c r="D5034" t="s" s="10">
        <v>1386</v>
      </c>
      <c r="E5034" t="s" s="10">
        <v>640</v>
      </c>
      <c r="F5034" s="27">
        <v>45863</v>
      </c>
      <c r="G5034" t="s" s="10">
        <v>4267</v>
      </c>
      <c r="H5034" t="s" s="42">
        <v>30</v>
      </c>
      <c r="I5034" t="s" s="42">
        <v>30</v>
      </c>
      <c r="J5034" t="s" s="10">
        <v>25382</v>
      </c>
      <c r="K5034" t="s" s="10">
        <v>25383</v>
      </c>
      <c r="L5034" s="16">
        <f>HYPERLINK("http://www.finvero.com", "www.finvero.com")</f>
      </c>
      <c r="M5034" s="16">
        <f>HYPERLINK("https://my.pitchbook.com?c=496517-86", "View Company Online")</f>
      </c>
    </row>
    <row r="5035">
      <c r="A5035" t="s" s="11">
        <v>25385</v>
      </c>
      <c r="B5035" t="s" s="11">
        <v>25386</v>
      </c>
      <c r="C5035" t="s" s="11">
        <v>60</v>
      </c>
      <c r="D5035" t="s" s="11">
        <v>61</v>
      </c>
      <c r="E5035" t="s" s="11">
        <v>253</v>
      </c>
      <c r="F5035" s="28">
        <v>45322</v>
      </c>
      <c r="G5035" t="s" s="11">
        <v>146</v>
      </c>
      <c r="H5035" s="43">
        <v>2.7</v>
      </c>
      <c r="I5035" t="s" s="43">
        <v>30</v>
      </c>
      <c r="J5035" t="s" s="11">
        <v>25387</v>
      </c>
      <c r="K5035" t="s" s="11">
        <v>25388</v>
      </c>
      <c r="L5035" s="17">
        <f>HYPERLINK("http://www.getfinvest.com", "www.getfinvest.com")</f>
      </c>
      <c r="M5035" s="17">
        <f>HYPERLINK("https://my.pitchbook.com?c=571553-20", "View Company Online")</f>
      </c>
    </row>
    <row r="5036">
      <c r="A5036" t="s" s="10">
        <v>25390</v>
      </c>
      <c r="B5036" t="s" s="10">
        <v>25391</v>
      </c>
      <c r="C5036" t="s" s="10">
        <v>164</v>
      </c>
      <c r="D5036" t="s" s="10">
        <v>165</v>
      </c>
      <c r="E5036" t="s" s="10">
        <v>137</v>
      </c>
      <c r="F5036" s="27">
        <v>45408</v>
      </c>
      <c r="G5036" t="s" s="10">
        <v>40</v>
      </c>
      <c r="H5036" t="s" s="42">
        <v>30</v>
      </c>
      <c r="I5036" t="s" s="42">
        <v>30</v>
      </c>
      <c r="J5036" t="s" s="10">
        <v>25392</v>
      </c>
      <c r="K5036" t="s" s="10">
        <v>25393</v>
      </c>
      <c r="L5036" s="16">
        <f>HYPERLINK("http://www.finviet.com.vn", "www.finviet.com.vn")</f>
      </c>
      <c r="M5036" s="16">
        <f>HYPERLINK("https://my.pitchbook.com?c=527353-48", "View Company Online")</f>
      </c>
    </row>
    <row r="5037">
      <c r="A5037" t="s" s="11">
        <v>25395</v>
      </c>
      <c r="B5037" t="s" s="11">
        <v>25396</v>
      </c>
      <c r="C5037" t="s" s="11">
        <v>164</v>
      </c>
      <c r="D5037" t="s" s="11">
        <v>206</v>
      </c>
      <c r="E5037" t="s" s="11">
        <v>193</v>
      </c>
      <c r="F5037" t="s" s="28">
        <v>30</v>
      </c>
      <c r="G5037" t="s" s="11">
        <v>607</v>
      </c>
      <c r="H5037" t="s" s="43">
        <v>30</v>
      </c>
      <c r="I5037" t="s" s="43">
        <v>30</v>
      </c>
      <c r="J5037" t="s" s="11">
        <v>25397</v>
      </c>
      <c r="K5037" t="s" s="11">
        <v>25398</v>
      </c>
      <c r="L5037" s="17">
        <f>HYPERLINK("http://finway.de", "finway.de")</f>
      </c>
      <c r="M5037" s="17">
        <f>HYPERLINK("https://my.pitchbook.com?c=463370-23", "View Company Online")</f>
      </c>
    </row>
    <row r="5038">
      <c r="A5038" t="s" s="10">
        <v>25400</v>
      </c>
      <c r="B5038" t="s" s="10">
        <v>25401</v>
      </c>
      <c r="C5038" t="s" s="10">
        <v>60</v>
      </c>
      <c r="D5038" t="s" s="10">
        <v>432</v>
      </c>
      <c r="E5038" t="s" s="10">
        <v>373</v>
      </c>
      <c r="F5038" s="27">
        <v>45292</v>
      </c>
      <c r="G5038" t="s" s="10">
        <v>146</v>
      </c>
      <c r="H5038" t="s" s="42">
        <v>30</v>
      </c>
      <c r="I5038" t="s" s="42">
        <v>30</v>
      </c>
      <c r="J5038" t="s" s="10">
        <v>25402</v>
      </c>
      <c r="K5038" t="s" s="10">
        <v>25403</v>
      </c>
      <c r="L5038" s="16">
        <f>HYPERLINK("http://www.finwello.com", "www.finwello.com")</f>
      </c>
      <c r="M5038" s="16">
        <f>HYPERLINK("https://my.pitchbook.com?c=543985-84", "View Company Online")</f>
      </c>
    </row>
    <row r="5039">
      <c r="A5039" t="s" s="11">
        <v>25405</v>
      </c>
      <c r="B5039" t="s" s="11">
        <v>25406</v>
      </c>
      <c r="C5039" t="s" s="11">
        <v>164</v>
      </c>
      <c r="D5039" t="s" s="11">
        <v>206</v>
      </c>
      <c r="E5039" t="s" s="11">
        <v>137</v>
      </c>
      <c r="F5039" s="28">
        <v>45344</v>
      </c>
      <c r="G5039" t="s" s="11">
        <v>4267</v>
      </c>
      <c r="H5039" s="43">
        <v>5</v>
      </c>
      <c r="I5039" t="s" s="43">
        <v>30</v>
      </c>
      <c r="J5039" t="s" s="11">
        <v>25407</v>
      </c>
      <c r="K5039" t="s" s="11">
        <v>30</v>
      </c>
      <c r="L5039" s="17">
        <f>HYPERLINK("http://www.finwise.bank", "www.finwise.bank")</f>
      </c>
      <c r="M5039" s="17">
        <f>HYPERLINK("https://my.pitchbook.com?c=343796-23", "View Company Online")</f>
      </c>
    </row>
    <row r="5040">
      <c r="A5040" t="s" s="10">
        <v>25409</v>
      </c>
      <c r="B5040" t="s" s="10">
        <v>25410</v>
      </c>
      <c r="C5040" t="s" s="10">
        <v>164</v>
      </c>
      <c r="D5040" t="s" s="10">
        <v>206</v>
      </c>
      <c r="E5040" t="s" s="10">
        <v>373</v>
      </c>
      <c r="F5040" s="27">
        <v>46142</v>
      </c>
      <c r="G5040" t="s" s="10">
        <v>40</v>
      </c>
      <c r="H5040" s="42">
        <v>6</v>
      </c>
      <c r="I5040" t="s" s="42">
        <v>30</v>
      </c>
      <c r="J5040" t="s" s="10">
        <v>25411</v>
      </c>
      <c r="K5040" t="s" s="10">
        <v>25412</v>
      </c>
      <c r="L5040" s="16">
        <f>HYPERLINK("http://www.finzly.com", "www.finzly.com")</f>
      </c>
      <c r="M5040" s="16">
        <f>HYPERLINK("https://my.pitchbook.com?c=399215-35", "View Company Online")</f>
      </c>
    </row>
    <row r="5041">
      <c r="A5041" t="s" s="11">
        <v>25414</v>
      </c>
      <c r="B5041" t="s" s="11">
        <v>25415</v>
      </c>
      <c r="C5041" t="s" s="11">
        <v>164</v>
      </c>
      <c r="D5041" t="s" s="11">
        <v>165</v>
      </c>
      <c r="E5041" t="s" s="11">
        <v>414</v>
      </c>
      <c r="F5041" s="28">
        <v>45413</v>
      </c>
      <c r="G5041" t="s" s="11">
        <v>146</v>
      </c>
      <c r="H5041" t="s" s="43">
        <v>30</v>
      </c>
      <c r="I5041" t="s" s="43">
        <v>30</v>
      </c>
      <c r="J5041" t="s" s="11">
        <v>25416</v>
      </c>
      <c r="K5041" t="s" s="11">
        <v>25417</v>
      </c>
      <c r="L5041" s="17">
        <f>HYPERLINK("http://www.fionic.com", "www.fionic.com")</f>
      </c>
      <c r="M5041" s="17">
        <f>HYPERLINK("https://my.pitchbook.com?c=521991-91", "View Company Online")</f>
      </c>
    </row>
    <row r="5042">
      <c r="A5042" t="s" s="10">
        <v>25419</v>
      </c>
      <c r="B5042" t="s" s="10">
        <v>25420</v>
      </c>
      <c r="C5042" t="s" s="10">
        <v>222</v>
      </c>
      <c r="D5042" t="s" s="10">
        <v>223</v>
      </c>
      <c r="E5042" t="s" s="10">
        <v>373</v>
      </c>
      <c r="F5042" s="27">
        <v>45809</v>
      </c>
      <c r="G5042" t="s" s="10">
        <v>146</v>
      </c>
      <c r="H5042" t="s" s="42">
        <v>30</v>
      </c>
      <c r="I5042" t="s" s="42">
        <v>30</v>
      </c>
      <c r="J5042" t="s" s="10">
        <v>25421</v>
      </c>
      <c r="K5042" t="s" s="10">
        <v>25422</v>
      </c>
      <c r="L5042" s="16">
        <f>HYPERLINK("http://www.firaresearch.com", "www.firaresearch.com")</f>
      </c>
      <c r="M5042" s="16">
        <f>HYPERLINK("https://my.pitchbook.com?c=739924-03", "View Company Online")</f>
      </c>
    </row>
    <row r="5043">
      <c r="A5043" t="s" s="11">
        <v>25424</v>
      </c>
      <c r="B5043" t="s" s="11">
        <v>25425</v>
      </c>
      <c r="C5043" t="s" s="11">
        <v>60</v>
      </c>
      <c r="D5043" t="s" s="11">
        <v>192</v>
      </c>
      <c r="E5043" t="s" s="11">
        <v>859</v>
      </c>
      <c r="F5043" s="28">
        <v>46070</v>
      </c>
      <c r="G5043" t="s" s="11">
        <v>4267</v>
      </c>
      <c r="H5043" s="43">
        <v>1.5</v>
      </c>
      <c r="I5043" t="s" s="43">
        <v>30</v>
      </c>
      <c r="J5043" t="s" s="11">
        <v>25426</v>
      </c>
      <c r="K5043" t="s" s="11">
        <v>25427</v>
      </c>
      <c r="L5043" s="17">
        <f>HYPERLINK("http://pro.fireplace.gg", "pro.fireplace.gg")</f>
      </c>
      <c r="M5043" s="17">
        <f>HYPERLINK("https://my.pitchbook.com?c=1318631-41", "View Company Online")</f>
      </c>
    </row>
    <row r="5044">
      <c r="A5044" t="s" s="10">
        <v>25429</v>
      </c>
      <c r="B5044" t="s" s="10">
        <v>25430</v>
      </c>
      <c r="C5044" t="s" s="10">
        <v>46</v>
      </c>
      <c r="D5044" t="s" s="10">
        <v>915</v>
      </c>
      <c r="E5044" t="s" s="10">
        <v>367</v>
      </c>
      <c r="F5044" s="27">
        <v>45599</v>
      </c>
      <c r="G5044" t="s" s="10">
        <v>607</v>
      </c>
      <c r="H5044" t="s" s="42">
        <v>30</v>
      </c>
      <c r="I5044" t="s" s="42">
        <v>30</v>
      </c>
      <c r="J5044" t="s" s="10">
        <v>25431</v>
      </c>
      <c r="K5044" t="s" s="10">
        <v>25432</v>
      </c>
      <c r="L5044" s="16">
        <f>HYPERLINK("http://www.firmbase.ai", "www.firmbase.ai")</f>
      </c>
      <c r="M5044" s="16">
        <f>HYPERLINK("https://my.pitchbook.com?c=495537-67", "View Company Online")</f>
      </c>
    </row>
    <row r="5045">
      <c r="A5045" t="s" s="11">
        <v>25434</v>
      </c>
      <c r="B5045" t="s" s="11">
        <v>25435</v>
      </c>
      <c r="C5045" t="s" s="11">
        <v>144</v>
      </c>
      <c r="D5045" t="s" s="11">
        <v>38</v>
      </c>
      <c r="E5045" t="s" s="11">
        <v>193</v>
      </c>
      <c r="F5045" s="28">
        <v>46167</v>
      </c>
      <c r="G5045" t="s" s="11">
        <v>31</v>
      </c>
      <c r="H5045" s="43">
        <v>4.87</v>
      </c>
      <c r="I5045" t="s" s="43">
        <v>30</v>
      </c>
      <c r="J5045" t="s" s="11">
        <v>25436</v>
      </c>
      <c r="K5045" t="s" s="11">
        <v>25437</v>
      </c>
      <c r="L5045" s="17">
        <f>HYPERLINK("http://www.firstcircle.ph", "www.firstcircle.ph")</f>
      </c>
      <c r="M5045" s="17">
        <f>HYPERLINK("https://my.pitchbook.com?c=156186-19", "View Company Online")</f>
      </c>
    </row>
    <row r="5046">
      <c r="A5046" t="s" s="10">
        <v>25439</v>
      </c>
      <c r="B5046" t="s" s="10">
        <v>25440</v>
      </c>
      <c r="C5046" t="s" s="10">
        <v>128</v>
      </c>
      <c r="D5046" t="s" s="10">
        <v>276</v>
      </c>
      <c r="E5046" t="s" s="10">
        <v>23021</v>
      </c>
      <c r="F5046" s="27">
        <v>45175</v>
      </c>
      <c r="G5046" t="s" s="10">
        <v>4267</v>
      </c>
      <c r="H5046" s="42">
        <v>4.7</v>
      </c>
      <c r="I5046" t="s" s="42">
        <v>30</v>
      </c>
      <c r="J5046" t="s" s="10">
        <v>25441</v>
      </c>
      <c r="K5046" t="s" s="10">
        <v>25442</v>
      </c>
      <c r="L5046" s="16">
        <f>HYPERLINK("http://www.firstcard.app", "www.firstcard.app")</f>
      </c>
      <c r="M5046" s="16">
        <f>HYPERLINK("https://my.pitchbook.com?c=517982-23", "View Company Online")</f>
      </c>
    </row>
    <row r="5047">
      <c r="A5047" t="s" s="11">
        <v>25444</v>
      </c>
      <c r="B5047" t="s" s="11">
        <v>25445</v>
      </c>
      <c r="C5047" t="s" s="11">
        <v>46</v>
      </c>
      <c r="D5047" t="s" s="11">
        <v>397</v>
      </c>
      <c r="E5047" t="s" s="11">
        <v>253</v>
      </c>
      <c r="F5047" s="28">
        <v>44958</v>
      </c>
      <c r="G5047" t="s" s="11">
        <v>146</v>
      </c>
      <c r="H5047" t="s" s="43">
        <v>30</v>
      </c>
      <c r="I5047" t="s" s="43">
        <v>30</v>
      </c>
      <c r="J5047" t="s" s="11">
        <v>25446</v>
      </c>
      <c r="K5047" t="s" s="11">
        <v>25447</v>
      </c>
      <c r="L5047" s="17">
        <f>HYPERLINK("http://www.fiscontech.com.br", "www.fiscontech.com.br")</f>
      </c>
      <c r="M5047" s="17">
        <f>HYPERLINK("https://my.pitchbook.com?c=520504-03", "View Company Online")</f>
      </c>
    </row>
    <row r="5048">
      <c r="A5048" t="s" s="10">
        <v>25449</v>
      </c>
      <c r="B5048" t="s" s="10">
        <v>25450</v>
      </c>
      <c r="C5048" t="s" s="10">
        <v>164</v>
      </c>
      <c r="D5048" t="s" s="10">
        <v>165</v>
      </c>
      <c r="E5048" t="s" s="10">
        <v>253</v>
      </c>
      <c r="F5048" s="27">
        <v>45793</v>
      </c>
      <c r="G5048" t="s" s="10">
        <v>40</v>
      </c>
      <c r="H5048" s="42">
        <v>30</v>
      </c>
      <c r="I5048" t="s" s="42">
        <v>30</v>
      </c>
      <c r="J5048" t="s" s="10">
        <v>25451</v>
      </c>
      <c r="K5048" t="s" s="10">
        <v>25452</v>
      </c>
      <c r="L5048" s="16">
        <f>HYPERLINK("http://www.fispan.com", "www.fispan.com")</f>
      </c>
      <c r="M5048" s="16">
        <f>HYPERLINK("https://my.pitchbook.com?c=229176-19", "View Company Online")</f>
      </c>
    </row>
    <row r="5049">
      <c r="A5049" t="s" s="11">
        <v>25454</v>
      </c>
      <c r="B5049" t="s" s="11">
        <v>25455</v>
      </c>
      <c r="C5049" t="s" s="11">
        <v>27</v>
      </c>
      <c r="D5049" t="s" s="11">
        <v>28</v>
      </c>
      <c r="E5049" t="s" s="11">
        <v>137</v>
      </c>
      <c r="F5049" s="28">
        <v>46149</v>
      </c>
      <c r="G5049" t="s" s="11">
        <v>4267</v>
      </c>
      <c r="H5049" s="43">
        <v>6</v>
      </c>
      <c r="I5049" t="s" s="43">
        <v>30</v>
      </c>
      <c r="J5049" t="s" s="11">
        <v>25456</v>
      </c>
      <c r="K5049" t="s" s="11">
        <v>25457</v>
      </c>
      <c r="L5049" s="17">
        <f>HYPERLINK("http://www.five.id", "www.five.id")</f>
      </c>
      <c r="M5049" s="17">
        <f>HYPERLINK("https://my.pitchbook.com?c=607979-35", "View Company Online")</f>
      </c>
    </row>
    <row r="5050">
      <c r="A5050" t="s" s="10">
        <v>25459</v>
      </c>
      <c r="B5050" t="s" s="10">
        <v>25460</v>
      </c>
      <c r="C5050" t="s" s="10">
        <v>222</v>
      </c>
      <c r="D5050" t="s" s="10">
        <v>252</v>
      </c>
      <c r="E5050" t="s" s="10">
        <v>62</v>
      </c>
      <c r="F5050" s="27">
        <v>46083</v>
      </c>
      <c r="G5050" t="s" s="10">
        <v>4267</v>
      </c>
      <c r="H5050" t="s" s="42">
        <v>30</v>
      </c>
      <c r="I5050" t="s" s="42">
        <v>30</v>
      </c>
      <c r="J5050" t="s" s="10">
        <v>25461</v>
      </c>
      <c r="K5050" t="s" s="10">
        <v>25462</v>
      </c>
      <c r="L5050" s="16">
        <f>HYPERLINK("http://www.fivebellssettlement.com", "www.fivebellssettlement.com")</f>
      </c>
      <c r="M5050" s="16">
        <f>HYPERLINK("https://my.pitchbook.com?c=1157780-71", "View Company Online")</f>
      </c>
    </row>
    <row r="5051">
      <c r="A5051" t="s" s="11">
        <v>25464</v>
      </c>
      <c r="B5051" t="s" s="11">
        <v>25465</v>
      </c>
      <c r="C5051" t="s" s="11">
        <v>114</v>
      </c>
      <c r="D5051" t="s" s="11">
        <v>136</v>
      </c>
      <c r="E5051" t="s" s="11">
        <v>137</v>
      </c>
      <c r="F5051" s="28">
        <v>44426</v>
      </c>
      <c r="G5051" t="s" s="11">
        <v>4267</v>
      </c>
      <c r="H5051" s="43">
        <v>7.2</v>
      </c>
      <c r="I5051" t="s" s="43">
        <v>30</v>
      </c>
      <c r="J5051" t="s" s="11">
        <v>25466</v>
      </c>
      <c r="K5051" t="s" s="11">
        <v>25467</v>
      </c>
      <c r="L5051" s="17">
        <f>HYPERLINK("http://www.fix4.com", "www.fix4.com")</f>
      </c>
      <c r="M5051" s="17">
        <f>HYPERLINK("https://my.pitchbook.com?c=471685-24", "View Company Online")</f>
      </c>
    </row>
    <row r="5052">
      <c r="A5052" t="s" s="10">
        <v>25469</v>
      </c>
      <c r="B5052" t="s" s="10">
        <v>25470</v>
      </c>
      <c r="C5052" t="s" s="10">
        <v>46</v>
      </c>
      <c r="D5052" t="s" s="10">
        <v>47</v>
      </c>
      <c r="E5052" t="s" s="10">
        <v>253</v>
      </c>
      <c r="F5052" s="27">
        <v>45610</v>
      </c>
      <c r="G5052" t="s" s="10">
        <v>40</v>
      </c>
      <c r="H5052" s="42">
        <v>0.68</v>
      </c>
      <c r="I5052" t="s" s="42">
        <v>30</v>
      </c>
      <c r="J5052" t="s" s="10">
        <v>25471</v>
      </c>
      <c r="K5052" t="s" s="10">
        <v>25472</v>
      </c>
      <c r="L5052" s="16">
        <f>HYPERLINK("http://www.getmyfixe.com", "www.getmyfixe.com")</f>
      </c>
      <c r="M5052" s="16">
        <f>HYPERLINK("https://my.pitchbook.com?c=515145-34", "View Company Online")</f>
      </c>
    </row>
    <row r="5053">
      <c r="A5053" t="s" s="11">
        <v>25474</v>
      </c>
      <c r="B5053" t="s" s="11">
        <v>25475</v>
      </c>
      <c r="C5053" t="s" s="11">
        <v>222</v>
      </c>
      <c r="D5053" t="s" s="11">
        <v>537</v>
      </c>
      <c r="E5053" t="s" s="11">
        <v>859</v>
      </c>
      <c r="F5053" s="28">
        <v>46137</v>
      </c>
      <c r="G5053" t="s" s="11">
        <v>2051</v>
      </c>
      <c r="H5053" t="s" s="43">
        <v>30</v>
      </c>
      <c r="I5053" t="s" s="43">
        <v>30</v>
      </c>
      <c r="J5053" t="s" s="11">
        <v>25476</v>
      </c>
      <c r="K5053" t="s" s="11">
        <v>30</v>
      </c>
      <c r="L5053" s="17">
        <f>HYPERLINK("http://flaex.io", "flaex.io")</f>
      </c>
      <c r="M5053" s="17">
        <f>HYPERLINK("https://my.pitchbook.com?c=589758-85", "View Company Online")</f>
      </c>
    </row>
    <row r="5054">
      <c r="A5054" t="s" s="10">
        <v>25478</v>
      </c>
      <c r="B5054" t="s" s="10">
        <v>25479</v>
      </c>
      <c r="C5054" t="s" s="10">
        <v>222</v>
      </c>
      <c r="D5054" t="s" s="10">
        <v>235</v>
      </c>
      <c r="E5054" t="s" s="10">
        <v>137</v>
      </c>
      <c r="F5054" s="27">
        <v>46054</v>
      </c>
      <c r="G5054" t="s" s="10">
        <v>146</v>
      </c>
      <c r="H5054" t="s" s="42">
        <v>30</v>
      </c>
      <c r="I5054" t="s" s="42">
        <v>30</v>
      </c>
      <c r="J5054" t="s" s="10">
        <v>25480</v>
      </c>
      <c r="K5054" t="s" s="10">
        <v>25481</v>
      </c>
      <c r="L5054" s="16">
        <f>HYPERLINK("http://www.flamingo.eco", "www.flamingo.eco")</f>
      </c>
      <c r="M5054" s="16">
        <f>HYPERLINK("https://my.pitchbook.com?c=1272507-31", "View Company Online")</f>
      </c>
    </row>
    <row r="5055">
      <c r="A5055" t="s" s="11">
        <v>25483</v>
      </c>
      <c r="B5055" t="s" s="11">
        <v>25484</v>
      </c>
      <c r="C5055" t="s" s="11">
        <v>60</v>
      </c>
      <c r="D5055" t="s" s="11">
        <v>246</v>
      </c>
      <c r="E5055" t="s" s="11">
        <v>137</v>
      </c>
      <c r="F5055" s="28">
        <v>44414</v>
      </c>
      <c r="G5055" t="s" s="11">
        <v>4267</v>
      </c>
      <c r="H5055" s="43">
        <v>0.15</v>
      </c>
      <c r="I5055" t="s" s="43">
        <v>30</v>
      </c>
      <c r="J5055" t="s" s="11">
        <v>25485</v>
      </c>
      <c r="K5055" t="s" s="11">
        <v>30</v>
      </c>
      <c r="L5055" s="17">
        <f>HYPERLINK("http://www.flamingotech.com.au", "www.flamingotech.com.au")</f>
      </c>
      <c r="M5055" s="17">
        <f>HYPERLINK("https://my.pitchbook.com?c=503588-98", "View Company Online")</f>
      </c>
    </row>
    <row r="5056">
      <c r="A5056" t="s" s="10">
        <v>25487</v>
      </c>
      <c r="B5056" t="s" s="10">
        <v>25488</v>
      </c>
      <c r="C5056" t="s" s="10">
        <v>27</v>
      </c>
      <c r="D5056" t="s" s="10">
        <v>70</v>
      </c>
      <c r="E5056" t="s" s="10">
        <v>25489</v>
      </c>
      <c r="F5056" s="27">
        <v>44629</v>
      </c>
      <c r="G5056" t="s" s="10">
        <v>40</v>
      </c>
      <c r="H5056" s="42">
        <v>100</v>
      </c>
      <c r="I5056" t="s" s="42">
        <v>30</v>
      </c>
      <c r="J5056" t="s" s="10">
        <v>25490</v>
      </c>
      <c r="K5056" t="s" s="10">
        <v>25491</v>
      </c>
      <c r="L5056" s="16">
        <f>HYPERLINK("http://www.flashapp.com.br", "www.flashapp.com.br")</f>
      </c>
      <c r="M5056" s="16">
        <f>HYPERLINK("https://my.pitchbook.com?c=342125-74", "View Company Online")</f>
      </c>
    </row>
    <row r="5057">
      <c r="A5057" t="s" s="11">
        <v>25493</v>
      </c>
      <c r="B5057" t="s" s="11">
        <v>25494</v>
      </c>
      <c r="C5057" t="s" s="11">
        <v>128</v>
      </c>
      <c r="D5057" t="s" s="11">
        <v>199</v>
      </c>
      <c r="E5057" t="s" s="11">
        <v>1800</v>
      </c>
      <c r="F5057" s="28">
        <v>45124</v>
      </c>
      <c r="G5057" t="s" s="11">
        <v>4267</v>
      </c>
      <c r="H5057" s="43">
        <v>6</v>
      </c>
      <c r="I5057" t="s" s="43">
        <v>30</v>
      </c>
      <c r="J5057" t="s" s="11">
        <v>25495</v>
      </c>
      <c r="K5057" t="s" s="11">
        <v>25496</v>
      </c>
      <c r="L5057" s="17">
        <f>HYPERLINK("http://www.useflash.app", "www.useflash.app")</f>
      </c>
      <c r="M5057" s="17">
        <f>HYPERLINK("https://my.pitchbook.com?c=518084-47", "View Company Online")</f>
      </c>
    </row>
    <row r="5058">
      <c r="A5058" t="s" s="10">
        <v>25498</v>
      </c>
      <c r="B5058" t="s" s="10">
        <v>25499</v>
      </c>
      <c r="C5058" t="s" s="10">
        <v>27</v>
      </c>
      <c r="D5058" t="s" s="10">
        <v>28</v>
      </c>
      <c r="E5058" t="s" s="10">
        <v>71</v>
      </c>
      <c r="F5058" s="27">
        <v>45596</v>
      </c>
      <c r="G5058" t="s" s="10">
        <v>4267</v>
      </c>
      <c r="H5058" t="s" s="42">
        <v>30</v>
      </c>
      <c r="I5058" t="s" s="42">
        <v>30</v>
      </c>
      <c r="J5058" t="s" s="10">
        <v>25500</v>
      </c>
      <c r="K5058" t="s" s="10">
        <v>25501</v>
      </c>
      <c r="L5058" s="16">
        <f>HYPERLINK("http://www.paywithflash.com", "www.paywithflash.com")</f>
      </c>
      <c r="M5058" s="16">
        <f>HYPERLINK("https://my.pitchbook.com?c=691515-37", "View Company Online")</f>
      </c>
    </row>
    <row r="5059">
      <c r="A5059" t="s" s="11">
        <v>25503</v>
      </c>
      <c r="B5059" t="s" s="11">
        <v>25504</v>
      </c>
      <c r="C5059" t="s" s="11">
        <v>37</v>
      </c>
      <c r="D5059" t="s" s="11">
        <v>38</v>
      </c>
      <c r="E5059" t="s" s="11">
        <v>137</v>
      </c>
      <c r="F5059" s="28">
        <v>45184</v>
      </c>
      <c r="G5059" t="s" s="11">
        <v>146</v>
      </c>
      <c r="H5059" s="43">
        <v>10</v>
      </c>
      <c r="I5059" t="s" s="43">
        <v>30</v>
      </c>
      <c r="J5059" t="s" s="11">
        <v>25505</v>
      </c>
      <c r="K5059" t="s" s="11">
        <v>25506</v>
      </c>
      <c r="L5059" s="17">
        <f>HYPERLINK("http://www.flashwire.com", "www.flashwire.com")</f>
      </c>
      <c r="M5059" s="17">
        <f>HYPERLINK("https://my.pitchbook.com?c=515130-49", "View Company Online")</f>
      </c>
    </row>
    <row r="5060">
      <c r="A5060" t="s" s="10">
        <v>25508</v>
      </c>
      <c r="B5060" t="s" s="10">
        <v>25509</v>
      </c>
      <c r="C5060" t="s" s="10">
        <v>46</v>
      </c>
      <c r="D5060" t="s" s="10">
        <v>78</v>
      </c>
      <c r="E5060" t="s" s="10">
        <v>253</v>
      </c>
      <c r="F5060" s="27">
        <v>44835</v>
      </c>
      <c r="G5060" t="s" s="10">
        <v>4267</v>
      </c>
      <c r="H5060" t="s" s="42">
        <v>30</v>
      </c>
      <c r="I5060" t="s" s="42">
        <v>30</v>
      </c>
      <c r="J5060" t="s" s="10">
        <v>25510</v>
      </c>
      <c r="K5060" t="s" s="10">
        <v>25511</v>
      </c>
      <c r="L5060" s="16">
        <f>HYPERLINK("http://www.fledger.ai", "www.fledger.ai")</f>
      </c>
      <c r="M5060" s="16">
        <f>HYPERLINK("https://my.pitchbook.com?c=510218-20", "View Company Online")</f>
      </c>
    </row>
    <row r="5061">
      <c r="A5061" t="s" s="11">
        <v>25513</v>
      </c>
      <c r="B5061" t="s" s="11">
        <v>25514</v>
      </c>
      <c r="C5061" t="s" s="11">
        <v>114</v>
      </c>
      <c r="D5061" t="s" s="11">
        <v>852</v>
      </c>
      <c r="E5061" t="s" s="11">
        <v>253</v>
      </c>
      <c r="F5061" s="28">
        <v>45874</v>
      </c>
      <c r="G5061" t="s" s="11">
        <v>607</v>
      </c>
      <c r="H5061" t="s" s="43">
        <v>30</v>
      </c>
      <c r="I5061" t="s" s="43">
        <v>30</v>
      </c>
      <c r="J5061" t="s" s="11">
        <v>25515</v>
      </c>
      <c r="K5061" t="s" s="11">
        <v>25516</v>
      </c>
      <c r="L5061" s="17">
        <f>HYPERLINK("http://www.flend.io", "www.flend.io")</f>
      </c>
      <c r="M5061" s="17">
        <f>HYPERLINK("https://my.pitchbook.com?c=533533-42", "View Company Online")</f>
      </c>
    </row>
    <row r="5062">
      <c r="A5062" t="s" s="10">
        <v>25518</v>
      </c>
      <c r="B5062" t="s" s="10">
        <v>25519</v>
      </c>
      <c r="C5062" t="s" s="10">
        <v>46</v>
      </c>
      <c r="D5062" t="s" s="10">
        <v>47</v>
      </c>
      <c r="E5062" t="s" s="10">
        <v>332</v>
      </c>
      <c r="F5062" s="27">
        <v>45597</v>
      </c>
      <c r="G5062" t="s" s="10">
        <v>40</v>
      </c>
      <c r="H5062" t="s" s="42">
        <v>30</v>
      </c>
      <c r="I5062" t="s" s="42">
        <v>30</v>
      </c>
      <c r="J5062" t="s" s="10">
        <v>25520</v>
      </c>
      <c r="K5062" t="s" s="10">
        <v>25521</v>
      </c>
      <c r="L5062" s="16">
        <f>HYPERLINK("http://www.useflexfinance.com", "www.useflexfinance.com")</f>
      </c>
      <c r="M5062" s="16">
        <f>HYPERLINK("https://my.pitchbook.com?c=463098-79", "View Company Online")</f>
      </c>
    </row>
    <row r="5063">
      <c r="A5063" t="s" s="11">
        <v>25523</v>
      </c>
      <c r="B5063" t="s" s="11">
        <v>25524</v>
      </c>
      <c r="C5063" t="s" s="11">
        <v>27</v>
      </c>
      <c r="D5063" t="s" s="11">
        <v>28</v>
      </c>
      <c r="E5063" t="s" s="11">
        <v>1054</v>
      </c>
      <c r="F5063" t="s" s="28">
        <v>30</v>
      </c>
      <c r="G5063" t="s" s="11">
        <v>48</v>
      </c>
      <c r="H5063" t="s" s="43">
        <v>30</v>
      </c>
      <c r="I5063" t="s" s="43">
        <v>30</v>
      </c>
      <c r="J5063" t="s" s="11">
        <v>25525</v>
      </c>
      <c r="K5063" t="s" s="11">
        <v>25526</v>
      </c>
      <c r="L5063" s="17">
        <f>HYPERLINK("http://www.flexa.co", "www.flexa.co")</f>
      </c>
      <c r="M5063" s="17">
        <f>HYPERLINK("https://my.pitchbook.com?c=231303-25", "View Company Online")</f>
      </c>
    </row>
    <row r="5064">
      <c r="A5064" t="s" s="10">
        <v>25528</v>
      </c>
      <c r="B5064" t="s" s="10">
        <v>25529</v>
      </c>
      <c r="C5064" t="s" s="10">
        <v>46</v>
      </c>
      <c r="D5064" t="s" s="10">
        <v>397</v>
      </c>
      <c r="E5064" t="s" s="10">
        <v>253</v>
      </c>
      <c r="F5064" s="27">
        <v>44173</v>
      </c>
      <c r="G5064" t="s" s="10">
        <v>271</v>
      </c>
      <c r="H5064" s="42">
        <v>0.47</v>
      </c>
      <c r="I5064" t="s" s="42">
        <v>30</v>
      </c>
      <c r="J5064" t="s" s="10">
        <v>25530</v>
      </c>
      <c r="K5064" t="s" s="10">
        <v>25531</v>
      </c>
      <c r="L5064" s="16">
        <f>HYPERLINK("http://www.flextax.it", "www.flextax.it")</f>
      </c>
      <c r="M5064" s="16">
        <f>HYPERLINK("https://my.pitchbook.com?c=455193-73", "View Company Online")</f>
      </c>
    </row>
    <row r="5065">
      <c r="A5065" t="s" s="11">
        <v>25533</v>
      </c>
      <c r="B5065" t="s" s="11">
        <v>25534</v>
      </c>
      <c r="C5065" t="s" s="11">
        <v>46</v>
      </c>
      <c r="D5065" t="s" s="11">
        <v>78</v>
      </c>
      <c r="E5065" t="s" s="11">
        <v>137</v>
      </c>
      <c r="F5065" t="s" s="28">
        <v>30</v>
      </c>
      <c r="G5065" t="s" s="11">
        <v>48</v>
      </c>
      <c r="H5065" t="s" s="43">
        <v>30</v>
      </c>
      <c r="I5065" t="s" s="43">
        <v>30</v>
      </c>
      <c r="J5065" t="s" s="11">
        <v>25535</v>
      </c>
      <c r="K5065" t="s" s="11">
        <v>25536</v>
      </c>
      <c r="L5065" s="17">
        <f>HYPERLINK("http://www.flexwage.com", "www.flexwage.com")</f>
      </c>
      <c r="M5065" s="17">
        <f>HYPERLINK("https://my.pitchbook.com?c=65661-76", "View Company Online")</f>
      </c>
    </row>
    <row r="5066">
      <c r="A5066" t="s" s="10">
        <v>25538</v>
      </c>
      <c r="B5066" t="s" s="10">
        <v>25539</v>
      </c>
      <c r="C5066" t="s" s="10">
        <v>37</v>
      </c>
      <c r="D5066" t="s" s="10">
        <v>304</v>
      </c>
      <c r="E5066" t="s" s="10">
        <v>25540</v>
      </c>
      <c r="F5066" s="27">
        <v>46187</v>
      </c>
      <c r="G5066" t="s" s="10">
        <v>2051</v>
      </c>
      <c r="H5066" t="s" s="42">
        <v>30</v>
      </c>
      <c r="I5066" t="s" s="42">
        <v>30</v>
      </c>
      <c r="J5066" t="s" s="10">
        <v>25541</v>
      </c>
      <c r="K5066" t="s" s="10">
        <v>30</v>
      </c>
      <c r="L5066" s="16">
        <f>HYPERLINK("http://www.flipsaude.com", "www.flipsaude.com")</f>
      </c>
      <c r="M5066" s="16">
        <f>HYPERLINK("https://my.pitchbook.com?c=482119-57", "View Company Online")</f>
      </c>
    </row>
    <row r="5067">
      <c r="A5067" t="s" s="11">
        <v>25543</v>
      </c>
      <c r="B5067" t="s" s="11">
        <v>25544</v>
      </c>
      <c r="C5067" t="s" s="11">
        <v>128</v>
      </c>
      <c r="D5067" t="s" s="11">
        <v>199</v>
      </c>
      <c r="E5067" t="s" s="11">
        <v>270</v>
      </c>
      <c r="F5067" s="28">
        <v>45328</v>
      </c>
      <c r="G5067" t="s" s="11">
        <v>4267</v>
      </c>
      <c r="H5067" s="43">
        <v>6.5</v>
      </c>
      <c r="I5067" t="s" s="43">
        <v>30</v>
      </c>
      <c r="J5067" t="s" s="11">
        <v>25545</v>
      </c>
      <c r="K5067" t="s" s="11">
        <v>25546</v>
      </c>
      <c r="L5067" s="17">
        <f>HYPERLINK("http://www.flipcash.com", "www.flipcash.com")</f>
      </c>
      <c r="M5067" s="17">
        <f>HYPERLINK("https://my.pitchbook.com?c=522218-44", "View Company Online")</f>
      </c>
    </row>
    <row r="5068">
      <c r="A5068" t="s" s="10">
        <v>25548</v>
      </c>
      <c r="B5068" t="s" s="10">
        <v>25549</v>
      </c>
      <c r="C5068" t="s" s="10">
        <v>60</v>
      </c>
      <c r="D5068" t="s" s="10">
        <v>727</v>
      </c>
      <c r="E5068" t="s" s="10">
        <v>5189</v>
      </c>
      <c r="F5068" s="27">
        <v>44592</v>
      </c>
      <c r="G5068" t="s" s="10">
        <v>4267</v>
      </c>
      <c r="H5068" s="42">
        <v>0.75</v>
      </c>
      <c r="I5068" t="s" s="42">
        <v>30</v>
      </c>
      <c r="J5068" t="s" s="10">
        <v>25550</v>
      </c>
      <c r="K5068" t="s" s="10">
        <v>25551</v>
      </c>
      <c r="L5068" s="16">
        <f>HYPERLINK("http://www.flitinvest.com", "www.flitinvest.com")</f>
      </c>
      <c r="M5068" s="16">
        <f>HYPERLINK("https://my.pitchbook.com?c=491693-05", "View Company Online")</f>
      </c>
    </row>
    <row r="5069">
      <c r="A5069" t="s" s="11">
        <v>25553</v>
      </c>
      <c r="B5069" t="s" s="11">
        <v>25554</v>
      </c>
      <c r="C5069" t="s" s="11">
        <v>144</v>
      </c>
      <c r="D5069" t="s" s="11">
        <v>297</v>
      </c>
      <c r="E5069" t="s" s="11">
        <v>414</v>
      </c>
      <c r="F5069" s="28">
        <v>46218</v>
      </c>
      <c r="G5069" t="s" s="11">
        <v>40</v>
      </c>
      <c r="H5069" s="43">
        <v>5.14</v>
      </c>
      <c r="I5069" t="s" s="43">
        <v>30</v>
      </c>
      <c r="J5069" t="s" s="11">
        <v>25555</v>
      </c>
      <c r="K5069" t="s" s="11">
        <v>25556</v>
      </c>
      <c r="L5069" s="17">
        <f>HYPERLINK("http://www.floatfinance.com", "www.floatfinance.com")</f>
      </c>
      <c r="M5069" s="17">
        <f>HYPERLINK("https://my.pitchbook.com?c=435494-80", "View Company Online")</f>
      </c>
    </row>
    <row r="5070">
      <c r="A5070" t="s" s="10">
        <v>25558</v>
      </c>
      <c r="B5070" t="s" s="10">
        <v>25559</v>
      </c>
      <c r="C5070" t="s" s="10">
        <v>222</v>
      </c>
      <c r="D5070" t="s" s="10">
        <v>223</v>
      </c>
      <c r="E5070" t="s" s="10">
        <v>367</v>
      </c>
      <c r="F5070" s="27">
        <v>46001</v>
      </c>
      <c r="G5070" t="s" s="10">
        <v>607</v>
      </c>
      <c r="H5070" t="s" s="42">
        <v>30</v>
      </c>
      <c r="I5070" t="s" s="42">
        <v>30</v>
      </c>
      <c r="J5070" t="s" s="10">
        <v>25560</v>
      </c>
      <c r="K5070" t="s" s="10">
        <v>25561</v>
      </c>
      <c r="L5070" s="16">
        <f>HYPERLINK("http://www.float.trading", "www.float.trading")</f>
      </c>
      <c r="M5070" s="16">
        <f>HYPERLINK("https://my.pitchbook.com?c=903206-26", "View Company Online")</f>
      </c>
    </row>
    <row r="5071">
      <c r="A5071" t="s" s="11">
        <v>25563</v>
      </c>
      <c r="B5071" t="s" s="11">
        <v>25564</v>
      </c>
      <c r="C5071" t="s" s="11">
        <v>37</v>
      </c>
      <c r="D5071" t="s" s="11">
        <v>304</v>
      </c>
      <c r="E5071" t="s" s="11">
        <v>137</v>
      </c>
      <c r="F5071" s="28">
        <v>45910</v>
      </c>
      <c r="G5071" t="s" s="11">
        <v>40</v>
      </c>
      <c r="H5071" s="43">
        <v>2.6</v>
      </c>
      <c r="I5071" t="s" s="43">
        <v>30</v>
      </c>
      <c r="J5071" t="s" s="11">
        <v>25565</v>
      </c>
      <c r="K5071" t="s" s="11">
        <v>25566</v>
      </c>
      <c r="L5071" s="17">
        <f>HYPERLINK("http://www.float.co.za", "www.float.co.za")</f>
      </c>
      <c r="M5071" s="17">
        <f>HYPERLINK("https://my.pitchbook.com?c=591406-57", "View Company Online")</f>
      </c>
    </row>
    <row r="5072">
      <c r="A5072" t="s" s="10">
        <v>25568</v>
      </c>
      <c r="B5072" t="s" s="10">
        <v>25569</v>
      </c>
      <c r="C5072" t="s" s="10">
        <v>46</v>
      </c>
      <c r="D5072" t="s" s="10">
        <v>47</v>
      </c>
      <c r="E5072" t="s" s="10">
        <v>332</v>
      </c>
      <c r="F5072" s="27">
        <v>46185</v>
      </c>
      <c r="G5072" t="s" s="10">
        <v>40</v>
      </c>
      <c r="H5072" s="42">
        <v>61.45</v>
      </c>
      <c r="I5072" t="s" s="42">
        <v>30</v>
      </c>
      <c r="J5072" t="s" s="10">
        <v>25570</v>
      </c>
      <c r="K5072" t="s" s="10">
        <v>25571</v>
      </c>
      <c r="L5072" s="16">
        <f>HYPERLINK("http://www.floatfinancial.com", "www.floatfinancial.com")</f>
      </c>
      <c r="M5072" s="16">
        <f>HYPERLINK("https://my.pitchbook.com?c=455171-05", "View Company Online")</f>
      </c>
    </row>
    <row r="5073">
      <c r="A5073" t="s" s="11">
        <v>25573</v>
      </c>
      <c r="B5073" t="s" s="11">
        <v>25574</v>
      </c>
      <c r="C5073" t="s" s="11">
        <v>46</v>
      </c>
      <c r="D5073" t="s" s="11">
        <v>397</v>
      </c>
      <c r="E5073" t="s" s="11">
        <v>29</v>
      </c>
      <c r="F5073" s="28">
        <v>44459</v>
      </c>
      <c r="G5073" t="s" s="11">
        <v>146</v>
      </c>
      <c r="H5073" s="43">
        <v>31</v>
      </c>
      <c r="I5073" t="s" s="43">
        <v>30</v>
      </c>
      <c r="J5073" t="s" s="11">
        <v>25575</v>
      </c>
      <c r="K5073" t="s" s="11">
        <v>25576</v>
      </c>
      <c r="L5073" s="17">
        <f>HYPERLINK("http://www.flobiz.in", "www.flobiz.in")</f>
      </c>
      <c r="M5073" s="17">
        <f>HYPERLINK("https://my.pitchbook.com?c=452824-39", "View Company Online")</f>
      </c>
    </row>
    <row r="5074">
      <c r="A5074" t="s" s="10">
        <v>25578</v>
      </c>
      <c r="B5074" t="s" s="10">
        <v>25579</v>
      </c>
      <c r="C5074" t="s" s="10">
        <v>164</v>
      </c>
      <c r="D5074" t="s" s="10">
        <v>206</v>
      </c>
      <c r="E5074" t="s" s="10">
        <v>259</v>
      </c>
      <c r="F5074" s="27">
        <v>45875</v>
      </c>
      <c r="G5074" t="s" s="10">
        <v>4267</v>
      </c>
      <c r="H5074" s="42">
        <v>2.5</v>
      </c>
      <c r="I5074" t="s" s="42">
        <v>30</v>
      </c>
      <c r="J5074" t="s" s="10">
        <v>25580</v>
      </c>
      <c r="K5074" t="s" s="10">
        <v>25581</v>
      </c>
      <c r="L5074" s="16">
        <f>HYPERLINK("http://www.flood.finance", "www.flood.finance")</f>
      </c>
      <c r="M5074" s="16">
        <f>HYPERLINK("https://my.pitchbook.com?c=509581-90", "View Company Online")</f>
      </c>
    </row>
    <row r="5075">
      <c r="A5075" t="s" s="11">
        <v>25583</v>
      </c>
      <c r="B5075" t="s" s="11">
        <v>25584</v>
      </c>
      <c r="C5075" t="s" s="11">
        <v>114</v>
      </c>
      <c r="D5075" t="s" s="11">
        <v>852</v>
      </c>
      <c r="E5075" t="s" s="11">
        <v>414</v>
      </c>
      <c r="F5075" s="28">
        <v>44855</v>
      </c>
      <c r="G5075" t="s" s="11">
        <v>40</v>
      </c>
      <c r="H5075" s="43">
        <v>63.46</v>
      </c>
      <c r="I5075" t="s" s="43">
        <v>30</v>
      </c>
      <c r="J5075" t="s" s="11">
        <v>25585</v>
      </c>
      <c r="K5075" t="s" s="11">
        <v>25586</v>
      </c>
      <c r="L5075" s="17">
        <f>HYPERLINK("http://www.floryn.com", "www.floryn.com")</f>
      </c>
      <c r="M5075" s="17">
        <f>HYPERLINK("https://my.pitchbook.com?c=160900-57", "View Company Online")</f>
      </c>
    </row>
    <row r="5076">
      <c r="A5076" t="s" s="10">
        <v>25588</v>
      </c>
      <c r="B5076" t="s" s="10">
        <v>25589</v>
      </c>
      <c r="C5076" t="s" s="10">
        <v>27</v>
      </c>
      <c r="D5076" t="s" s="10">
        <v>28</v>
      </c>
      <c r="E5076" t="s" s="10">
        <v>332</v>
      </c>
      <c r="F5076" s="27">
        <v>45658</v>
      </c>
      <c r="G5076" t="s" s="10">
        <v>40</v>
      </c>
      <c r="H5076" t="s" s="42">
        <v>30</v>
      </c>
      <c r="I5076" t="s" s="42">
        <v>30</v>
      </c>
      <c r="J5076" t="s" s="10">
        <v>25590</v>
      </c>
      <c r="K5076" t="s" s="10">
        <v>25591</v>
      </c>
      <c r="L5076" s="16">
        <f>HYPERLINK("http://fr.flouci.com", "fr.flouci.com")</f>
      </c>
      <c r="M5076" s="16">
        <f>HYPERLINK("https://my.pitchbook.com?c=434265-76", "View Company Online")</f>
      </c>
    </row>
    <row r="5077">
      <c r="A5077" t="s" s="11">
        <v>25593</v>
      </c>
      <c r="B5077" t="s" s="11">
        <v>25594</v>
      </c>
      <c r="C5077" t="s" s="11">
        <v>60</v>
      </c>
      <c r="D5077" t="s" s="11">
        <v>432</v>
      </c>
      <c r="E5077" t="s" s="11">
        <v>2695</v>
      </c>
      <c r="F5077" s="28">
        <v>46197</v>
      </c>
      <c r="G5077" t="s" s="11">
        <v>138</v>
      </c>
      <c r="H5077" t="s" s="43">
        <v>30</v>
      </c>
      <c r="I5077" t="s" s="43">
        <v>30</v>
      </c>
      <c r="J5077" t="s" s="11">
        <v>25595</v>
      </c>
      <c r="K5077" t="s" s="11">
        <v>30</v>
      </c>
      <c r="L5077" s="17">
        <f>HYPERLINK("http://www.flowspecialty.com", "www.flowspecialty.com")</f>
      </c>
      <c r="M5077" s="17">
        <f>HYPERLINK("https://my.pitchbook.com?c=512319-70", "View Company Online")</f>
      </c>
    </row>
    <row r="5078">
      <c r="A5078" t="s" s="10">
        <v>25597</v>
      </c>
      <c r="B5078" t="s" s="10">
        <v>25598</v>
      </c>
      <c r="C5078" t="s" s="10">
        <v>144</v>
      </c>
      <c r="D5078" t="s" s="10">
        <v>297</v>
      </c>
      <c r="E5078" t="s" s="10">
        <v>137</v>
      </c>
      <c r="F5078" s="27">
        <v>45712</v>
      </c>
      <c r="G5078" t="s" s="10">
        <v>146</v>
      </c>
      <c r="H5078" s="42">
        <v>69</v>
      </c>
      <c r="I5078" t="s" s="42">
        <v>30</v>
      </c>
      <c r="J5078" t="s" s="10">
        <v>25599</v>
      </c>
      <c r="K5078" t="s" s="10">
        <v>25600</v>
      </c>
      <c r="L5078" s="16">
        <f>HYPERLINK("http://www.flow48.com", "www.flow48.com")</f>
      </c>
      <c r="M5078" s="16">
        <f>HYPERLINK("https://my.pitchbook.com?c=500666-05", "View Company Online")</f>
      </c>
    </row>
    <row r="5079">
      <c r="A5079" t="s" s="11">
        <v>25602</v>
      </c>
      <c r="B5079" t="s" s="11">
        <v>25603</v>
      </c>
      <c r="C5079" t="s" s="11">
        <v>46</v>
      </c>
      <c r="D5079" t="s" s="11">
        <v>397</v>
      </c>
      <c r="E5079" t="s" s="11">
        <v>3825</v>
      </c>
      <c r="F5079" t="s" s="28">
        <v>30</v>
      </c>
      <c r="G5079" t="s" s="11">
        <v>40</v>
      </c>
      <c r="H5079" t="s" s="43">
        <v>30</v>
      </c>
      <c r="I5079" t="s" s="43">
        <v>30</v>
      </c>
      <c r="J5079" t="s" s="11">
        <v>25604</v>
      </c>
      <c r="K5079" t="s" s="11">
        <v>25605</v>
      </c>
      <c r="L5079" s="17">
        <f>HYPERLINK("http://www.flowaccount.com", "www.flowaccount.com")</f>
      </c>
      <c r="M5079" s="17">
        <f>HYPERLINK("https://my.pitchbook.com?c=156484-54", "View Company Online")</f>
      </c>
    </row>
    <row r="5080">
      <c r="A5080" t="s" s="10">
        <v>25607</v>
      </c>
      <c r="B5080" t="s" s="10">
        <v>25608</v>
      </c>
      <c r="C5080" t="s" s="10">
        <v>114</v>
      </c>
      <c r="D5080" t="s" s="10">
        <v>136</v>
      </c>
      <c r="E5080" t="s" s="10">
        <v>253</v>
      </c>
      <c r="F5080" s="27">
        <v>46001</v>
      </c>
      <c r="G5080" t="s" s="10">
        <v>4267</v>
      </c>
      <c r="H5080" s="42">
        <v>0.2</v>
      </c>
      <c r="I5080" t="s" s="42">
        <v>30</v>
      </c>
      <c r="J5080" t="s" s="10">
        <v>25609</v>
      </c>
      <c r="K5080" t="s" s="10">
        <v>25610</v>
      </c>
      <c r="L5080" s="16">
        <f>HYPERLINK("http://www.flowcredi.com.br", "www.flowcredi.com.br")</f>
      </c>
      <c r="M5080" s="16">
        <f>HYPERLINK("https://my.pitchbook.com?c=1173420-37", "View Company Online")</f>
      </c>
    </row>
    <row r="5081">
      <c r="A5081" t="s" s="11">
        <v>25612</v>
      </c>
      <c r="B5081" t="s" s="11">
        <v>25613</v>
      </c>
      <c r="C5081" t="s" s="11">
        <v>46</v>
      </c>
      <c r="D5081" t="s" s="11">
        <v>397</v>
      </c>
      <c r="E5081" t="s" s="11">
        <v>253</v>
      </c>
      <c r="F5081" s="28">
        <v>45335</v>
      </c>
      <c r="G5081" t="s" s="11">
        <v>4267</v>
      </c>
      <c r="H5081" s="43">
        <v>9</v>
      </c>
      <c r="I5081" t="s" s="43">
        <v>30</v>
      </c>
      <c r="J5081" t="s" s="11">
        <v>25614</v>
      </c>
      <c r="K5081" t="s" s="11">
        <v>25615</v>
      </c>
      <c r="L5081" s="17">
        <f>HYPERLINK("http://www.flowfi.com", "www.flowfi.com")</f>
      </c>
      <c r="M5081" s="17">
        <f>HYPERLINK("https://my.pitchbook.com?c=469703-62", "View Company Online")</f>
      </c>
    </row>
    <row r="5082">
      <c r="A5082" t="s" s="10">
        <v>25617</v>
      </c>
      <c r="B5082" t="s" s="10">
        <v>25618</v>
      </c>
      <c r="C5082" t="s" s="10">
        <v>114</v>
      </c>
      <c r="D5082" t="s" s="10">
        <v>852</v>
      </c>
      <c r="E5082" t="s" s="10">
        <v>137</v>
      </c>
      <c r="F5082" s="27">
        <v>45418</v>
      </c>
      <c r="G5082" t="s" s="10">
        <v>607</v>
      </c>
      <c r="H5082" t="s" s="42">
        <v>30</v>
      </c>
      <c r="I5082" t="s" s="42">
        <v>30</v>
      </c>
      <c r="J5082" t="s" s="10">
        <v>25619</v>
      </c>
      <c r="K5082" t="s" s="10">
        <v>25620</v>
      </c>
      <c r="L5082" s="16">
        <f>HYPERLINK("http://www.flowpay.io", "www.flowpay.io")</f>
      </c>
      <c r="M5082" s="16">
        <f>HYPERLINK("https://my.pitchbook.com?c=510229-45", "View Company Online")</f>
      </c>
    </row>
    <row r="5083">
      <c r="A5083" t="s" s="11">
        <v>25622</v>
      </c>
      <c r="B5083" t="s" s="11">
        <v>25623</v>
      </c>
      <c r="C5083" t="s" s="11">
        <v>46</v>
      </c>
      <c r="D5083" t="s" s="11">
        <v>47</v>
      </c>
      <c r="E5083" t="s" s="11">
        <v>373</v>
      </c>
      <c r="F5083" s="28">
        <v>44690</v>
      </c>
      <c r="G5083" t="s" s="11">
        <v>4267</v>
      </c>
      <c r="H5083" t="s" s="43">
        <v>30</v>
      </c>
      <c r="I5083" t="s" s="43">
        <v>30</v>
      </c>
      <c r="J5083" t="s" s="11">
        <v>25624</v>
      </c>
      <c r="K5083" t="s" s="11">
        <v>25625</v>
      </c>
      <c r="L5083" s="17">
        <f>HYPERLINK("http://www.fluenccy.com", "www.fluenccy.com")</f>
      </c>
      <c r="M5083" s="17">
        <f>HYPERLINK("https://my.pitchbook.com?c=467242-30", "View Company Online")</f>
      </c>
    </row>
    <row r="5084">
      <c r="A5084" t="s" s="10">
        <v>25627</v>
      </c>
      <c r="B5084" t="s" s="10">
        <v>25628</v>
      </c>
      <c r="C5084" t="s" s="10">
        <v>172</v>
      </c>
      <c r="D5084" t="s" s="10">
        <v>173</v>
      </c>
      <c r="E5084" t="s" s="10">
        <v>253</v>
      </c>
      <c r="F5084" s="27">
        <v>45292</v>
      </c>
      <c r="G5084" t="s" s="10">
        <v>146</v>
      </c>
      <c r="H5084" t="s" s="42">
        <v>30</v>
      </c>
      <c r="I5084" t="s" s="42">
        <v>30</v>
      </c>
      <c r="J5084" t="s" s="10">
        <v>25629</v>
      </c>
      <c r="K5084" t="s" s="10">
        <v>25630</v>
      </c>
      <c r="L5084" s="16">
        <f>HYPERLINK("http://www.fluidfinance.co", "www.fluidfinance.co")</f>
      </c>
      <c r="M5084" s="16">
        <f>HYPERLINK("https://my.pitchbook.com?c=509449-51", "View Company Online")</f>
      </c>
    </row>
    <row r="5085">
      <c r="A5085" t="s" s="11">
        <v>25632</v>
      </c>
      <c r="B5085" t="s" s="11">
        <v>25633</v>
      </c>
      <c r="C5085" t="s" s="11">
        <v>27</v>
      </c>
      <c r="D5085" t="s" s="11">
        <v>122</v>
      </c>
      <c r="E5085" t="s" s="11">
        <v>137</v>
      </c>
      <c r="F5085" t="s" s="28">
        <v>30</v>
      </c>
      <c r="G5085" t="s" s="11">
        <v>607</v>
      </c>
      <c r="H5085" t="s" s="43">
        <v>30</v>
      </c>
      <c r="I5085" t="s" s="43">
        <v>30</v>
      </c>
      <c r="J5085" t="s" s="11">
        <v>25634</v>
      </c>
      <c r="K5085" t="s" s="11">
        <v>25635</v>
      </c>
      <c r="L5085" s="17">
        <f>HYPERLINK("http://www.flymoney.com", "www.flymoney.com")</f>
      </c>
      <c r="M5085" s="17">
        <f>HYPERLINK("https://my.pitchbook.com?c=169167-88", "View Company Online")</f>
      </c>
    </row>
    <row r="5086">
      <c r="A5086" t="s" s="10">
        <v>25637</v>
      </c>
      <c r="B5086" t="s" s="10">
        <v>25638</v>
      </c>
      <c r="C5086" t="s" s="10">
        <v>164</v>
      </c>
      <c r="D5086" t="s" s="10">
        <v>165</v>
      </c>
      <c r="E5086" t="s" s="10">
        <v>8393</v>
      </c>
      <c r="F5086" s="27">
        <v>44509</v>
      </c>
      <c r="G5086" t="s" s="10">
        <v>40</v>
      </c>
      <c r="H5086" s="42">
        <v>15.59</v>
      </c>
      <c r="I5086" t="s" s="42">
        <v>30</v>
      </c>
      <c r="J5086" t="s" s="10">
        <v>25639</v>
      </c>
      <c r="K5086" t="s" s="10">
        <v>25640</v>
      </c>
      <c r="L5086" s="16">
        <f>HYPERLINK("http://www.feihu365.com", "www.feihu365.com")</f>
      </c>
      <c r="M5086" s="16">
        <f>HYPERLINK("https://my.pitchbook.com?c=437725-63", "View Company Online")</f>
      </c>
    </row>
    <row r="5087">
      <c r="A5087" t="s" s="11">
        <v>25642</v>
      </c>
      <c r="B5087" t="s" s="11">
        <v>25643</v>
      </c>
      <c r="C5087" t="s" s="11">
        <v>46</v>
      </c>
      <c r="D5087" t="s" s="11">
        <v>397</v>
      </c>
      <c r="E5087" t="s" s="11">
        <v>2824</v>
      </c>
      <c r="F5087" s="28">
        <v>45748</v>
      </c>
      <c r="G5087" t="s" s="11">
        <v>146</v>
      </c>
      <c r="H5087" t="s" s="43">
        <v>30</v>
      </c>
      <c r="I5087" t="s" s="43">
        <v>30</v>
      </c>
      <c r="J5087" t="s" s="11">
        <v>25644</v>
      </c>
      <c r="K5087" t="s" s="11">
        <v>25645</v>
      </c>
      <c r="L5087" s="17">
        <f>HYPERLINK("http://www.flychain.us", "www.flychain.us")</f>
      </c>
      <c r="M5087" s="17">
        <f>HYPERLINK("https://my.pitchbook.com?c=496732-60", "View Company Online")</f>
      </c>
    </row>
    <row r="5088">
      <c r="A5088" t="s" s="10">
        <v>25647</v>
      </c>
      <c r="B5088" t="s" s="10">
        <v>25648</v>
      </c>
      <c r="C5088" t="s" s="10">
        <v>27</v>
      </c>
      <c r="D5088" t="s" s="10">
        <v>70</v>
      </c>
      <c r="E5088" t="s" s="10">
        <v>137</v>
      </c>
      <c r="F5088" s="27">
        <v>45809</v>
      </c>
      <c r="G5088" t="s" s="10">
        <v>4267</v>
      </c>
      <c r="H5088" t="s" s="42">
        <v>30</v>
      </c>
      <c r="I5088" t="s" s="42">
        <v>30</v>
      </c>
      <c r="J5088" t="s" s="10">
        <v>25649</v>
      </c>
      <c r="K5088" t="s" s="10">
        <v>25650</v>
      </c>
      <c r="L5088" s="16">
        <f>HYPERLINK("http://www.flyra.com", "www.flyra.com")</f>
      </c>
      <c r="M5088" s="16">
        <f>HYPERLINK("https://my.pitchbook.com?c=865541-98", "View Company Online")</f>
      </c>
    </row>
    <row r="5089">
      <c r="A5089" t="s" s="11">
        <v>25652</v>
      </c>
      <c r="B5089" t="s" s="11">
        <v>25653</v>
      </c>
      <c r="C5089" t="s" s="11">
        <v>60</v>
      </c>
      <c r="D5089" t="s" s="11">
        <v>432</v>
      </c>
      <c r="E5089" t="s" s="11">
        <v>373</v>
      </c>
      <c r="F5089" s="28">
        <v>45939</v>
      </c>
      <c r="G5089" t="s" s="11">
        <v>4267</v>
      </c>
      <c r="H5089" s="43">
        <v>5</v>
      </c>
      <c r="I5089" t="s" s="43">
        <v>30</v>
      </c>
      <c r="J5089" t="s" s="11">
        <v>25654</v>
      </c>
      <c r="K5089" t="s" s="11">
        <v>25655</v>
      </c>
      <c r="L5089" s="17">
        <f>HYPERLINK("http://www.meetwithfocal.com", "www.meetwithfocal.com")</f>
      </c>
      <c r="M5089" s="17">
        <f>HYPERLINK("https://my.pitchbook.com?c=681204-61", "View Company Online")</f>
      </c>
    </row>
    <row r="5090">
      <c r="A5090" t="s" s="10">
        <v>25657</v>
      </c>
      <c r="B5090" t="s" s="10">
        <v>25658</v>
      </c>
      <c r="C5090" t="s" s="10">
        <v>222</v>
      </c>
      <c r="D5090" t="s" s="10">
        <v>235</v>
      </c>
      <c r="E5090" t="s" s="10">
        <v>137</v>
      </c>
      <c r="F5090" s="27">
        <v>45786</v>
      </c>
      <c r="G5090" t="s" s="10">
        <v>391</v>
      </c>
      <c r="H5090" t="s" s="42">
        <v>30</v>
      </c>
      <c r="I5090" t="s" s="42">
        <v>30</v>
      </c>
      <c r="J5090" t="s" s="10">
        <v>25659</v>
      </c>
      <c r="K5090" t="s" s="10">
        <v>25660</v>
      </c>
      <c r="L5090" s="16">
        <f>HYPERLINK("http://www.folkeinvest.no", "www.folkeinvest.no")</f>
      </c>
      <c r="M5090" s="16">
        <f>HYPERLINK("https://my.pitchbook.com?c=343251-28", "View Company Online")</f>
      </c>
    </row>
    <row r="5091">
      <c r="A5091" t="s" s="11">
        <v>25662</v>
      </c>
      <c r="B5091" t="s" s="11">
        <v>25663</v>
      </c>
      <c r="C5091" t="s" s="11">
        <v>27</v>
      </c>
      <c r="D5091" t="s" s="11">
        <v>28</v>
      </c>
      <c r="E5091" t="s" s="11">
        <v>3553</v>
      </c>
      <c r="F5091" s="28">
        <v>44927</v>
      </c>
      <c r="G5091" t="s" s="11">
        <v>607</v>
      </c>
      <c r="H5091" t="s" s="43">
        <v>30</v>
      </c>
      <c r="I5091" t="s" s="43">
        <v>30</v>
      </c>
      <c r="J5091" t="s" s="11">
        <v>25664</v>
      </c>
      <c r="K5091" t="s" s="11">
        <v>25665</v>
      </c>
      <c r="L5091" s="17">
        <f>HYPERLINK("http://www.foloosi.com", "www.foloosi.com")</f>
      </c>
      <c r="M5091" s="17">
        <f>HYPERLINK("https://my.pitchbook.com?c=290056-51", "View Company Online")</f>
      </c>
    </row>
    <row r="5092">
      <c r="A5092" t="s" s="10">
        <v>25667</v>
      </c>
      <c r="B5092" t="s" s="10">
        <v>25668</v>
      </c>
      <c r="C5092" t="s" s="10">
        <v>128</v>
      </c>
      <c r="D5092" t="s" s="10">
        <v>276</v>
      </c>
      <c r="E5092" t="s" s="10">
        <v>193</v>
      </c>
      <c r="F5092" s="27">
        <v>45853</v>
      </c>
      <c r="G5092" t="s" s="10">
        <v>40</v>
      </c>
      <c r="H5092" s="42">
        <v>5.18</v>
      </c>
      <c r="I5092" t="s" s="42">
        <v>30</v>
      </c>
      <c r="J5092" t="s" s="10">
        <v>25669</v>
      </c>
      <c r="K5092" t="s" s="10">
        <v>25670</v>
      </c>
      <c r="L5092" s="16">
        <f>HYPERLINK("http://fondeadora.com", "fondeadora.com")</f>
      </c>
      <c r="M5092" s="16">
        <f>HYPERLINK("https://my.pitchbook.com?c=88330-42", "View Company Online")</f>
      </c>
    </row>
    <row r="5093">
      <c r="A5093" t="s" s="11">
        <v>25672</v>
      </c>
      <c r="B5093" t="s" s="11">
        <v>25673</v>
      </c>
      <c r="C5093" t="s" s="11">
        <v>60</v>
      </c>
      <c r="D5093" t="s" s="11">
        <v>727</v>
      </c>
      <c r="E5093" t="s" s="11">
        <v>130</v>
      </c>
      <c r="F5093" s="28">
        <v>45917</v>
      </c>
      <c r="G5093" t="s" s="11">
        <v>4267</v>
      </c>
      <c r="H5093" s="43">
        <v>3</v>
      </c>
      <c r="I5093" t="s" s="43">
        <v>30</v>
      </c>
      <c r="J5093" t="s" s="11">
        <v>25674</v>
      </c>
      <c r="K5093" t="s" s="11">
        <v>25675</v>
      </c>
      <c r="L5093" s="17">
        <f>HYPERLINK("http://www.fonmap.com", "www.fonmap.com")</f>
      </c>
      <c r="M5093" s="17">
        <f>HYPERLINK("https://my.pitchbook.com?c=960439-06", "View Company Online")</f>
      </c>
    </row>
    <row r="5094">
      <c r="A5094" t="s" s="10">
        <v>25677</v>
      </c>
      <c r="B5094" t="s" s="10">
        <v>25678</v>
      </c>
      <c r="C5094" t="s" s="10">
        <v>60</v>
      </c>
      <c r="D5094" t="s" s="10">
        <v>246</v>
      </c>
      <c r="E5094" t="s" s="10">
        <v>270</v>
      </c>
      <c r="F5094" s="27">
        <v>45463</v>
      </c>
      <c r="G5094" t="s" s="10">
        <v>607</v>
      </c>
      <c r="H5094" t="s" s="42">
        <v>30</v>
      </c>
      <c r="I5094" t="s" s="42">
        <v>30</v>
      </c>
      <c r="J5094" t="s" s="10">
        <v>25679</v>
      </c>
      <c r="K5094" t="s" s="10">
        <v>25680</v>
      </c>
      <c r="L5094" s="16">
        <f>HYPERLINK("http://www.fonto.com.au", "www.fonto.com.au")</f>
      </c>
      <c r="M5094" s="16">
        <f>HYPERLINK("https://my.pitchbook.com?c=279766-00", "View Company Online")</f>
      </c>
    </row>
    <row r="5095">
      <c r="A5095" t="s" s="11">
        <v>25682</v>
      </c>
      <c r="B5095" t="s" s="11">
        <v>25683</v>
      </c>
      <c r="C5095" t="s" s="11">
        <v>46</v>
      </c>
      <c r="D5095" t="s" s="11">
        <v>397</v>
      </c>
      <c r="E5095" t="s" s="11">
        <v>253</v>
      </c>
      <c r="F5095" s="28">
        <v>45028</v>
      </c>
      <c r="G5095" t="s" s="11">
        <v>146</v>
      </c>
      <c r="H5095" s="43">
        <v>2.3</v>
      </c>
      <c r="I5095" t="s" s="43">
        <v>30</v>
      </c>
      <c r="J5095" t="s" s="11">
        <v>25684</v>
      </c>
      <c r="K5095" t="s" s="11">
        <v>25685</v>
      </c>
      <c r="L5095" s="17">
        <f>HYPERLINK("http://www.jangboo.kr", "www.jangboo.kr")</f>
      </c>
      <c r="M5095" s="17">
        <f>HYPERLINK("https://my.pitchbook.com?c=497780-47", "View Company Online")</f>
      </c>
    </row>
    <row r="5096">
      <c r="A5096" t="s" s="10">
        <v>25687</v>
      </c>
      <c r="B5096" t="s" s="10">
        <v>25688</v>
      </c>
      <c r="C5096" t="s" s="10">
        <v>46</v>
      </c>
      <c r="D5096" t="s" s="10">
        <v>397</v>
      </c>
      <c r="E5096" t="s" s="10">
        <v>137</v>
      </c>
      <c r="F5096" s="27">
        <v>45383</v>
      </c>
      <c r="G5096" t="s" s="10">
        <v>40</v>
      </c>
      <c r="H5096" t="s" s="42">
        <v>30</v>
      </c>
      <c r="I5096" t="s" s="42">
        <v>30</v>
      </c>
      <c r="J5096" t="s" s="10">
        <v>25689</v>
      </c>
      <c r="K5096" t="s" s="10">
        <v>25690</v>
      </c>
      <c r="L5096" s="16">
        <f>HYPERLINK("http://www.for.inc", "www.for.inc")</f>
      </c>
      <c r="M5096" s="16">
        <f>HYPERLINK("https://my.pitchbook.com?c=593472-88", "View Company Online")</f>
      </c>
    </row>
    <row r="5097">
      <c r="A5097" t="s" s="11">
        <v>25692</v>
      </c>
      <c r="B5097" t="s" s="11">
        <v>25693</v>
      </c>
      <c r="C5097" t="s" s="11">
        <v>222</v>
      </c>
      <c r="D5097" t="s" s="11">
        <v>252</v>
      </c>
      <c r="E5097" t="s" s="11">
        <v>859</v>
      </c>
      <c r="F5097" s="28">
        <v>46159</v>
      </c>
      <c r="G5097" t="s" s="11">
        <v>607</v>
      </c>
      <c r="H5097" t="s" s="43">
        <v>30</v>
      </c>
      <c r="I5097" t="s" s="43">
        <v>30</v>
      </c>
      <c r="J5097" t="s" s="11">
        <v>25694</v>
      </c>
      <c r="K5097" t="s" s="11">
        <v>25695</v>
      </c>
      <c r="L5097" s="17">
        <f>HYPERLINK("http://www.forestjalan.com", "www.forestjalan.com")</f>
      </c>
      <c r="M5097" s="17">
        <f>HYPERLINK("https://my.pitchbook.com?c=846860-23", "View Company Online")</f>
      </c>
    </row>
    <row r="5098">
      <c r="A5098" t="s" s="10">
        <v>25697</v>
      </c>
      <c r="B5098" t="s" s="10">
        <v>25698</v>
      </c>
      <c r="C5098" t="s" s="10">
        <v>128</v>
      </c>
      <c r="D5098" t="s" s="10">
        <v>199</v>
      </c>
      <c r="E5098" t="s" s="10">
        <v>414</v>
      </c>
      <c r="F5098" s="27">
        <v>44972</v>
      </c>
      <c r="G5098" t="s" s="10">
        <v>40</v>
      </c>
      <c r="H5098" s="42">
        <v>2.81</v>
      </c>
      <c r="I5098" t="s" s="42">
        <v>30</v>
      </c>
      <c r="J5098" t="s" s="10">
        <v>25699</v>
      </c>
      <c r="K5098" t="s" s="10">
        <v>25700</v>
      </c>
      <c r="L5098" s="16">
        <f>HYPERLINK("http://www.formfree.com", "www.formfree.com")</f>
      </c>
      <c r="M5098" s="16">
        <f>HYPERLINK("https://my.pitchbook.com?c=97957-90", "View Company Online")</f>
      </c>
    </row>
    <row r="5099">
      <c r="A5099" t="s" s="11">
        <v>25702</v>
      </c>
      <c r="B5099" t="s" s="11">
        <v>25703</v>
      </c>
      <c r="C5099" t="s" s="11">
        <v>222</v>
      </c>
      <c r="D5099" t="s" s="11">
        <v>223</v>
      </c>
      <c r="E5099" t="s" s="11">
        <v>137</v>
      </c>
      <c r="F5099" s="28">
        <v>45748</v>
      </c>
      <c r="G5099" t="s" s="11">
        <v>146</v>
      </c>
      <c r="H5099" t="s" s="43">
        <v>30</v>
      </c>
      <c r="I5099" t="s" s="43">
        <v>30</v>
      </c>
      <c r="J5099" t="s" s="11">
        <v>25704</v>
      </c>
      <c r="K5099" t="s" s="11">
        <v>25705</v>
      </c>
      <c r="L5099" s="17">
        <f>HYPERLINK("http://www.formulainsight.io", "www.formulainsight.io")</f>
      </c>
      <c r="M5099" s="17">
        <f>HYPERLINK("https://my.pitchbook.com?c=772840-90", "View Company Online")</f>
      </c>
    </row>
    <row r="5100">
      <c r="A5100" t="s" s="10">
        <v>25707</v>
      </c>
      <c r="B5100" t="s" s="10">
        <v>25708</v>
      </c>
      <c r="C5100" t="s" s="10">
        <v>222</v>
      </c>
      <c r="D5100" t="s" s="10">
        <v>235</v>
      </c>
      <c r="E5100" t="s" s="10">
        <v>414</v>
      </c>
      <c r="F5100" s="27">
        <v>45751</v>
      </c>
      <c r="G5100" t="s" s="10">
        <v>4267</v>
      </c>
      <c r="H5100" s="42">
        <v>4.5</v>
      </c>
      <c r="I5100" t="s" s="42">
        <v>30</v>
      </c>
      <c r="J5100" t="s" s="10">
        <v>25709</v>
      </c>
      <c r="K5100" t="s" s="10">
        <v>25710</v>
      </c>
      <c r="L5100" s="16">
        <f>HYPERLINK("http://www.formulary.co", "www.formulary.co")</f>
      </c>
      <c r="M5100" s="16">
        <f>HYPERLINK("https://my.pitchbook.com?c=962036-11", "View Company Online")</f>
      </c>
    </row>
    <row r="5101">
      <c r="A5101" t="s" s="11">
        <v>25712</v>
      </c>
      <c r="B5101" t="s" s="11">
        <v>25713</v>
      </c>
      <c r="C5101" t="s" s="11">
        <v>114</v>
      </c>
      <c r="D5101" t="s" s="11">
        <v>1386</v>
      </c>
      <c r="E5101" t="s" s="11">
        <v>137</v>
      </c>
      <c r="F5101" s="28">
        <v>45839</v>
      </c>
      <c r="G5101" t="s" s="11">
        <v>146</v>
      </c>
      <c r="H5101" t="s" s="43">
        <v>30</v>
      </c>
      <c r="I5101" t="s" s="43">
        <v>30</v>
      </c>
      <c r="J5101" t="s" s="11">
        <v>25714</v>
      </c>
      <c r="K5101" t="s" s="11">
        <v>25715</v>
      </c>
      <c r="L5101" s="17">
        <f>HYPERLINK("http://www.fortasolutions.com", "www.fortasolutions.com")</f>
      </c>
      <c r="M5101" s="17">
        <f>HYPERLINK("https://my.pitchbook.com?c=894022-30", "View Company Online")</f>
      </c>
    </row>
    <row r="5102">
      <c r="A5102" t="s" s="10">
        <v>25717</v>
      </c>
      <c r="B5102" t="s" s="10">
        <v>25718</v>
      </c>
      <c r="C5102" t="s" s="10">
        <v>27</v>
      </c>
      <c r="D5102" t="s" s="10">
        <v>28</v>
      </c>
      <c r="E5102" t="s" s="10">
        <v>253</v>
      </c>
      <c r="F5102" s="27">
        <v>45341</v>
      </c>
      <c r="G5102" t="s" s="10">
        <v>607</v>
      </c>
      <c r="H5102" t="s" s="42">
        <v>30</v>
      </c>
      <c r="I5102" t="s" s="42">
        <v>30</v>
      </c>
      <c r="J5102" t="s" s="10">
        <v>25719</v>
      </c>
      <c r="K5102" t="s" s="10">
        <v>25720</v>
      </c>
      <c r="L5102" s="16">
        <f>HYPERLINK("http://www.fortface.ai", "www.fortface.ai")</f>
      </c>
      <c r="M5102" s="16">
        <f>HYPERLINK("https://my.pitchbook.com?c=436319-83", "View Company Online")</f>
      </c>
    </row>
    <row r="5103">
      <c r="A5103" t="s" s="11">
        <v>25722</v>
      </c>
      <c r="B5103" t="s" s="11">
        <v>25723</v>
      </c>
      <c r="C5103" t="s" s="11">
        <v>60</v>
      </c>
      <c r="D5103" t="s" s="11">
        <v>192</v>
      </c>
      <c r="E5103" t="s" s="11">
        <v>137</v>
      </c>
      <c r="F5103" s="28">
        <v>46104</v>
      </c>
      <c r="G5103" t="s" s="11">
        <v>4267</v>
      </c>
      <c r="H5103" t="s" s="43">
        <v>30</v>
      </c>
      <c r="I5103" t="s" s="43">
        <v>30</v>
      </c>
      <c r="J5103" t="s" s="11">
        <v>25724</v>
      </c>
      <c r="K5103" t="s" s="11">
        <v>25725</v>
      </c>
      <c r="L5103" s="17">
        <f>HYPERLINK("http://www.forum.market", "www.forum.market")</f>
      </c>
      <c r="M5103" s="17">
        <f>HYPERLINK("https://my.pitchbook.com?c=1305097-84", "View Company Online")</f>
      </c>
    </row>
    <row r="5104">
      <c r="A5104" t="s" s="10">
        <v>25727</v>
      </c>
      <c r="B5104" t="s" s="10">
        <v>25728</v>
      </c>
      <c r="C5104" t="s" s="10">
        <v>164</v>
      </c>
      <c r="D5104" t="s" s="10">
        <v>206</v>
      </c>
      <c r="E5104" t="s" s="10">
        <v>253</v>
      </c>
      <c r="F5104" s="27">
        <v>45442</v>
      </c>
      <c r="G5104" t="s" s="10">
        <v>4267</v>
      </c>
      <c r="H5104" s="42">
        <v>16</v>
      </c>
      <c r="I5104" t="s" s="42">
        <v>30</v>
      </c>
      <c r="J5104" t="s" s="10">
        <v>25729</v>
      </c>
      <c r="K5104" t="s" s="10">
        <v>25730</v>
      </c>
      <c r="L5104" s="16">
        <f>HYPERLINK("http://www.getfwd.com", "www.getfwd.com")</f>
      </c>
      <c r="M5104" s="16">
        <f>HYPERLINK("https://my.pitchbook.com?c=592509-16", "View Company Online")</f>
      </c>
    </row>
    <row r="5105">
      <c r="A5105" t="s" s="11">
        <v>25732</v>
      </c>
      <c r="B5105" t="s" s="11">
        <v>25733</v>
      </c>
      <c r="C5105" t="s" s="11">
        <v>60</v>
      </c>
      <c r="D5105" t="s" s="11">
        <v>432</v>
      </c>
      <c r="E5105" t="s" s="11">
        <v>414</v>
      </c>
      <c r="F5105" t="s" s="28">
        <v>30</v>
      </c>
      <c r="G5105" t="s" s="11">
        <v>607</v>
      </c>
      <c r="H5105" t="s" s="43">
        <v>30</v>
      </c>
      <c r="I5105" t="s" s="43">
        <v>30</v>
      </c>
      <c r="J5105" t="s" s="11">
        <v>25734</v>
      </c>
      <c r="K5105" t="s" s="11">
        <v>25735</v>
      </c>
      <c r="L5105" s="17">
        <f>HYPERLINK("http://www.fount.co", "www.fount.co")</f>
      </c>
      <c r="M5105" s="17">
        <f>HYPERLINK("https://my.pitchbook.com?c=225841-06", "View Company Online")</f>
      </c>
    </row>
    <row r="5106">
      <c r="A5106" t="s" s="10">
        <v>25737</v>
      </c>
      <c r="B5106" t="s" s="10">
        <v>25738</v>
      </c>
      <c r="C5106" t="s" s="10">
        <v>222</v>
      </c>
      <c r="D5106" t="s" s="10">
        <v>235</v>
      </c>
      <c r="E5106" t="s" s="10">
        <v>658</v>
      </c>
      <c r="F5106" s="27">
        <v>45019</v>
      </c>
      <c r="G5106" t="s" s="10">
        <v>40</v>
      </c>
      <c r="H5106" s="42">
        <v>53.65</v>
      </c>
      <c r="I5106" t="s" s="42">
        <v>30</v>
      </c>
      <c r="J5106" t="s" s="10">
        <v>25739</v>
      </c>
      <c r="K5106" t="s" s="10">
        <v>25740</v>
      </c>
      <c r="L5106" s="16">
        <f>HYPERLINK("http://www.fourthline.com", "www.fourthline.com")</f>
      </c>
      <c r="M5106" s="16">
        <f>HYPERLINK("https://my.pitchbook.com?c=168333-04", "View Company Online")</f>
      </c>
    </row>
    <row r="5107">
      <c r="A5107" t="s" s="11">
        <v>25742</v>
      </c>
      <c r="B5107" t="s" s="11">
        <v>25743</v>
      </c>
      <c r="C5107" t="s" s="11">
        <v>114</v>
      </c>
      <c r="D5107" t="s" s="11">
        <v>136</v>
      </c>
      <c r="E5107" t="s" s="11">
        <v>253</v>
      </c>
      <c r="F5107" s="28">
        <v>43865</v>
      </c>
      <c r="G5107" t="s" s="11">
        <v>4267</v>
      </c>
      <c r="H5107" s="43">
        <v>2.5</v>
      </c>
      <c r="I5107" t="s" s="43">
        <v>30</v>
      </c>
      <c r="J5107" t="s" s="11">
        <v>25744</v>
      </c>
      <c r="K5107" t="s" s="11">
        <v>30</v>
      </c>
      <c r="L5107" s="17">
        <f>HYPERLINK("http://www.foxcapital.in", "www.foxcapital.in")</f>
      </c>
      <c r="M5107" s="17">
        <f>HYPERLINK("https://my.pitchbook.com?c=431290-99", "View Company Online")</f>
      </c>
    </row>
    <row r="5108">
      <c r="A5108" t="s" s="10">
        <v>25746</v>
      </c>
      <c r="B5108" t="s" s="10">
        <v>25747</v>
      </c>
      <c r="C5108" t="s" s="10">
        <v>37</v>
      </c>
      <c r="D5108" t="s" s="10">
        <v>304</v>
      </c>
      <c r="E5108" t="s" s="10">
        <v>270</v>
      </c>
      <c r="F5108" s="27">
        <v>44743</v>
      </c>
      <c r="G5108" t="s" s="10">
        <v>4267</v>
      </c>
      <c r="H5108" s="42">
        <v>0.18</v>
      </c>
      <c r="I5108" t="s" s="42">
        <v>30</v>
      </c>
      <c r="J5108" t="s" s="10">
        <v>25748</v>
      </c>
      <c r="K5108" t="s" s="10">
        <v>30</v>
      </c>
      <c r="L5108" s="16">
        <f>HYPERLINK("http://fr33.app", "fr33.app")</f>
      </c>
      <c r="M5108" s="16">
        <f>HYPERLINK("https://my.pitchbook.com?c=510314-77", "View Company Online")</f>
      </c>
    </row>
    <row r="5109">
      <c r="A5109" t="s" s="11">
        <v>25750</v>
      </c>
      <c r="B5109" t="s" s="11">
        <v>25751</v>
      </c>
      <c r="C5109" t="s" s="11">
        <v>60</v>
      </c>
      <c r="D5109" t="s" s="11">
        <v>420</v>
      </c>
      <c r="E5109" t="s" s="11">
        <v>1625</v>
      </c>
      <c r="F5109" s="28">
        <v>44489</v>
      </c>
      <c r="G5109" t="s" s="11">
        <v>146</v>
      </c>
      <c r="H5109" s="43">
        <v>15.9</v>
      </c>
      <c r="I5109" t="s" s="43">
        <v>30</v>
      </c>
      <c r="J5109" t="s" s="11">
        <v>25752</v>
      </c>
      <c r="K5109" t="s" s="11">
        <v>25753</v>
      </c>
      <c r="L5109" s="17">
        <f>HYPERLINK("http://www.fraction.com", "www.fraction.com")</f>
      </c>
      <c r="M5109" s="17">
        <f>HYPERLINK("https://my.pitchbook.com?c=268176-79", "View Company Online")</f>
      </c>
    </row>
    <row r="5110">
      <c r="A5110" t="s" s="10">
        <v>25755</v>
      </c>
      <c r="B5110" t="s" s="10">
        <v>25756</v>
      </c>
      <c r="C5110" t="s" s="10">
        <v>60</v>
      </c>
      <c r="D5110" t="s" s="10">
        <v>727</v>
      </c>
      <c r="E5110" t="s" s="10">
        <v>25757</v>
      </c>
      <c r="F5110" s="27">
        <v>44578</v>
      </c>
      <c r="G5110" t="s" s="10">
        <v>146</v>
      </c>
      <c r="H5110" s="42">
        <v>4.6</v>
      </c>
      <c r="I5110" t="s" s="42">
        <v>30</v>
      </c>
      <c r="J5110" t="s" s="10">
        <v>25758</v>
      </c>
      <c r="K5110" t="s" s="10">
        <v>25759</v>
      </c>
      <c r="L5110" s="16">
        <f>HYPERLINK("http://www.fraction.co", "www.fraction.co")</f>
      </c>
      <c r="M5110" s="16">
        <f>HYPERLINK("https://my.pitchbook.com?c=483372-37", "View Company Online")</f>
      </c>
    </row>
    <row r="5111">
      <c r="A5111" t="s" s="11">
        <v>25761</v>
      </c>
      <c r="B5111" t="s" s="11">
        <v>25762</v>
      </c>
      <c r="C5111" t="s" s="11">
        <v>222</v>
      </c>
      <c r="D5111" t="s" s="11">
        <v>235</v>
      </c>
      <c r="E5111" t="s" s="11">
        <v>859</v>
      </c>
      <c r="F5111" s="28">
        <v>45694</v>
      </c>
      <c r="G5111" t="s" s="11">
        <v>4267</v>
      </c>
      <c r="H5111" s="43">
        <v>1.1</v>
      </c>
      <c r="I5111" t="s" s="43">
        <v>30</v>
      </c>
      <c r="J5111" t="s" s="11">
        <v>25763</v>
      </c>
      <c r="K5111" t="s" s="11">
        <v>25764</v>
      </c>
      <c r="L5111" s="17">
        <f>HYPERLINK("http://www.fraktion.fr", "www.fraktion.fr")</f>
      </c>
      <c r="M5111" s="17">
        <f>HYPERLINK("https://my.pitchbook.com?c=561588-94", "View Company Online")</f>
      </c>
    </row>
    <row r="5112">
      <c r="A5112" t="s" s="10">
        <v>25766</v>
      </c>
      <c r="B5112" t="s" s="10">
        <v>25767</v>
      </c>
      <c r="C5112" t="s" s="10">
        <v>27</v>
      </c>
      <c r="D5112" t="s" s="10">
        <v>28</v>
      </c>
      <c r="E5112" t="s" s="10">
        <v>253</v>
      </c>
      <c r="F5112" s="27">
        <v>45730</v>
      </c>
      <c r="G5112" t="s" s="10">
        <v>146</v>
      </c>
      <c r="H5112" t="s" s="42">
        <v>30</v>
      </c>
      <c r="I5112" t="s" s="42">
        <v>30</v>
      </c>
      <c r="J5112" t="s" s="10">
        <v>25768</v>
      </c>
      <c r="K5112" t="s" s="10">
        <v>25769</v>
      </c>
      <c r="L5112" s="16">
        <f>HYPERLINK("http://www.framepayments.com", "www.framepayments.com")</f>
      </c>
      <c r="M5112" s="16">
        <f>HYPERLINK("https://my.pitchbook.com?c=596966-59", "View Company Online")</f>
      </c>
    </row>
    <row r="5113">
      <c r="A5113" t="s" s="11">
        <v>25771</v>
      </c>
      <c r="B5113" t="s" s="11">
        <v>25772</v>
      </c>
      <c r="C5113" t="s" s="11">
        <v>60</v>
      </c>
      <c r="D5113" t="s" s="11">
        <v>61</v>
      </c>
      <c r="E5113" t="s" s="11">
        <v>193</v>
      </c>
      <c r="F5113" s="28">
        <v>45638</v>
      </c>
      <c r="G5113" t="s" s="11">
        <v>607</v>
      </c>
      <c r="H5113" s="43">
        <v>0.11</v>
      </c>
      <c r="I5113" t="s" s="43">
        <v>30</v>
      </c>
      <c r="J5113" t="s" s="11">
        <v>25773</v>
      </c>
      <c r="K5113" t="s" s="11">
        <v>25774</v>
      </c>
      <c r="L5113" s="17">
        <f>HYPERLINK("http://www.franc.app", "www.franc.app")</f>
      </c>
      <c r="M5113" s="17">
        <f>HYPERLINK("https://my.pitchbook.com?c=277405-66", "View Company Online")</f>
      </c>
    </row>
    <row r="5114">
      <c r="A5114" t="s" s="10">
        <v>25776</v>
      </c>
      <c r="B5114" t="s" s="10">
        <v>25777</v>
      </c>
      <c r="C5114" t="s" s="10">
        <v>46</v>
      </c>
      <c r="D5114" t="s" s="10">
        <v>915</v>
      </c>
      <c r="E5114" t="s" s="10">
        <v>29</v>
      </c>
      <c r="F5114" s="27">
        <v>45566</v>
      </c>
      <c r="G5114" t="s" s="10">
        <v>607</v>
      </c>
      <c r="H5114" t="s" s="42">
        <v>30</v>
      </c>
      <c r="I5114" t="s" s="42">
        <v>30</v>
      </c>
      <c r="J5114" t="s" s="10">
        <v>25778</v>
      </c>
      <c r="K5114" t="s" s="10">
        <v>25779</v>
      </c>
      <c r="L5114" s="16">
        <f>HYPERLINK("http://www.francis.app", "www.francis.app")</f>
      </c>
      <c r="M5114" s="16">
        <f>HYPERLINK("https://my.pitchbook.com?c=493840-63", "View Company Online")</f>
      </c>
    </row>
    <row r="5115">
      <c r="A5115" t="s" s="11">
        <v>25781</v>
      </c>
      <c r="B5115" t="s" s="11">
        <v>25782</v>
      </c>
      <c r="C5115" t="s" s="11">
        <v>46</v>
      </c>
      <c r="D5115" t="s" s="11">
        <v>78</v>
      </c>
      <c r="E5115" t="s" s="11">
        <v>859</v>
      </c>
      <c r="F5115" s="28">
        <v>45020</v>
      </c>
      <c r="G5115" t="s" s="11">
        <v>4267</v>
      </c>
      <c r="H5115" s="43">
        <v>2.9</v>
      </c>
      <c r="I5115" t="s" s="43">
        <v>30</v>
      </c>
      <c r="J5115" t="s" s="11">
        <v>25783</v>
      </c>
      <c r="K5115" t="s" s="11">
        <v>25784</v>
      </c>
      <c r="L5115" s="17">
        <f>HYPERLINK("http://www.hellofranklin.co", "www.hellofranklin.co")</f>
      </c>
      <c r="M5115" s="17">
        <f>HYPERLINK("https://my.pitchbook.com?c=521079-67", "View Company Online")</f>
      </c>
    </row>
    <row r="5116">
      <c r="A5116" t="s" s="10">
        <v>25786</v>
      </c>
      <c r="B5116" t="s" s="10">
        <v>25787</v>
      </c>
      <c r="C5116" t="s" s="10">
        <v>60</v>
      </c>
      <c r="D5116" t="s" s="10">
        <v>192</v>
      </c>
      <c r="E5116" t="s" s="10">
        <v>373</v>
      </c>
      <c r="F5116" s="27">
        <v>46108</v>
      </c>
      <c r="G5116" t="s" s="10">
        <v>40</v>
      </c>
      <c r="H5116" s="42">
        <v>13.4</v>
      </c>
      <c r="I5116" t="s" s="42">
        <v>30</v>
      </c>
      <c r="J5116" t="s" s="10">
        <v>25788</v>
      </c>
      <c r="K5116" t="s" s="10">
        <v>25789</v>
      </c>
      <c r="L5116" s="16">
        <f>HYPERLINK("http://www.franq.com.br", "www.franq.com.br")</f>
      </c>
      <c r="M5116" s="16">
        <f>HYPERLINK("https://my.pitchbook.com?c=460125-73", "View Company Online")</f>
      </c>
    </row>
    <row r="5117">
      <c r="A5117" t="s" s="11">
        <v>25791</v>
      </c>
      <c r="B5117" t="s" s="11">
        <v>25792</v>
      </c>
      <c r="C5117" t="s" s="11">
        <v>60</v>
      </c>
      <c r="D5117" t="s" s="11">
        <v>727</v>
      </c>
      <c r="E5117" t="s" s="11">
        <v>12122</v>
      </c>
      <c r="F5117" s="28">
        <v>46001</v>
      </c>
      <c r="G5117" t="s" s="11">
        <v>146</v>
      </c>
      <c r="H5117" t="s" s="43">
        <v>30</v>
      </c>
      <c r="I5117" t="s" s="43">
        <v>30</v>
      </c>
      <c r="J5117" t="s" s="11">
        <v>25793</v>
      </c>
      <c r="K5117" t="s" s="11">
        <v>25794</v>
      </c>
      <c r="L5117" s="17">
        <f>HYPERLINK("http://www.freeportmarkets.com", "www.freeportmarkets.com")</f>
      </c>
      <c r="M5117" s="17">
        <f>HYPERLINK("https://my.pitchbook.com?c=1131631-21", "View Company Online")</f>
      </c>
    </row>
    <row r="5118">
      <c r="A5118" t="s" s="10">
        <v>25796</v>
      </c>
      <c r="B5118" t="s" s="10">
        <v>25797</v>
      </c>
      <c r="C5118" t="s" s="10">
        <v>27</v>
      </c>
      <c r="D5118" t="s" s="10">
        <v>122</v>
      </c>
      <c r="E5118" t="s" s="10">
        <v>137</v>
      </c>
      <c r="F5118" s="27">
        <v>46142</v>
      </c>
      <c r="G5118" t="s" s="10">
        <v>4427</v>
      </c>
      <c r="H5118" t="s" s="42">
        <v>30</v>
      </c>
      <c r="I5118" t="s" s="42">
        <v>30</v>
      </c>
      <c r="J5118" t="s" s="10">
        <v>25798</v>
      </c>
      <c r="K5118" t="s" s="10">
        <v>30</v>
      </c>
      <c r="L5118" s="16">
        <f>HYPERLINK("http://www.frentecorretora.com.br", "www.frentecorretora.com.br")</f>
      </c>
      <c r="M5118" s="16">
        <f>HYPERLINK("https://my.pitchbook.com?c=846771-22", "View Company Online")</f>
      </c>
    </row>
    <row r="5119">
      <c r="A5119" t="s" s="11">
        <v>25800</v>
      </c>
      <c r="B5119" t="s" s="11">
        <v>25801</v>
      </c>
      <c r="C5119" t="s" s="11">
        <v>128</v>
      </c>
      <c r="D5119" t="s" s="11">
        <v>276</v>
      </c>
      <c r="E5119" t="s" s="11">
        <v>259</v>
      </c>
      <c r="F5119" s="28">
        <v>45999</v>
      </c>
      <c r="G5119" t="s" s="11">
        <v>4267</v>
      </c>
      <c r="H5119" s="43">
        <v>1.07</v>
      </c>
      <c r="I5119" t="s" s="43">
        <v>30</v>
      </c>
      <c r="J5119" t="s" s="11">
        <v>25802</v>
      </c>
      <c r="K5119" t="s" s="11">
        <v>25803</v>
      </c>
      <c r="L5119" s="17">
        <f>HYPERLINK("http://www.frexpay.com", "www.frexpay.com")</f>
      </c>
      <c r="M5119" s="17">
        <f>HYPERLINK("https://my.pitchbook.com?c=1168858-90", "View Company Online")</f>
      </c>
    </row>
    <row r="5120">
      <c r="A5120" t="s" s="10">
        <v>25805</v>
      </c>
      <c r="B5120" t="s" s="10">
        <v>25806</v>
      </c>
      <c r="C5120" t="s" s="10">
        <v>222</v>
      </c>
      <c r="D5120" t="s" s="10">
        <v>223</v>
      </c>
      <c r="E5120" t="s" s="10">
        <v>634</v>
      </c>
      <c r="F5120" s="27">
        <v>46177</v>
      </c>
      <c r="G5120" t="s" s="10">
        <v>391</v>
      </c>
      <c r="H5120" t="s" s="42">
        <v>30</v>
      </c>
      <c r="I5120" t="s" s="42">
        <v>30</v>
      </c>
      <c r="J5120" t="s" s="10">
        <v>25807</v>
      </c>
      <c r="K5120" t="s" s="10">
        <v>30</v>
      </c>
      <c r="L5120" s="16">
        <f>HYPERLINK("http://www.freyda.io", "www.freyda.io")</f>
      </c>
      <c r="M5120" s="16">
        <f>HYPERLINK("https://my.pitchbook.com?c=279421-48", "View Company Online")</f>
      </c>
    </row>
    <row r="5121">
      <c r="A5121" t="s" s="11">
        <v>25809</v>
      </c>
      <c r="B5121" t="s" s="11">
        <v>25810</v>
      </c>
      <c r="C5121" t="s" s="11">
        <v>60</v>
      </c>
      <c r="D5121" t="s" s="11">
        <v>246</v>
      </c>
      <c r="E5121" t="s" s="11">
        <v>29</v>
      </c>
      <c r="F5121" s="28">
        <v>44958</v>
      </c>
      <c r="G5121" t="s" s="11">
        <v>146</v>
      </c>
      <c r="H5121" t="s" s="43">
        <v>30</v>
      </c>
      <c r="I5121" t="s" s="43">
        <v>30</v>
      </c>
      <c r="J5121" t="s" s="11">
        <v>25811</v>
      </c>
      <c r="K5121" t="s" s="11">
        <v>25812</v>
      </c>
      <c r="L5121" s="17">
        <f>HYPERLINK("http://www.frid.app", "www.frid.app")</f>
      </c>
      <c r="M5121" s="17">
        <f>HYPERLINK("https://my.pitchbook.com?c=520601-23", "View Company Online")</f>
      </c>
    </row>
    <row r="5122">
      <c r="A5122" t="s" s="10">
        <v>25814</v>
      </c>
      <c r="B5122" t="s" s="10">
        <v>25815</v>
      </c>
      <c r="C5122" t="s" s="10">
        <v>222</v>
      </c>
      <c r="D5122" t="s" s="10">
        <v>235</v>
      </c>
      <c r="E5122" t="s" s="10">
        <v>2824</v>
      </c>
      <c r="F5122" s="27">
        <v>44651</v>
      </c>
      <c r="G5122" t="s" s="10">
        <v>607</v>
      </c>
      <c r="H5122" t="s" s="42">
        <v>30</v>
      </c>
      <c r="I5122" t="s" s="42">
        <v>30</v>
      </c>
      <c r="J5122" t="s" s="10">
        <v>25816</v>
      </c>
      <c r="K5122" t="s" s="10">
        <v>25817</v>
      </c>
      <c r="L5122" s="16">
        <f>HYPERLINK("http://www.friss.com", "www.friss.com")</f>
      </c>
      <c r="M5122" s="16">
        <f>HYPERLINK("https://my.pitchbook.com?c=130796-11", "View Company Online")</f>
      </c>
    </row>
    <row r="5123">
      <c r="A5123" t="s" s="11">
        <v>25819</v>
      </c>
      <c r="B5123" t="s" s="11">
        <v>25820</v>
      </c>
      <c r="C5123" t="s" s="11">
        <v>60</v>
      </c>
      <c r="D5123" t="s" s="11">
        <v>246</v>
      </c>
      <c r="E5123" t="s" s="11">
        <v>137</v>
      </c>
      <c r="F5123" s="28">
        <v>45047</v>
      </c>
      <c r="G5123" t="s" s="11">
        <v>4267</v>
      </c>
      <c r="H5123" s="43">
        <v>0.3</v>
      </c>
      <c r="I5123" t="s" s="43">
        <v>30</v>
      </c>
      <c r="J5123" t="s" s="11">
        <v>25821</v>
      </c>
      <c r="K5123" t="s" s="11">
        <v>30</v>
      </c>
      <c r="L5123" s="17">
        <f>HYPERLINK("http://www.front.exchange", "www.front.exchange")</f>
      </c>
      <c r="M5123" s="17">
        <f>HYPERLINK("https://my.pitchbook.com?c=528743-17", "View Company Online")</f>
      </c>
    </row>
    <row r="5124">
      <c r="A5124" t="s" s="10">
        <v>25823</v>
      </c>
      <c r="B5124" t="s" s="10">
        <v>25824</v>
      </c>
      <c r="C5124" t="s" s="10">
        <v>144</v>
      </c>
      <c r="D5124" t="s" s="10">
        <v>297</v>
      </c>
      <c r="E5124" t="s" s="10">
        <v>253</v>
      </c>
      <c r="F5124" s="27">
        <v>45252</v>
      </c>
      <c r="G5124" t="s" s="10">
        <v>4267</v>
      </c>
      <c r="H5124" s="42">
        <v>10</v>
      </c>
      <c r="I5124" t="s" s="42">
        <v>30</v>
      </c>
      <c r="J5124" t="s" s="10">
        <v>25825</v>
      </c>
      <c r="K5124" t="s" s="10">
        <v>25826</v>
      </c>
      <c r="L5124" s="16">
        <f>HYPERLINK("http://www.frontedge.io", "www.frontedge.io")</f>
      </c>
      <c r="M5124" s="16">
        <f>HYPERLINK("https://my.pitchbook.com?c=503136-82", "View Company Online")</f>
      </c>
    </row>
    <row r="5125">
      <c r="A5125" t="s" s="11">
        <v>25828</v>
      </c>
      <c r="B5125" t="s" s="11">
        <v>25829</v>
      </c>
      <c r="C5125" t="s" s="11">
        <v>60</v>
      </c>
      <c r="D5125" t="s" s="11">
        <v>246</v>
      </c>
      <c r="E5125" t="s" s="11">
        <v>116</v>
      </c>
      <c r="F5125" s="28">
        <v>45813</v>
      </c>
      <c r="G5125" t="s" s="11">
        <v>40</v>
      </c>
      <c r="H5125" s="43">
        <v>3.27</v>
      </c>
      <c r="I5125" t="s" s="43">
        <v>30</v>
      </c>
      <c r="J5125" t="s" s="11">
        <v>25830</v>
      </c>
      <c r="K5125" t="s" s="11">
        <v>25831</v>
      </c>
      <c r="L5125" s="17">
        <f>HYPERLINK("http://www.froots.io", "www.froots.io")</f>
      </c>
      <c r="M5125" s="17">
        <f>HYPERLINK("https://my.pitchbook.com?c=497318-05", "View Company Online")</f>
      </c>
    </row>
    <row r="5126">
      <c r="A5126" t="s" s="10">
        <v>25833</v>
      </c>
      <c r="B5126" t="s" s="10">
        <v>25834</v>
      </c>
      <c r="C5126" t="s" s="10">
        <v>27</v>
      </c>
      <c r="D5126" t="s" s="10">
        <v>28</v>
      </c>
      <c r="E5126" t="s" s="10">
        <v>1065</v>
      </c>
      <c r="F5126" s="27">
        <v>45882</v>
      </c>
      <c r="G5126" t="s" s="10">
        <v>146</v>
      </c>
      <c r="H5126" s="42">
        <v>6.96</v>
      </c>
      <c r="I5126" t="s" s="42">
        <v>30</v>
      </c>
      <c r="J5126" t="s" s="10">
        <v>25835</v>
      </c>
      <c r="K5126" t="s" s="10">
        <v>25836</v>
      </c>
      <c r="L5126" t="s" s="10">
        <v>30</v>
      </c>
      <c r="M5126" s="16">
        <f>HYPERLINK("https://my.pitchbook.com?c=694632-07", "View Company Online")</f>
      </c>
    </row>
    <row r="5127">
      <c r="A5127" t="s" s="11">
        <v>25837</v>
      </c>
      <c r="B5127" t="s" s="11">
        <v>25838</v>
      </c>
      <c r="C5127" t="s" s="11">
        <v>46</v>
      </c>
      <c r="D5127" t="s" s="11">
        <v>915</v>
      </c>
      <c r="E5127" t="s" s="11">
        <v>373</v>
      </c>
      <c r="F5127" s="28">
        <v>46054</v>
      </c>
      <c r="G5127" t="s" s="11">
        <v>40</v>
      </c>
      <c r="H5127" t="s" s="43">
        <v>30</v>
      </c>
      <c r="I5127" t="s" s="43">
        <v>30</v>
      </c>
      <c r="J5127" t="s" s="11">
        <v>25839</v>
      </c>
      <c r="K5127" t="s" s="11">
        <v>25840</v>
      </c>
      <c r="L5127" s="17">
        <f>HYPERLINK("http://www.fuelfinance.me", "www.fuelfinance.me")</f>
      </c>
      <c r="M5127" s="17">
        <f>HYPERLINK("https://my.pitchbook.com?c=465692-32", "View Company Online")</f>
      </c>
    </row>
    <row r="5128">
      <c r="A5128" t="s" s="10">
        <v>25842</v>
      </c>
      <c r="B5128" t="s" s="10">
        <v>25843</v>
      </c>
      <c r="C5128" t="s" s="10">
        <v>114</v>
      </c>
      <c r="D5128" t="s" s="10">
        <v>136</v>
      </c>
      <c r="E5128" t="s" s="10">
        <v>137</v>
      </c>
      <c r="F5128" s="27">
        <v>44927</v>
      </c>
      <c r="G5128" t="s" s="10">
        <v>146</v>
      </c>
      <c r="H5128" t="s" s="42">
        <v>30</v>
      </c>
      <c r="I5128" t="s" s="42">
        <v>30</v>
      </c>
      <c r="J5128" t="s" s="10">
        <v>25844</v>
      </c>
      <c r="K5128" t="s" s="10">
        <v>13832</v>
      </c>
      <c r="L5128" s="16">
        <f>HYPERLINK("http://www.fuelfinance.sa", "www.fuelfinance.sa")</f>
      </c>
      <c r="M5128" s="16">
        <f>HYPERLINK("https://my.pitchbook.com?c=520600-87", "View Company Online")</f>
      </c>
    </row>
    <row r="5129">
      <c r="A5129" t="s" s="11">
        <v>25846</v>
      </c>
      <c r="B5129" t="s" s="11">
        <v>25847</v>
      </c>
      <c r="C5129" t="s" s="11">
        <v>172</v>
      </c>
      <c r="D5129" t="s" s="11">
        <v>338</v>
      </c>
      <c r="E5129" t="s" s="11">
        <v>6783</v>
      </c>
      <c r="F5129" s="28">
        <v>44265</v>
      </c>
      <c r="G5129" t="s" s="11">
        <v>4267</v>
      </c>
      <c r="H5129" s="43">
        <v>0.6</v>
      </c>
      <c r="I5129" t="s" s="43">
        <v>30</v>
      </c>
      <c r="J5129" t="s" s="11">
        <v>25848</v>
      </c>
      <c r="K5129" t="s" s="11">
        <v>25849</v>
      </c>
      <c r="L5129" s="17">
        <f>HYPERLINK("http://www.fugu-it.com", "www.fugu-it.com")</f>
      </c>
      <c r="M5129" s="17">
        <f>HYPERLINK("https://my.pitchbook.com?c=454539-43", "View Company Online")</f>
      </c>
    </row>
    <row r="5130">
      <c r="A5130" t="s" s="10">
        <v>25851</v>
      </c>
      <c r="B5130" t="s" s="10">
        <v>25852</v>
      </c>
      <c r="C5130" t="s" s="10">
        <v>27</v>
      </c>
      <c r="D5130" t="s" s="10">
        <v>122</v>
      </c>
      <c r="E5130" t="s" s="10">
        <v>137</v>
      </c>
      <c r="F5130" s="27">
        <v>45412</v>
      </c>
      <c r="G5130" t="s" s="10">
        <v>64</v>
      </c>
      <c r="H5130" t="s" s="42">
        <v>30</v>
      </c>
      <c r="I5130" t="s" s="42">
        <v>30</v>
      </c>
      <c r="J5130" t="s" s="10">
        <v>25853</v>
      </c>
      <c r="K5130" t="s" s="10">
        <v>25854</v>
      </c>
      <c r="L5130" s="16">
        <f>HYPERLINK("http://www.fuiou.com", "www.fuiou.com")</f>
      </c>
      <c r="M5130" s="16">
        <f>HYPERLINK("https://my.pitchbook.com?c=339950-08", "View Company Online")</f>
      </c>
    </row>
    <row r="5131">
      <c r="A5131" t="s" s="11">
        <v>25856</v>
      </c>
      <c r="B5131" t="s" s="11">
        <v>25857</v>
      </c>
      <c r="C5131" t="s" s="11">
        <v>114</v>
      </c>
      <c r="D5131" t="s" s="11">
        <v>852</v>
      </c>
      <c r="E5131" t="s" s="11">
        <v>414</v>
      </c>
      <c r="F5131" s="28">
        <v>45292</v>
      </c>
      <c r="G5131" t="s" s="11">
        <v>607</v>
      </c>
      <c r="H5131" t="s" s="43">
        <v>30</v>
      </c>
      <c r="I5131" t="s" s="43">
        <v>30</v>
      </c>
      <c r="J5131" t="s" s="11">
        <v>25858</v>
      </c>
      <c r="K5131" t="s" s="11">
        <v>25859</v>
      </c>
      <c r="L5131" s="17">
        <f>HYPERLINK("http://www.fulfin.com", "www.fulfin.com")</f>
      </c>
      <c r="M5131" s="17">
        <f>HYPERLINK("https://my.pitchbook.com?c=453500-29", "View Company Online")</f>
      </c>
    </row>
    <row r="5132">
      <c r="A5132" t="s" s="10">
        <v>25861</v>
      </c>
      <c r="B5132" t="s" s="10">
        <v>25862</v>
      </c>
      <c r="C5132" t="s" s="10">
        <v>46</v>
      </c>
      <c r="D5132" t="s" s="10">
        <v>47</v>
      </c>
      <c r="E5132" t="s" s="10">
        <v>9284</v>
      </c>
      <c r="F5132" s="27">
        <v>46106</v>
      </c>
      <c r="G5132" t="s" s="10">
        <v>4267</v>
      </c>
      <c r="H5132" t="s" s="42">
        <v>30</v>
      </c>
      <c r="I5132" t="s" s="42">
        <v>30</v>
      </c>
      <c r="J5132" t="s" s="10">
        <v>25863</v>
      </c>
      <c r="K5132" t="s" s="10">
        <v>25864</v>
      </c>
      <c r="L5132" s="16">
        <f>HYPERLINK("http://www.fullseam.com", "www.fullseam.com")</f>
      </c>
      <c r="M5132" s="16">
        <f>HYPERLINK("https://my.pitchbook.com?c=1317187-45", "View Company Online")</f>
      </c>
    </row>
    <row r="5133">
      <c r="A5133" t="s" s="11">
        <v>25866</v>
      </c>
      <c r="B5133" t="s" s="11">
        <v>25867</v>
      </c>
      <c r="C5133" t="s" s="11">
        <v>222</v>
      </c>
      <c r="D5133" t="s" s="11">
        <v>235</v>
      </c>
      <c r="E5133" t="s" s="11">
        <v>137</v>
      </c>
      <c r="F5133" s="28">
        <v>46023</v>
      </c>
      <c r="G5133" t="s" s="11">
        <v>146</v>
      </c>
      <c r="H5133" t="s" s="43">
        <v>30</v>
      </c>
      <c r="I5133" t="s" s="43">
        <v>30</v>
      </c>
      <c r="J5133" t="s" s="11">
        <v>25868</v>
      </c>
      <c r="K5133" t="s" s="11">
        <v>25869</v>
      </c>
      <c r="L5133" s="17">
        <f>HYPERLINK("http://www.fundfusion.kz/en", "www.fundfusion.kz/en")</f>
      </c>
      <c r="M5133" s="17">
        <f>HYPERLINK("https://my.pitchbook.com?c=1239653-62", "View Company Online")</f>
      </c>
    </row>
    <row r="5134">
      <c r="A5134" t="s" s="10">
        <v>25871</v>
      </c>
      <c r="B5134" t="s" s="10">
        <v>25872</v>
      </c>
      <c r="C5134" t="s" s="10">
        <v>114</v>
      </c>
      <c r="D5134" t="s" s="10">
        <v>852</v>
      </c>
      <c r="E5134" t="s" s="10">
        <v>253</v>
      </c>
      <c r="F5134" t="s" s="27">
        <v>30</v>
      </c>
      <c r="G5134" t="s" s="10">
        <v>48</v>
      </c>
      <c r="H5134" t="s" s="42">
        <v>30</v>
      </c>
      <c r="I5134" t="s" s="42">
        <v>30</v>
      </c>
      <c r="J5134" t="s" s="10">
        <v>25873</v>
      </c>
      <c r="K5134" t="s" s="10">
        <v>30</v>
      </c>
      <c r="L5134" s="16">
        <f>HYPERLINK("http://www.banjoloans.com", "www.banjoloans.com")</f>
      </c>
      <c r="M5134" s="16">
        <f>HYPERLINK("https://my.pitchbook.com?c=267141-79", "View Company Online")</f>
      </c>
    </row>
    <row r="5135">
      <c r="A5135" t="s" s="11">
        <v>25875</v>
      </c>
      <c r="B5135" t="s" s="11">
        <v>25876</v>
      </c>
      <c r="C5135" t="s" s="11">
        <v>114</v>
      </c>
      <c r="D5135" t="s" s="11">
        <v>136</v>
      </c>
      <c r="E5135" t="s" s="11">
        <v>137</v>
      </c>
      <c r="F5135" t="s" s="28">
        <v>30</v>
      </c>
      <c r="G5135" t="s" s="11">
        <v>607</v>
      </c>
      <c r="H5135" t="s" s="43">
        <v>30</v>
      </c>
      <c r="I5135" t="s" s="43">
        <v>30</v>
      </c>
      <c r="J5135" t="s" s="11">
        <v>25877</v>
      </c>
      <c r="K5135" t="s" s="11">
        <v>25878</v>
      </c>
      <c r="L5135" s="17">
        <f>HYPERLINK("http://www.funda.kr", "www.funda.kr")</f>
      </c>
      <c r="M5135" s="17">
        <f>HYPERLINK("https://my.pitchbook.com?c=469684-63", "View Company Online")</f>
      </c>
    </row>
    <row r="5136">
      <c r="A5136" t="s" s="10">
        <v>25880</v>
      </c>
      <c r="B5136" t="s" s="10">
        <v>25881</v>
      </c>
      <c r="C5136" t="s" s="10">
        <v>164</v>
      </c>
      <c r="D5136" t="s" s="10">
        <v>206</v>
      </c>
      <c r="E5136" t="s" s="10">
        <v>4442</v>
      </c>
      <c r="F5136" s="27">
        <v>45292</v>
      </c>
      <c r="G5136" t="s" s="10">
        <v>4267</v>
      </c>
      <c r="H5136" t="s" s="42">
        <v>30</v>
      </c>
      <c r="I5136" t="s" s="42">
        <v>30</v>
      </c>
      <c r="J5136" t="s" s="10">
        <v>25882</v>
      </c>
      <c r="K5136" t="s" s="10">
        <v>25883</v>
      </c>
      <c r="L5136" s="16">
        <f>HYPERLINK("http://www.fundably.com", "www.fundably.com")</f>
      </c>
      <c r="M5136" s="16">
        <f>HYPERLINK("https://my.pitchbook.com?c=484265-44", "View Company Online")</f>
      </c>
    </row>
    <row r="5137">
      <c r="A5137" t="s" s="11">
        <v>25885</v>
      </c>
      <c r="B5137" t="s" s="11">
        <v>25886</v>
      </c>
      <c r="C5137" t="s" s="11">
        <v>164</v>
      </c>
      <c r="D5137" t="s" s="11">
        <v>934</v>
      </c>
      <c r="E5137" t="s" s="11">
        <v>367</v>
      </c>
      <c r="F5137" t="s" s="28">
        <v>30</v>
      </c>
      <c r="G5137" t="s" s="11">
        <v>30</v>
      </c>
      <c r="H5137" t="s" s="43">
        <v>30</v>
      </c>
      <c r="I5137" t="s" s="43">
        <v>30</v>
      </c>
      <c r="J5137" t="s" s="11">
        <v>25887</v>
      </c>
      <c r="K5137" t="s" s="11">
        <v>30</v>
      </c>
      <c r="L5137" s="17">
        <f>HYPERLINK("http://www.fundamental.ai", "www.fundamental.ai")</f>
      </c>
      <c r="M5137" s="17">
        <f>HYPERLINK("https://my.pitchbook.com?c=1366293-16", "View Company Online")</f>
      </c>
    </row>
    <row r="5138">
      <c r="A5138" t="s" s="10">
        <v>25889</v>
      </c>
      <c r="B5138" t="s" s="10">
        <v>25890</v>
      </c>
      <c r="C5138" t="s" s="10">
        <v>144</v>
      </c>
      <c r="D5138" t="s" s="10">
        <v>297</v>
      </c>
      <c r="E5138" t="s" s="10">
        <v>259</v>
      </c>
      <c r="F5138" s="27">
        <v>45698</v>
      </c>
      <c r="G5138" t="s" s="10">
        <v>607</v>
      </c>
      <c r="H5138" s="42">
        <v>0.01</v>
      </c>
      <c r="I5138" t="s" s="42">
        <v>30</v>
      </c>
      <c r="J5138" t="s" s="10">
        <v>25891</v>
      </c>
      <c r="K5138" t="s" s="10">
        <v>25892</v>
      </c>
      <c r="L5138" s="16">
        <f>HYPERLINK("http://www.fundbot.co", "www.fundbot.co")</f>
      </c>
      <c r="M5138" s="16">
        <f>HYPERLINK("https://my.pitchbook.com?c=517871-98", "View Company Online")</f>
      </c>
    </row>
    <row r="5139">
      <c r="A5139" t="s" s="11">
        <v>25894</v>
      </c>
      <c r="B5139" t="s" s="11">
        <v>25895</v>
      </c>
      <c r="C5139" t="s" s="11">
        <v>37</v>
      </c>
      <c r="D5139" t="s" s="11">
        <v>304</v>
      </c>
      <c r="E5139" t="s" s="11">
        <v>2411</v>
      </c>
      <c r="F5139" s="28">
        <v>44854</v>
      </c>
      <c r="G5139" t="s" s="11">
        <v>146</v>
      </c>
      <c r="H5139" t="s" s="43">
        <v>30</v>
      </c>
      <c r="I5139" t="s" s="43">
        <v>30</v>
      </c>
      <c r="J5139" t="s" s="11">
        <v>25896</v>
      </c>
      <c r="K5139" t="s" s="11">
        <v>25897</v>
      </c>
      <c r="L5139" s="17">
        <f>HYPERLINK("http://fundiin.vn", "fundiin.vn")</f>
      </c>
      <c r="M5139" s="17">
        <f>HYPERLINK("https://my.pitchbook.com?c=463624-66", "View Company Online")</f>
      </c>
    </row>
    <row r="5140">
      <c r="A5140" t="s" s="10">
        <v>25899</v>
      </c>
      <c r="B5140" t="s" s="10">
        <v>25900</v>
      </c>
      <c r="C5140" t="s" s="10">
        <v>114</v>
      </c>
      <c r="D5140" t="s" s="10">
        <v>852</v>
      </c>
      <c r="E5140" t="s" s="10">
        <v>1207</v>
      </c>
      <c r="F5140" s="27">
        <v>46199</v>
      </c>
      <c r="G5140" t="s" s="10">
        <v>40</v>
      </c>
      <c r="H5140" s="42">
        <v>31.35</v>
      </c>
      <c r="I5140" t="s" s="42">
        <v>30</v>
      </c>
      <c r="J5140" t="s" s="10">
        <v>25901</v>
      </c>
      <c r="K5140" t="s" s="10">
        <v>30</v>
      </c>
      <c r="L5140" s="16">
        <f>HYPERLINK("http://www.fundkite.com", "www.fundkite.com")</f>
      </c>
      <c r="M5140" s="16">
        <f>HYPERLINK("https://my.pitchbook.com?c=230956-21", "View Company Online")</f>
      </c>
    </row>
    <row r="5141">
      <c r="A5141" t="s" s="11">
        <v>25903</v>
      </c>
      <c r="B5141" t="s" s="11">
        <v>25904</v>
      </c>
      <c r="C5141" t="s" s="11">
        <v>144</v>
      </c>
      <c r="D5141" t="s" s="11">
        <v>297</v>
      </c>
      <c r="E5141" t="s" s="11">
        <v>137</v>
      </c>
      <c r="F5141" s="28">
        <v>45335</v>
      </c>
      <c r="G5141" t="s" s="11">
        <v>146</v>
      </c>
      <c r="H5141" s="43">
        <v>2</v>
      </c>
      <c r="I5141" t="s" s="43">
        <v>30</v>
      </c>
      <c r="J5141" t="s" s="11">
        <v>25905</v>
      </c>
      <c r="K5141" t="s" s="11">
        <v>25906</v>
      </c>
      <c r="L5141" s="17">
        <f>HYPERLINK("http://www.fundmates.com", "www.fundmates.com")</f>
      </c>
      <c r="M5141" s="17">
        <f>HYPERLINK("https://my.pitchbook.com?c=572182-21", "View Company Online")</f>
      </c>
    </row>
    <row r="5142">
      <c r="A5142" t="s" s="10">
        <v>25908</v>
      </c>
      <c r="B5142" t="s" s="10">
        <v>25909</v>
      </c>
      <c r="C5142" t="s" s="10">
        <v>164</v>
      </c>
      <c r="D5142" t="s" s="10">
        <v>165</v>
      </c>
      <c r="E5142" t="s" s="10">
        <v>373</v>
      </c>
      <c r="F5142" s="27">
        <v>44417</v>
      </c>
      <c r="G5142" t="s" s="10">
        <v>4267</v>
      </c>
      <c r="H5142" s="42">
        <v>1</v>
      </c>
      <c r="I5142" t="s" s="42">
        <v>30</v>
      </c>
      <c r="J5142" t="s" s="10">
        <v>25910</v>
      </c>
      <c r="K5142" t="s" s="10">
        <v>25911</v>
      </c>
      <c r="L5142" s="16">
        <f>HYPERLINK("http://www.fundr.ai", "www.fundr.ai")</f>
      </c>
      <c r="M5142" s="16">
        <f>HYPERLINK("https://my.pitchbook.com?c=454562-83", "View Company Online")</f>
      </c>
    </row>
    <row r="5143">
      <c r="A5143" t="s" s="11">
        <v>25913</v>
      </c>
      <c r="B5143" t="s" s="11">
        <v>25914</v>
      </c>
      <c r="C5143" t="s" s="11">
        <v>60</v>
      </c>
      <c r="D5143" t="s" s="11">
        <v>727</v>
      </c>
      <c r="E5143" t="s" s="11">
        <v>2782</v>
      </c>
      <c r="F5143" s="28">
        <v>45413</v>
      </c>
      <c r="G5143" t="s" s="11">
        <v>494</v>
      </c>
      <c r="H5143" s="43">
        <v>125</v>
      </c>
      <c r="I5143" t="s" s="43">
        <v>30</v>
      </c>
      <c r="J5143" t="s" s="11">
        <v>25915</v>
      </c>
      <c r="K5143" t="s" s="11">
        <v>25916</v>
      </c>
      <c r="L5143" s="17">
        <f>HYPERLINK("http://www.fundrise.com", "www.fundrise.com")</f>
      </c>
      <c r="M5143" s="17">
        <f>HYPERLINK("https://my.pitchbook.com?c=62378-11", "View Company Online")</f>
      </c>
    </row>
    <row r="5144">
      <c r="A5144" t="s" s="10">
        <v>25918</v>
      </c>
      <c r="B5144" t="s" s="10">
        <v>25919</v>
      </c>
      <c r="C5144" t="s" s="10">
        <v>144</v>
      </c>
      <c r="D5144" t="s" s="10">
        <v>297</v>
      </c>
      <c r="E5144" t="s" s="10">
        <v>137</v>
      </c>
      <c r="F5144" s="27">
        <v>44095</v>
      </c>
      <c r="G5144" t="s" s="10">
        <v>146</v>
      </c>
      <c r="H5144" s="42">
        <v>0.56</v>
      </c>
      <c r="I5144" t="s" s="42">
        <v>30</v>
      </c>
      <c r="J5144" t="s" s="10">
        <v>25920</v>
      </c>
      <c r="K5144" t="s" s="10">
        <v>30</v>
      </c>
      <c r="L5144" s="16">
        <f>HYPERLINK("http://www.fundrite.com", "www.fundrite.com")</f>
      </c>
      <c r="M5144" s="16">
        <f>HYPERLINK("https://my.pitchbook.com?c=319063-69", "View Company Online")</f>
      </c>
    </row>
    <row r="5145">
      <c r="A5145" t="s" s="11">
        <v>25922</v>
      </c>
      <c r="B5145" t="s" s="11">
        <v>25923</v>
      </c>
      <c r="C5145" t="s" s="11">
        <v>37</v>
      </c>
      <c r="D5145" t="s" s="11">
        <v>304</v>
      </c>
      <c r="E5145" t="s" s="11">
        <v>137</v>
      </c>
      <c r="F5145" s="28">
        <v>42997</v>
      </c>
      <c r="G5145" t="s" s="11">
        <v>146</v>
      </c>
      <c r="H5145" s="43">
        <v>12.17</v>
      </c>
      <c r="I5145" t="s" s="43">
        <v>30</v>
      </c>
      <c r="J5145" t="s" s="11">
        <v>25924</v>
      </c>
      <c r="K5145" t="s" s="11">
        <v>25925</v>
      </c>
      <c r="L5145" s="17">
        <f>HYPERLINK("http://www.lfqpay.com", "www.lfqpay.com")</f>
      </c>
      <c r="M5145" s="17">
        <f>HYPERLINK("https://my.pitchbook.com?c=435180-52", "View Company Online")</f>
      </c>
    </row>
    <row r="5146">
      <c r="A5146" t="s" s="10">
        <v>25927</v>
      </c>
      <c r="B5146" t="s" s="10">
        <v>25928</v>
      </c>
      <c r="C5146" t="s" s="10">
        <v>60</v>
      </c>
      <c r="D5146" t="s" s="10">
        <v>192</v>
      </c>
      <c r="E5146" t="s" s="10">
        <v>270</v>
      </c>
      <c r="F5146" s="27">
        <v>44249</v>
      </c>
      <c r="G5146" t="s" s="10">
        <v>146</v>
      </c>
      <c r="H5146" s="42">
        <v>7.7</v>
      </c>
      <c r="I5146" t="s" s="42">
        <v>30</v>
      </c>
      <c r="J5146" t="s" s="10">
        <v>25929</v>
      </c>
      <c r="K5146" t="s" s="10">
        <v>25930</v>
      </c>
      <c r="L5146" s="16">
        <f>HYPERLINK("http://fundtastic.co.id", "fundtastic.co.id")</f>
      </c>
      <c r="M5146" s="16">
        <f>HYPERLINK("https://my.pitchbook.com?c=438571-27", "View Company Online")</f>
      </c>
    </row>
    <row r="5147">
      <c r="A5147" t="s" s="11">
        <v>25932</v>
      </c>
      <c r="B5147" t="s" s="11">
        <v>25933</v>
      </c>
      <c r="C5147" t="s" s="11">
        <v>114</v>
      </c>
      <c r="D5147" t="s" s="11">
        <v>852</v>
      </c>
      <c r="E5147" t="s" s="11">
        <v>1207</v>
      </c>
      <c r="F5147" s="28">
        <v>45769</v>
      </c>
      <c r="G5147" t="s" s="11">
        <v>40</v>
      </c>
      <c r="H5147" s="43">
        <v>25</v>
      </c>
      <c r="I5147" t="s" s="43">
        <v>30</v>
      </c>
      <c r="J5147" t="s" s="11">
        <v>25934</v>
      </c>
      <c r="K5147" t="s" s="11">
        <v>25935</v>
      </c>
      <c r="L5147" s="17">
        <f>HYPERLINK("http://fundthrough.com", "fundthrough.com")</f>
      </c>
      <c r="M5147" s="17">
        <f>HYPERLINK("https://my.pitchbook.com?c=109284-85", "View Company Online")</f>
      </c>
    </row>
    <row r="5148">
      <c r="A5148" t="s" s="10">
        <v>25937</v>
      </c>
      <c r="B5148" t="s" s="10">
        <v>25938</v>
      </c>
      <c r="C5148" t="s" s="10">
        <v>60</v>
      </c>
      <c r="D5148" t="s" s="10">
        <v>192</v>
      </c>
      <c r="E5148" t="s" s="10">
        <v>5790</v>
      </c>
      <c r="F5148" t="s" s="27">
        <v>30</v>
      </c>
      <c r="G5148" t="s" s="10">
        <v>607</v>
      </c>
      <c r="H5148" t="s" s="42">
        <v>30</v>
      </c>
      <c r="I5148" t="s" s="42">
        <v>30</v>
      </c>
      <c r="J5148" t="s" s="10">
        <v>25939</v>
      </c>
      <c r="K5148" t="s" s="10">
        <v>25940</v>
      </c>
      <c r="L5148" s="16">
        <f>HYPERLINK("http://www.funnifin.com", "www.funnifin.com")</f>
      </c>
      <c r="M5148" s="16">
        <f>HYPERLINK("https://my.pitchbook.com?c=518342-32", "View Company Online")</f>
      </c>
    </row>
    <row r="5149">
      <c r="A5149" t="s" s="11">
        <v>25942</v>
      </c>
      <c r="B5149" t="s" s="11">
        <v>25943</v>
      </c>
      <c r="C5149" t="s" s="11">
        <v>114</v>
      </c>
      <c r="D5149" t="s" s="11">
        <v>136</v>
      </c>
      <c r="E5149" t="s" s="11">
        <v>137</v>
      </c>
      <c r="F5149" s="28">
        <v>45681</v>
      </c>
      <c r="G5149" t="s" s="11">
        <v>146</v>
      </c>
      <c r="H5149" s="43">
        <v>10</v>
      </c>
      <c r="I5149" t="s" s="43">
        <v>30</v>
      </c>
      <c r="J5149" t="s" s="11">
        <v>25944</v>
      </c>
      <c r="K5149" t="s" s="11">
        <v>25945</v>
      </c>
      <c r="L5149" s="17">
        <f>HYPERLINK("http://www.furahafinancial.com", "www.furahafinancial.com")</f>
      </c>
      <c r="M5149" s="17">
        <f>HYPERLINK("https://my.pitchbook.com?c=741142-99", "View Company Online")</f>
      </c>
    </row>
    <row r="5150">
      <c r="A5150" t="s" s="10">
        <v>25947</v>
      </c>
      <c r="B5150" t="s" s="10">
        <v>25948</v>
      </c>
      <c r="C5150" t="s" s="10">
        <v>222</v>
      </c>
      <c r="D5150" t="s" s="10">
        <v>235</v>
      </c>
      <c r="E5150" t="s" s="10">
        <v>137</v>
      </c>
      <c r="F5150" t="s" s="27">
        <v>30</v>
      </c>
      <c r="G5150" t="s" s="10">
        <v>48</v>
      </c>
      <c r="H5150" t="s" s="42">
        <v>30</v>
      </c>
      <c r="I5150" t="s" s="42">
        <v>30</v>
      </c>
      <c r="J5150" t="s" s="10">
        <v>25949</v>
      </c>
      <c r="K5150" t="s" s="10">
        <v>30</v>
      </c>
      <c r="L5150" s="16">
        <f>HYPERLINK("http://www.fursacapital.com", "www.fursacapital.com")</f>
      </c>
      <c r="M5150" s="16">
        <f>HYPERLINK("https://my.pitchbook.com?c=472473-73", "View Company Online")</f>
      </c>
    </row>
    <row r="5151">
      <c r="A5151" t="s" s="11">
        <v>25951</v>
      </c>
      <c r="B5151" t="s" s="11">
        <v>25952</v>
      </c>
      <c r="C5151" t="s" s="11">
        <v>164</v>
      </c>
      <c r="D5151" t="s" s="11">
        <v>206</v>
      </c>
      <c r="E5151" t="s" s="11">
        <v>158</v>
      </c>
      <c r="F5151" s="28">
        <v>44440</v>
      </c>
      <c r="G5151" t="s" s="11">
        <v>4267</v>
      </c>
      <c r="H5151" s="43">
        <v>4.2</v>
      </c>
      <c r="I5151" t="s" s="43">
        <v>30</v>
      </c>
      <c r="J5151" t="s" s="11">
        <v>25953</v>
      </c>
      <c r="K5151" t="s" s="11">
        <v>25954</v>
      </c>
      <c r="L5151" s="17">
        <f>HYPERLINK("http://www.letsfuse.com", "www.letsfuse.com")</f>
      </c>
      <c r="M5151" s="17">
        <f>HYPERLINK("https://my.pitchbook.com?c=266113-09", "View Company Online")</f>
      </c>
    </row>
    <row r="5152">
      <c r="A5152" t="s" s="10">
        <v>25956</v>
      </c>
      <c r="B5152" t="s" s="10">
        <v>25957</v>
      </c>
      <c r="C5152" t="s" s="10">
        <v>222</v>
      </c>
      <c r="D5152" t="s" s="10">
        <v>235</v>
      </c>
      <c r="E5152" t="s" s="10">
        <v>859</v>
      </c>
      <c r="F5152" s="27">
        <v>45635</v>
      </c>
      <c r="G5152" t="s" s="10">
        <v>138</v>
      </c>
      <c r="H5152" t="s" s="42">
        <v>30</v>
      </c>
      <c r="I5152" t="s" s="42">
        <v>30</v>
      </c>
      <c r="J5152" t="s" s="10">
        <v>25958</v>
      </c>
      <c r="K5152" t="s" s="10">
        <v>30</v>
      </c>
      <c r="L5152" s="16">
        <f>HYPERLINK("http://www.fuse.capital", "www.fuse.capital")</f>
      </c>
      <c r="M5152" s="16">
        <f>HYPERLINK("https://my.pitchbook.com?c=469456-66", "View Company Online")</f>
      </c>
    </row>
    <row r="5153">
      <c r="A5153" t="s" s="11">
        <v>25960</v>
      </c>
      <c r="B5153" t="s" s="11">
        <v>25961</v>
      </c>
      <c r="C5153" t="s" s="11">
        <v>27</v>
      </c>
      <c r="D5153" t="s" s="11">
        <v>70</v>
      </c>
      <c r="E5153" t="s" s="11">
        <v>259</v>
      </c>
      <c r="F5153" s="28">
        <v>45874</v>
      </c>
      <c r="G5153" t="s" s="11">
        <v>4267</v>
      </c>
      <c r="H5153" s="43">
        <v>0.35</v>
      </c>
      <c r="I5153" t="s" s="43">
        <v>30</v>
      </c>
      <c r="J5153" t="s" s="11">
        <v>25962</v>
      </c>
      <c r="K5153" t="s" s="11">
        <v>25963</v>
      </c>
      <c r="L5153" s="17">
        <f>HYPERLINK("http://www.fusepay.app", "www.fusepay.app")</f>
      </c>
      <c r="M5153" s="17">
        <f>HYPERLINK("https://my.pitchbook.com?c=685839-97", "View Company Online")</f>
      </c>
    </row>
    <row r="5154">
      <c r="A5154" t="s" s="10">
        <v>25965</v>
      </c>
      <c r="B5154" t="s" s="10">
        <v>25966</v>
      </c>
      <c r="C5154" t="s" s="10">
        <v>60</v>
      </c>
      <c r="D5154" t="s" s="10">
        <v>61</v>
      </c>
      <c r="E5154" t="s" s="10">
        <v>137</v>
      </c>
      <c r="F5154" s="27">
        <v>46082</v>
      </c>
      <c r="G5154" t="s" s="10">
        <v>40</v>
      </c>
      <c r="H5154" t="s" s="42">
        <v>30</v>
      </c>
      <c r="I5154" t="s" s="42">
        <v>30</v>
      </c>
      <c r="J5154" t="s" s="10">
        <v>25967</v>
      </c>
      <c r="K5154" t="s" s="10">
        <v>25968</v>
      </c>
      <c r="L5154" s="16">
        <f>HYPERLINK("http://www.futuhk.com", "www.futuhk.com")</f>
      </c>
      <c r="M5154" s="16">
        <f>HYPERLINK("https://my.pitchbook.com?c=903816-82", "View Company Online")</f>
      </c>
    </row>
    <row r="5155">
      <c r="A5155" t="s" s="11">
        <v>25970</v>
      </c>
      <c r="B5155" t="s" s="11">
        <v>25971</v>
      </c>
      <c r="C5155" t="s" s="11">
        <v>46</v>
      </c>
      <c r="D5155" t="s" s="11">
        <v>915</v>
      </c>
      <c r="E5155" t="s" s="11">
        <v>25972</v>
      </c>
      <c r="F5155" s="28">
        <v>46221</v>
      </c>
      <c r="G5155" t="s" s="11">
        <v>4267</v>
      </c>
      <c r="H5155" s="43">
        <v>0.25</v>
      </c>
      <c r="I5155" t="s" s="43">
        <v>30</v>
      </c>
      <c r="J5155" t="s" s="11">
        <v>25973</v>
      </c>
      <c r="K5155" t="s" s="11">
        <v>25974</v>
      </c>
      <c r="L5155" s="17">
        <f>HYPERLINK("http://www.runfutureproof.com", "www.runfutureproof.com")</f>
      </c>
      <c r="M5155" s="17">
        <f>HYPERLINK("https://my.pitchbook.com?c=894797-38", "View Company Online")</f>
      </c>
    </row>
    <row r="5156">
      <c r="A5156" t="s" s="10">
        <v>25976</v>
      </c>
      <c r="B5156" t="s" s="10">
        <v>25977</v>
      </c>
      <c r="C5156" t="s" s="10">
        <v>222</v>
      </c>
      <c r="D5156" t="s" s="10">
        <v>537</v>
      </c>
      <c r="E5156" t="s" s="10">
        <v>137</v>
      </c>
      <c r="F5156" s="27">
        <v>45748</v>
      </c>
      <c r="G5156" t="s" s="10">
        <v>40</v>
      </c>
      <c r="H5156" t="s" s="42">
        <v>30</v>
      </c>
      <c r="I5156" t="s" s="42">
        <v>30</v>
      </c>
      <c r="J5156" t="s" s="10">
        <v>25978</v>
      </c>
      <c r="K5156" t="s" s="10">
        <v>25979</v>
      </c>
      <c r="L5156" s="16">
        <f>HYPERLINK("http://www.fxbridge.com", "www.fxbridge.com")</f>
      </c>
      <c r="M5156" s="16">
        <f>HYPERLINK("https://my.pitchbook.com?c=42355-81", "View Company Online")</f>
      </c>
    </row>
    <row r="5157">
      <c r="A5157" t="s" s="11">
        <v>25981</v>
      </c>
      <c r="B5157" t="s" s="11">
        <v>25982</v>
      </c>
      <c r="C5157" t="s" s="11">
        <v>172</v>
      </c>
      <c r="D5157" t="s" s="11">
        <v>1454</v>
      </c>
      <c r="E5157" t="s" s="11">
        <v>1859</v>
      </c>
      <c r="F5157" s="28">
        <v>45209</v>
      </c>
      <c r="G5157" t="s" s="11">
        <v>146</v>
      </c>
      <c r="H5157" t="s" s="43">
        <v>30</v>
      </c>
      <c r="I5157" t="s" s="43">
        <v>30</v>
      </c>
      <c r="J5157" t="s" s="11">
        <v>25983</v>
      </c>
      <c r="K5157" t="s" s="11">
        <v>25984</v>
      </c>
      <c r="L5157" s="17">
        <f>HYPERLINK("http://www.fxexpert.cn", "www.fxexpert.cn")</f>
      </c>
      <c r="M5157" s="17">
        <f>HYPERLINK("https://my.pitchbook.com?c=489241-81", "View Company Online")</f>
      </c>
    </row>
    <row r="5158">
      <c r="A5158" t="s" s="10">
        <v>25986</v>
      </c>
      <c r="B5158" t="s" s="10">
        <v>25987</v>
      </c>
      <c r="C5158" t="s" s="10">
        <v>60</v>
      </c>
      <c r="D5158" t="s" s="10">
        <v>61</v>
      </c>
      <c r="E5158" t="s" s="10">
        <v>253</v>
      </c>
      <c r="F5158" s="27">
        <v>45931</v>
      </c>
      <c r="G5158" t="s" s="10">
        <v>146</v>
      </c>
      <c r="H5158" t="s" s="42">
        <v>30</v>
      </c>
      <c r="I5158" t="s" s="42">
        <v>30</v>
      </c>
      <c r="J5158" t="s" s="10">
        <v>25988</v>
      </c>
      <c r="K5158" t="s" s="10">
        <v>25989</v>
      </c>
      <c r="L5158" s="16">
        <f>HYPERLINK("http://www.fxreplay.com", "www.fxreplay.com")</f>
      </c>
      <c r="M5158" s="16">
        <f>HYPERLINK("https://my.pitchbook.com?c=534463-84", "View Company Online")</f>
      </c>
    </row>
    <row r="5159">
      <c r="A5159" t="s" s="11">
        <v>25991</v>
      </c>
      <c r="B5159" t="s" s="11">
        <v>25992</v>
      </c>
      <c r="C5159" t="s" s="11">
        <v>27</v>
      </c>
      <c r="D5159" t="s" s="11">
        <v>122</v>
      </c>
      <c r="E5159" t="s" s="11">
        <v>311</v>
      </c>
      <c r="F5159" s="28">
        <v>44853</v>
      </c>
      <c r="G5159" t="s" s="11">
        <v>40</v>
      </c>
      <c r="H5159" t="s" s="43">
        <v>30</v>
      </c>
      <c r="I5159" t="s" s="43">
        <v>30</v>
      </c>
      <c r="J5159" t="s" s="11">
        <v>25993</v>
      </c>
      <c r="K5159" t="s" s="11">
        <v>30</v>
      </c>
      <c r="L5159" s="17">
        <f>HYPERLINK("http://fxwiserisk.com", "fxwiserisk.com")</f>
      </c>
      <c r="M5159" s="17">
        <f>HYPERLINK("https://my.pitchbook.com?c=171277-57", "View Company Online")</f>
      </c>
    </row>
    <row r="5160">
      <c r="A5160" t="s" s="10">
        <v>25995</v>
      </c>
      <c r="B5160" t="s" s="10">
        <v>25996</v>
      </c>
      <c r="C5160" t="s" s="10">
        <v>27</v>
      </c>
      <c r="D5160" t="s" s="10">
        <v>122</v>
      </c>
      <c r="E5160" t="s" s="10">
        <v>137</v>
      </c>
      <c r="F5160" s="27">
        <v>44972</v>
      </c>
      <c r="G5160" t="s" s="10">
        <v>4267</v>
      </c>
      <c r="H5160" t="s" s="42">
        <v>30</v>
      </c>
      <c r="I5160" t="s" s="42">
        <v>30</v>
      </c>
      <c r="J5160" t="s" s="10">
        <v>25997</v>
      </c>
      <c r="K5160" t="s" s="10">
        <v>25998</v>
      </c>
      <c r="L5160" s="16">
        <f>HYPERLINK("http://www.fxkudi.com", "www.fxkudi.com")</f>
      </c>
      <c r="M5160" s="16">
        <f>HYPERLINK("https://my.pitchbook.com?c=471283-84", "View Company Online")</f>
      </c>
    </row>
    <row r="5161">
      <c r="A5161" t="s" s="11">
        <v>26000</v>
      </c>
      <c r="B5161" t="s" s="11">
        <v>26001</v>
      </c>
      <c r="C5161" t="s" s="11">
        <v>60</v>
      </c>
      <c r="D5161" t="s" s="11">
        <v>432</v>
      </c>
      <c r="E5161" t="s" s="11">
        <v>373</v>
      </c>
      <c r="F5161" s="28">
        <v>45314</v>
      </c>
      <c r="G5161" t="s" s="11">
        <v>4267</v>
      </c>
      <c r="H5161" s="43">
        <v>1</v>
      </c>
      <c r="I5161" t="s" s="43">
        <v>30</v>
      </c>
      <c r="J5161" t="s" s="11">
        <v>26002</v>
      </c>
      <c r="K5161" t="s" s="11">
        <v>30</v>
      </c>
      <c r="L5161" s="17">
        <f>HYPERLINK("http://www.fynancial.com", "www.fynancial.com")</f>
      </c>
      <c r="M5161" s="17">
        <f>HYPERLINK("https://my.pitchbook.com?c=521153-02", "View Company Online")</f>
      </c>
    </row>
    <row r="5162">
      <c r="A5162" t="s" s="10">
        <v>26004</v>
      </c>
      <c r="B5162" t="s" s="10">
        <v>26005</v>
      </c>
      <c r="C5162" t="s" s="10">
        <v>172</v>
      </c>
      <c r="D5162" t="s" s="10">
        <v>173</v>
      </c>
      <c r="E5162" t="s" s="10">
        <v>26006</v>
      </c>
      <c r="F5162" s="27">
        <v>43641</v>
      </c>
      <c r="G5162" t="s" s="10">
        <v>146</v>
      </c>
      <c r="H5162" s="42">
        <v>1.49</v>
      </c>
      <c r="I5162" t="s" s="42">
        <v>30</v>
      </c>
      <c r="J5162" t="s" s="10">
        <v>26007</v>
      </c>
      <c r="K5162" t="s" s="10">
        <v>26008</v>
      </c>
      <c r="L5162" s="16">
        <f>HYPERLINK("http://g2lytics.com", "g2lytics.com")</f>
      </c>
      <c r="M5162" s="16">
        <f>HYPERLINK("https://my.pitchbook.com?c=182237-95", "View Company Online")</f>
      </c>
    </row>
    <row r="5163">
      <c r="A5163" t="s" s="11">
        <v>26010</v>
      </c>
      <c r="B5163" t="s" s="11">
        <v>26011</v>
      </c>
      <c r="C5163" t="s" s="11">
        <v>60</v>
      </c>
      <c r="D5163" t="s" s="11">
        <v>727</v>
      </c>
      <c r="E5163" t="s" s="11">
        <v>859</v>
      </c>
      <c r="F5163" s="28">
        <v>44482</v>
      </c>
      <c r="G5163" t="s" s="11">
        <v>146</v>
      </c>
      <c r="H5163" s="43">
        <v>1.6</v>
      </c>
      <c r="I5163" t="s" s="43">
        <v>30</v>
      </c>
      <c r="J5163" t="s" s="11">
        <v>26012</v>
      </c>
      <c r="K5163" t="s" s="11">
        <v>26013</v>
      </c>
      <c r="L5163" s="17">
        <f>HYPERLINK("http://www.gadze.finance", "www.gadze.finance")</f>
      </c>
      <c r="M5163" s="17">
        <f>HYPERLINK("https://my.pitchbook.com?c=482555-62", "View Company Online")</f>
      </c>
    </row>
    <row r="5164">
      <c r="A5164" t="s" s="10">
        <v>26015</v>
      </c>
      <c r="B5164" t="s" s="10">
        <v>26016</v>
      </c>
      <c r="C5164" t="s" s="10">
        <v>172</v>
      </c>
      <c r="D5164" t="s" s="10">
        <v>338</v>
      </c>
      <c r="E5164" t="s" s="10">
        <v>634</v>
      </c>
      <c r="F5164" s="27">
        <v>45699</v>
      </c>
      <c r="G5164" t="s" s="10">
        <v>4267</v>
      </c>
      <c r="H5164" s="42">
        <v>1.5</v>
      </c>
      <c r="I5164" t="s" s="42">
        <v>30</v>
      </c>
      <c r="J5164" t="s" s="10">
        <v>26017</v>
      </c>
      <c r="K5164" t="s" s="10">
        <v>26018</v>
      </c>
      <c r="L5164" s="16">
        <f>HYPERLINK("http://www.gaiadynamics.ai", "www.gaiadynamics.ai")</f>
      </c>
      <c r="M5164" s="16">
        <f>HYPERLINK("https://my.pitchbook.com?c=639931-96", "View Company Online")</f>
      </c>
    </row>
    <row r="5165">
      <c r="A5165" t="s" s="11">
        <v>26020</v>
      </c>
      <c r="B5165" t="s" s="11">
        <v>26021</v>
      </c>
      <c r="C5165" t="s" s="11">
        <v>128</v>
      </c>
      <c r="D5165" t="s" s="11">
        <v>129</v>
      </c>
      <c r="E5165" t="s" s="11">
        <v>137</v>
      </c>
      <c r="F5165" s="28">
        <v>46023</v>
      </c>
      <c r="G5165" t="s" s="11">
        <v>607</v>
      </c>
      <c r="H5165" t="s" s="43">
        <v>30</v>
      </c>
      <c r="I5165" t="s" s="43">
        <v>30</v>
      </c>
      <c r="J5165" t="s" s="11">
        <v>26022</v>
      </c>
      <c r="K5165" t="s" s="11">
        <v>26023</v>
      </c>
      <c r="L5165" s="17">
        <f>HYPERLINK("http://www.gain.technology", "www.gain.technology")</f>
      </c>
      <c r="M5165" s="17">
        <f>HYPERLINK("https://my.pitchbook.com?c=1131474-34", "View Company Online")</f>
      </c>
    </row>
    <row r="5166">
      <c r="A5166" t="s" s="10">
        <v>26025</v>
      </c>
      <c r="B5166" t="s" s="10">
        <v>26026</v>
      </c>
      <c r="C5166" t="s" s="10">
        <v>222</v>
      </c>
      <c r="D5166" t="s" s="10">
        <v>235</v>
      </c>
      <c r="E5166" t="s" s="10">
        <v>253</v>
      </c>
      <c r="F5166" s="27">
        <v>45802</v>
      </c>
      <c r="G5166" t="s" s="10">
        <v>4267</v>
      </c>
      <c r="H5166" t="s" s="42">
        <v>30</v>
      </c>
      <c r="I5166" t="s" s="42">
        <v>30</v>
      </c>
      <c r="J5166" t="s" s="10">
        <v>26027</v>
      </c>
      <c r="K5166" t="s" s="10">
        <v>26028</v>
      </c>
      <c r="L5166" s="16">
        <f>HYPERLINK("http://www.gainz.co", "www.gainz.co")</f>
      </c>
      <c r="M5166" s="16">
        <f>HYPERLINK("https://my.pitchbook.com?c=819313-48", "View Company Online")</f>
      </c>
    </row>
    <row r="5167">
      <c r="A5167" t="s" s="11">
        <v>26030</v>
      </c>
      <c r="B5167" t="s" s="11">
        <v>26031</v>
      </c>
      <c r="C5167" t="s" s="11">
        <v>46</v>
      </c>
      <c r="D5167" t="s" s="11">
        <v>915</v>
      </c>
      <c r="E5167" t="s" s="11">
        <v>373</v>
      </c>
      <c r="F5167" s="28">
        <v>46107</v>
      </c>
      <c r="G5167" t="s" s="11">
        <v>4267</v>
      </c>
      <c r="H5167" s="43">
        <v>1.74</v>
      </c>
      <c r="I5167" t="s" s="43">
        <v>30</v>
      </c>
      <c r="J5167" t="s" s="11">
        <v>26032</v>
      </c>
      <c r="K5167" t="s" s="11">
        <v>26033</v>
      </c>
      <c r="L5167" s="17">
        <f>HYPERLINK("http://www.galderalabs.com", "www.galderalabs.com")</f>
      </c>
      <c r="M5167" s="17">
        <f>HYPERLINK("https://my.pitchbook.com?c=1366183-72", "View Company Online")</f>
      </c>
    </row>
    <row r="5168">
      <c r="A5168" t="s" s="10">
        <v>26035</v>
      </c>
      <c r="B5168" t="s" s="10">
        <v>26036</v>
      </c>
      <c r="C5168" t="s" s="10">
        <v>114</v>
      </c>
      <c r="D5168" t="s" s="10">
        <v>852</v>
      </c>
      <c r="E5168" t="s" s="10">
        <v>137</v>
      </c>
      <c r="F5168" s="27">
        <v>46138</v>
      </c>
      <c r="G5168" t="s" s="10">
        <v>2051</v>
      </c>
      <c r="H5168" t="s" s="42">
        <v>30</v>
      </c>
      <c r="I5168" t="s" s="42">
        <v>30</v>
      </c>
      <c r="J5168" t="s" s="10">
        <v>26037</v>
      </c>
      <c r="K5168" t="s" s="10">
        <v>30</v>
      </c>
      <c r="L5168" s="16">
        <f>HYPERLINK("http://www.gallopgrowth.com", "www.gallopgrowth.com")</f>
      </c>
      <c r="M5168" s="16">
        <f>HYPERLINK("https://my.pitchbook.com?c=537390-64", "View Company Online")</f>
      </c>
    </row>
    <row r="5169">
      <c r="A5169" t="s" s="11">
        <v>26039</v>
      </c>
      <c r="B5169" t="s" s="11">
        <v>26040</v>
      </c>
      <c r="C5169" t="s" s="11">
        <v>60</v>
      </c>
      <c r="D5169" t="s" s="11">
        <v>727</v>
      </c>
      <c r="E5169" t="s" s="11">
        <v>629</v>
      </c>
      <c r="F5169" s="28">
        <v>45748</v>
      </c>
      <c r="G5169" t="s" s="11">
        <v>146</v>
      </c>
      <c r="H5169" t="s" s="43">
        <v>30</v>
      </c>
      <c r="I5169" t="s" s="43">
        <v>30</v>
      </c>
      <c r="J5169" t="s" s="11">
        <v>26041</v>
      </c>
      <c r="K5169" t="s" s="11">
        <v>26042</v>
      </c>
      <c r="L5169" s="17">
        <f>HYPERLINK("http://www.gammaprime.com", "www.gammaprime.com")</f>
      </c>
      <c r="M5169" s="17">
        <f>HYPERLINK("https://my.pitchbook.com?c=608334-85", "View Company Online")</f>
      </c>
    </row>
    <row r="5170">
      <c r="A5170" t="s" s="10">
        <v>26044</v>
      </c>
      <c r="B5170" t="s" s="10">
        <v>26045</v>
      </c>
      <c r="C5170" t="s" s="10">
        <v>222</v>
      </c>
      <c r="D5170" t="s" s="10">
        <v>235</v>
      </c>
      <c r="E5170" t="s" s="10">
        <v>137</v>
      </c>
      <c r="F5170" s="27">
        <v>43427</v>
      </c>
      <c r="G5170" t="s" s="10">
        <v>146</v>
      </c>
      <c r="H5170" s="42">
        <v>1.14</v>
      </c>
      <c r="I5170" t="s" s="42">
        <v>30</v>
      </c>
      <c r="J5170" t="s" s="10">
        <v>26046</v>
      </c>
      <c r="K5170" t="s" s="10">
        <v>26047</v>
      </c>
      <c r="L5170" s="16">
        <f>HYPERLINK("http://www.gateway.ventures", "www.gateway.ventures")</f>
      </c>
      <c r="M5170" s="16">
        <f>HYPERLINK("https://my.pitchbook.com?c=231812-83", "View Company Online")</f>
      </c>
    </row>
    <row r="5171">
      <c r="A5171" t="s" s="11">
        <v>26049</v>
      </c>
      <c r="B5171" t="s" s="11">
        <v>26050</v>
      </c>
      <c r="C5171" t="s" s="11">
        <v>37</v>
      </c>
      <c r="D5171" t="s" s="11">
        <v>304</v>
      </c>
      <c r="E5171" t="s" s="11">
        <v>116</v>
      </c>
      <c r="F5171" t="s" s="28">
        <v>30</v>
      </c>
      <c r="G5171" t="s" s="11">
        <v>48</v>
      </c>
      <c r="H5171" t="s" s="43">
        <v>30</v>
      </c>
      <c r="I5171" t="s" s="43">
        <v>30</v>
      </c>
      <c r="J5171" t="s" s="11">
        <v>26051</v>
      </c>
      <c r="K5171" t="s" s="11">
        <v>26052</v>
      </c>
      <c r="L5171" s="17">
        <f>HYPERLINK("http://www.gauss.money", "www.gauss.money")</f>
      </c>
      <c r="M5171" s="17">
        <f>HYPERLINK("https://my.pitchbook.com?c=483910-30", "View Company Online")</f>
      </c>
    </row>
    <row r="5172">
      <c r="A5172" t="s" s="10">
        <v>26054</v>
      </c>
      <c r="B5172" t="s" s="10">
        <v>26055</v>
      </c>
      <c r="C5172" t="s" s="10">
        <v>222</v>
      </c>
      <c r="D5172" t="s" s="10">
        <v>223</v>
      </c>
      <c r="E5172" t="s" s="10">
        <v>414</v>
      </c>
      <c r="F5172" s="27">
        <v>46055</v>
      </c>
      <c r="G5172" t="s" s="10">
        <v>146</v>
      </c>
      <c r="H5172" s="42">
        <v>1.43</v>
      </c>
      <c r="I5172" t="s" s="42">
        <v>30</v>
      </c>
      <c r="J5172" t="s" s="10">
        <v>26056</v>
      </c>
      <c r="K5172" t="s" s="10">
        <v>30</v>
      </c>
      <c r="L5172" t="s" s="10">
        <v>30</v>
      </c>
      <c r="M5172" s="16">
        <f>HYPERLINK("https://my.pitchbook.com?c=1273246-66", "View Company Online")</f>
      </c>
    </row>
    <row r="5173">
      <c r="A5173" t="s" s="11">
        <v>26057</v>
      </c>
      <c r="B5173" t="s" s="11">
        <v>26058</v>
      </c>
      <c r="C5173" t="s" s="11">
        <v>27</v>
      </c>
      <c r="D5173" t="s" s="11">
        <v>28</v>
      </c>
      <c r="E5173" t="s" s="11">
        <v>253</v>
      </c>
      <c r="F5173" s="28">
        <v>45839</v>
      </c>
      <c r="G5173" t="s" s="11">
        <v>146</v>
      </c>
      <c r="H5173" t="s" s="43">
        <v>30</v>
      </c>
      <c r="I5173" t="s" s="43">
        <v>30</v>
      </c>
      <c r="J5173" t="s" s="11">
        <v>26059</v>
      </c>
      <c r="K5173" t="s" s="11">
        <v>26060</v>
      </c>
      <c r="L5173" s="17">
        <f>HYPERLINK("http://gemm.app", "gemm.app")</f>
      </c>
      <c r="M5173" s="17">
        <f>HYPERLINK("https://my.pitchbook.com?c=902559-88", "View Company Online")</f>
      </c>
    </row>
    <row r="5174">
      <c r="A5174" t="s" s="10">
        <v>26062</v>
      </c>
      <c r="B5174" t="s" s="10">
        <v>26063</v>
      </c>
      <c r="C5174" t="s" s="10">
        <v>222</v>
      </c>
      <c r="D5174" t="s" s="10">
        <v>235</v>
      </c>
      <c r="E5174" t="s" s="10">
        <v>1552</v>
      </c>
      <c r="F5174" s="27">
        <v>45950</v>
      </c>
      <c r="G5174" t="s" s="10">
        <v>31</v>
      </c>
      <c r="H5174" s="42">
        <v>64.54</v>
      </c>
      <c r="I5174" t="s" s="42">
        <v>30</v>
      </c>
      <c r="J5174" t="s" s="10">
        <v>26064</v>
      </c>
      <c r="K5174" t="s" s="10">
        <v>26065</v>
      </c>
      <c r="L5174" s="16">
        <f>HYPERLINK("http://www.generatecapital.com", "www.generatecapital.com")</f>
      </c>
      <c r="M5174" s="16">
        <f>HYPERLINK("https://my.pitchbook.com?c=107593-48", "View Company Online")</f>
      </c>
    </row>
    <row r="5175">
      <c r="A5175" t="s" s="11">
        <v>26067</v>
      </c>
      <c r="B5175" t="s" s="11">
        <v>26068</v>
      </c>
      <c r="C5175" t="s" s="11">
        <v>60</v>
      </c>
      <c r="D5175" t="s" s="11">
        <v>192</v>
      </c>
      <c r="E5175" t="s" s="11">
        <v>414</v>
      </c>
      <c r="F5175" s="28">
        <v>43167</v>
      </c>
      <c r="G5175" t="s" s="11">
        <v>146</v>
      </c>
      <c r="H5175" s="43">
        <v>4.74</v>
      </c>
      <c r="I5175" t="s" s="43">
        <v>30</v>
      </c>
      <c r="J5175" t="s" s="11">
        <v>26069</v>
      </c>
      <c r="K5175" t="s" s="11">
        <v>26070</v>
      </c>
      <c r="L5175" s="17">
        <f>HYPERLINK("http://www.genus-finance.com", "www.genus-finance.com")</f>
      </c>
      <c r="M5175" s="17">
        <f>HYPERLINK("https://my.pitchbook.com?c=265689-10", "View Company Online")</f>
      </c>
    </row>
    <row r="5176">
      <c r="A5176" t="s" s="10">
        <v>26072</v>
      </c>
      <c r="B5176" t="s" s="10">
        <v>26073</v>
      </c>
      <c r="C5176" t="s" s="10">
        <v>27</v>
      </c>
      <c r="D5176" t="s" s="10">
        <v>28</v>
      </c>
      <c r="E5176" t="s" s="10">
        <v>193</v>
      </c>
      <c r="F5176" s="27">
        <v>44755</v>
      </c>
      <c r="G5176" t="s" s="10">
        <v>40</v>
      </c>
      <c r="H5176" s="42">
        <v>35</v>
      </c>
      <c r="I5176" t="s" s="42">
        <v>30</v>
      </c>
      <c r="J5176" t="s" s="10">
        <v>26074</v>
      </c>
      <c r="K5176" t="s" s="10">
        <v>26075</v>
      </c>
      <c r="L5176" s="16">
        <f>HYPERLINK("http://www.geopagos.com", "www.geopagos.com")</f>
      </c>
      <c r="M5176" s="16">
        <f>HYPERLINK("https://my.pitchbook.com?c=327432-34", "View Company Online")</f>
      </c>
    </row>
    <row r="5177">
      <c r="A5177" t="s" s="11">
        <v>26077</v>
      </c>
      <c r="B5177" t="s" s="11">
        <v>26078</v>
      </c>
      <c r="C5177" t="s" s="11">
        <v>27</v>
      </c>
      <c r="D5177" t="s" s="11">
        <v>28</v>
      </c>
      <c r="E5177" t="s" s="11">
        <v>108</v>
      </c>
      <c r="F5177" s="28">
        <v>45204</v>
      </c>
      <c r="G5177" t="s" s="11">
        <v>4267</v>
      </c>
      <c r="H5177" s="43">
        <v>6</v>
      </c>
      <c r="I5177" t="s" s="43">
        <v>30</v>
      </c>
      <c r="J5177" t="s" s="11">
        <v>26079</v>
      </c>
      <c r="K5177" t="s" s="11">
        <v>26080</v>
      </c>
      <c r="L5177" s="17">
        <f>HYPERLINK("http://www.getpaid.io", "www.getpaid.io")</f>
      </c>
      <c r="M5177" s="17">
        <f>HYPERLINK("https://my.pitchbook.com?c=513324-82", "View Company Online")</f>
      </c>
    </row>
    <row r="5178">
      <c r="A5178" t="s" s="10">
        <v>26082</v>
      </c>
      <c r="B5178" t="s" s="10">
        <v>26083</v>
      </c>
      <c r="C5178" t="s" s="10">
        <v>27</v>
      </c>
      <c r="D5178" t="s" s="10">
        <v>28</v>
      </c>
      <c r="E5178" t="s" s="10">
        <v>1685</v>
      </c>
      <c r="F5178" s="27">
        <v>45748</v>
      </c>
      <c r="G5178" t="s" s="10">
        <v>4267</v>
      </c>
      <c r="H5178" t="s" s="42">
        <v>30</v>
      </c>
      <c r="I5178" t="s" s="42">
        <v>30</v>
      </c>
      <c r="J5178" t="s" s="10">
        <v>26084</v>
      </c>
      <c r="K5178" t="s" s="10">
        <v>26085</v>
      </c>
      <c r="L5178" s="16">
        <f>HYPERLINK("http://www.ghostpass.ai", "www.ghostpass.ai")</f>
      </c>
      <c r="M5178" s="16">
        <f>HYPERLINK("https://my.pitchbook.com?c=500723-38", "View Company Online")</f>
      </c>
    </row>
    <row r="5179">
      <c r="A5179" t="s" s="11">
        <v>26087</v>
      </c>
      <c r="B5179" t="s" s="11">
        <v>26088</v>
      </c>
      <c r="C5179" t="s" s="11">
        <v>46</v>
      </c>
      <c r="D5179" t="s" s="11">
        <v>78</v>
      </c>
      <c r="E5179" t="s" s="11">
        <v>270</v>
      </c>
      <c r="F5179" s="28">
        <v>45695</v>
      </c>
      <c r="G5179" t="s" s="11">
        <v>4267</v>
      </c>
      <c r="H5179" s="43">
        <v>0.5</v>
      </c>
      <c r="I5179" t="s" s="43">
        <v>30</v>
      </c>
      <c r="J5179" t="s" s="11">
        <v>26089</v>
      </c>
      <c r="K5179" t="s" s="11">
        <v>26090</v>
      </c>
      <c r="L5179" s="17">
        <f>HYPERLINK("http://www.gibb.com.br", "www.gibb.com.br")</f>
      </c>
      <c r="M5179" s="17">
        <f>HYPERLINK("https://my.pitchbook.com?c=676748-53", "View Company Online")</f>
      </c>
    </row>
    <row r="5180">
      <c r="A5180" t="s" s="10">
        <v>26092</v>
      </c>
      <c r="B5180" t="s" s="10">
        <v>26093</v>
      </c>
      <c r="C5180" t="s" s="10">
        <v>46</v>
      </c>
      <c r="D5180" t="s" s="10">
        <v>78</v>
      </c>
      <c r="E5180" t="s" s="10">
        <v>13939</v>
      </c>
      <c r="F5180" s="27">
        <v>46004</v>
      </c>
      <c r="G5180" t="s" s="10">
        <v>146</v>
      </c>
      <c r="H5180" t="s" s="42">
        <v>30</v>
      </c>
      <c r="I5180" t="s" s="42">
        <v>30</v>
      </c>
      <c r="J5180" t="s" s="10">
        <v>26094</v>
      </c>
      <c r="K5180" t="s" s="10">
        <v>26095</v>
      </c>
      <c r="L5180" s="16">
        <f>HYPERLINK("http://www.gigmile.com", "www.gigmile.com")</f>
      </c>
      <c r="M5180" s="16">
        <f>HYPERLINK("https://my.pitchbook.com?c=510415-75", "View Company Online")</f>
      </c>
    </row>
    <row r="5181">
      <c r="A5181" t="s" s="11">
        <v>26097</v>
      </c>
      <c r="B5181" t="s" s="11">
        <v>26098</v>
      </c>
      <c r="C5181" t="s" s="11">
        <v>27</v>
      </c>
      <c r="D5181" t="s" s="11">
        <v>28</v>
      </c>
      <c r="E5181" t="s" s="11">
        <v>1859</v>
      </c>
      <c r="F5181" s="28">
        <v>46140</v>
      </c>
      <c r="G5181" t="s" s="11">
        <v>2051</v>
      </c>
      <c r="H5181" t="s" s="43">
        <v>30</v>
      </c>
      <c r="I5181" t="s" s="43">
        <v>30</v>
      </c>
      <c r="J5181" t="s" s="11">
        <v>26099</v>
      </c>
      <c r="K5181" t="s" s="11">
        <v>30</v>
      </c>
      <c r="L5181" s="17">
        <f>HYPERLINK("http://www.gigpay.com", "www.gigpay.com")</f>
      </c>
      <c r="M5181" s="17">
        <f>HYPERLINK("https://my.pitchbook.com?c=596565-01", "View Company Online")</f>
      </c>
    </row>
    <row r="5182">
      <c r="A5182" t="s" s="10">
        <v>26101</v>
      </c>
      <c r="B5182" t="s" s="10">
        <v>26102</v>
      </c>
      <c r="C5182" t="s" s="10">
        <v>46</v>
      </c>
      <c r="D5182" t="s" s="10">
        <v>47</v>
      </c>
      <c r="E5182" t="s" s="10">
        <v>253</v>
      </c>
      <c r="F5182" s="27">
        <v>45566</v>
      </c>
      <c r="G5182" t="s" s="10">
        <v>4267</v>
      </c>
      <c r="H5182" t="s" s="42">
        <v>30</v>
      </c>
      <c r="I5182" t="s" s="42">
        <v>30</v>
      </c>
      <c r="J5182" t="s" s="10">
        <v>26103</v>
      </c>
      <c r="K5182" t="s" s="10">
        <v>26104</v>
      </c>
      <c r="L5182" s="16">
        <f>HYPERLINK("http://www.gigstack.pro", "www.gigstack.pro")</f>
      </c>
      <c r="M5182" s="16">
        <f>HYPERLINK("https://my.pitchbook.com?c=512437-42", "View Company Online")</f>
      </c>
    </row>
    <row r="5183">
      <c r="A5183" t="s" s="11">
        <v>26106</v>
      </c>
      <c r="B5183" t="s" s="11">
        <v>26107</v>
      </c>
      <c r="C5183" t="s" s="11">
        <v>144</v>
      </c>
      <c r="D5183" t="s" s="11">
        <v>297</v>
      </c>
      <c r="E5183" t="s" s="11">
        <v>634</v>
      </c>
      <c r="F5183" s="28">
        <v>45392</v>
      </c>
      <c r="G5183" t="s" s="11">
        <v>146</v>
      </c>
      <c r="H5183" s="43">
        <v>43.41</v>
      </c>
      <c r="I5183" t="s" s="43">
        <v>30</v>
      </c>
      <c r="J5183" t="s" s="11">
        <v>26108</v>
      </c>
      <c r="K5183" t="s" s="11">
        <v>26109</v>
      </c>
      <c r="L5183" s="17">
        <f>HYPERLINK("http://www.gilion.com", "www.gilion.com")</f>
      </c>
      <c r="M5183" s="17">
        <f>HYPERLINK("https://my.pitchbook.com?c=488989-72", "View Company Online")</f>
      </c>
    </row>
    <row r="5184">
      <c r="A5184" t="s" s="10">
        <v>26111</v>
      </c>
      <c r="B5184" t="s" s="10">
        <v>26112</v>
      </c>
      <c r="C5184" t="s" s="10">
        <v>46</v>
      </c>
      <c r="D5184" t="s" s="10">
        <v>915</v>
      </c>
      <c r="E5184" t="s" s="10">
        <v>26113</v>
      </c>
      <c r="F5184" s="27">
        <v>44473</v>
      </c>
      <c r="G5184" t="s" s="10">
        <v>40</v>
      </c>
      <c r="H5184" t="s" s="42">
        <v>30</v>
      </c>
      <c r="I5184" t="s" s="42">
        <v>30</v>
      </c>
      <c r="J5184" t="s" s="10">
        <v>26114</v>
      </c>
      <c r="K5184" t="s" s="10">
        <v>26115</v>
      </c>
      <c r="L5184" s="16">
        <f>HYPERLINK("http://www.gini.co", "www.gini.co")</f>
      </c>
      <c r="M5184" s="16">
        <f>HYPERLINK("https://my.pitchbook.com?c=178177-78", "View Company Online")</f>
      </c>
    </row>
    <row r="5185">
      <c r="A5185" t="s" s="11">
        <v>26117</v>
      </c>
      <c r="B5185" t="s" s="11">
        <v>26118</v>
      </c>
      <c r="C5185" t="s" s="11">
        <v>60</v>
      </c>
      <c r="D5185" t="s" s="11">
        <v>246</v>
      </c>
      <c r="E5185" t="s" s="11">
        <v>1054</v>
      </c>
      <c r="F5185" s="28">
        <v>43984</v>
      </c>
      <c r="G5185" t="s" s="11">
        <v>40</v>
      </c>
      <c r="H5185" s="43">
        <v>6.55</v>
      </c>
      <c r="I5185" t="s" s="43">
        <v>30</v>
      </c>
      <c r="J5185" t="s" s="11">
        <v>26119</v>
      </c>
      <c r="K5185" t="s" s="11">
        <v>26120</v>
      </c>
      <c r="L5185" s="17">
        <f>HYPERLINK("http://www.ginmon.de", "www.ginmon.de")</f>
      </c>
      <c r="M5185" s="17">
        <f>HYPERLINK("https://my.pitchbook.com?c=117290-98", "View Company Online")</f>
      </c>
    </row>
    <row r="5186">
      <c r="A5186" t="s" s="10">
        <v>26122</v>
      </c>
      <c r="B5186" t="s" s="10">
        <v>26123</v>
      </c>
      <c r="C5186" t="s" s="10">
        <v>164</v>
      </c>
      <c r="D5186" t="s" s="10">
        <v>165</v>
      </c>
      <c r="E5186" t="s" s="10">
        <v>137</v>
      </c>
      <c r="F5186" s="27">
        <v>45440</v>
      </c>
      <c r="G5186" t="s" s="10">
        <v>40</v>
      </c>
      <c r="H5186" s="42">
        <v>0.68</v>
      </c>
      <c r="I5186" t="s" s="42">
        <v>30</v>
      </c>
      <c r="J5186" t="s" s="10">
        <v>26124</v>
      </c>
      <c r="K5186" t="s" s="10">
        <v>26125</v>
      </c>
      <c r="L5186" s="16">
        <f>HYPERLINK("http://www.giro.tech", "www.giro.tech")</f>
      </c>
      <c r="M5186" s="16">
        <f>HYPERLINK("https://my.pitchbook.com?c=510089-14", "View Company Online")</f>
      </c>
    </row>
    <row r="5187">
      <c r="A5187" t="s" s="11">
        <v>26127</v>
      </c>
      <c r="B5187" t="s" s="11">
        <v>26128</v>
      </c>
      <c r="C5187" t="s" s="11">
        <v>27</v>
      </c>
      <c r="D5187" t="s" s="11">
        <v>70</v>
      </c>
      <c r="E5187" t="s" s="11">
        <v>253</v>
      </c>
      <c r="F5187" s="28">
        <v>46036</v>
      </c>
      <c r="G5187" t="s" s="11">
        <v>4267</v>
      </c>
      <c r="H5187" s="43">
        <v>8.86</v>
      </c>
      <c r="I5187" t="s" s="43">
        <v>30</v>
      </c>
      <c r="J5187" t="s" s="11">
        <v>26129</v>
      </c>
      <c r="K5187" t="s" s="11">
        <v>26130</v>
      </c>
      <c r="L5187" s="17">
        <f>HYPERLINK("http://www.givecard.com", "www.givecard.com")</f>
      </c>
      <c r="M5187" s="17">
        <f>HYPERLINK("https://my.pitchbook.com?c=530728-03", "View Company Online")</f>
      </c>
    </row>
    <row r="5188">
      <c r="A5188" t="s" s="10">
        <v>26132</v>
      </c>
      <c r="B5188" t="s" s="10">
        <v>26133</v>
      </c>
      <c r="C5188" t="s" s="10">
        <v>46</v>
      </c>
      <c r="D5188" t="s" s="10">
        <v>47</v>
      </c>
      <c r="E5188" t="s" s="10">
        <v>253</v>
      </c>
      <c r="F5188" s="27">
        <v>45427</v>
      </c>
      <c r="G5188" t="s" s="10">
        <v>4267</v>
      </c>
      <c r="H5188" s="42">
        <v>2</v>
      </c>
      <c r="I5188" t="s" s="42">
        <v>30</v>
      </c>
      <c r="J5188" t="s" s="10">
        <v>26134</v>
      </c>
      <c r="K5188" t="s" s="10">
        <v>26135</v>
      </c>
      <c r="L5188" s="16">
        <f>HYPERLINK("http://givefront.com", "givefront.com")</f>
      </c>
      <c r="M5188" s="16">
        <f>HYPERLINK("https://my.pitchbook.com?c=588975-67", "View Company Online")</f>
      </c>
    </row>
    <row r="5189">
      <c r="A5189" t="s" s="11">
        <v>26137</v>
      </c>
      <c r="B5189" t="s" s="11">
        <v>26138</v>
      </c>
      <c r="C5189" t="s" s="11">
        <v>114</v>
      </c>
      <c r="D5189" t="s" s="11">
        <v>136</v>
      </c>
      <c r="E5189" t="s" s="11">
        <v>137</v>
      </c>
      <c r="F5189" s="28">
        <v>45901</v>
      </c>
      <c r="G5189" t="s" s="11">
        <v>146</v>
      </c>
      <c r="H5189" t="s" s="43">
        <v>30</v>
      </c>
      <c r="I5189" t="s" s="43">
        <v>30</v>
      </c>
      <c r="J5189" t="s" s="11">
        <v>26139</v>
      </c>
      <c r="K5189" t="s" s="11">
        <v>26140</v>
      </c>
      <c r="L5189" s="17">
        <f>HYPERLINK("http://www.givingcredit.org", "www.givingcredit.org")</f>
      </c>
      <c r="M5189" s="17">
        <f>HYPERLINK("https://my.pitchbook.com?c=688312-45", "View Company Online")</f>
      </c>
    </row>
    <row r="5190">
      <c r="A5190" t="s" s="10">
        <v>26142</v>
      </c>
      <c r="B5190" t="s" s="10">
        <v>26143</v>
      </c>
      <c r="C5190" t="s" s="10">
        <v>27</v>
      </c>
      <c r="D5190" t="s" s="10">
        <v>28</v>
      </c>
      <c r="E5190" t="s" s="10">
        <v>259</v>
      </c>
      <c r="F5190" s="27">
        <v>45078</v>
      </c>
      <c r="G5190" t="s" s="10">
        <v>146</v>
      </c>
      <c r="H5190" t="s" s="42">
        <v>30</v>
      </c>
      <c r="I5190" t="s" s="42">
        <v>30</v>
      </c>
      <c r="J5190" t="s" s="10">
        <v>26144</v>
      </c>
      <c r="K5190" t="s" s="10">
        <v>26145</v>
      </c>
      <c r="L5190" s="16">
        <f>HYPERLINK("http://www.gliderpay.com", "www.gliderpay.com")</f>
      </c>
      <c r="M5190" s="16">
        <f>HYPERLINK("https://my.pitchbook.com?c=522976-24", "View Company Online")</f>
      </c>
    </row>
    <row r="5191">
      <c r="A5191" t="s" s="11">
        <v>26147</v>
      </c>
      <c r="B5191" t="s" s="11">
        <v>26148</v>
      </c>
      <c r="C5191" t="s" s="11">
        <v>60</v>
      </c>
      <c r="D5191" t="s" s="11">
        <v>61</v>
      </c>
      <c r="E5191" t="s" s="11">
        <v>62</v>
      </c>
      <c r="F5191" s="28">
        <v>45931</v>
      </c>
      <c r="G5191" t="s" s="11">
        <v>146</v>
      </c>
      <c r="H5191" t="s" s="43">
        <v>30</v>
      </c>
      <c r="I5191" t="s" s="43">
        <v>30</v>
      </c>
      <c r="J5191" t="s" s="11">
        <v>26149</v>
      </c>
      <c r="K5191" t="s" s="11">
        <v>26150</v>
      </c>
      <c r="L5191" s="17">
        <f>HYPERLINK("http://www.glimpse.trading", "www.glimpse.trading")</f>
      </c>
      <c r="M5191" s="17">
        <f>HYPERLINK("https://my.pitchbook.com?c=1152933-67", "View Company Online")</f>
      </c>
    </row>
    <row r="5192">
      <c r="A5192" t="s" s="10">
        <v>26152</v>
      </c>
      <c r="B5192" t="s" s="10">
        <v>26153</v>
      </c>
      <c r="C5192" t="s" s="10">
        <v>222</v>
      </c>
      <c r="D5192" t="s" s="10">
        <v>537</v>
      </c>
      <c r="E5192" t="s" s="10">
        <v>759</v>
      </c>
      <c r="F5192" s="27">
        <v>46023</v>
      </c>
      <c r="G5192" t="s" s="10">
        <v>48</v>
      </c>
      <c r="H5192" t="s" s="42">
        <v>30</v>
      </c>
      <c r="I5192" t="s" s="42">
        <v>30</v>
      </c>
      <c r="J5192" t="s" s="10">
        <v>26154</v>
      </c>
      <c r="K5192" t="s" s="10">
        <v>30</v>
      </c>
      <c r="L5192" s="16">
        <f>HYPERLINK("http://www.glmx.com", "www.glmx.com")</f>
      </c>
      <c r="M5192" s="16">
        <f>HYPERLINK("https://my.pitchbook.com?c=56616-40", "View Company Online")</f>
      </c>
    </row>
    <row r="5193">
      <c r="A5193" t="s" s="11">
        <v>26156</v>
      </c>
      <c r="B5193" t="s" s="11">
        <v>26157</v>
      </c>
      <c r="C5193" t="s" s="11">
        <v>60</v>
      </c>
      <c r="D5193" t="s" s="11">
        <v>61</v>
      </c>
      <c r="E5193" t="s" s="11">
        <v>270</v>
      </c>
      <c r="F5193" s="28">
        <v>44694</v>
      </c>
      <c r="G5193" t="s" s="11">
        <v>40</v>
      </c>
      <c r="H5193" s="43">
        <v>10</v>
      </c>
      <c r="I5193" t="s" s="43">
        <v>30</v>
      </c>
      <c r="J5193" t="s" s="11">
        <v>26158</v>
      </c>
      <c r="K5193" t="s" s="11">
        <v>30</v>
      </c>
      <c r="L5193" s="17">
        <f>HYPERLINK("http://www.globaldtt.com", "www.globaldtt.com")</f>
      </c>
      <c r="M5193" s="17">
        <f>HYPERLINK("https://my.pitchbook.com?c=496503-91", "View Company Online")</f>
      </c>
    </row>
    <row r="5194">
      <c r="A5194" t="s" s="10">
        <v>26160</v>
      </c>
      <c r="B5194" t="s" s="10">
        <v>26161</v>
      </c>
      <c r="C5194" t="s" s="10">
        <v>114</v>
      </c>
      <c r="D5194" t="s" s="10">
        <v>136</v>
      </c>
      <c r="E5194" t="s" s="10">
        <v>1625</v>
      </c>
      <c r="F5194" s="27">
        <v>43934</v>
      </c>
      <c r="G5194" t="s" s="10">
        <v>146</v>
      </c>
      <c r="H5194" s="42">
        <v>0.5</v>
      </c>
      <c r="I5194" t="s" s="42">
        <v>30</v>
      </c>
      <c r="J5194" t="s" s="10">
        <v>26162</v>
      </c>
      <c r="K5194" t="s" s="10">
        <v>26163</v>
      </c>
      <c r="L5194" s="16">
        <f>HYPERLINK("http://www.bridgingloanssingapore.sg", "www.bridgingloanssingapore.sg")</f>
      </c>
      <c r="M5194" s="16">
        <f>HYPERLINK("https://my.pitchbook.com?c=434170-09", "View Company Online")</f>
      </c>
    </row>
    <row r="5195">
      <c r="A5195" t="s" s="11">
        <v>26165</v>
      </c>
      <c r="B5195" t="s" s="11">
        <v>26166</v>
      </c>
      <c r="C5195" t="s" s="11">
        <v>128</v>
      </c>
      <c r="D5195" t="s" s="11">
        <v>276</v>
      </c>
      <c r="E5195" t="s" s="11">
        <v>158</v>
      </c>
      <c r="F5195" s="28">
        <v>44609</v>
      </c>
      <c r="G5195" t="s" s="11">
        <v>146</v>
      </c>
      <c r="H5195" t="s" s="43">
        <v>30</v>
      </c>
      <c r="I5195" t="s" s="43">
        <v>30</v>
      </c>
      <c r="J5195" t="s" s="11">
        <v>26167</v>
      </c>
      <c r="K5195" t="s" s="11">
        <v>26168</v>
      </c>
      <c r="L5195" s="17">
        <f>HYPERLINK("http://www.global66.com", "www.global66.com")</f>
      </c>
      <c r="M5195" s="17">
        <f>HYPERLINK("https://my.pitchbook.com?c=431290-09", "View Company Online")</f>
      </c>
    </row>
    <row r="5196">
      <c r="A5196" t="s" s="10">
        <v>26170</v>
      </c>
      <c r="B5196" t="s" s="10">
        <v>26171</v>
      </c>
      <c r="C5196" t="s" s="10">
        <v>46</v>
      </c>
      <c r="D5196" t="s" s="10">
        <v>47</v>
      </c>
      <c r="E5196" t="s" s="10">
        <v>951</v>
      </c>
      <c r="F5196" s="27">
        <v>43891</v>
      </c>
      <c r="G5196" t="s" s="10">
        <v>607</v>
      </c>
      <c r="H5196" t="s" s="42">
        <v>30</v>
      </c>
      <c r="I5196" t="s" s="42">
        <v>30</v>
      </c>
      <c r="J5196" t="s" s="10">
        <v>26172</v>
      </c>
      <c r="K5196" t="s" s="10">
        <v>26173</v>
      </c>
      <c r="L5196" s="16">
        <f>HYPERLINK("http://www.gobbill.com", "www.gobbill.com")</f>
      </c>
      <c r="M5196" s="16">
        <f>HYPERLINK("https://my.pitchbook.com?c=509390-20", "View Company Online")</f>
      </c>
    </row>
    <row r="5197">
      <c r="A5197" t="s" s="11">
        <v>26175</v>
      </c>
      <c r="B5197" t="s" s="11">
        <v>26176</v>
      </c>
      <c r="C5197" t="s" s="11">
        <v>46</v>
      </c>
      <c r="D5197" t="s" s="11">
        <v>47</v>
      </c>
      <c r="E5197" t="s" s="11">
        <v>29</v>
      </c>
      <c r="F5197" s="28">
        <v>46001</v>
      </c>
      <c r="G5197" t="s" s="11">
        <v>4267</v>
      </c>
      <c r="H5197" s="43">
        <v>4.17</v>
      </c>
      <c r="I5197" t="s" s="43">
        <v>30</v>
      </c>
      <c r="J5197" t="s" s="11">
        <v>26177</v>
      </c>
      <c r="K5197" t="s" s="11">
        <v>26178</v>
      </c>
      <c r="L5197" s="17">
        <f>HYPERLINK("http://www.godutch.com", "www.godutch.com")</f>
      </c>
      <c r="M5197" s="17">
        <f>HYPERLINK("https://my.pitchbook.com?c=601768-90", "View Company Online")</f>
      </c>
    </row>
    <row r="5198">
      <c r="A5198" t="s" s="10">
        <v>26180</v>
      </c>
      <c r="B5198" t="s" s="10">
        <v>26181</v>
      </c>
      <c r="C5198" t="s" s="10">
        <v>37</v>
      </c>
      <c r="D5198" t="s" s="10">
        <v>304</v>
      </c>
      <c r="E5198" t="s" s="10">
        <v>3604</v>
      </c>
      <c r="F5198" s="27">
        <v>46205</v>
      </c>
      <c r="G5198" t="s" s="10">
        <v>146</v>
      </c>
      <c r="H5198" t="s" s="42">
        <v>30</v>
      </c>
      <c r="I5198" t="s" s="42">
        <v>30</v>
      </c>
      <c r="J5198" t="s" s="10">
        <v>26182</v>
      </c>
      <c r="K5198" t="s" s="10">
        <v>26183</v>
      </c>
      <c r="L5198" s="16">
        <f>HYPERLINK("http://www.trygoldbridge.com", "www.trygoldbridge.com")</f>
      </c>
      <c r="M5198" s="16">
        <f>HYPERLINK("https://my.pitchbook.com?c=1241928-19", "View Company Online")</f>
      </c>
    </row>
    <row r="5199">
      <c r="A5199" t="s" s="11">
        <v>26185</v>
      </c>
      <c r="B5199" t="s" s="11">
        <v>26186</v>
      </c>
      <c r="C5199" t="s" s="11">
        <v>128</v>
      </c>
      <c r="D5199" t="s" s="11">
        <v>199</v>
      </c>
      <c r="E5199" t="s" s="11">
        <v>193</v>
      </c>
      <c r="F5199" s="28">
        <v>45754</v>
      </c>
      <c r="G5199" t="s" s="11">
        <v>40</v>
      </c>
      <c r="H5199" s="43">
        <v>12</v>
      </c>
      <c r="I5199" t="s" s="43">
        <v>30</v>
      </c>
      <c r="J5199" t="s" s="11">
        <v>26187</v>
      </c>
      <c r="K5199" t="s" s="11">
        <v>26188</v>
      </c>
      <c r="L5199" s="17">
        <f>HYPERLINK("http://landing.gopass.com.co", "landing.gopass.com.co")</f>
      </c>
      <c r="M5199" s="17">
        <f>HYPERLINK("https://my.pitchbook.com?c=515403-82", "View Company Online")</f>
      </c>
    </row>
    <row r="5200">
      <c r="A5200" t="s" s="10">
        <v>26190</v>
      </c>
      <c r="B5200" t="s" s="10">
        <v>26191</v>
      </c>
      <c r="C5200" t="s" s="10">
        <v>114</v>
      </c>
      <c r="D5200" t="s" s="10">
        <v>136</v>
      </c>
      <c r="E5200" t="s" s="10">
        <v>137</v>
      </c>
      <c r="F5200" s="27">
        <v>44994</v>
      </c>
      <c r="G5200" t="s" s="10">
        <v>607</v>
      </c>
      <c r="H5200" t="s" s="42">
        <v>30</v>
      </c>
      <c r="I5200" t="s" s="42">
        <v>30</v>
      </c>
      <c r="J5200" t="s" s="10">
        <v>26192</v>
      </c>
      <c r="K5200" t="s" s="10">
        <v>26193</v>
      </c>
      <c r="L5200" s="16">
        <f>HYPERLINK("http://www.gopeer.ca", "www.gopeer.ca")</f>
      </c>
      <c r="M5200" s="16">
        <f>HYPERLINK("https://my.pitchbook.com?c=431217-46", "View Company Online")</f>
      </c>
    </row>
    <row r="5201">
      <c r="A5201" t="s" s="11">
        <v>26195</v>
      </c>
      <c r="B5201" t="s" s="11">
        <v>26196</v>
      </c>
      <c r="C5201" t="s" s="11">
        <v>60</v>
      </c>
      <c r="D5201" t="s" s="11">
        <v>192</v>
      </c>
      <c r="E5201" t="s" s="11">
        <v>193</v>
      </c>
      <c r="F5201" t="s" s="28">
        <v>30</v>
      </c>
      <c r="G5201" t="s" s="11">
        <v>607</v>
      </c>
      <c r="H5201" t="s" s="43">
        <v>30</v>
      </c>
      <c r="I5201" t="s" s="43">
        <v>30</v>
      </c>
      <c r="J5201" t="s" s="11">
        <v>26197</v>
      </c>
      <c r="K5201" t="s" s="11">
        <v>26198</v>
      </c>
      <c r="L5201" s="17">
        <f>HYPERLINK("http://www.gorila.com.br", "www.gorila.com.br")</f>
      </c>
      <c r="M5201" s="17">
        <f>HYPERLINK("https://my.pitchbook.com?c=294486-58", "View Company Online")</f>
      </c>
    </row>
    <row r="5202">
      <c r="A5202" t="s" s="10">
        <v>26200</v>
      </c>
      <c r="B5202" t="s" s="10">
        <v>26201</v>
      </c>
      <c r="C5202" t="s" s="10">
        <v>46</v>
      </c>
      <c r="D5202" t="s" s="10">
        <v>47</v>
      </c>
      <c r="E5202" t="s" s="10">
        <v>137</v>
      </c>
      <c r="F5202" s="27">
        <v>43466</v>
      </c>
      <c r="G5202" t="s" s="10">
        <v>146</v>
      </c>
      <c r="H5202" s="42">
        <v>29.04</v>
      </c>
      <c r="I5202" t="s" s="42">
        <v>30</v>
      </c>
      <c r="J5202" t="s" s="10">
        <v>26202</v>
      </c>
      <c r="K5202" t="s" s="10">
        <v>26203</v>
      </c>
      <c r="L5202" s="16">
        <f>HYPERLINK("http://www.17got.com", "www.17got.com")</f>
      </c>
      <c r="M5202" s="16">
        <f>HYPERLINK("https://my.pitchbook.com?c=265725-82", "View Company Online")</f>
      </c>
    </row>
    <row r="5203">
      <c r="A5203" t="s" s="11">
        <v>26205</v>
      </c>
      <c r="B5203" t="s" s="11">
        <v>26206</v>
      </c>
      <c r="C5203" t="s" s="11">
        <v>46</v>
      </c>
      <c r="D5203" t="s" s="11">
        <v>397</v>
      </c>
      <c r="E5203" t="s" s="11">
        <v>5102</v>
      </c>
      <c r="F5203" s="28">
        <v>44113</v>
      </c>
      <c r="G5203" t="s" s="11">
        <v>40</v>
      </c>
      <c r="H5203" s="43">
        <v>1.46</v>
      </c>
      <c r="I5203" t="s" s="43">
        <v>30</v>
      </c>
      <c r="J5203" t="s" s="11">
        <v>26207</v>
      </c>
      <c r="K5203" t="s" s="11">
        <v>26208</v>
      </c>
      <c r="L5203" s="17">
        <f>HYPERLINK("http://www.gove.digital", "www.gove.digital")</f>
      </c>
      <c r="M5203" s="17">
        <f>HYPERLINK("https://my.pitchbook.com?c=454413-70", "View Company Online")</f>
      </c>
    </row>
    <row r="5204">
      <c r="A5204" t="s" s="10">
        <v>26210</v>
      </c>
      <c r="B5204" t="s" s="10">
        <v>26211</v>
      </c>
      <c r="C5204" t="s" s="10">
        <v>46</v>
      </c>
      <c r="D5204" t="s" s="10">
        <v>47</v>
      </c>
      <c r="E5204" t="s" s="10">
        <v>137</v>
      </c>
      <c r="F5204" s="27">
        <v>45658</v>
      </c>
      <c r="G5204" t="s" s="10">
        <v>146</v>
      </c>
      <c r="H5204" t="s" s="42">
        <v>30</v>
      </c>
      <c r="I5204" t="s" s="42">
        <v>30</v>
      </c>
      <c r="J5204" t="s" s="10">
        <v>26212</v>
      </c>
      <c r="K5204" t="s" s="10">
        <v>26213</v>
      </c>
      <c r="L5204" s="16">
        <f>HYPERLINK("http://www.health.goya.finance", "www.health.goya.finance")</f>
      </c>
      <c r="M5204" s="16">
        <f>HYPERLINK("https://my.pitchbook.com?c=548370-55", "View Company Online")</f>
      </c>
    </row>
    <row r="5205">
      <c r="A5205" t="s" s="11">
        <v>26215</v>
      </c>
      <c r="B5205" t="s" s="11">
        <v>26216</v>
      </c>
      <c r="C5205" t="s" s="11">
        <v>114</v>
      </c>
      <c r="D5205" t="s" s="11">
        <v>136</v>
      </c>
      <c r="E5205" t="s" s="11">
        <v>26217</v>
      </c>
      <c r="F5205" s="28">
        <v>45337</v>
      </c>
      <c r="G5205" t="s" s="11">
        <v>146</v>
      </c>
      <c r="H5205" s="43">
        <v>0.16</v>
      </c>
      <c r="I5205" t="s" s="43">
        <v>30</v>
      </c>
      <c r="J5205" t="s" s="11">
        <v>26218</v>
      </c>
      <c r="K5205" t="s" s="11">
        <v>30</v>
      </c>
      <c r="L5205" s="17">
        <f>HYPERLINK("http://www.gparency.com", "www.gparency.com")</f>
      </c>
      <c r="M5205" s="17">
        <f>HYPERLINK("https://my.pitchbook.com?c=484211-53", "View Company Online")</f>
      </c>
    </row>
    <row r="5206">
      <c r="A5206" t="s" s="10">
        <v>26220</v>
      </c>
      <c r="B5206" t="s" s="10">
        <v>26221</v>
      </c>
      <c r="C5206" t="s" s="10">
        <v>128</v>
      </c>
      <c r="D5206" t="s" s="10">
        <v>199</v>
      </c>
      <c r="E5206" t="s" s="10">
        <v>270</v>
      </c>
      <c r="F5206" s="27">
        <v>44216</v>
      </c>
      <c r="G5206" t="s" s="10">
        <v>146</v>
      </c>
      <c r="H5206" s="42">
        <v>0.02</v>
      </c>
      <c r="I5206" t="s" s="42">
        <v>30</v>
      </c>
      <c r="J5206" t="s" s="10">
        <v>26222</v>
      </c>
      <c r="K5206" t="s" s="10">
        <v>26223</v>
      </c>
      <c r="L5206" s="16">
        <f>HYPERLINK("http://g-pay.vn", "g-pay.vn")</f>
      </c>
      <c r="M5206" s="16">
        <f>HYPERLINK("https://my.pitchbook.com?c=459111-52", "View Company Online")</f>
      </c>
    </row>
    <row r="5207">
      <c r="A5207" t="s" s="11">
        <v>26225</v>
      </c>
      <c r="B5207" t="s" s="11">
        <v>26226</v>
      </c>
      <c r="C5207" t="s" s="11">
        <v>114</v>
      </c>
      <c r="D5207" t="s" s="11">
        <v>136</v>
      </c>
      <c r="E5207" t="s" s="11">
        <v>137</v>
      </c>
      <c r="F5207" s="28">
        <v>46076</v>
      </c>
      <c r="G5207" t="s" s="11">
        <v>31</v>
      </c>
      <c r="H5207" s="43">
        <v>250</v>
      </c>
      <c r="I5207" t="s" s="43">
        <v>30</v>
      </c>
      <c r="J5207" t="s" s="11">
        <v>26227</v>
      </c>
      <c r="K5207" t="s" s="11">
        <v>26228</v>
      </c>
      <c r="L5207" s="17">
        <f>HYPERLINK("http://www.graciepoint.com", "www.graciepoint.com")</f>
      </c>
      <c r="M5207" s="17">
        <f>HYPERLINK("https://my.pitchbook.com?c=442523-53", "View Company Online")</f>
      </c>
    </row>
    <row r="5208">
      <c r="A5208" t="s" s="10">
        <v>26230</v>
      </c>
      <c r="B5208" t="s" s="10">
        <v>26231</v>
      </c>
      <c r="C5208" t="s" s="10">
        <v>172</v>
      </c>
      <c r="D5208" t="s" s="10">
        <v>1454</v>
      </c>
      <c r="E5208" t="s" s="10">
        <v>137</v>
      </c>
      <c r="F5208" s="27">
        <v>46107</v>
      </c>
      <c r="G5208" t="s" s="10">
        <v>4267</v>
      </c>
      <c r="H5208" s="42">
        <v>5</v>
      </c>
      <c r="I5208" t="s" s="42">
        <v>30</v>
      </c>
      <c r="J5208" t="s" s="10">
        <v>26232</v>
      </c>
      <c r="K5208" t="s" s="10">
        <v>26233</v>
      </c>
      <c r="L5208" s="16">
        <f>HYPERLINK("http://www.heygrand.com", "www.heygrand.com")</f>
      </c>
      <c r="M5208" s="16">
        <f>HYPERLINK("https://my.pitchbook.com?c=1366176-07", "View Company Online")</f>
      </c>
    </row>
    <row r="5209">
      <c r="A5209" t="s" s="11">
        <v>26235</v>
      </c>
      <c r="B5209" t="s" s="11">
        <v>26236</v>
      </c>
      <c r="C5209" t="s" s="11">
        <v>222</v>
      </c>
      <c r="D5209" t="s" s="11">
        <v>235</v>
      </c>
      <c r="E5209" t="s" s="11">
        <v>373</v>
      </c>
      <c r="F5209" t="s" s="28">
        <v>30</v>
      </c>
      <c r="G5209" t="s" s="11">
        <v>607</v>
      </c>
      <c r="H5209" t="s" s="43">
        <v>30</v>
      </c>
      <c r="I5209" t="s" s="43">
        <v>30</v>
      </c>
      <c r="J5209" t="s" s="11">
        <v>26237</v>
      </c>
      <c r="K5209" t="s" s="11">
        <v>26238</v>
      </c>
      <c r="L5209" s="17">
        <f>HYPERLINK("http://www.granter.ai", "www.granter.ai")</f>
      </c>
      <c r="M5209" s="17">
        <f>HYPERLINK("https://my.pitchbook.com?c=628123-15", "View Company Online")</f>
      </c>
    </row>
    <row r="5210">
      <c r="A5210" t="s" s="10">
        <v>26240</v>
      </c>
      <c r="B5210" t="s" s="10">
        <v>26241</v>
      </c>
      <c r="C5210" t="s" s="10">
        <v>46</v>
      </c>
      <c r="D5210" t="s" s="10">
        <v>47</v>
      </c>
      <c r="E5210" t="s" s="10">
        <v>373</v>
      </c>
      <c r="F5210" s="27">
        <v>45443</v>
      </c>
      <c r="G5210" t="s" s="10">
        <v>607</v>
      </c>
      <c r="H5210" t="s" s="42">
        <v>30</v>
      </c>
      <c r="I5210" t="s" s="42">
        <v>30</v>
      </c>
      <c r="J5210" t="s" s="10">
        <v>26242</v>
      </c>
      <c r="K5210" t="s" s="10">
        <v>26243</v>
      </c>
      <c r="L5210" s="16">
        <f>HYPERLINK("http://www.granter.biz", "www.granter.biz")</f>
      </c>
      <c r="M5210" s="16">
        <f>HYPERLINK("https://my.pitchbook.com?c=551694-16", "View Company Online")</f>
      </c>
    </row>
    <row r="5211">
      <c r="A5211" t="s" s="11">
        <v>26245</v>
      </c>
      <c r="B5211" t="s" s="11">
        <v>26246</v>
      </c>
      <c r="C5211" t="s" s="11">
        <v>164</v>
      </c>
      <c r="D5211" t="s" s="11">
        <v>206</v>
      </c>
      <c r="E5211" t="s" s="11">
        <v>253</v>
      </c>
      <c r="F5211" s="28">
        <v>45932</v>
      </c>
      <c r="G5211" t="s" s="11">
        <v>40</v>
      </c>
      <c r="H5211" t="s" s="43">
        <v>30</v>
      </c>
      <c r="I5211" t="s" s="43">
        <v>30</v>
      </c>
      <c r="J5211" t="s" s="11">
        <v>26247</v>
      </c>
      <c r="K5211" t="s" s="11">
        <v>30</v>
      </c>
      <c r="L5211" s="17">
        <f>HYPERLINK("http://www.grapheneplatforms.com", "www.grapheneplatforms.com")</f>
      </c>
      <c r="M5211" s="17">
        <f>HYPERLINK("https://my.pitchbook.com?c=658921-33", "View Company Online")</f>
      </c>
    </row>
    <row r="5212">
      <c r="A5212" t="s" s="10">
        <v>26249</v>
      </c>
      <c r="B5212" t="s" s="10">
        <v>26250</v>
      </c>
      <c r="C5212" t="s" s="10">
        <v>37</v>
      </c>
      <c r="D5212" t="s" s="10">
        <v>304</v>
      </c>
      <c r="E5212" t="s" s="10">
        <v>634</v>
      </c>
      <c r="F5212" s="27">
        <v>45383</v>
      </c>
      <c r="G5212" t="s" s="10">
        <v>146</v>
      </c>
      <c r="H5212" t="s" s="42">
        <v>30</v>
      </c>
      <c r="I5212" t="s" s="42">
        <v>30</v>
      </c>
      <c r="J5212" t="s" s="10">
        <v>26251</v>
      </c>
      <c r="K5212" t="s" s="10">
        <v>26252</v>
      </c>
      <c r="L5212" s="16">
        <f>HYPERLINK("http://www.gratifypay.com", "www.gratifypay.com")</f>
      </c>
      <c r="M5212" s="16">
        <f>HYPERLINK("https://my.pitchbook.com?c=483519-43", "View Company Online")</f>
      </c>
    </row>
    <row r="5213">
      <c r="A5213" t="s" s="11">
        <v>26254</v>
      </c>
      <c r="B5213" t="s" s="11">
        <v>26255</v>
      </c>
      <c r="C5213" t="s" s="11">
        <v>27</v>
      </c>
      <c r="D5213" t="s" s="11">
        <v>70</v>
      </c>
      <c r="E5213" t="s" s="11">
        <v>4300</v>
      </c>
      <c r="F5213" s="28">
        <v>46076</v>
      </c>
      <c r="G5213" t="s" s="11">
        <v>607</v>
      </c>
      <c r="H5213" t="s" s="43">
        <v>30</v>
      </c>
      <c r="I5213" t="s" s="43">
        <v>30</v>
      </c>
      <c r="J5213" t="s" s="11">
        <v>26256</v>
      </c>
      <c r="K5213" t="s" s="11">
        <v>26257</v>
      </c>
      <c r="L5213" s="17">
        <f>HYPERLINK("http://www.gratisiq.com", "www.gratisiq.com")</f>
      </c>
      <c r="M5213" s="17">
        <f>HYPERLINK("https://my.pitchbook.com?c=676841-59", "View Company Online")</f>
      </c>
    </row>
    <row r="5214">
      <c r="A5214" t="s" s="10">
        <v>26259</v>
      </c>
      <c r="B5214" t="s" s="10">
        <v>26260</v>
      </c>
      <c r="C5214" t="s" s="10">
        <v>128</v>
      </c>
      <c r="D5214" t="s" s="10">
        <v>129</v>
      </c>
      <c r="E5214" t="s" s="10">
        <v>270</v>
      </c>
      <c r="F5214" s="27">
        <v>45748</v>
      </c>
      <c r="G5214" t="s" s="10">
        <v>146</v>
      </c>
      <c r="H5214" t="s" s="42">
        <v>30</v>
      </c>
      <c r="I5214" t="s" s="42">
        <v>30</v>
      </c>
      <c r="J5214" t="s" s="10">
        <v>26261</v>
      </c>
      <c r="K5214" t="s" s="10">
        <v>26262</v>
      </c>
      <c r="L5214" s="16">
        <f>HYPERLINK("http://www.gravyapp.com", "www.gravyapp.com")</f>
      </c>
      <c r="M5214" s="16">
        <f>HYPERLINK("https://my.pitchbook.com?c=791560-45", "View Company Online")</f>
      </c>
    </row>
    <row r="5215">
      <c r="A5215" t="s" s="11">
        <v>26264</v>
      </c>
      <c r="B5215" t="s" s="11">
        <v>26265</v>
      </c>
      <c r="C5215" t="s" s="11">
        <v>222</v>
      </c>
      <c r="D5215" t="s" s="11">
        <v>252</v>
      </c>
      <c r="E5215" t="s" s="11">
        <v>14267</v>
      </c>
      <c r="F5215" s="28">
        <v>46178</v>
      </c>
      <c r="G5215" t="s" s="11">
        <v>146</v>
      </c>
      <c r="H5215" s="43">
        <v>1.33</v>
      </c>
      <c r="I5215" t="s" s="43">
        <v>30</v>
      </c>
      <c r="J5215" t="s" s="11">
        <v>26266</v>
      </c>
      <c r="K5215" t="s" s="11">
        <v>30</v>
      </c>
      <c r="L5215" s="17">
        <f>HYPERLINK("http://www.tradegix.com", "www.tradegix.com")</f>
      </c>
      <c r="M5215" s="17">
        <f>HYPERLINK("https://my.pitchbook.com?c=502746-49", "View Company Online")</f>
      </c>
    </row>
    <row r="5216">
      <c r="A5216" t="s" s="10">
        <v>26268</v>
      </c>
      <c r="B5216" t="s" s="10">
        <v>26269</v>
      </c>
      <c r="C5216" t="s" s="10">
        <v>114</v>
      </c>
      <c r="D5216" t="s" s="10">
        <v>136</v>
      </c>
      <c r="E5216" t="s" s="10">
        <v>373</v>
      </c>
      <c r="F5216" s="27">
        <v>46054</v>
      </c>
      <c r="G5216" t="s" s="10">
        <v>146</v>
      </c>
      <c r="H5216" t="s" s="42">
        <v>30</v>
      </c>
      <c r="I5216" t="s" s="42">
        <v>30</v>
      </c>
      <c r="J5216" t="s" s="10">
        <v>26270</v>
      </c>
      <c r="K5216" t="s" s="10">
        <v>26271</v>
      </c>
      <c r="L5216" s="16">
        <f>HYPERLINK("http://www.greenbaq.ai", "www.greenbaq.ai")</f>
      </c>
      <c r="M5216" s="16">
        <f>HYPERLINK("https://my.pitchbook.com?c=718514-65", "View Company Online")</f>
      </c>
    </row>
    <row r="5217">
      <c r="A5217" t="s" s="11">
        <v>26273</v>
      </c>
      <c r="B5217" t="s" s="11">
        <v>26274</v>
      </c>
      <c r="C5217" t="s" s="11">
        <v>60</v>
      </c>
      <c r="D5217" t="s" s="11">
        <v>192</v>
      </c>
      <c r="E5217" t="s" s="11">
        <v>26275</v>
      </c>
      <c r="F5217" s="28">
        <v>45881</v>
      </c>
      <c r="G5217" t="s" s="11">
        <v>40</v>
      </c>
      <c r="H5217" s="43">
        <v>0.58</v>
      </c>
      <c r="I5217" t="s" s="43">
        <v>30</v>
      </c>
      <c r="J5217" t="s" s="11">
        <v>26276</v>
      </c>
      <c r="K5217" t="s" s="11">
        <v>26277</v>
      </c>
      <c r="L5217" s="17">
        <f>HYPERLINK("http://www.greenportfolio.com", "www.greenportfolio.com")</f>
      </c>
      <c r="M5217" s="17">
        <f>HYPERLINK("https://my.pitchbook.com?c=490782-88", "View Company Online")</f>
      </c>
    </row>
    <row r="5218">
      <c r="A5218" t="s" s="10">
        <v>26279</v>
      </c>
      <c r="B5218" t="s" s="10">
        <v>26280</v>
      </c>
      <c r="C5218" t="s" s="10">
        <v>46</v>
      </c>
      <c r="D5218" t="s" s="10">
        <v>47</v>
      </c>
      <c r="E5218" t="s" s="10">
        <v>253</v>
      </c>
      <c r="F5218" s="27">
        <v>45918</v>
      </c>
      <c r="G5218" t="s" s="10">
        <v>146</v>
      </c>
      <c r="H5218" s="42">
        <v>37.45</v>
      </c>
      <c r="I5218" t="s" s="42">
        <v>30</v>
      </c>
      <c r="J5218" t="s" s="10">
        <v>26281</v>
      </c>
      <c r="K5218" t="s" s="10">
        <v>26282</v>
      </c>
      <c r="L5218" s="16">
        <f>HYPERLINK("http://www.greenway.care", "www.greenway.care")</f>
      </c>
      <c r="M5218" s="16">
        <f>HYPERLINK("https://my.pitchbook.com?c=864662-50", "View Company Online")</f>
      </c>
    </row>
    <row r="5219">
      <c r="A5219" t="s" s="11">
        <v>26284</v>
      </c>
      <c r="B5219" t="s" s="11">
        <v>26285</v>
      </c>
      <c r="C5219" t="s" s="11">
        <v>46</v>
      </c>
      <c r="D5219" t="s" s="11">
        <v>397</v>
      </c>
      <c r="E5219" t="s" s="11">
        <v>253</v>
      </c>
      <c r="F5219" s="28">
        <v>45405</v>
      </c>
      <c r="G5219" t="s" s="11">
        <v>40</v>
      </c>
      <c r="H5219" s="43">
        <v>0.39</v>
      </c>
      <c r="I5219" t="s" s="43">
        <v>30</v>
      </c>
      <c r="J5219" t="s" s="11">
        <v>26286</v>
      </c>
      <c r="K5219" t="s" s="11">
        <v>26287</v>
      </c>
      <c r="L5219" s="17">
        <f>HYPERLINK("http://www.gregpay.com.br", "www.gregpay.com.br")</f>
      </c>
      <c r="M5219" s="17">
        <f>HYPERLINK("https://my.pitchbook.com?c=595996-30", "View Company Online")</f>
      </c>
    </row>
    <row r="5220">
      <c r="A5220" t="s" s="10">
        <v>26289</v>
      </c>
      <c r="B5220" t="s" s="10">
        <v>26290</v>
      </c>
      <c r="C5220" t="s" s="10">
        <v>27</v>
      </c>
      <c r="D5220" t="s" s="10">
        <v>122</v>
      </c>
      <c r="E5220" t="s" s="10">
        <v>193</v>
      </c>
      <c r="F5220" t="s" s="27">
        <v>30</v>
      </c>
      <c r="G5220" t="s" s="10">
        <v>48</v>
      </c>
      <c r="H5220" t="s" s="42">
        <v>30</v>
      </c>
      <c r="I5220" t="s" s="42">
        <v>30</v>
      </c>
      <c r="J5220" t="s" s="10">
        <v>26291</v>
      </c>
      <c r="K5220" t="s" s="10">
        <v>26292</v>
      </c>
      <c r="L5220" s="16">
        <f>HYPERLINK("http://www.grey.co", "www.grey.co")</f>
      </c>
      <c r="M5220" s="16">
        <f>HYPERLINK("https://my.pitchbook.com?c=483644-62", "View Company Online")</f>
      </c>
    </row>
    <row r="5221">
      <c r="A5221" t="s" s="11">
        <v>26294</v>
      </c>
      <c r="B5221" t="s" s="11">
        <v>26295</v>
      </c>
      <c r="C5221" t="s" s="11">
        <v>60</v>
      </c>
      <c r="D5221" t="s" s="11">
        <v>727</v>
      </c>
      <c r="E5221" t="s" s="11">
        <v>373</v>
      </c>
      <c r="F5221" s="28">
        <v>46050</v>
      </c>
      <c r="G5221" t="s" s="11">
        <v>40</v>
      </c>
      <c r="H5221" s="43">
        <v>18.5</v>
      </c>
      <c r="I5221" t="s" s="43">
        <v>30</v>
      </c>
      <c r="J5221" t="s" s="11">
        <v>26296</v>
      </c>
      <c r="K5221" t="s" s="11">
        <v>26297</v>
      </c>
      <c r="L5221" s="17">
        <f>HYPERLINK("http://www.gridline.co", "www.gridline.co")</f>
      </c>
      <c r="M5221" s="17">
        <f>HYPERLINK("https://my.pitchbook.com?c=471308-68", "View Company Online")</f>
      </c>
    </row>
    <row r="5222">
      <c r="A5222" t="s" s="10">
        <v>26299</v>
      </c>
      <c r="B5222" t="s" s="10">
        <v>26300</v>
      </c>
      <c r="C5222" t="s" s="10">
        <v>222</v>
      </c>
      <c r="D5222" t="s" s="10">
        <v>223</v>
      </c>
      <c r="E5222" t="s" s="10">
        <v>30</v>
      </c>
      <c r="F5222" s="27">
        <v>46036</v>
      </c>
      <c r="G5222" t="s" s="10">
        <v>40</v>
      </c>
      <c r="H5222" s="42">
        <v>2.6</v>
      </c>
      <c r="I5222" t="s" s="42">
        <v>30</v>
      </c>
      <c r="J5222" t="s" s="10">
        <v>26301</v>
      </c>
      <c r="K5222" t="s" s="10">
        <v>26302</v>
      </c>
      <c r="L5222" s="16">
        <f>HYPERLINK("http://www.growthpal.com", "www.growthpal.com")</f>
      </c>
      <c r="M5222" s="16">
        <f>HYPERLINK("https://my.pitchbook.com?c=469008-37", "View Company Online")</f>
      </c>
    </row>
    <row r="5223">
      <c r="A5223" t="s" s="11">
        <v>26304</v>
      </c>
      <c r="B5223" t="s" s="11">
        <v>26305</v>
      </c>
      <c r="C5223" t="s" s="11">
        <v>114</v>
      </c>
      <c r="D5223" t="s" s="11">
        <v>136</v>
      </c>
      <c r="E5223" t="s" s="11">
        <v>137</v>
      </c>
      <c r="F5223" s="28">
        <v>46244</v>
      </c>
      <c r="G5223" t="s" s="11">
        <v>48</v>
      </c>
      <c r="H5223" t="s" s="43">
        <v>30</v>
      </c>
      <c r="I5223" t="s" s="43">
        <v>30</v>
      </c>
      <c r="J5223" t="s" s="11">
        <v>26306</v>
      </c>
      <c r="K5223" t="s" s="11">
        <v>26307</v>
      </c>
      <c r="L5223" s="17">
        <f>HYPERLINK("http://guangxindai.com", "guangxindai.com")</f>
      </c>
      <c r="M5223" s="17">
        <f>HYPERLINK("https://my.pitchbook.com?c=231194-44", "View Company Online")</f>
      </c>
    </row>
    <row r="5224">
      <c r="A5224" t="s" s="10">
        <v>26309</v>
      </c>
      <c r="B5224" t="s" s="10">
        <v>26310</v>
      </c>
      <c r="C5224" t="s" s="10">
        <v>114</v>
      </c>
      <c r="D5224" t="s" s="10">
        <v>115</v>
      </c>
      <c r="E5224" t="s" s="10">
        <v>2782</v>
      </c>
      <c r="F5224" s="27">
        <v>45722</v>
      </c>
      <c r="G5224" t="s" s="10">
        <v>4267</v>
      </c>
      <c r="H5224" t="s" s="42">
        <v>30</v>
      </c>
      <c r="I5224" t="s" s="42">
        <v>30</v>
      </c>
      <c r="J5224" t="s" s="10">
        <v>26311</v>
      </c>
      <c r="K5224" t="s" s="10">
        <v>26312</v>
      </c>
      <c r="L5224" s="16">
        <f>HYPERLINK("http://www.gumption.dev", "www.gumption.dev")</f>
      </c>
      <c r="M5224" s="16">
        <f>HYPERLINK("https://my.pitchbook.com?c=522987-67", "View Company Online")</f>
      </c>
    </row>
    <row r="5225">
      <c r="A5225" t="s" s="11">
        <v>26314</v>
      </c>
      <c r="B5225" t="s" s="11">
        <v>26315</v>
      </c>
      <c r="C5225" t="s" s="11">
        <v>60</v>
      </c>
      <c r="D5225" t="s" s="11">
        <v>61</v>
      </c>
      <c r="E5225" t="s" s="11">
        <v>62</v>
      </c>
      <c r="F5225" t="s" s="28">
        <v>30</v>
      </c>
      <c r="G5225" t="s" s="11">
        <v>48</v>
      </c>
      <c r="H5225" t="s" s="43">
        <v>30</v>
      </c>
      <c r="I5225" t="s" s="43">
        <v>30</v>
      </c>
      <c r="J5225" t="s" s="11">
        <v>26316</v>
      </c>
      <c r="K5225" t="s" s="11">
        <v>26317</v>
      </c>
      <c r="L5225" s="17">
        <f>HYPERLINK("http://www.guru.com.vc", "www.guru.com.vc")</f>
      </c>
      <c r="M5225" s="17">
        <f>HYPERLINK("https://my.pitchbook.com?c=469666-54", "View Company Online")</f>
      </c>
    </row>
    <row r="5226">
      <c r="A5226" t="s" s="10">
        <v>26319</v>
      </c>
      <c r="B5226" t="s" s="10">
        <v>26320</v>
      </c>
      <c r="C5226" t="s" s="10">
        <v>114</v>
      </c>
      <c r="D5226" t="s" s="10">
        <v>852</v>
      </c>
      <c r="E5226" t="s" s="10">
        <v>185</v>
      </c>
      <c r="F5226" s="27">
        <v>45470</v>
      </c>
      <c r="G5226" t="s" s="10">
        <v>607</v>
      </c>
      <c r="H5226" t="s" s="42">
        <v>30</v>
      </c>
      <c r="I5226" t="s" s="42">
        <v>30</v>
      </c>
      <c r="J5226" t="s" s="10">
        <v>26321</v>
      </c>
      <c r="K5226" t="s" s="10">
        <v>26322</v>
      </c>
      <c r="L5226" s="16">
        <f>HYPERLINK("http://www.gyramais.com.br", "www.gyramais.com.br")</f>
      </c>
      <c r="M5226" s="16">
        <f>HYPERLINK("https://my.pitchbook.com?c=454617-55", "View Company Online")</f>
      </c>
    </row>
    <row r="5227">
      <c r="A5227" t="s" s="11">
        <v>26324</v>
      </c>
      <c r="B5227" t="s" s="11">
        <v>26325</v>
      </c>
      <c r="C5227" t="s" s="11">
        <v>46</v>
      </c>
      <c r="D5227" t="s" s="11">
        <v>47</v>
      </c>
      <c r="E5227" t="s" s="11">
        <v>259</v>
      </c>
      <c r="F5227" s="28">
        <v>45755</v>
      </c>
      <c r="G5227" t="s" s="11">
        <v>40</v>
      </c>
      <c r="H5227" s="43">
        <v>52</v>
      </c>
      <c r="I5227" t="s" s="43">
        <v>30</v>
      </c>
      <c r="J5227" t="s" s="11">
        <v>26326</v>
      </c>
      <c r="K5227" t="s" s="11">
        <v>26327</v>
      </c>
      <c r="L5227" s="17">
        <f>HYPERLINK("http://www.haball.pk", "www.haball.pk")</f>
      </c>
      <c r="M5227" s="17">
        <f>HYPERLINK("https://my.pitchbook.com?c=530938-99", "View Company Online")</f>
      </c>
    </row>
    <row r="5228">
      <c r="A5228" t="s" s="10">
        <v>26329</v>
      </c>
      <c r="B5228" t="s" s="10">
        <v>26330</v>
      </c>
      <c r="C5228" t="s" s="10">
        <v>60</v>
      </c>
      <c r="D5228" t="s" s="10">
        <v>246</v>
      </c>
      <c r="E5228" t="s" s="10">
        <v>373</v>
      </c>
      <c r="F5228" s="27">
        <v>46237</v>
      </c>
      <c r="G5228" t="s" s="10">
        <v>607</v>
      </c>
      <c r="H5228" t="s" s="42">
        <v>30</v>
      </c>
      <c r="I5228" t="s" s="42">
        <v>30</v>
      </c>
      <c r="J5228" t="s" s="10">
        <v>26331</v>
      </c>
      <c r="K5228" t="s" s="10">
        <v>26332</v>
      </c>
      <c r="L5228" s="16">
        <f>HYPERLINK("http://www.usehabits.com", "www.usehabits.com")</f>
      </c>
      <c r="M5228" s="16">
        <f>HYPERLINK("https://my.pitchbook.com?c=534928-60", "View Company Online")</f>
      </c>
    </row>
    <row r="5229">
      <c r="A5229" t="s" s="11">
        <v>26334</v>
      </c>
      <c r="B5229" t="s" s="11">
        <v>26335</v>
      </c>
      <c r="C5229" t="s" s="11">
        <v>222</v>
      </c>
      <c r="D5229" t="s" s="11">
        <v>252</v>
      </c>
      <c r="E5229" t="s" s="11">
        <v>859</v>
      </c>
      <c r="F5229" s="28">
        <v>46028</v>
      </c>
      <c r="G5229" t="s" s="11">
        <v>146</v>
      </c>
      <c r="H5229" t="s" s="43">
        <v>30</v>
      </c>
      <c r="I5229" t="s" s="43">
        <v>30</v>
      </c>
      <c r="J5229" t="s" s="11">
        <v>26336</v>
      </c>
      <c r="K5229" t="s" s="11">
        <v>26337</v>
      </c>
      <c r="L5229" s="17">
        <f>HYPERLINK("http://habittrade.com", "habittrade.com")</f>
      </c>
      <c r="M5229" s="17">
        <f>HYPERLINK("https://my.pitchbook.com?c=1240013-26", "View Company Online")</f>
      </c>
    </row>
    <row r="5230">
      <c r="A5230" t="s" s="10">
        <v>26339</v>
      </c>
      <c r="B5230" t="s" s="10">
        <v>26340</v>
      </c>
      <c r="C5230" t="s" s="10">
        <v>46</v>
      </c>
      <c r="D5230" t="s" s="10">
        <v>47</v>
      </c>
      <c r="E5230" t="s" s="10">
        <v>26341</v>
      </c>
      <c r="F5230" s="27">
        <v>45962</v>
      </c>
      <c r="G5230" t="s" s="10">
        <v>40</v>
      </c>
      <c r="H5230" t="s" s="42">
        <v>30</v>
      </c>
      <c r="I5230" t="s" s="42">
        <v>30</v>
      </c>
      <c r="J5230" t="s" s="10">
        <v>26342</v>
      </c>
      <c r="K5230" t="s" s="10">
        <v>26343</v>
      </c>
      <c r="L5230" s="16">
        <f>HYPERLINK("http://www.haddock.app", "www.haddock.app")</f>
      </c>
      <c r="M5230" s="16">
        <f>HYPERLINK("https://my.pitchbook.com?c=459559-18", "View Company Online")</f>
      </c>
    </row>
    <row r="5231">
      <c r="A5231" t="s" s="11">
        <v>26345</v>
      </c>
      <c r="B5231" t="s" s="11">
        <v>26346</v>
      </c>
      <c r="C5231" t="s" s="11">
        <v>114</v>
      </c>
      <c r="D5231" t="s" s="11">
        <v>852</v>
      </c>
      <c r="E5231" t="s" s="11">
        <v>1349</v>
      </c>
      <c r="F5231" s="28">
        <v>43689</v>
      </c>
      <c r="G5231" t="s" s="11">
        <v>40</v>
      </c>
      <c r="H5231" s="43">
        <v>72.22</v>
      </c>
      <c r="I5231" t="s" s="43">
        <v>30</v>
      </c>
      <c r="J5231" t="s" s="11">
        <v>26347</v>
      </c>
      <c r="K5231" t="s" s="11">
        <v>26348</v>
      </c>
      <c r="L5231" s="17">
        <f>HYPERLINK("http://www.haiermoney.com", "www.haiermoney.com")</f>
      </c>
      <c r="M5231" s="17">
        <f>HYPERLINK("https://my.pitchbook.com?c=278283-07", "View Company Online")</f>
      </c>
    </row>
    <row r="5232">
      <c r="A5232" t="s" s="10">
        <v>26350</v>
      </c>
      <c r="B5232" t="s" s="10">
        <v>26351</v>
      </c>
      <c r="C5232" t="s" s="10">
        <v>222</v>
      </c>
      <c r="D5232" t="s" s="10">
        <v>223</v>
      </c>
      <c r="E5232" t="s" s="10">
        <v>270</v>
      </c>
      <c r="F5232" s="27">
        <v>44295</v>
      </c>
      <c r="G5232" t="s" s="10">
        <v>2051</v>
      </c>
      <c r="H5232" t="s" s="42">
        <v>30</v>
      </c>
      <c r="I5232" t="s" s="42">
        <v>30</v>
      </c>
      <c r="J5232" t="s" s="10">
        <v>26352</v>
      </c>
      <c r="K5232" t="s" s="10">
        <v>30</v>
      </c>
      <c r="L5232" s="16">
        <f>HYPERLINK("http://www.hainaniuniu.com", "www.hainaniuniu.com")</f>
      </c>
      <c r="M5232" s="16">
        <f>HYPERLINK("https://my.pitchbook.com?c=433781-56", "View Company Online")</f>
      </c>
    </row>
    <row r="5233">
      <c r="A5233" t="s" s="11">
        <v>26354</v>
      </c>
      <c r="B5233" t="s" s="11">
        <v>26355</v>
      </c>
      <c r="C5233" t="s" s="11">
        <v>27</v>
      </c>
      <c r="D5233" t="s" s="11">
        <v>28</v>
      </c>
      <c r="E5233" t="s" s="11">
        <v>137</v>
      </c>
      <c r="F5233" s="28">
        <v>45915</v>
      </c>
      <c r="G5233" t="s" s="11">
        <v>40</v>
      </c>
      <c r="H5233" s="43">
        <v>157</v>
      </c>
      <c r="I5233" t="s" s="43">
        <v>30</v>
      </c>
      <c r="J5233" t="s" s="11">
        <v>26356</v>
      </c>
      <c r="K5233" t="s" s="11">
        <v>26357</v>
      </c>
      <c r="L5233" s="17">
        <f>HYPERLINK("http://www.hala.com", "www.hala.com")</f>
      </c>
      <c r="M5233" s="17">
        <f>HYPERLINK("https://my.pitchbook.com?c=463094-11", "View Company Online")</f>
      </c>
    </row>
    <row r="5234">
      <c r="A5234" t="s" s="10">
        <v>26359</v>
      </c>
      <c r="B5234" t="s" s="10">
        <v>26360</v>
      </c>
      <c r="C5234" t="s" s="10">
        <v>60</v>
      </c>
      <c r="D5234" t="s" s="10">
        <v>61</v>
      </c>
      <c r="E5234" t="s" s="10">
        <v>859</v>
      </c>
      <c r="F5234" s="27">
        <v>46006</v>
      </c>
      <c r="G5234" t="s" s="10">
        <v>146</v>
      </c>
      <c r="H5234" s="42">
        <v>3.22</v>
      </c>
      <c r="I5234" t="s" s="42">
        <v>30</v>
      </c>
      <c r="J5234" t="s" s="10">
        <v>26361</v>
      </c>
      <c r="K5234" t="s" s="10">
        <v>26362</v>
      </c>
      <c r="L5234" s="16">
        <f>HYPERLINK("http://halogen.my", "halogen.my")</f>
      </c>
      <c r="M5234" s="16">
        <f>HYPERLINK("https://my.pitchbook.com?c=517341-88", "View Company Online")</f>
      </c>
    </row>
    <row r="5235">
      <c r="A5235" t="s" s="11">
        <v>26364</v>
      </c>
      <c r="B5235" t="s" s="11">
        <v>26365</v>
      </c>
      <c r="C5235" t="s" s="11">
        <v>222</v>
      </c>
      <c r="D5235" t="s" s="11">
        <v>235</v>
      </c>
      <c r="E5235" t="s" s="11">
        <v>137</v>
      </c>
      <c r="F5235" s="28">
        <v>45114</v>
      </c>
      <c r="G5235" t="s" s="11">
        <v>40</v>
      </c>
      <c r="H5235" t="s" s="43">
        <v>30</v>
      </c>
      <c r="I5235" t="s" s="43">
        <v>30</v>
      </c>
      <c r="J5235" t="s" s="11">
        <v>26366</v>
      </c>
      <c r="K5235" t="s" s="11">
        <v>26367</v>
      </c>
      <c r="L5235" s="17">
        <f>HYPERLINK("http://www.smefintech.com", "www.smefintech.com")</f>
      </c>
      <c r="M5235" s="17">
        <f>HYPERLINK("https://my.pitchbook.com?c=535168-63", "View Company Online")</f>
      </c>
    </row>
    <row r="5236">
      <c r="A5236" t="s" s="10">
        <v>26369</v>
      </c>
      <c r="B5236" t="s" s="10">
        <v>26370</v>
      </c>
      <c r="C5236" t="s" s="10">
        <v>114</v>
      </c>
      <c r="D5236" t="s" s="10">
        <v>115</v>
      </c>
      <c r="E5236" t="s" s="10">
        <v>759</v>
      </c>
      <c r="F5236" s="27">
        <v>43069</v>
      </c>
      <c r="G5236" t="s" s="10">
        <v>40</v>
      </c>
      <c r="H5236" s="42">
        <v>18.13</v>
      </c>
      <c r="I5236" t="s" s="42">
        <v>30</v>
      </c>
      <c r="J5236" t="s" s="10">
        <v>26371</v>
      </c>
      <c r="K5236" t="s" s="10">
        <v>26372</v>
      </c>
      <c r="L5236" s="16">
        <f>HYPERLINK("http://www.handsomecapital.com", "www.handsomecapital.com")</f>
      </c>
      <c r="M5236" s="16">
        <f>HYPERLINK("https://my.pitchbook.com?c=226962-01", "View Company Online")</f>
      </c>
    </row>
    <row r="5237">
      <c r="A5237" t="s" s="11">
        <v>26374</v>
      </c>
      <c r="B5237" t="s" s="11">
        <v>26375</v>
      </c>
      <c r="C5237" t="s" s="11">
        <v>172</v>
      </c>
      <c r="D5237" t="s" s="11">
        <v>173</v>
      </c>
      <c r="E5237" t="s" s="11">
        <v>690</v>
      </c>
      <c r="F5237" s="28">
        <v>45869</v>
      </c>
      <c r="G5237" t="s" s="11">
        <v>4267</v>
      </c>
      <c r="H5237" s="43">
        <v>4.27</v>
      </c>
      <c r="I5237" t="s" s="43">
        <v>30</v>
      </c>
      <c r="J5237" t="s" s="11">
        <v>26376</v>
      </c>
      <c r="K5237" t="s" s="11">
        <v>26377</v>
      </c>
      <c r="L5237" s="17">
        <f>HYPERLINK("http://www.handwave.com", "www.handwave.com")</f>
      </c>
      <c r="M5237" s="17">
        <f>HYPERLINK("https://my.pitchbook.com?c=597782-62", "View Company Online")</f>
      </c>
    </row>
    <row r="5238">
      <c r="A5238" t="s" s="10">
        <v>26379</v>
      </c>
      <c r="B5238" t="s" s="10">
        <v>26380</v>
      </c>
      <c r="C5238" t="s" s="10">
        <v>222</v>
      </c>
      <c r="D5238" t="s" s="10">
        <v>223</v>
      </c>
      <c r="E5238" t="s" s="10">
        <v>9633</v>
      </c>
      <c r="F5238" s="27">
        <v>45398</v>
      </c>
      <c r="G5238" t="s" s="10">
        <v>40</v>
      </c>
      <c r="H5238" s="42">
        <v>3.46</v>
      </c>
      <c r="I5238" t="s" s="42">
        <v>30</v>
      </c>
      <c r="J5238" t="s" s="10">
        <v>26381</v>
      </c>
      <c r="K5238" t="s" s="10">
        <v>30</v>
      </c>
      <c r="L5238" t="s" s="10">
        <v>30</v>
      </c>
      <c r="M5238" s="16">
        <f>HYPERLINK("https://my.pitchbook.com?c=600734-44", "View Company Online")</f>
      </c>
    </row>
    <row r="5239">
      <c r="A5239" t="s" s="11">
        <v>26382</v>
      </c>
      <c r="B5239" t="s" s="11">
        <v>26383</v>
      </c>
      <c r="C5239" t="s" s="11">
        <v>222</v>
      </c>
      <c r="D5239" t="s" s="11">
        <v>235</v>
      </c>
      <c r="E5239" t="s" s="11">
        <v>373</v>
      </c>
      <c r="F5239" s="28">
        <v>46023</v>
      </c>
      <c r="G5239" t="s" s="11">
        <v>146</v>
      </c>
      <c r="H5239" s="43">
        <v>27</v>
      </c>
      <c r="I5239" t="s" s="43">
        <v>30</v>
      </c>
      <c r="J5239" t="s" s="11">
        <v>26384</v>
      </c>
      <c r="K5239" t="s" s="11">
        <v>26385</v>
      </c>
      <c r="L5239" s="17">
        <f>HYPERLINK("http://www.hanoverpark.com", "www.hanoverpark.com")</f>
      </c>
      <c r="M5239" s="17">
        <f>HYPERLINK("https://my.pitchbook.com?c=753145-57", "View Company Online")</f>
      </c>
    </row>
    <row r="5240">
      <c r="A5240" t="s" s="10">
        <v>26387</v>
      </c>
      <c r="B5240" t="s" s="10">
        <v>26388</v>
      </c>
      <c r="C5240" t="s" s="10">
        <v>27</v>
      </c>
      <c r="D5240" t="s" s="10">
        <v>28</v>
      </c>
      <c r="E5240" t="s" s="10">
        <v>345</v>
      </c>
      <c r="F5240" s="27">
        <v>44647</v>
      </c>
      <c r="G5240" t="s" s="10">
        <v>40</v>
      </c>
      <c r="H5240" t="s" s="42">
        <v>30</v>
      </c>
      <c r="I5240" t="s" s="42">
        <v>30</v>
      </c>
      <c r="J5240" t="s" s="10">
        <v>26389</v>
      </c>
      <c r="K5240" t="s" s="10">
        <v>26390</v>
      </c>
      <c r="L5240" s="16">
        <f>HYPERLINK("http://www.fshaoshengyi.com", "www.fshaoshengyi.com")</f>
      </c>
      <c r="M5240" s="16">
        <f>HYPERLINK("https://my.pitchbook.com?c=437199-49", "View Company Online")</f>
      </c>
    </row>
    <row r="5241">
      <c r="A5241" t="s" s="11">
        <v>26392</v>
      </c>
      <c r="B5241" t="s" s="11">
        <v>26393</v>
      </c>
      <c r="C5241" t="s" s="11">
        <v>27</v>
      </c>
      <c r="D5241" t="s" s="11">
        <v>28</v>
      </c>
      <c r="E5241" t="s" s="11">
        <v>373</v>
      </c>
      <c r="F5241" s="28">
        <v>46072</v>
      </c>
      <c r="G5241" t="s" s="11">
        <v>40</v>
      </c>
      <c r="H5241" s="43">
        <v>7.7</v>
      </c>
      <c r="I5241" t="s" s="43">
        <v>30</v>
      </c>
      <c r="J5241" t="s" s="11">
        <v>26394</v>
      </c>
      <c r="K5241" t="s" s="11">
        <v>26395</v>
      </c>
      <c r="L5241" s="17">
        <f>HYPERLINK("http://www.happyhotel.io", "www.happyhotel.io")</f>
      </c>
      <c r="M5241" s="17">
        <f>HYPERLINK("https://my.pitchbook.com?c=537473-80", "View Company Online")</f>
      </c>
    </row>
    <row r="5242">
      <c r="A5242" t="s" s="10">
        <v>26397</v>
      </c>
      <c r="B5242" t="s" s="10">
        <v>26398</v>
      </c>
      <c r="C5242" t="s" s="10">
        <v>46</v>
      </c>
      <c r="D5242" t="s" s="10">
        <v>78</v>
      </c>
      <c r="E5242" t="s" s="10">
        <v>13370</v>
      </c>
      <c r="F5242" t="s" s="27">
        <v>30</v>
      </c>
      <c r="G5242" t="s" s="10">
        <v>271</v>
      </c>
      <c r="H5242" s="42">
        <v>0.3</v>
      </c>
      <c r="I5242" t="s" s="42">
        <v>30</v>
      </c>
      <c r="J5242" t="s" s="10">
        <v>26399</v>
      </c>
      <c r="K5242" t="s" s="10">
        <v>26400</v>
      </c>
      <c r="L5242" s="16">
        <f>HYPERLINK("http://www.hariwang.com.my", "www.hariwang.com.my")</f>
      </c>
      <c r="M5242" s="16">
        <f>HYPERLINK("https://my.pitchbook.com?c=562893-40", "View Company Online")</f>
      </c>
    </row>
    <row r="5243">
      <c r="A5243" t="s" s="11">
        <v>26402</v>
      </c>
      <c r="B5243" t="s" s="11">
        <v>26403</v>
      </c>
      <c r="C5243" t="s" s="11">
        <v>60</v>
      </c>
      <c r="D5243" t="s" s="11">
        <v>727</v>
      </c>
      <c r="E5243" t="s" s="11">
        <v>137</v>
      </c>
      <c r="F5243" s="28">
        <v>44736</v>
      </c>
      <c r="G5243" t="s" s="11">
        <v>40</v>
      </c>
      <c r="H5243" s="43">
        <v>2.1</v>
      </c>
      <c r="I5243" t="s" s="43">
        <v>30</v>
      </c>
      <c r="J5243" t="s" s="11">
        <v>26404</v>
      </c>
      <c r="K5243" t="s" s="11">
        <v>26405</v>
      </c>
      <c r="L5243" s="17">
        <f>HYPERLINK("http://www.harvestreturns.com", "www.harvestreturns.com")</f>
      </c>
      <c r="M5243" s="17">
        <f>HYPERLINK("https://my.pitchbook.com?c=184297-51", "View Company Online")</f>
      </c>
    </row>
    <row r="5244">
      <c r="A5244" t="s" s="10">
        <v>26407</v>
      </c>
      <c r="B5244" t="s" s="10">
        <v>26408</v>
      </c>
      <c r="C5244" t="s" s="10">
        <v>144</v>
      </c>
      <c r="D5244" t="s" s="10">
        <v>297</v>
      </c>
      <c r="E5244" t="s" s="10">
        <v>26409</v>
      </c>
      <c r="F5244" s="27">
        <v>46106</v>
      </c>
      <c r="G5244" t="s" s="10">
        <v>607</v>
      </c>
      <c r="H5244" t="s" s="42">
        <v>30</v>
      </c>
      <c r="I5244" t="s" s="42">
        <v>30</v>
      </c>
      <c r="J5244" t="s" s="10">
        <v>26410</v>
      </c>
      <c r="K5244" t="s" s="10">
        <v>26411</v>
      </c>
      <c r="L5244" s="16">
        <f>HYPERLINK("http://hashfire.xyz", "hashfire.xyz")</f>
      </c>
      <c r="M5244" s="16">
        <f>HYPERLINK("https://my.pitchbook.com?c=931744-09", "View Company Online")</f>
      </c>
    </row>
    <row r="5245">
      <c r="A5245" t="s" s="11">
        <v>26413</v>
      </c>
      <c r="B5245" t="s" s="11">
        <v>26414</v>
      </c>
      <c r="C5245" t="s" s="11">
        <v>46</v>
      </c>
      <c r="D5245" t="s" s="11">
        <v>397</v>
      </c>
      <c r="E5245" t="s" s="11">
        <v>253</v>
      </c>
      <c r="F5245" s="28">
        <v>45716</v>
      </c>
      <c r="G5245" t="s" s="11">
        <v>4267</v>
      </c>
      <c r="H5245" t="s" s="43">
        <v>30</v>
      </c>
      <c r="I5245" t="s" s="43">
        <v>30</v>
      </c>
      <c r="J5245" t="s" s="11">
        <v>26415</v>
      </c>
      <c r="K5245" t="s" s="11">
        <v>26416</v>
      </c>
      <c r="L5245" s="17">
        <f>HYPERLINK("http://www.usehaven.com", "www.usehaven.com")</f>
      </c>
      <c r="M5245" s="17">
        <f>HYPERLINK("https://my.pitchbook.com?c=597610-72", "View Company Online")</f>
      </c>
    </row>
    <row r="5246">
      <c r="A5246" t="s" s="10">
        <v>26418</v>
      </c>
      <c r="B5246" t="s" s="10">
        <v>26419</v>
      </c>
      <c r="C5246" t="s" s="10">
        <v>128</v>
      </c>
      <c r="D5246" t="s" s="10">
        <v>276</v>
      </c>
      <c r="E5246" t="s" s="10">
        <v>137</v>
      </c>
      <c r="F5246" s="27">
        <v>45960</v>
      </c>
      <c r="G5246" t="s" s="10">
        <v>4267</v>
      </c>
      <c r="H5246" s="42">
        <v>3</v>
      </c>
      <c r="I5246" t="s" s="42">
        <v>30</v>
      </c>
      <c r="J5246" t="s" s="10">
        <v>26420</v>
      </c>
      <c r="K5246" t="s" s="10">
        <v>26421</v>
      </c>
      <c r="L5246" s="16">
        <f>HYPERLINK("http://www.usehawala.com", "www.usehawala.com")</f>
      </c>
      <c r="M5246" s="16">
        <f>HYPERLINK("https://my.pitchbook.com?c=1158843-52", "View Company Online")</f>
      </c>
    </row>
    <row r="5247">
      <c r="A5247" t="s" s="11">
        <v>26423</v>
      </c>
      <c r="B5247" t="s" s="11">
        <v>26424</v>
      </c>
      <c r="C5247" t="s" s="11">
        <v>128</v>
      </c>
      <c r="D5247" t="s" s="11">
        <v>276</v>
      </c>
      <c r="E5247" t="s" s="11">
        <v>1065</v>
      </c>
      <c r="F5247" t="s" s="28">
        <v>30</v>
      </c>
      <c r="G5247" t="s" s="11">
        <v>48</v>
      </c>
      <c r="H5247" t="s" s="43">
        <v>30</v>
      </c>
      <c r="I5247" t="s" s="43">
        <v>30</v>
      </c>
      <c r="J5247" t="s" s="11">
        <v>26425</v>
      </c>
      <c r="K5247" t="s" s="11">
        <v>26426</v>
      </c>
      <c r="L5247" s="17">
        <f>HYPERLINK("http://www.hellohay.co", "www.hellohay.co")</f>
      </c>
      <c r="M5247" s="17">
        <f>HYPERLINK("https://my.pitchbook.com?c=438782-86", "View Company Online")</f>
      </c>
    </row>
    <row r="5248">
      <c r="A5248" t="s" s="10">
        <v>26428</v>
      </c>
      <c r="B5248" t="s" s="10">
        <v>26429</v>
      </c>
      <c r="C5248" t="s" s="10">
        <v>60</v>
      </c>
      <c r="D5248" t="s" s="10">
        <v>727</v>
      </c>
      <c r="E5248" t="s" s="10">
        <v>2782</v>
      </c>
      <c r="F5248" s="27">
        <v>45665</v>
      </c>
      <c r="G5248" t="s" s="10">
        <v>40</v>
      </c>
      <c r="H5248" s="42">
        <v>5</v>
      </c>
      <c r="I5248" t="s" s="42">
        <v>30</v>
      </c>
      <c r="J5248" t="s" s="10">
        <v>26430</v>
      </c>
      <c r="K5248" t="s" s="10">
        <v>26431</v>
      </c>
      <c r="L5248" s="16">
        <f>HYPERLINK("http://www.hbits.co", "www.hbits.co")</f>
      </c>
      <c r="M5248" s="16">
        <f>HYPERLINK("https://my.pitchbook.com?c=482120-92", "View Company Online")</f>
      </c>
    </row>
    <row r="5249">
      <c r="A5249" t="s" s="11">
        <v>26433</v>
      </c>
      <c r="B5249" t="s" s="11">
        <v>26434</v>
      </c>
      <c r="C5249" t="s" s="11">
        <v>46</v>
      </c>
      <c r="D5249" t="s" s="11">
        <v>78</v>
      </c>
      <c r="E5249" t="s" s="11">
        <v>253</v>
      </c>
      <c r="F5249" s="28">
        <v>45309</v>
      </c>
      <c r="G5249" t="s" s="11">
        <v>146</v>
      </c>
      <c r="H5249" t="s" s="43">
        <v>30</v>
      </c>
      <c r="I5249" t="s" s="43">
        <v>30</v>
      </c>
      <c r="J5249" t="s" s="11">
        <v>26435</v>
      </c>
      <c r="K5249" t="s" s="11">
        <v>26436</v>
      </c>
      <c r="L5249" s="17">
        <f>HYPERLINK("http://www.headcount365.com", "www.headcount365.com")</f>
      </c>
      <c r="M5249" s="17">
        <f>HYPERLINK("https://my.pitchbook.com?c=496612-36", "View Company Online")</f>
      </c>
    </row>
    <row r="5250">
      <c r="A5250" t="s" s="10">
        <v>26438</v>
      </c>
      <c r="B5250" t="s" s="10">
        <v>26439</v>
      </c>
      <c r="C5250" t="s" s="10">
        <v>222</v>
      </c>
      <c r="D5250" t="s" s="10">
        <v>223</v>
      </c>
      <c r="E5250" t="s" s="10">
        <v>30</v>
      </c>
      <c r="F5250" s="27">
        <v>44929</v>
      </c>
      <c r="G5250" t="s" s="10">
        <v>138</v>
      </c>
      <c r="H5250" t="s" s="42">
        <v>30</v>
      </c>
      <c r="I5250" t="s" s="42">
        <v>30</v>
      </c>
      <c r="J5250" t="s" s="10">
        <v>26440</v>
      </c>
      <c r="K5250" t="s" s="10">
        <v>26441</v>
      </c>
      <c r="L5250" s="16">
        <f>HYPERLINK("http://www.healthcormanagement.com", "www.healthcormanagement.com")</f>
      </c>
      <c r="M5250" s="16">
        <f>HYPERLINK("https://my.pitchbook.com?c=179326-99", "View Company Online")</f>
      </c>
    </row>
    <row r="5251">
      <c r="A5251" t="s" s="11">
        <v>26443</v>
      </c>
      <c r="B5251" t="s" s="11">
        <v>26444</v>
      </c>
      <c r="C5251" t="s" s="11">
        <v>60</v>
      </c>
      <c r="D5251" t="s" s="11">
        <v>727</v>
      </c>
      <c r="E5251" t="s" s="11">
        <v>137</v>
      </c>
      <c r="F5251" s="28">
        <v>44999</v>
      </c>
      <c r="G5251" t="s" s="11">
        <v>146</v>
      </c>
      <c r="H5251" s="43">
        <v>5.32</v>
      </c>
      <c r="I5251" t="s" s="43">
        <v>30</v>
      </c>
      <c r="J5251" t="s" s="11">
        <v>26445</v>
      </c>
      <c r="K5251" t="s" s="11">
        <v>26446</v>
      </c>
      <c r="L5251" s="17">
        <f>HYPERLINK("http://www.heartstocks.com", "www.heartstocks.com")</f>
      </c>
      <c r="M5251" s="17">
        <f>HYPERLINK("https://my.pitchbook.com?c=503549-02", "View Company Online")</f>
      </c>
    </row>
    <row r="5252">
      <c r="A5252" t="s" s="10">
        <v>26448</v>
      </c>
      <c r="B5252" t="s" s="10">
        <v>26449</v>
      </c>
      <c r="C5252" t="s" s="10">
        <v>222</v>
      </c>
      <c r="D5252" t="s" s="10">
        <v>235</v>
      </c>
      <c r="E5252" t="s" s="10">
        <v>859</v>
      </c>
      <c r="F5252" s="27">
        <v>46023</v>
      </c>
      <c r="G5252" t="s" s="10">
        <v>40</v>
      </c>
      <c r="H5252" t="s" s="42">
        <v>30</v>
      </c>
      <c r="I5252" t="s" s="42">
        <v>30</v>
      </c>
      <c r="J5252" t="s" s="10">
        <v>26450</v>
      </c>
      <c r="K5252" t="s" s="10">
        <v>26451</v>
      </c>
      <c r="L5252" s="16">
        <f>HYPERLINK("http://www.hecto.finance", "www.hecto.finance")</f>
      </c>
      <c r="M5252" s="16">
        <f>HYPERLINK("https://my.pitchbook.com?c=1257779-71", "View Company Online")</f>
      </c>
    </row>
    <row r="5253">
      <c r="A5253" t="s" s="11">
        <v>26453</v>
      </c>
      <c r="B5253" t="s" s="11">
        <v>26454</v>
      </c>
      <c r="C5253" t="s" s="11">
        <v>60</v>
      </c>
      <c r="D5253" t="s" s="11">
        <v>192</v>
      </c>
      <c r="E5253" t="s" s="11">
        <v>270</v>
      </c>
      <c r="F5253" s="28">
        <v>46219</v>
      </c>
      <c r="G5253" t="s" s="11">
        <v>2051</v>
      </c>
      <c r="H5253" t="s" s="43">
        <v>30</v>
      </c>
      <c r="I5253" t="s" s="43">
        <v>30</v>
      </c>
      <c r="J5253" t="s" s="11">
        <v>26455</v>
      </c>
      <c r="K5253" t="s" s="11">
        <v>30</v>
      </c>
      <c r="L5253" s="17">
        <f>HYPERLINK("http://www.hedgapp.com", "www.hedgapp.com")</f>
      </c>
      <c r="M5253" s="17">
        <f>HYPERLINK("https://my.pitchbook.com?c=534948-94", "View Company Online")</f>
      </c>
    </row>
    <row r="5254">
      <c r="A5254" t="s" s="10">
        <v>26457</v>
      </c>
      <c r="B5254" t="s" s="10">
        <v>26458</v>
      </c>
      <c r="C5254" t="s" s="10">
        <v>27</v>
      </c>
      <c r="D5254" t="s" s="10">
        <v>122</v>
      </c>
      <c r="E5254" t="s" s="10">
        <v>1744</v>
      </c>
      <c r="F5254" s="27">
        <v>44627</v>
      </c>
      <c r="G5254" t="s" s="10">
        <v>4267</v>
      </c>
      <c r="H5254" s="42">
        <v>2.5</v>
      </c>
      <c r="I5254" t="s" s="42">
        <v>30</v>
      </c>
      <c r="J5254" t="s" s="10">
        <v>26459</v>
      </c>
      <c r="K5254" t="s" s="10">
        <v>26460</v>
      </c>
      <c r="L5254" s="16">
        <f>HYPERLINK("http://hedgewiz.co.uk", "hedgewiz.co.uk")</f>
      </c>
      <c r="M5254" s="16">
        <f>HYPERLINK("https://my.pitchbook.com?c=229619-62", "View Company Online")</f>
      </c>
    </row>
    <row r="5255">
      <c r="A5255" t="s" s="11">
        <v>26462</v>
      </c>
      <c r="B5255" t="s" s="11">
        <v>26463</v>
      </c>
      <c r="C5255" t="s" s="11">
        <v>114</v>
      </c>
      <c r="D5255" t="s" s="11">
        <v>115</v>
      </c>
      <c r="E5255" t="s" s="11">
        <v>3527</v>
      </c>
      <c r="F5255" s="28">
        <v>45971</v>
      </c>
      <c r="G5255" t="s" s="11">
        <v>607</v>
      </c>
      <c r="H5255" t="s" s="43">
        <v>30</v>
      </c>
      <c r="I5255" t="s" s="43">
        <v>30</v>
      </c>
      <c r="J5255" t="s" s="11">
        <v>26464</v>
      </c>
      <c r="K5255" t="s" s="11">
        <v>26465</v>
      </c>
      <c r="L5255" s="17">
        <f>HYPERLINK("http://www.heimify.com", "www.heimify.com")</f>
      </c>
      <c r="M5255" s="17">
        <f>HYPERLINK("https://my.pitchbook.com?c=732181-60", "View Company Online")</f>
      </c>
    </row>
    <row r="5256">
      <c r="A5256" t="s" s="10">
        <v>26467</v>
      </c>
      <c r="B5256" t="s" s="10">
        <v>26468</v>
      </c>
      <c r="C5256" t="s" s="10">
        <v>27</v>
      </c>
      <c r="D5256" t="s" s="10">
        <v>28</v>
      </c>
      <c r="E5256" t="s" s="10">
        <v>193</v>
      </c>
      <c r="F5256" s="27">
        <v>45870</v>
      </c>
      <c r="G5256" t="s" s="10">
        <v>607</v>
      </c>
      <c r="H5256" t="s" s="42">
        <v>30</v>
      </c>
      <c r="I5256" t="s" s="42">
        <v>30</v>
      </c>
      <c r="J5256" t="s" s="10">
        <v>26469</v>
      </c>
      <c r="K5256" t="s" s="10">
        <v>26470</v>
      </c>
      <c r="L5256" s="16">
        <f>HYPERLINK("http://www.helcim.com", "www.helcim.com")</f>
      </c>
      <c r="M5256" s="16">
        <f>HYPERLINK("https://my.pitchbook.com?c=235187-74", "View Company Online")</f>
      </c>
    </row>
    <row r="5257">
      <c r="A5257" t="s" s="11">
        <v>26472</v>
      </c>
      <c r="B5257" t="s" s="11">
        <v>26473</v>
      </c>
      <c r="C5257" t="s" s="11">
        <v>37</v>
      </c>
      <c r="D5257" t="s" s="11">
        <v>304</v>
      </c>
      <c r="E5257" t="s" s="11">
        <v>137</v>
      </c>
      <c r="F5257" s="28">
        <v>46087</v>
      </c>
      <c r="G5257" t="s" s="11">
        <v>146</v>
      </c>
      <c r="H5257" s="43">
        <v>1</v>
      </c>
      <c r="I5257" t="s" s="43">
        <v>30</v>
      </c>
      <c r="J5257" t="s" s="11">
        <v>26474</v>
      </c>
      <c r="K5257" t="s" s="11">
        <v>26475</v>
      </c>
      <c r="L5257" s="17">
        <f>HYPERLINK("http://www.heliosreserve.xyz", "www.heliosreserve.xyz")</f>
      </c>
      <c r="M5257" s="17">
        <f>HYPERLINK("https://my.pitchbook.com?c=1365056-02", "View Company Online")</f>
      </c>
    </row>
    <row r="5258">
      <c r="A5258" t="s" s="10">
        <v>26477</v>
      </c>
      <c r="B5258" t="s" s="10">
        <v>26478</v>
      </c>
      <c r="C5258" t="s" s="10">
        <v>37</v>
      </c>
      <c r="D5258" t="s" s="10">
        <v>38</v>
      </c>
      <c r="E5258" t="s" s="10">
        <v>193</v>
      </c>
      <c r="F5258" s="27">
        <v>45866</v>
      </c>
      <c r="G5258" t="s" s="10">
        <v>391</v>
      </c>
      <c r="H5258" t="s" s="42">
        <v>30</v>
      </c>
      <c r="I5258" t="s" s="42">
        <v>30</v>
      </c>
      <c r="J5258" t="s" s="10">
        <v>26479</v>
      </c>
      <c r="K5258" t="s" s="10">
        <v>30</v>
      </c>
      <c r="L5258" s="16">
        <f>HYPERLINK("http://www.helios.do", "www.helios.do")</f>
      </c>
      <c r="M5258" s="16">
        <f>HYPERLINK("https://my.pitchbook.com?c=452799-46", "View Company Online")</f>
      </c>
    </row>
    <row r="5259">
      <c r="A5259" t="s" s="11">
        <v>26481</v>
      </c>
      <c r="B5259" t="s" s="11">
        <v>26482</v>
      </c>
      <c r="C5259" t="s" s="11">
        <v>114</v>
      </c>
      <c r="D5259" t="s" s="11">
        <v>136</v>
      </c>
      <c r="E5259" t="s" s="11">
        <v>253</v>
      </c>
      <c r="F5259" s="28">
        <v>43587</v>
      </c>
      <c r="G5259" t="s" s="11">
        <v>146</v>
      </c>
      <c r="H5259" t="s" s="43">
        <v>30</v>
      </c>
      <c r="I5259" t="s" s="43">
        <v>30</v>
      </c>
      <c r="J5259" t="s" s="11">
        <v>26483</v>
      </c>
      <c r="K5259" t="s" s="11">
        <v>20410</v>
      </c>
      <c r="L5259" s="17">
        <f>HYPERLINK("http://www.heliumloans.com", "www.heliumloans.com")</f>
      </c>
      <c r="M5259" s="17">
        <f>HYPERLINK("https://my.pitchbook.com?c=234261-91", "View Company Online")</f>
      </c>
    </row>
    <row r="5260">
      <c r="A5260" t="s" s="10">
        <v>26485</v>
      </c>
      <c r="B5260" t="s" s="10">
        <v>26486</v>
      </c>
      <c r="C5260" t="s" s="10">
        <v>222</v>
      </c>
      <c r="D5260" t="s" s="10">
        <v>235</v>
      </c>
      <c r="E5260" t="s" s="10">
        <v>17461</v>
      </c>
      <c r="F5260" s="27">
        <v>46042</v>
      </c>
      <c r="G5260" t="s" s="10">
        <v>146</v>
      </c>
      <c r="H5260" s="42">
        <v>1.17</v>
      </c>
      <c r="I5260" t="s" s="42">
        <v>30</v>
      </c>
      <c r="J5260" t="s" s="10">
        <v>26487</v>
      </c>
      <c r="K5260" t="s" s="10">
        <v>26488</v>
      </c>
      <c r="L5260" s="16">
        <f>HYPERLINK("http://www.hellgruen.solar", "www.hellgruen.solar")</f>
      </c>
      <c r="M5260" s="16">
        <f>HYPERLINK("https://my.pitchbook.com?c=607120-21", "View Company Online")</f>
      </c>
    </row>
    <row r="5261">
      <c r="A5261" t="s" s="11">
        <v>26490</v>
      </c>
      <c r="B5261" t="s" s="11">
        <v>26491</v>
      </c>
      <c r="C5261" t="s" s="11">
        <v>27</v>
      </c>
      <c r="D5261" t="s" s="11">
        <v>28</v>
      </c>
      <c r="E5261" t="s" s="11">
        <v>116</v>
      </c>
      <c r="F5261" s="28">
        <v>45336</v>
      </c>
      <c r="G5261" t="s" s="11">
        <v>146</v>
      </c>
      <c r="H5261" s="43">
        <v>0.5</v>
      </c>
      <c r="I5261" t="s" s="43">
        <v>30</v>
      </c>
      <c r="J5261" t="s" s="11">
        <v>26492</v>
      </c>
      <c r="K5261" t="s" s="11">
        <v>26493</v>
      </c>
      <c r="L5261" s="17">
        <f>HYPERLINK("http://www.helloclever.co", "www.helloclever.co")</f>
      </c>
      <c r="M5261" s="17">
        <f>HYPERLINK("https://my.pitchbook.com?c=491303-80", "View Company Online")</f>
      </c>
    </row>
    <row r="5262">
      <c r="A5262" t="s" s="10">
        <v>26495</v>
      </c>
      <c r="B5262" t="s" s="10">
        <v>26496</v>
      </c>
      <c r="C5262" t="s" s="10">
        <v>46</v>
      </c>
      <c r="D5262" t="s" s="10">
        <v>915</v>
      </c>
      <c r="E5262" t="s" s="10">
        <v>253</v>
      </c>
      <c r="F5262" t="s" s="27">
        <v>30</v>
      </c>
      <c r="G5262" t="s" s="10">
        <v>2651</v>
      </c>
      <c r="H5262" s="42">
        <v>0.01</v>
      </c>
      <c r="I5262" t="s" s="42">
        <v>30</v>
      </c>
      <c r="J5262" t="s" s="10">
        <v>26497</v>
      </c>
      <c r="K5262" t="s" s="10">
        <v>26498</v>
      </c>
      <c r="L5262" s="16">
        <f>HYPERLINK("http://www.takethehelm.app", "www.takethehelm.app")</f>
      </c>
      <c r="M5262" s="16">
        <f>HYPERLINK("https://my.pitchbook.com?c=482556-97", "View Company Online")</f>
      </c>
    </row>
    <row r="5263">
      <c r="A5263" t="s" s="11">
        <v>26500</v>
      </c>
      <c r="B5263" t="s" s="11">
        <v>26501</v>
      </c>
      <c r="C5263" t="s" s="11">
        <v>60</v>
      </c>
      <c r="D5263" t="s" s="11">
        <v>246</v>
      </c>
      <c r="E5263" t="s" s="11">
        <v>137</v>
      </c>
      <c r="F5263" t="s" s="28">
        <v>30</v>
      </c>
      <c r="G5263" t="s" s="11">
        <v>4267</v>
      </c>
      <c r="H5263" t="s" s="43">
        <v>30</v>
      </c>
      <c r="I5263" t="s" s="43">
        <v>30</v>
      </c>
      <c r="J5263" t="s" s="11">
        <v>26502</v>
      </c>
      <c r="K5263" t="s" s="11">
        <v>26503</v>
      </c>
      <c r="L5263" s="17">
        <f>HYPERLINK("http://www.gohelo.com", "www.gohelo.com")</f>
      </c>
      <c r="M5263" s="17">
        <f>HYPERLINK("https://my.pitchbook.com?c=687976-75", "View Company Online")</f>
      </c>
    </row>
    <row r="5264">
      <c r="A5264" t="s" s="10">
        <v>26505</v>
      </c>
      <c r="B5264" t="s" s="10">
        <v>26506</v>
      </c>
      <c r="C5264" t="s" s="10">
        <v>60</v>
      </c>
      <c r="D5264" t="s" s="10">
        <v>246</v>
      </c>
      <c r="E5264" t="s" s="10">
        <v>137</v>
      </c>
      <c r="F5264" s="27">
        <v>45085</v>
      </c>
      <c r="G5264" t="s" s="10">
        <v>271</v>
      </c>
      <c r="H5264" s="42">
        <v>0.41</v>
      </c>
      <c r="I5264" t="s" s="42">
        <v>30</v>
      </c>
      <c r="J5264" t="s" s="10">
        <v>26507</v>
      </c>
      <c r="K5264" t="s" s="10">
        <v>30</v>
      </c>
      <c r="L5264" s="16">
        <f>HYPERLINK("http://www.helppay.com.au", "www.helppay.com.au")</f>
      </c>
      <c r="M5264" s="16">
        <f>HYPERLINK("https://my.pitchbook.com?c=484349-77", "View Company Online")</f>
      </c>
    </row>
    <row r="5265">
      <c r="A5265" t="s" s="11">
        <v>26509</v>
      </c>
      <c r="B5265" t="s" s="11">
        <v>26510</v>
      </c>
      <c r="C5265" t="s" s="11">
        <v>114</v>
      </c>
      <c r="D5265" t="s" s="11">
        <v>136</v>
      </c>
      <c r="E5265" t="s" s="11">
        <v>1625</v>
      </c>
      <c r="F5265" s="28">
        <v>43293</v>
      </c>
      <c r="G5265" t="s" s="11">
        <v>146</v>
      </c>
      <c r="H5265" s="43">
        <v>30.49</v>
      </c>
      <c r="I5265" t="s" s="43">
        <v>30</v>
      </c>
      <c r="J5265" t="s" s="11">
        <v>26511</v>
      </c>
      <c r="K5265" t="s" s="11">
        <v>26512</v>
      </c>
      <c r="L5265" s="17">
        <f>HYPERLINK("http://www.p2phx.com", "www.p2phx.com")</f>
      </c>
      <c r="M5265" s="17">
        <f>HYPERLINK("https://my.pitchbook.com?c=407250-55", "View Company Online")</f>
      </c>
    </row>
    <row r="5266">
      <c r="A5266" t="s" s="10">
        <v>26514</v>
      </c>
      <c r="B5266" t="s" s="10">
        <v>26515</v>
      </c>
      <c r="C5266" t="s" s="10">
        <v>222</v>
      </c>
      <c r="D5266" t="s" s="10">
        <v>223</v>
      </c>
      <c r="E5266" t="s" s="10">
        <v>253</v>
      </c>
      <c r="F5266" s="27">
        <v>45742</v>
      </c>
      <c r="G5266" t="s" s="10">
        <v>146</v>
      </c>
      <c r="H5266" s="42">
        <v>0.17</v>
      </c>
      <c r="I5266" t="s" s="42">
        <v>30</v>
      </c>
      <c r="J5266" t="s" s="10">
        <v>26516</v>
      </c>
      <c r="K5266" t="s" s="10">
        <v>26517</v>
      </c>
      <c r="L5266" s="16">
        <f>HYPERLINK("http://www.henon.ai", "www.henon.ai")</f>
      </c>
      <c r="M5266" s="16">
        <f>HYPERLINK("https://my.pitchbook.com?c=338578-84", "View Company Online")</f>
      </c>
    </row>
    <row r="5267">
      <c r="A5267" t="s" s="11">
        <v>26519</v>
      </c>
      <c r="B5267" t="s" s="11">
        <v>26520</v>
      </c>
      <c r="C5267" t="s" s="11">
        <v>128</v>
      </c>
      <c r="D5267" t="s" s="11">
        <v>129</v>
      </c>
      <c r="E5267" t="s" s="11">
        <v>859</v>
      </c>
      <c r="F5267" s="28">
        <v>45658</v>
      </c>
      <c r="G5267" t="s" s="11">
        <v>146</v>
      </c>
      <c r="H5267" t="s" s="43">
        <v>30</v>
      </c>
      <c r="I5267" t="s" s="43">
        <v>30</v>
      </c>
      <c r="J5267" t="s" s="11">
        <v>26521</v>
      </c>
      <c r="K5267" t="s" s="11">
        <v>26522</v>
      </c>
      <c r="L5267" s="17">
        <f>HYPERLINK("http://www.henrylabs.ai", "www.henrylabs.ai")</f>
      </c>
      <c r="M5267" s="17">
        <f>HYPERLINK("https://my.pitchbook.com?c=721423-18", "View Company Online")</f>
      </c>
    </row>
    <row r="5268">
      <c r="A5268" t="s" s="10">
        <v>26524</v>
      </c>
      <c r="B5268" t="s" s="10">
        <v>26525</v>
      </c>
      <c r="C5268" t="s" s="10">
        <v>60</v>
      </c>
      <c r="D5268" t="s" s="10">
        <v>727</v>
      </c>
      <c r="E5268" t="s" s="10">
        <v>2782</v>
      </c>
      <c r="F5268" t="s" s="27">
        <v>30</v>
      </c>
      <c r="G5268" t="s" s="10">
        <v>48</v>
      </c>
      <c r="H5268" t="s" s="42">
        <v>30</v>
      </c>
      <c r="I5268" t="s" s="42">
        <v>30</v>
      </c>
      <c r="J5268" t="s" s="10">
        <v>26526</v>
      </c>
      <c r="K5268" t="s" s="10">
        <v>26527</v>
      </c>
      <c r="L5268" s="16">
        <f>HYPERLINK("http://www.here.co", "www.here.co")</f>
      </c>
      <c r="M5268" s="16">
        <f>HYPERLINK("https://my.pitchbook.com?c=491353-30", "View Company Online")</f>
      </c>
    </row>
    <row r="5269">
      <c r="A5269" t="s" s="11">
        <v>26529</v>
      </c>
      <c r="B5269" t="s" s="11">
        <v>26530</v>
      </c>
      <c r="C5269" t="s" s="11">
        <v>144</v>
      </c>
      <c r="D5269" t="s" s="11">
        <v>297</v>
      </c>
      <c r="E5269" t="s" s="11">
        <v>26531</v>
      </c>
      <c r="F5269" t="s" s="28">
        <v>30</v>
      </c>
      <c r="G5269" t="s" s="11">
        <v>48</v>
      </c>
      <c r="H5269" t="s" s="43">
        <v>30</v>
      </c>
      <c r="I5269" t="s" s="43">
        <v>30</v>
      </c>
      <c r="J5269" t="s" s="11">
        <v>26532</v>
      </c>
      <c r="K5269" t="s" s="11">
        <v>26533</v>
      </c>
      <c r="L5269" s="17">
        <f>HYPERLINK("http://www.herita.tech", "www.herita.tech")</f>
      </c>
      <c r="M5269" s="17">
        <f>HYPERLINK("https://my.pitchbook.com?c=895322-89", "View Company Online")</f>
      </c>
    </row>
    <row r="5270">
      <c r="A5270" t="s" s="10">
        <v>26535</v>
      </c>
      <c r="B5270" t="s" s="10">
        <v>26536</v>
      </c>
      <c r="C5270" t="s" s="10">
        <v>46</v>
      </c>
      <c r="D5270" t="s" s="10">
        <v>397</v>
      </c>
      <c r="E5270" t="s" s="10">
        <v>137</v>
      </c>
      <c r="F5270" s="27">
        <v>45911</v>
      </c>
      <c r="G5270" t="s" s="10">
        <v>40</v>
      </c>
      <c r="H5270" s="42">
        <v>20.96</v>
      </c>
      <c r="I5270" t="s" s="42">
        <v>30</v>
      </c>
      <c r="J5270" t="s" s="10">
        <v>26537</v>
      </c>
      <c r="K5270" t="s" s="10">
        <v>30</v>
      </c>
      <c r="L5270" t="s" s="10">
        <v>30</v>
      </c>
      <c r="M5270" s="16">
        <f>HYPERLINK("https://my.pitchbook.com?c=720738-10", "View Company Online")</f>
      </c>
    </row>
    <row r="5271">
      <c r="A5271" t="s" s="11">
        <v>26538</v>
      </c>
      <c r="B5271" t="s" s="11">
        <v>26539</v>
      </c>
      <c r="C5271" t="s" s="11">
        <v>46</v>
      </c>
      <c r="D5271" t="s" s="11">
        <v>47</v>
      </c>
      <c r="E5271" t="s" s="11">
        <v>253</v>
      </c>
      <c r="F5271" s="28">
        <v>44991</v>
      </c>
      <c r="G5271" t="s" s="11">
        <v>146</v>
      </c>
      <c r="H5271" t="s" s="43">
        <v>30</v>
      </c>
      <c r="I5271" t="s" s="43">
        <v>30</v>
      </c>
      <c r="J5271" t="s" s="11">
        <v>26540</v>
      </c>
      <c r="K5271" t="s" s="11">
        <v>26541</v>
      </c>
      <c r="L5271" s="17">
        <f>HYPERLINK("http://www.hzqyun.com", "www.hzqyun.com")</f>
      </c>
      <c r="M5271" s="17">
        <f>HYPERLINK("https://my.pitchbook.com?c=472383-01", "View Company Online")</f>
      </c>
    </row>
    <row r="5272">
      <c r="A5272" t="s" s="10">
        <v>26543</v>
      </c>
      <c r="B5272" t="s" s="10">
        <v>26544</v>
      </c>
      <c r="C5272" t="s" s="10">
        <v>222</v>
      </c>
      <c r="D5272" t="s" s="10">
        <v>252</v>
      </c>
      <c r="E5272" t="s" s="10">
        <v>145</v>
      </c>
      <c r="F5272" s="27">
        <v>46013</v>
      </c>
      <c r="G5272" t="s" s="10">
        <v>391</v>
      </c>
      <c r="H5272" t="s" s="42">
        <v>30</v>
      </c>
      <c r="I5272" t="s" s="42">
        <v>30</v>
      </c>
      <c r="J5272" t="s" s="10">
        <v>26545</v>
      </c>
      <c r="K5272" t="s" s="10">
        <v>26546</v>
      </c>
      <c r="L5272" s="16">
        <f>HYPERLINK("http://www.hifivelab.io", "www.hifivelab.io")</f>
      </c>
      <c r="M5272" s="16">
        <f>HYPERLINK("https://my.pitchbook.com?c=517950-01", "View Company Online")</f>
      </c>
    </row>
    <row r="5273">
      <c r="A5273" t="s" s="11">
        <v>26548</v>
      </c>
      <c r="B5273" t="s" s="11">
        <v>26549</v>
      </c>
      <c r="C5273" t="s" s="11">
        <v>27</v>
      </c>
      <c r="D5273" t="s" s="11">
        <v>28</v>
      </c>
      <c r="E5273" t="s" s="11">
        <v>137</v>
      </c>
      <c r="F5273" s="28">
        <v>45986</v>
      </c>
      <c r="G5273" t="s" s="11">
        <v>4267</v>
      </c>
      <c r="H5273" s="43">
        <v>4.8</v>
      </c>
      <c r="I5273" t="s" s="43">
        <v>30</v>
      </c>
      <c r="J5273" t="s" s="11">
        <v>26550</v>
      </c>
      <c r="K5273" t="s" s="11">
        <v>26551</v>
      </c>
      <c r="L5273" s="17">
        <f>HYPERLINK("http://www.higala.ph", "www.higala.ph")</f>
      </c>
      <c r="M5273" s="17">
        <f>HYPERLINK("https://my.pitchbook.com?c=535179-97", "View Company Online")</f>
      </c>
    </row>
    <row r="5274">
      <c r="A5274" t="s" s="10">
        <v>26553</v>
      </c>
      <c r="B5274" t="s" s="10">
        <v>26554</v>
      </c>
      <c r="C5274" t="s" s="10">
        <v>46</v>
      </c>
      <c r="D5274" t="s" s="10">
        <v>78</v>
      </c>
      <c r="E5274" t="s" s="10">
        <v>9259</v>
      </c>
      <c r="F5274" s="27">
        <v>45962</v>
      </c>
      <c r="G5274" t="s" s="10">
        <v>146</v>
      </c>
      <c r="H5274" t="s" s="42">
        <v>30</v>
      </c>
      <c r="I5274" t="s" s="42">
        <v>30</v>
      </c>
      <c r="J5274" t="s" s="10">
        <v>26555</v>
      </c>
      <c r="K5274" t="s" s="10">
        <v>26556</v>
      </c>
      <c r="L5274" s="16">
        <f>HYPERLINK("http://paylo.de", "paylo.de")</f>
      </c>
      <c r="M5274" s="16">
        <f>HYPERLINK("https://my.pitchbook.com?c=1162890-64", "View Company Online")</f>
      </c>
    </row>
    <row r="5275">
      <c r="A5275" t="s" s="11">
        <v>26558</v>
      </c>
      <c r="B5275" t="s" s="11">
        <v>26559</v>
      </c>
      <c r="C5275" t="s" s="11">
        <v>222</v>
      </c>
      <c r="D5275" t="s" s="11">
        <v>252</v>
      </c>
      <c r="E5275" t="s" s="11">
        <v>253</v>
      </c>
      <c r="F5275" s="28">
        <v>45200</v>
      </c>
      <c r="G5275" t="s" s="11">
        <v>4267</v>
      </c>
      <c r="H5275" t="s" s="43">
        <v>30</v>
      </c>
      <c r="I5275" t="s" s="43">
        <v>30</v>
      </c>
      <c r="J5275" t="s" s="11">
        <v>26560</v>
      </c>
      <c r="K5275" t="s" s="11">
        <v>26561</v>
      </c>
      <c r="L5275" s="17">
        <f>HYPERLINK("http://www.highfi.com", "www.highfi.com")</f>
      </c>
      <c r="M5275" s="17">
        <f>HYPERLINK("https://my.pitchbook.com?c=539170-57", "View Company Online")</f>
      </c>
    </row>
    <row r="5276">
      <c r="A5276" t="s" s="10">
        <v>26563</v>
      </c>
      <c r="B5276" t="s" s="10">
        <v>26564</v>
      </c>
      <c r="C5276" t="s" s="10">
        <v>60</v>
      </c>
      <c r="D5276" t="s" s="10">
        <v>246</v>
      </c>
      <c r="E5276" t="s" s="10">
        <v>414</v>
      </c>
      <c r="F5276" s="27">
        <v>45930</v>
      </c>
      <c r="G5276" t="s" s="10">
        <v>146</v>
      </c>
      <c r="H5276" s="42">
        <v>0.04</v>
      </c>
      <c r="I5276" t="s" s="42">
        <v>30</v>
      </c>
      <c r="J5276" t="s" s="10">
        <v>26565</v>
      </c>
      <c r="K5276" t="s" s="10">
        <v>26566</v>
      </c>
      <c r="L5276" s="16">
        <f>HYPERLINK("http://www.hisobchiai.uz", "www.hisobchiai.uz")</f>
      </c>
      <c r="M5276" s="16">
        <f>HYPERLINK("https://my.pitchbook.com?c=1161193-78", "View Company Online")</f>
      </c>
    </row>
    <row r="5277">
      <c r="A5277" t="s" s="11">
        <v>26568</v>
      </c>
      <c r="B5277" t="s" s="11">
        <v>26569</v>
      </c>
      <c r="C5277" t="s" s="11">
        <v>60</v>
      </c>
      <c r="D5277" t="s" s="11">
        <v>192</v>
      </c>
      <c r="E5277" t="s" s="11">
        <v>270</v>
      </c>
      <c r="F5277" s="28">
        <v>45274</v>
      </c>
      <c r="G5277" t="s" s="11">
        <v>4267</v>
      </c>
      <c r="H5277" s="43">
        <v>3.4</v>
      </c>
      <c r="I5277" t="s" s="43">
        <v>30</v>
      </c>
      <c r="J5277" t="s" s="11">
        <v>26570</v>
      </c>
      <c r="K5277" t="s" s="11">
        <v>26571</v>
      </c>
      <c r="L5277" s="17">
        <f>HYPERLINK("http://www.hivewealth.com", "www.hivewealth.com")</f>
      </c>
      <c r="M5277" s="17">
        <f>HYPERLINK("https://my.pitchbook.com?c=494669-08", "View Company Online")</f>
      </c>
    </row>
    <row r="5278">
      <c r="A5278" t="s" s="10">
        <v>26573</v>
      </c>
      <c r="B5278" t="s" s="10">
        <v>26574</v>
      </c>
      <c r="C5278" t="s" s="10">
        <v>60</v>
      </c>
      <c r="D5278" t="s" s="10">
        <v>246</v>
      </c>
      <c r="E5278" t="s" s="10">
        <v>1625</v>
      </c>
      <c r="F5278" t="s" s="27">
        <v>30</v>
      </c>
      <c r="G5278" t="s" s="10">
        <v>607</v>
      </c>
      <c r="H5278" t="s" s="42">
        <v>30</v>
      </c>
      <c r="I5278" t="s" s="42">
        <v>30</v>
      </c>
      <c r="J5278" t="s" s="10">
        <v>26575</v>
      </c>
      <c r="K5278" t="s" s="10">
        <v>26576</v>
      </c>
      <c r="L5278" s="16">
        <f>HYPERLINK("http://www.holacasa.mx", "www.holacasa.mx")</f>
      </c>
      <c r="M5278" s="16">
        <f>HYPERLINK("https://my.pitchbook.com?c=512358-40", "View Company Online")</f>
      </c>
    </row>
    <row r="5279">
      <c r="A5279" t="s" s="11">
        <v>26578</v>
      </c>
      <c r="B5279" t="s" s="11">
        <v>26579</v>
      </c>
      <c r="C5279" t="s" s="11">
        <v>164</v>
      </c>
      <c r="D5279" t="s" s="11">
        <v>206</v>
      </c>
      <c r="E5279" t="s" s="11">
        <v>137</v>
      </c>
      <c r="F5279" t="s" s="28">
        <v>30</v>
      </c>
      <c r="G5279" t="s" s="11">
        <v>48</v>
      </c>
      <c r="H5279" t="s" s="43">
        <v>30</v>
      </c>
      <c r="I5279" t="s" s="43">
        <v>30</v>
      </c>
      <c r="J5279" t="s" s="11">
        <v>26580</v>
      </c>
      <c r="K5279" t="s" s="11">
        <v>30</v>
      </c>
      <c r="L5279" s="17">
        <f>HYPERLINK("http://www.rpxcapital.com.br", "www.rpxcapital.com.br")</f>
      </c>
      <c r="M5279" s="17">
        <f>HYPERLINK("https://my.pitchbook.com?c=268527-79", "View Company Online")</f>
      </c>
    </row>
    <row r="5280">
      <c r="A5280" t="s" s="10">
        <v>26582</v>
      </c>
      <c r="B5280" t="s" s="10">
        <v>26583</v>
      </c>
      <c r="C5280" t="s" s="10">
        <v>46</v>
      </c>
      <c r="D5280" t="s" s="10">
        <v>47</v>
      </c>
      <c r="E5280" t="s" s="10">
        <v>253</v>
      </c>
      <c r="F5280" s="27">
        <v>46134</v>
      </c>
      <c r="G5280" t="s" s="10">
        <v>2051</v>
      </c>
      <c r="H5280" t="s" s="42">
        <v>30</v>
      </c>
      <c r="I5280" t="s" s="42">
        <v>30</v>
      </c>
      <c r="J5280" t="s" s="10">
        <v>26584</v>
      </c>
      <c r="K5280" t="s" s="10">
        <v>30</v>
      </c>
      <c r="L5280" s="16">
        <f>HYPERLINK("http://www.hollydesk.com", "www.hollydesk.com")</f>
      </c>
      <c r="M5280" s="16">
        <f>HYPERLINK("https://my.pitchbook.com?c=484169-86", "View Company Online")</f>
      </c>
    </row>
    <row r="5281">
      <c r="A5281" t="s" s="11">
        <v>26586</v>
      </c>
      <c r="B5281" t="s" s="11">
        <v>26587</v>
      </c>
      <c r="C5281" t="s" s="11">
        <v>60</v>
      </c>
      <c r="D5281" t="s" s="11">
        <v>246</v>
      </c>
      <c r="E5281" t="s" s="11">
        <v>26588</v>
      </c>
      <c r="F5281" s="28">
        <v>45444</v>
      </c>
      <c r="G5281" t="s" s="11">
        <v>40</v>
      </c>
      <c r="H5281" t="s" s="43">
        <v>30</v>
      </c>
      <c r="I5281" t="s" s="43">
        <v>30</v>
      </c>
      <c r="J5281" t="s" s="11">
        <v>26589</v>
      </c>
      <c r="K5281" t="s" s="11">
        <v>26590</v>
      </c>
      <c r="L5281" s="17">
        <f>HYPERLINK("http://www.pathfinderforbanks.ai", "www.pathfinderforbanks.ai")</f>
      </c>
      <c r="M5281" s="17">
        <f>HYPERLINK("https://my.pitchbook.com?c=433311-67", "View Company Online")</f>
      </c>
    </row>
    <row r="5282">
      <c r="A5282" t="s" s="10">
        <v>26592</v>
      </c>
      <c r="B5282" t="s" s="10">
        <v>26593</v>
      </c>
      <c r="C5282" t="s" s="10">
        <v>60</v>
      </c>
      <c r="D5282" t="s" s="10">
        <v>727</v>
      </c>
      <c r="E5282" t="s" s="10">
        <v>2782</v>
      </c>
      <c r="F5282" s="27">
        <v>45962</v>
      </c>
      <c r="G5282" t="s" s="10">
        <v>146</v>
      </c>
      <c r="H5282" t="s" s="42">
        <v>30</v>
      </c>
      <c r="I5282" t="s" s="42">
        <v>30</v>
      </c>
      <c r="J5282" t="s" s="10">
        <v>26594</v>
      </c>
      <c r="K5282" t="s" s="10">
        <v>26595</v>
      </c>
      <c r="L5282" s="16">
        <f>HYPERLINK("http://www.homestakes.com", "www.homestakes.com")</f>
      </c>
      <c r="M5282" s="16">
        <f>HYPERLINK("https://my.pitchbook.com?c=1166535-01", "View Company Online")</f>
      </c>
    </row>
    <row r="5283">
      <c r="A5283" t="s" s="11">
        <v>26597</v>
      </c>
      <c r="B5283" t="s" s="11">
        <v>26598</v>
      </c>
      <c r="C5283" t="s" s="11">
        <v>60</v>
      </c>
      <c r="D5283" t="s" s="11">
        <v>727</v>
      </c>
      <c r="E5283" t="s" s="11">
        <v>26599</v>
      </c>
      <c r="F5283" s="28">
        <v>46021</v>
      </c>
      <c r="G5283" t="s" s="11">
        <v>40</v>
      </c>
      <c r="H5283" s="43">
        <v>9.8</v>
      </c>
      <c r="I5283" t="s" s="43">
        <v>30</v>
      </c>
      <c r="J5283" t="s" s="11">
        <v>26600</v>
      </c>
      <c r="K5283" t="s" s="11">
        <v>26601</v>
      </c>
      <c r="L5283" s="17">
        <f>HYPERLINK("http://www.honestfund.kr", "www.honestfund.kr")</f>
      </c>
      <c r="M5283" s="17">
        <f>HYPERLINK("https://my.pitchbook.com?c=235027-54", "View Company Online")</f>
      </c>
    </row>
    <row r="5284">
      <c r="A5284" t="s" s="10">
        <v>26603</v>
      </c>
      <c r="B5284" t="s" s="10">
        <v>26604</v>
      </c>
      <c r="C5284" t="s" s="10">
        <v>222</v>
      </c>
      <c r="D5284" t="s" s="10">
        <v>252</v>
      </c>
      <c r="E5284" t="s" s="10">
        <v>629</v>
      </c>
      <c r="F5284" s="27">
        <v>46054</v>
      </c>
      <c r="G5284" t="s" s="10">
        <v>4267</v>
      </c>
      <c r="H5284" t="s" s="42">
        <v>30</v>
      </c>
      <c r="I5284" t="s" s="42">
        <v>30</v>
      </c>
      <c r="J5284" t="s" s="10">
        <v>26605</v>
      </c>
      <c r="K5284" t="s" s="10">
        <v>26606</v>
      </c>
      <c r="L5284" s="16">
        <f>HYPERLINK("http://www.honeybtc.com", "www.honeybtc.com")</f>
      </c>
      <c r="M5284" s="16">
        <f>HYPERLINK("https://my.pitchbook.com?c=1274650-48", "View Company Online")</f>
      </c>
    </row>
    <row r="5285">
      <c r="A5285" t="s" s="11">
        <v>26608</v>
      </c>
      <c r="B5285" t="s" s="11">
        <v>26609</v>
      </c>
      <c r="C5285" t="s" s="11">
        <v>60</v>
      </c>
      <c r="D5285" t="s" s="11">
        <v>246</v>
      </c>
      <c r="E5285" t="s" s="11">
        <v>137</v>
      </c>
      <c r="F5285" s="28">
        <v>46023</v>
      </c>
      <c r="G5285" t="s" s="11">
        <v>48</v>
      </c>
      <c r="H5285" t="s" s="43">
        <v>30</v>
      </c>
      <c r="I5285" t="s" s="43">
        <v>30</v>
      </c>
      <c r="J5285" t="s" s="11">
        <v>26610</v>
      </c>
      <c r="K5285" t="s" s="11">
        <v>26611</v>
      </c>
      <c r="L5285" s="17">
        <f>HYPERLINK("http://www.meethoneybee.com", "www.meethoneybee.com")</f>
      </c>
      <c r="M5285" s="17">
        <f>HYPERLINK("https://my.pitchbook.com?c=170256-70", "View Company Online")</f>
      </c>
    </row>
    <row r="5286">
      <c r="A5286" t="s" s="10">
        <v>26613</v>
      </c>
      <c r="B5286" t="s" s="10">
        <v>26614</v>
      </c>
      <c r="C5286" t="s" s="10">
        <v>27</v>
      </c>
      <c r="D5286" t="s" s="10">
        <v>28</v>
      </c>
      <c r="E5286" t="s" s="10">
        <v>2287</v>
      </c>
      <c r="F5286" s="27">
        <v>45728</v>
      </c>
      <c r="G5286" t="s" s="10">
        <v>40</v>
      </c>
      <c r="H5286" s="42">
        <v>2.75</v>
      </c>
      <c r="I5286" t="s" s="42">
        <v>30</v>
      </c>
      <c r="J5286" t="s" s="10">
        <v>26615</v>
      </c>
      <c r="K5286" t="s" s="10">
        <v>30</v>
      </c>
      <c r="L5286" s="16">
        <f>HYPERLINK("http://www.hzjtzxpro.com", "www.hzjtzxpro.com")</f>
      </c>
      <c r="M5286" s="16">
        <f>HYPERLINK("https://my.pitchbook.com?c=756992-17", "View Company Online")</f>
      </c>
    </row>
    <row r="5287">
      <c r="A5287" t="s" s="11">
        <v>26617</v>
      </c>
      <c r="B5287" t="s" s="11">
        <v>26618</v>
      </c>
      <c r="C5287" t="s" s="11">
        <v>114</v>
      </c>
      <c r="D5287" t="s" s="11">
        <v>136</v>
      </c>
      <c r="E5287" t="s" s="11">
        <v>137</v>
      </c>
      <c r="F5287" s="28">
        <v>42990</v>
      </c>
      <c r="G5287" t="s" s="11">
        <v>146</v>
      </c>
      <c r="H5287" s="43">
        <v>30.31</v>
      </c>
      <c r="I5287" t="s" s="43">
        <v>30</v>
      </c>
      <c r="J5287" t="s" s="11">
        <v>26619</v>
      </c>
      <c r="K5287" t="s" s="11">
        <v>26620</v>
      </c>
      <c r="L5287" s="17">
        <f>HYPERLINK("http://www.hepandai.com", "www.hepandai.com")</f>
      </c>
      <c r="M5287" s="17">
        <f>HYPERLINK("https://my.pitchbook.com?c=172862-11", "View Company Online")</f>
      </c>
    </row>
    <row r="5288">
      <c r="A5288" t="s" s="10">
        <v>26622</v>
      </c>
      <c r="B5288" t="s" s="10">
        <v>26623</v>
      </c>
      <c r="C5288" t="s" s="10">
        <v>60</v>
      </c>
      <c r="D5288" t="s" s="10">
        <v>246</v>
      </c>
      <c r="E5288" t="s" s="10">
        <v>253</v>
      </c>
      <c r="F5288" s="27">
        <v>45271</v>
      </c>
      <c r="G5288" t="s" s="10">
        <v>4267</v>
      </c>
      <c r="H5288" s="42">
        <v>1.88</v>
      </c>
      <c r="I5288" t="s" s="42">
        <v>30</v>
      </c>
      <c r="J5288" t="s" s="10">
        <v>26624</v>
      </c>
      <c r="K5288" t="s" s="10">
        <v>26625</v>
      </c>
      <c r="L5288" s="16">
        <f>HYPERLINK("http://www.hopemacy.com", "www.hopemacy.com")</f>
      </c>
      <c r="M5288" s="16">
        <f>HYPERLINK("https://my.pitchbook.com?c=542272-06", "View Company Online")</f>
      </c>
    </row>
    <row r="5289">
      <c r="A5289" t="s" s="11">
        <v>26627</v>
      </c>
      <c r="B5289" t="s" s="11">
        <v>26628</v>
      </c>
      <c r="C5289" t="s" s="11">
        <v>114</v>
      </c>
      <c r="D5289" t="s" s="11">
        <v>115</v>
      </c>
      <c r="E5289" t="s" s="11">
        <v>3604</v>
      </c>
      <c r="F5289" s="28">
        <v>45938</v>
      </c>
      <c r="G5289" t="s" s="11">
        <v>146</v>
      </c>
      <c r="H5289" t="s" s="43">
        <v>30</v>
      </c>
      <c r="I5289" t="s" s="43">
        <v>30</v>
      </c>
      <c r="J5289" t="s" s="11">
        <v>26629</v>
      </c>
      <c r="K5289" t="s" s="11">
        <v>26630</v>
      </c>
      <c r="L5289" s="17">
        <f>HYPERLINK("http://www.housetable.com", "www.housetable.com")</f>
      </c>
      <c r="M5289" s="17">
        <f>HYPERLINK("https://my.pitchbook.com?c=481761-28", "View Company Online")</f>
      </c>
    </row>
    <row r="5290">
      <c r="A5290" t="s" s="10">
        <v>26632</v>
      </c>
      <c r="B5290" t="s" s="10">
        <v>26633</v>
      </c>
      <c r="C5290" t="s" s="10">
        <v>222</v>
      </c>
      <c r="D5290" t="s" s="10">
        <v>537</v>
      </c>
      <c r="E5290" t="s" s="10">
        <v>634</v>
      </c>
      <c r="F5290" s="27">
        <v>45856</v>
      </c>
      <c r="G5290" t="s" s="10">
        <v>48</v>
      </c>
      <c r="H5290" t="s" s="42">
        <v>30</v>
      </c>
      <c r="I5290" t="s" s="42">
        <v>30</v>
      </c>
      <c r="J5290" t="s" s="10">
        <v>26634</v>
      </c>
      <c r="K5290" t="s" s="10">
        <v>26635</v>
      </c>
      <c r="L5290" s="16">
        <f>HYPERLINK("http://www.innodealing.com", "www.innodealing.com")</f>
      </c>
      <c r="M5290" s="16">
        <f>HYPERLINK("https://my.pitchbook.com?c=223757-29", "View Company Online")</f>
      </c>
    </row>
    <row r="5291">
      <c r="A5291" t="s" s="11">
        <v>26637</v>
      </c>
      <c r="B5291" t="s" s="11">
        <v>26638</v>
      </c>
      <c r="C5291" t="s" s="11">
        <v>46</v>
      </c>
      <c r="D5291" t="s" s="11">
        <v>397</v>
      </c>
      <c r="E5291" t="s" s="11">
        <v>253</v>
      </c>
      <c r="F5291" s="28">
        <v>43438</v>
      </c>
      <c r="G5291" t="s" s="11">
        <v>146</v>
      </c>
      <c r="H5291" s="43">
        <v>2.88</v>
      </c>
      <c r="I5291" t="s" s="43">
        <v>30</v>
      </c>
      <c r="J5291" t="s" s="11">
        <v>26639</v>
      </c>
      <c r="K5291" t="s" s="11">
        <v>30</v>
      </c>
      <c r="L5291" s="17">
        <f>HYPERLINK("http://www.huicaishui.net", "www.huicaishui.net")</f>
      </c>
      <c r="M5291" s="17">
        <f>HYPERLINK("https://my.pitchbook.com?c=343028-26", "View Company Online")</f>
      </c>
    </row>
    <row r="5292">
      <c r="A5292" t="s" s="10">
        <v>26641</v>
      </c>
      <c r="B5292" t="s" s="10">
        <v>26642</v>
      </c>
      <c r="C5292" t="s" s="10">
        <v>114</v>
      </c>
      <c r="D5292" t="s" s="10">
        <v>115</v>
      </c>
      <c r="E5292" t="s" s="10">
        <v>26643</v>
      </c>
      <c r="F5292" s="27">
        <v>43286</v>
      </c>
      <c r="G5292" t="s" s="10">
        <v>40</v>
      </c>
      <c r="H5292" t="s" s="42">
        <v>30</v>
      </c>
      <c r="I5292" t="s" s="42">
        <v>30</v>
      </c>
      <c r="J5292" t="s" s="10">
        <v>26644</v>
      </c>
      <c r="K5292" t="s" s="10">
        <v>26645</v>
      </c>
      <c r="L5292" s="16">
        <f>HYPERLINK("http://www.huifenqi.com", "www.huifenqi.com")</f>
      </c>
      <c r="M5292" s="16">
        <f>HYPERLINK("https://my.pitchbook.com?c=172402-48", "View Company Online")</f>
      </c>
    </row>
    <row r="5293">
      <c r="A5293" t="s" s="11">
        <v>26647</v>
      </c>
      <c r="B5293" t="s" s="11">
        <v>26648</v>
      </c>
      <c r="C5293" t="s" s="11">
        <v>60</v>
      </c>
      <c r="D5293" t="s" s="11">
        <v>192</v>
      </c>
      <c r="E5293" t="s" s="11">
        <v>3782</v>
      </c>
      <c r="F5293" s="28">
        <v>44390</v>
      </c>
      <c r="G5293" t="s" s="11">
        <v>146</v>
      </c>
      <c r="H5293" s="43">
        <v>10</v>
      </c>
      <c r="I5293" t="s" s="43">
        <v>30</v>
      </c>
      <c r="J5293" t="s" s="11">
        <v>26649</v>
      </c>
      <c r="K5293" t="s" s="11">
        <v>26650</v>
      </c>
      <c r="L5293" t="s" s="11">
        <v>30</v>
      </c>
      <c r="M5293" s="17">
        <f>HYPERLINK("https://my.pitchbook.com?c=469940-14", "View Company Online")</f>
      </c>
    </row>
    <row r="5294">
      <c r="A5294" t="s" s="10">
        <v>26651</v>
      </c>
      <c r="B5294" t="s" s="10">
        <v>26652</v>
      </c>
      <c r="C5294" t="s" s="10">
        <v>60</v>
      </c>
      <c r="D5294" t="s" s="10">
        <v>727</v>
      </c>
      <c r="E5294" t="s" s="10">
        <v>859</v>
      </c>
      <c r="F5294" s="27">
        <v>46107</v>
      </c>
      <c r="G5294" t="s" s="10">
        <v>2051</v>
      </c>
      <c r="H5294" t="s" s="42">
        <v>30</v>
      </c>
      <c r="I5294" t="s" s="42">
        <v>30</v>
      </c>
      <c r="J5294" t="s" s="10">
        <v>26653</v>
      </c>
      <c r="K5294" t="s" s="10">
        <v>30</v>
      </c>
      <c r="L5294" s="16">
        <f>HYPERLINK("http://www.huros.io", "www.huros.io")</f>
      </c>
      <c r="M5294" s="16">
        <f>HYPERLINK("https://my.pitchbook.com?c=600012-28", "View Company Online")</f>
      </c>
    </row>
    <row r="5295">
      <c r="A5295" t="s" s="11">
        <v>26655</v>
      </c>
      <c r="B5295" t="s" s="11">
        <v>26656</v>
      </c>
      <c r="C5295" t="s" s="11">
        <v>114</v>
      </c>
      <c r="D5295" t="s" s="11">
        <v>115</v>
      </c>
      <c r="E5295" t="s" s="11">
        <v>3527</v>
      </c>
      <c r="F5295" s="28">
        <v>45845</v>
      </c>
      <c r="G5295" t="s" s="11">
        <v>40</v>
      </c>
      <c r="H5295" s="43">
        <v>59</v>
      </c>
      <c r="I5295" t="s" s="43">
        <v>30</v>
      </c>
      <c r="J5295" t="s" s="11">
        <v>26657</v>
      </c>
      <c r="K5295" t="s" s="11">
        <v>26658</v>
      </c>
      <c r="L5295" s="17">
        <f>HYPERLINK("http://www.huspy.com", "www.huspy.com")</f>
      </c>
      <c r="M5295" s="17">
        <f>HYPERLINK("https://my.pitchbook.com?c=458580-25", "View Company Online")</f>
      </c>
    </row>
    <row r="5296">
      <c r="A5296" t="s" s="10">
        <v>26660</v>
      </c>
      <c r="B5296" t="s" s="10">
        <v>26661</v>
      </c>
      <c r="C5296" t="s" s="10">
        <v>46</v>
      </c>
      <c r="D5296" t="s" s="10">
        <v>78</v>
      </c>
      <c r="E5296" t="s" s="10">
        <v>26662</v>
      </c>
      <c r="F5296" t="s" s="27">
        <v>30</v>
      </c>
      <c r="G5296" t="s" s="10">
        <v>607</v>
      </c>
      <c r="H5296" t="s" s="42">
        <v>30</v>
      </c>
      <c r="I5296" t="s" s="42">
        <v>30</v>
      </c>
      <c r="J5296" t="s" s="10">
        <v>26663</v>
      </c>
      <c r="K5296" t="s" s="10">
        <v>26664</v>
      </c>
      <c r="L5296" s="16">
        <f>HYPERLINK("http://huzahr.com", "huzahr.com")</f>
      </c>
      <c r="M5296" s="16">
        <f>HYPERLINK("https://my.pitchbook.com?c=147777-13", "View Company Online")</f>
      </c>
    </row>
    <row r="5297">
      <c r="A5297" t="s" s="11">
        <v>26666</v>
      </c>
      <c r="B5297" t="s" s="11">
        <v>26667</v>
      </c>
      <c r="C5297" t="s" s="11">
        <v>164</v>
      </c>
      <c r="D5297" t="s" s="11">
        <v>206</v>
      </c>
      <c r="E5297" t="s" s="11">
        <v>259</v>
      </c>
      <c r="F5297" t="s" s="28">
        <v>30</v>
      </c>
      <c r="G5297" t="s" s="11">
        <v>48</v>
      </c>
      <c r="H5297" t="s" s="43">
        <v>30</v>
      </c>
      <c r="I5297" t="s" s="43">
        <v>30</v>
      </c>
      <c r="J5297" t="s" s="11">
        <v>26668</v>
      </c>
      <c r="K5297" t="s" s="11">
        <v>26669</v>
      </c>
      <c r="L5297" s="17">
        <f>HYPERLINK("http://www.hyperface.co", "www.hyperface.co")</f>
      </c>
      <c r="M5297" s="17">
        <f>HYPERLINK("https://my.pitchbook.com?c=467217-37", "View Company Online")</f>
      </c>
    </row>
    <row r="5298">
      <c r="A5298" t="s" s="10">
        <v>26671</v>
      </c>
      <c r="B5298" t="s" s="10">
        <v>26672</v>
      </c>
      <c r="C5298" t="s" s="10">
        <v>27</v>
      </c>
      <c r="D5298" t="s" s="10">
        <v>28</v>
      </c>
      <c r="E5298" t="s" s="10">
        <v>26673</v>
      </c>
      <c r="F5298" t="s" s="27">
        <v>30</v>
      </c>
      <c r="G5298" t="s" s="10">
        <v>48</v>
      </c>
      <c r="H5298" t="s" s="42">
        <v>30</v>
      </c>
      <c r="I5298" t="s" s="42">
        <v>30</v>
      </c>
      <c r="J5298" t="s" s="10">
        <v>26674</v>
      </c>
      <c r="K5298" t="s" s="10">
        <v>26675</v>
      </c>
      <c r="L5298" s="16">
        <f>HYPERLINK("http://www.alsoug.com", "www.alsoug.com")</f>
      </c>
      <c r="M5298" s="16">
        <f>HYPERLINK("https://my.pitchbook.com?c=481400-65", "View Company Online")</f>
      </c>
    </row>
    <row r="5299">
      <c r="A5299" t="s" s="11">
        <v>26677</v>
      </c>
      <c r="B5299" t="s" s="11">
        <v>26678</v>
      </c>
      <c r="C5299" t="s" s="11">
        <v>27</v>
      </c>
      <c r="D5299" t="s" s="11">
        <v>28</v>
      </c>
      <c r="E5299" t="s" s="11">
        <v>259</v>
      </c>
      <c r="F5299" s="28">
        <v>44706</v>
      </c>
      <c r="G5299" t="s" s="11">
        <v>40</v>
      </c>
      <c r="H5299" s="43">
        <v>36.74</v>
      </c>
      <c r="I5299" t="s" s="43">
        <v>30</v>
      </c>
      <c r="J5299" t="s" s="11">
        <v>26679</v>
      </c>
      <c r="K5299" t="s" s="11">
        <v>26680</v>
      </c>
      <c r="L5299" s="17">
        <f>HYPERLINK("http://www.hyperpay.com", "www.hyperpay.com")</f>
      </c>
      <c r="M5299" s="17">
        <f>HYPERLINK("https://my.pitchbook.com?c=58895-56", "View Company Online")</f>
      </c>
    </row>
    <row r="5300">
      <c r="A5300" t="s" s="10">
        <v>26682</v>
      </c>
      <c r="B5300" t="s" s="10">
        <v>26683</v>
      </c>
      <c r="C5300" t="s" s="10">
        <v>164</v>
      </c>
      <c r="D5300" t="s" s="10">
        <v>206</v>
      </c>
      <c r="E5300" t="s" s="10">
        <v>253</v>
      </c>
      <c r="F5300" s="27">
        <v>44685</v>
      </c>
      <c r="G5300" t="s" s="10">
        <v>146</v>
      </c>
      <c r="H5300" t="s" s="42">
        <v>30</v>
      </c>
      <c r="I5300" t="s" s="42">
        <v>30</v>
      </c>
      <c r="J5300" t="s" s="10">
        <v>26684</v>
      </c>
      <c r="K5300" t="s" s="10">
        <v>26685</v>
      </c>
      <c r="L5300" s="16">
        <f>HYPERLINK("http://www.hyphen.im", "www.hyphen.im")</f>
      </c>
      <c r="M5300" s="16">
        <f>HYPERLINK("https://my.pitchbook.com?c=497303-11", "View Company Online")</f>
      </c>
    </row>
    <row r="5301">
      <c r="A5301" t="s" s="11">
        <v>26687</v>
      </c>
      <c r="B5301" t="s" s="11">
        <v>26688</v>
      </c>
      <c r="C5301" t="s" s="11">
        <v>60</v>
      </c>
      <c r="D5301" t="s" s="11">
        <v>727</v>
      </c>
      <c r="E5301" t="s" s="11">
        <v>137</v>
      </c>
      <c r="F5301" s="28">
        <v>44404</v>
      </c>
      <c r="G5301" t="s" s="11">
        <v>40</v>
      </c>
      <c r="H5301" s="43">
        <v>55.5</v>
      </c>
      <c r="I5301" t="s" s="43">
        <v>30</v>
      </c>
      <c r="J5301" t="s" s="11">
        <v>26689</v>
      </c>
      <c r="K5301" t="s" s="11">
        <v>26690</v>
      </c>
      <c r="L5301" s="17">
        <f>HYPERLINK("http://www.iangels.com", "www.iangels.com")</f>
      </c>
      <c r="M5301" s="17">
        <f>HYPERLINK("https://my.pitchbook.com?c=62204-68", "View Company Online")</f>
      </c>
    </row>
    <row r="5302">
      <c r="A5302" t="s" s="10">
        <v>26692</v>
      </c>
      <c r="B5302" t="s" s="10">
        <v>26693</v>
      </c>
      <c r="C5302" t="s" s="10">
        <v>60</v>
      </c>
      <c r="D5302" t="s" s="10">
        <v>192</v>
      </c>
      <c r="E5302" t="s" s="10">
        <v>4075</v>
      </c>
      <c r="F5302" s="27">
        <v>43294</v>
      </c>
      <c r="G5302" t="s" s="10">
        <v>146</v>
      </c>
      <c r="H5302" s="42">
        <v>1.52</v>
      </c>
      <c r="I5302" t="s" s="42">
        <v>30</v>
      </c>
      <c r="J5302" t="s" s="10">
        <v>26694</v>
      </c>
      <c r="K5302" t="s" s="10">
        <v>26695</v>
      </c>
      <c r="L5302" s="16">
        <f>HYPERLINK("http://www.ibker.cn", "www.ibker.cn")</f>
      </c>
      <c r="M5302" s="16">
        <f>HYPERLINK("https://my.pitchbook.com?c=399458-17", "View Company Online")</f>
      </c>
    </row>
    <row r="5303">
      <c r="A5303" t="s" s="11">
        <v>26697</v>
      </c>
      <c r="B5303" t="s" s="11">
        <v>26698</v>
      </c>
      <c r="C5303" t="s" s="11">
        <v>46</v>
      </c>
      <c r="D5303" t="s" s="11">
        <v>397</v>
      </c>
      <c r="E5303" t="s" s="11">
        <v>253</v>
      </c>
      <c r="F5303" s="28">
        <v>44673</v>
      </c>
      <c r="G5303" t="s" s="11">
        <v>146</v>
      </c>
      <c r="H5303" s="43">
        <v>0.06</v>
      </c>
      <c r="I5303" t="s" s="43">
        <v>30</v>
      </c>
      <c r="J5303" t="s" s="11">
        <v>26699</v>
      </c>
      <c r="K5303" t="s" s="11">
        <v>26700</v>
      </c>
      <c r="L5303" s="17">
        <f>HYPERLINK("http://www.ibookr.com", "www.ibookr.com")</f>
      </c>
      <c r="M5303" s="17">
        <f>HYPERLINK("https://my.pitchbook.com?c=442483-57", "View Company Online")</f>
      </c>
    </row>
    <row r="5304">
      <c r="A5304" t="s" s="10">
        <v>26702</v>
      </c>
      <c r="B5304" t="s" s="10">
        <v>26703</v>
      </c>
      <c r="C5304" t="s" s="10">
        <v>164</v>
      </c>
      <c r="D5304" t="s" s="10">
        <v>206</v>
      </c>
      <c r="E5304" t="s" s="10">
        <v>26704</v>
      </c>
      <c r="F5304" s="27">
        <v>41974</v>
      </c>
      <c r="G5304" t="s" s="10">
        <v>40</v>
      </c>
      <c r="H5304" s="42">
        <v>65</v>
      </c>
      <c r="I5304" t="s" s="42">
        <v>30</v>
      </c>
      <c r="J5304" t="s" s="10">
        <v>26705</v>
      </c>
      <c r="K5304" t="s" s="10">
        <v>26706</v>
      </c>
      <c r="L5304" s="16">
        <f>HYPERLINK("http://www.iboxpay.com", "www.iboxpay.com")</f>
      </c>
      <c r="M5304" s="16">
        <f>HYPERLINK("https://my.pitchbook.com?c=55223-92", "View Company Online")</f>
      </c>
    </row>
    <row r="5305">
      <c r="A5305" t="s" s="11">
        <v>26708</v>
      </c>
      <c r="B5305" t="s" s="11">
        <v>26709</v>
      </c>
      <c r="C5305" t="s" s="11">
        <v>172</v>
      </c>
      <c r="D5305" t="s" s="11">
        <v>1454</v>
      </c>
      <c r="E5305" t="s" s="11">
        <v>1207</v>
      </c>
      <c r="F5305" s="28">
        <v>45349</v>
      </c>
      <c r="G5305" t="s" s="11">
        <v>40</v>
      </c>
      <c r="H5305" s="43">
        <v>1.5</v>
      </c>
      <c r="I5305" t="s" s="43">
        <v>30</v>
      </c>
      <c r="J5305" t="s" s="11">
        <v>26710</v>
      </c>
      <c r="K5305" t="s" s="11">
        <v>26711</v>
      </c>
      <c r="L5305" s="17">
        <f>HYPERLINK("http://www.ibsfintech.com", "www.ibsfintech.com")</f>
      </c>
      <c r="M5305" s="17">
        <f>HYPERLINK("https://my.pitchbook.com?c=139074-58", "View Company Online")</f>
      </c>
    </row>
    <row r="5306">
      <c r="A5306" t="s" s="10">
        <v>26713</v>
      </c>
      <c r="B5306" t="s" s="10">
        <v>26714</v>
      </c>
      <c r="C5306" t="s" s="10">
        <v>37</v>
      </c>
      <c r="D5306" t="s" s="10">
        <v>38</v>
      </c>
      <c r="E5306" t="s" s="10">
        <v>270</v>
      </c>
      <c r="F5306" s="27">
        <v>44958</v>
      </c>
      <c r="G5306" t="s" s="10">
        <v>146</v>
      </c>
      <c r="H5306" t="s" s="42">
        <v>30</v>
      </c>
      <c r="I5306" t="s" s="42">
        <v>30</v>
      </c>
      <c r="J5306" t="s" s="10">
        <v>26715</v>
      </c>
      <c r="K5306" t="s" s="10">
        <v>30</v>
      </c>
      <c r="L5306" s="16">
        <f>HYPERLINK("http://links.icamais.com", "links.icamais.com")</f>
      </c>
      <c r="M5306" s="16">
        <f>HYPERLINK("https://my.pitchbook.com?c=520490-80", "View Company Online")</f>
      </c>
    </row>
    <row r="5307">
      <c r="A5307" t="s" s="11">
        <v>26717</v>
      </c>
      <c r="B5307" t="s" s="11">
        <v>26718</v>
      </c>
      <c r="C5307" t="s" s="11">
        <v>172</v>
      </c>
      <c r="D5307" t="s" s="11">
        <v>173</v>
      </c>
      <c r="E5307" t="s" s="11">
        <v>2968</v>
      </c>
      <c r="F5307" s="28">
        <v>44386</v>
      </c>
      <c r="G5307" t="s" s="11">
        <v>146</v>
      </c>
      <c r="H5307" t="s" s="43">
        <v>30</v>
      </c>
      <c r="I5307" t="s" s="43">
        <v>30</v>
      </c>
      <c r="J5307" t="s" s="11">
        <v>26719</v>
      </c>
      <c r="K5307" t="s" s="11">
        <v>26720</v>
      </c>
      <c r="L5307" s="17">
        <f>HYPERLINK("http://www.ico-lux.de", "www.ico-lux.de")</f>
      </c>
      <c r="M5307" s="17">
        <f>HYPERLINK("https://my.pitchbook.com?c=459839-89", "View Company Online")</f>
      </c>
    </row>
    <row r="5308">
      <c r="A5308" t="s" s="10">
        <v>26722</v>
      </c>
      <c r="B5308" t="s" s="10">
        <v>26723</v>
      </c>
      <c r="C5308" t="s" s="10">
        <v>114</v>
      </c>
      <c r="D5308" t="s" s="10">
        <v>1386</v>
      </c>
      <c r="E5308" t="s" s="10">
        <v>2824</v>
      </c>
      <c r="F5308" s="27">
        <v>45200</v>
      </c>
      <c r="G5308" t="s" s="10">
        <v>607</v>
      </c>
      <c r="H5308" t="s" s="42">
        <v>30</v>
      </c>
      <c r="I5308" t="s" s="42">
        <v>30</v>
      </c>
      <c r="J5308" t="s" s="10">
        <v>26724</v>
      </c>
      <c r="K5308" t="s" s="10">
        <v>26725</v>
      </c>
      <c r="L5308" s="16">
        <f>HYPERLINK("http://www.icoverinsure.com", "www.icoverinsure.com")</f>
      </c>
      <c r="M5308" s="16">
        <f>HYPERLINK("https://my.pitchbook.com?c=472582-90", "View Company Online")</f>
      </c>
    </row>
    <row r="5309">
      <c r="A5309" t="s" s="11">
        <v>26727</v>
      </c>
      <c r="B5309" t="s" s="11">
        <v>26728</v>
      </c>
      <c r="C5309" t="s" s="11">
        <v>60</v>
      </c>
      <c r="D5309" t="s" s="11">
        <v>246</v>
      </c>
      <c r="E5309" t="s" s="11">
        <v>137</v>
      </c>
      <c r="F5309" s="28">
        <v>45966</v>
      </c>
      <c r="G5309" t="s" s="11">
        <v>40</v>
      </c>
      <c r="H5309" s="43">
        <v>13.14</v>
      </c>
      <c r="I5309" t="s" s="43">
        <v>30</v>
      </c>
      <c r="J5309" t="s" s="11">
        <v>26729</v>
      </c>
      <c r="K5309" t="s" s="11">
        <v>26730</v>
      </c>
      <c r="L5309" s="17">
        <f>HYPERLINK("http://idare.jp", "idare.jp")</f>
      </c>
      <c r="M5309" s="17">
        <f>HYPERLINK("https://my.pitchbook.com?c=468897-49", "View Company Online")</f>
      </c>
    </row>
    <row r="5310">
      <c r="A5310" t="s" s="10">
        <v>26732</v>
      </c>
      <c r="B5310" t="s" s="10">
        <v>26733</v>
      </c>
      <c r="C5310" t="s" s="10">
        <v>172</v>
      </c>
      <c r="D5310" t="s" s="10">
        <v>173</v>
      </c>
      <c r="E5310" t="s" s="10">
        <v>465</v>
      </c>
      <c r="F5310" s="27">
        <v>45678</v>
      </c>
      <c r="G5310" t="s" s="10">
        <v>40</v>
      </c>
      <c r="H5310" s="42">
        <v>1</v>
      </c>
      <c r="I5310" t="s" s="42">
        <v>30</v>
      </c>
      <c r="J5310" t="s" s="10">
        <v>26734</v>
      </c>
      <c r="K5310" t="s" s="10">
        <v>26735</v>
      </c>
      <c r="L5310" s="16">
        <f>HYPERLINK("http://www.identomat.com", "www.identomat.com")</f>
      </c>
      <c r="M5310" s="16">
        <f>HYPERLINK("https://my.pitchbook.com?c=482751-64", "View Company Online")</f>
      </c>
    </row>
    <row r="5311">
      <c r="A5311" t="s" s="11">
        <v>26737</v>
      </c>
      <c r="B5311" t="s" s="11">
        <v>26738</v>
      </c>
      <c r="C5311" t="s" s="11">
        <v>164</v>
      </c>
      <c r="D5311" t="s" s="11">
        <v>206</v>
      </c>
      <c r="E5311" t="s" s="11">
        <v>253</v>
      </c>
      <c r="F5311" s="28">
        <v>44621</v>
      </c>
      <c r="G5311" t="s" s="11">
        <v>4267</v>
      </c>
      <c r="H5311" s="43">
        <v>1.15</v>
      </c>
      <c r="I5311" t="s" s="43">
        <v>30</v>
      </c>
      <c r="J5311" t="s" s="11">
        <v>26739</v>
      </c>
      <c r="K5311" t="s" s="11">
        <v>26740</v>
      </c>
      <c r="L5311" s="17">
        <f>HYPERLINK("http://www.idez.com.br", "www.idez.com.br")</f>
      </c>
      <c r="M5311" s="17">
        <f>HYPERLINK("https://my.pitchbook.com?c=483300-55", "View Company Online")</f>
      </c>
    </row>
    <row r="5312">
      <c r="A5312" t="s" s="10">
        <v>26742</v>
      </c>
      <c r="B5312" t="s" s="10">
        <v>26743</v>
      </c>
      <c r="C5312" t="s" s="10">
        <v>172</v>
      </c>
      <c r="D5312" t="s" s="10">
        <v>338</v>
      </c>
      <c r="E5312" t="s" s="10">
        <v>253</v>
      </c>
      <c r="F5312" s="27">
        <v>45980</v>
      </c>
      <c r="G5312" t="s" s="10">
        <v>40</v>
      </c>
      <c r="H5312" s="42">
        <v>1</v>
      </c>
      <c r="I5312" t="s" s="42">
        <v>30</v>
      </c>
      <c r="J5312" t="s" s="10">
        <v>26744</v>
      </c>
      <c r="K5312" t="s" s="10">
        <v>30</v>
      </c>
      <c r="L5312" s="16">
        <f>HYPERLINK("http://www.idmission.com", "www.idmission.com")</f>
      </c>
      <c r="M5312" s="16">
        <f>HYPERLINK("https://my.pitchbook.com?c=57974-32", "View Company Online")</f>
      </c>
    </row>
    <row r="5313">
      <c r="A5313" t="s" s="11">
        <v>26746</v>
      </c>
      <c r="B5313" t="s" s="11">
        <v>26747</v>
      </c>
      <c r="C5313" t="s" s="11">
        <v>172</v>
      </c>
      <c r="D5313" t="s" s="11">
        <v>173</v>
      </c>
      <c r="E5313" t="s" s="11">
        <v>4279</v>
      </c>
      <c r="F5313" s="28">
        <v>44927</v>
      </c>
      <c r="G5313" t="s" s="11">
        <v>4267</v>
      </c>
      <c r="H5313" t="s" s="43">
        <v>30</v>
      </c>
      <c r="I5313" t="s" s="43">
        <v>30</v>
      </c>
      <c r="J5313" t="s" s="11">
        <v>26748</v>
      </c>
      <c r="K5313" t="s" s="11">
        <v>26749</v>
      </c>
      <c r="L5313" s="17">
        <f>HYPERLINK("http://www.idwise.com", "www.idwise.com")</f>
      </c>
      <c r="M5313" s="17">
        <f>HYPERLINK("https://my.pitchbook.com?c=503430-13", "View Company Online")</f>
      </c>
    </row>
    <row r="5314">
      <c r="A5314" t="s" s="10">
        <v>26751</v>
      </c>
      <c r="B5314" t="s" s="10">
        <v>26752</v>
      </c>
      <c r="C5314" t="s" s="10">
        <v>114</v>
      </c>
      <c r="D5314" t="s" s="10">
        <v>136</v>
      </c>
      <c r="E5314" t="s" s="10">
        <v>26753</v>
      </c>
      <c r="F5314" s="27">
        <v>46127</v>
      </c>
      <c r="G5314" t="s" s="10">
        <v>40</v>
      </c>
      <c r="H5314" s="42">
        <v>3.23</v>
      </c>
      <c r="I5314" t="s" s="42">
        <v>30</v>
      </c>
      <c r="J5314" t="s" s="10">
        <v>26754</v>
      </c>
      <c r="K5314" t="s" s="10">
        <v>26755</v>
      </c>
      <c r="L5314" s="16">
        <f>HYPERLINK("http://www.ifarmer.asia", "www.ifarmer.asia")</f>
      </c>
      <c r="M5314" s="16">
        <f>HYPERLINK("https://my.pitchbook.com?c=435328-39", "View Company Online")</f>
      </c>
    </row>
    <row r="5315">
      <c r="A5315" t="s" s="11">
        <v>26757</v>
      </c>
      <c r="B5315" t="s" s="11">
        <v>26758</v>
      </c>
      <c r="C5315" t="s" s="11">
        <v>164</v>
      </c>
      <c r="D5315" t="s" s="11">
        <v>165</v>
      </c>
      <c r="E5315" t="s" s="11">
        <v>26759</v>
      </c>
      <c r="F5315" s="28">
        <v>44797</v>
      </c>
      <c r="G5315" t="s" s="11">
        <v>146</v>
      </c>
      <c r="H5315" s="43">
        <v>2.58</v>
      </c>
      <c r="I5315" t="s" s="43">
        <v>30</v>
      </c>
      <c r="J5315" t="s" s="11">
        <v>26760</v>
      </c>
      <c r="K5315" t="s" s="11">
        <v>26761</v>
      </c>
      <c r="L5315" s="17">
        <f>HYPERLINK("http://www.ifinityglobal.com", "www.ifinityglobal.com")</f>
      </c>
      <c r="M5315" s="17">
        <f>HYPERLINK("https://my.pitchbook.com?c=504027-37", "View Company Online")</f>
      </c>
    </row>
    <row r="5316">
      <c r="A5316" t="s" s="10">
        <v>26763</v>
      </c>
      <c r="B5316" t="s" s="10">
        <v>26764</v>
      </c>
      <c r="C5316" t="s" s="10">
        <v>27</v>
      </c>
      <c r="D5316" t="s" s="10">
        <v>122</v>
      </c>
      <c r="E5316" t="s" s="10">
        <v>373</v>
      </c>
      <c r="F5316" s="27">
        <v>46108</v>
      </c>
      <c r="G5316" t="s" s="10">
        <v>146</v>
      </c>
      <c r="H5316" s="42">
        <v>0.8</v>
      </c>
      <c r="I5316" t="s" s="42">
        <v>30</v>
      </c>
      <c r="J5316" t="s" s="10">
        <v>26765</v>
      </c>
      <c r="K5316" t="s" s="10">
        <v>26766</v>
      </c>
      <c r="L5316" s="16">
        <f>HYPERLINK("http://www.ikkbglobal.com", "www.ikkbglobal.com")</f>
      </c>
      <c r="M5316" s="16">
        <f>HYPERLINK("https://my.pitchbook.com?c=1161165-97", "View Company Online")</f>
      </c>
    </row>
    <row r="5317">
      <c r="A5317" t="s" s="11">
        <v>26768</v>
      </c>
      <c r="B5317" t="s" s="11">
        <v>26769</v>
      </c>
      <c r="C5317" t="s" s="11">
        <v>60</v>
      </c>
      <c r="D5317" t="s" s="11">
        <v>192</v>
      </c>
      <c r="E5317" t="s" s="11">
        <v>373</v>
      </c>
      <c r="F5317" s="28">
        <v>45266</v>
      </c>
      <c r="G5317" t="s" s="11">
        <v>146</v>
      </c>
      <c r="H5317" s="43">
        <v>2.17</v>
      </c>
      <c r="I5317" t="s" s="43">
        <v>30</v>
      </c>
      <c r="J5317" t="s" s="11">
        <v>26770</v>
      </c>
      <c r="K5317" t="s" s="11">
        <v>26771</v>
      </c>
      <c r="L5317" s="17">
        <f>HYPERLINK("http://www.illumyfi.com", "www.illumyfi.com")</f>
      </c>
      <c r="M5317" s="17">
        <f>HYPERLINK("https://my.pitchbook.com?c=533259-73", "View Company Online")</f>
      </c>
    </row>
    <row r="5318">
      <c r="A5318" t="s" s="10">
        <v>26773</v>
      </c>
      <c r="B5318" t="s" s="10">
        <v>26774</v>
      </c>
      <c r="C5318" t="s" s="10">
        <v>164</v>
      </c>
      <c r="D5318" t="s" s="10">
        <v>206</v>
      </c>
      <c r="E5318" t="s" s="10">
        <v>24998</v>
      </c>
      <c r="F5318" t="s" s="27">
        <v>30</v>
      </c>
      <c r="G5318" t="s" s="10">
        <v>48</v>
      </c>
      <c r="H5318" t="s" s="42">
        <v>30</v>
      </c>
      <c r="I5318" t="s" s="42">
        <v>30</v>
      </c>
      <c r="J5318" t="s" s="10">
        <v>26775</v>
      </c>
      <c r="K5318" t="s" s="10">
        <v>26776</v>
      </c>
      <c r="L5318" s="16">
        <f>HYPERLINK("http://www.imalipay.com", "www.imalipay.com")</f>
      </c>
      <c r="M5318" s="16">
        <f>HYPERLINK("https://my.pitchbook.com?c=462041-56", "View Company Online")</f>
      </c>
    </row>
    <row r="5319">
      <c r="A5319" t="s" s="11">
        <v>26778</v>
      </c>
      <c r="B5319" t="s" s="11">
        <v>26779</v>
      </c>
      <c r="C5319" t="s" s="11">
        <v>60</v>
      </c>
      <c r="D5319" t="s" s="11">
        <v>727</v>
      </c>
      <c r="E5319" t="s" s="11">
        <v>193</v>
      </c>
      <c r="F5319" s="28">
        <v>46132</v>
      </c>
      <c r="G5319" t="s" s="11">
        <v>40</v>
      </c>
      <c r="H5319" s="43">
        <v>100</v>
      </c>
      <c r="I5319" t="s" s="43">
        <v>30</v>
      </c>
      <c r="J5319" t="s" s="11">
        <v>26780</v>
      </c>
      <c r="K5319" t="s" s="11">
        <v>26781</v>
      </c>
      <c r="L5319" s="17">
        <f>HYPERLINK("http://www.imanum.app", "www.imanum.app")</f>
      </c>
      <c r="M5319" s="17">
        <f>HYPERLINK("https://my.pitchbook.com?c=492650-74", "View Company Online")</f>
      </c>
    </row>
    <row r="5320">
      <c r="A5320" t="s" s="10">
        <v>26783</v>
      </c>
      <c r="B5320" t="s" s="10">
        <v>26784</v>
      </c>
      <c r="C5320" t="s" s="10">
        <v>164</v>
      </c>
      <c r="D5320" t="s" s="10">
        <v>206</v>
      </c>
      <c r="E5320" t="s" s="10">
        <v>137</v>
      </c>
      <c r="F5320" s="27">
        <v>44979</v>
      </c>
      <c r="G5320" t="s" s="10">
        <v>48</v>
      </c>
      <c r="H5320" t="s" s="42">
        <v>30</v>
      </c>
      <c r="I5320" t="s" s="42">
        <v>30</v>
      </c>
      <c r="J5320" t="s" s="10">
        <v>26785</v>
      </c>
      <c r="K5320" t="s" s="10">
        <v>26786</v>
      </c>
      <c r="L5320" s="16">
        <f>HYPERLINK("http://www.imix.com.co", "www.imix.com.co")</f>
      </c>
      <c r="M5320" s="16">
        <f>HYPERLINK("https://my.pitchbook.com?c=328159-00", "View Company Online")</f>
      </c>
    </row>
    <row r="5321">
      <c r="A5321" t="s" s="11">
        <v>26788</v>
      </c>
      <c r="B5321" t="s" s="11">
        <v>26789</v>
      </c>
      <c r="C5321" t="s" s="11">
        <v>222</v>
      </c>
      <c r="D5321" t="s" s="11">
        <v>537</v>
      </c>
      <c r="E5321" t="s" s="11">
        <v>859</v>
      </c>
      <c r="F5321" s="28">
        <v>45931</v>
      </c>
      <c r="G5321" t="s" s="11">
        <v>40</v>
      </c>
      <c r="H5321" t="s" s="43">
        <v>30</v>
      </c>
      <c r="I5321" t="s" s="43">
        <v>30</v>
      </c>
      <c r="J5321" t="s" s="11">
        <v>26790</v>
      </c>
      <c r="K5321" t="s" s="11">
        <v>26791</v>
      </c>
      <c r="L5321" s="17">
        <f>HYPERLINK("http://www.immix.xyz", "www.immix.xyz")</f>
      </c>
      <c r="M5321" s="17">
        <f>HYPERLINK("https://my.pitchbook.com?c=535465-27", "View Company Online")</f>
      </c>
    </row>
    <row r="5322">
      <c r="A5322" t="s" s="10">
        <v>26793</v>
      </c>
      <c r="B5322" t="s" s="10">
        <v>26794</v>
      </c>
      <c r="C5322" t="s" s="10">
        <v>114</v>
      </c>
      <c r="D5322" t="s" s="10">
        <v>852</v>
      </c>
      <c r="E5322" t="s" s="10">
        <v>253</v>
      </c>
      <c r="F5322" s="27">
        <v>46203</v>
      </c>
      <c r="G5322" t="s" s="10">
        <v>4427</v>
      </c>
      <c r="H5322" t="s" s="42">
        <v>30</v>
      </c>
      <c r="I5322" t="s" s="42">
        <v>30</v>
      </c>
      <c r="J5322" t="s" s="10">
        <v>26795</v>
      </c>
      <c r="K5322" t="s" s="10">
        <v>30</v>
      </c>
      <c r="L5322" s="16">
        <f>HYPERLINK("http://www.impactfactoring.nl", "www.impactfactoring.nl")</f>
      </c>
      <c r="M5322" s="16">
        <f>HYPERLINK("https://my.pitchbook.com?c=431711-92", "View Company Online")</f>
      </c>
    </row>
    <row r="5323">
      <c r="A5323" t="s" s="11">
        <v>26797</v>
      </c>
      <c r="B5323" t="s" s="11">
        <v>26798</v>
      </c>
      <c r="C5323" t="s" s="11">
        <v>222</v>
      </c>
      <c r="D5323" t="s" s="11">
        <v>223</v>
      </c>
      <c r="E5323" t="s" s="11">
        <v>493</v>
      </c>
      <c r="F5323" s="28">
        <v>45348</v>
      </c>
      <c r="G5323" t="s" s="11">
        <v>146</v>
      </c>
      <c r="H5323" t="s" s="43">
        <v>30</v>
      </c>
      <c r="I5323" t="s" s="43">
        <v>30</v>
      </c>
      <c r="J5323" t="s" s="11">
        <v>26799</v>
      </c>
      <c r="K5323" t="s" s="11">
        <v>26800</v>
      </c>
      <c r="L5323" s="17">
        <f>HYPERLINK("http://www.impactablex.com", "www.impactablex.com")</f>
      </c>
      <c r="M5323" s="17">
        <f>HYPERLINK("https://my.pitchbook.com?c=495611-92", "View Company Online")</f>
      </c>
    </row>
    <row r="5324">
      <c r="A5324" t="s" s="10">
        <v>26802</v>
      </c>
      <c r="B5324" t="s" s="10">
        <v>26803</v>
      </c>
      <c r="C5324" t="s" s="10">
        <v>60</v>
      </c>
      <c r="D5324" t="s" s="10">
        <v>192</v>
      </c>
      <c r="E5324" t="s" s="10">
        <v>26804</v>
      </c>
      <c r="F5324" t="s" s="27">
        <v>30</v>
      </c>
      <c r="G5324" t="s" s="10">
        <v>5274</v>
      </c>
      <c r="H5324" t="s" s="42">
        <v>30</v>
      </c>
      <c r="I5324" t="s" s="42">
        <v>30</v>
      </c>
      <c r="J5324" t="s" s="10">
        <v>26805</v>
      </c>
      <c r="K5324" t="s" s="10">
        <v>26806</v>
      </c>
      <c r="L5324" s="16">
        <f>HYPERLINK("http://www.impactnexus.io", "www.impactnexus.io")</f>
      </c>
      <c r="M5324" s="16">
        <f>HYPERLINK("https://my.pitchbook.com?c=482553-37", "View Company Online")</f>
      </c>
    </row>
    <row r="5325">
      <c r="A5325" t="s" s="11">
        <v>26808</v>
      </c>
      <c r="B5325" t="s" s="11">
        <v>26809</v>
      </c>
      <c r="C5325" t="s" s="11">
        <v>222</v>
      </c>
      <c r="D5325" t="s" s="11">
        <v>537</v>
      </c>
      <c r="E5325" t="s" s="11">
        <v>414</v>
      </c>
      <c r="F5325" s="28">
        <v>46170</v>
      </c>
      <c r="G5325" t="s" s="11">
        <v>391</v>
      </c>
      <c r="H5325" t="s" s="43">
        <v>30</v>
      </c>
      <c r="I5325" t="s" s="43">
        <v>30</v>
      </c>
      <c r="J5325" t="s" s="11">
        <v>26810</v>
      </c>
      <c r="K5325" t="s" s="11">
        <v>30</v>
      </c>
      <c r="L5325" s="17">
        <f>HYPERLINK("http://www.imxhealth.com", "www.imxhealth.com")</f>
      </c>
      <c r="M5325" s="17">
        <f>HYPERLINK("https://my.pitchbook.com?c=481984-30", "View Company Online")</f>
      </c>
    </row>
    <row r="5326">
      <c r="A5326" t="s" s="10">
        <v>26812</v>
      </c>
      <c r="B5326" t="s" s="10">
        <v>26813</v>
      </c>
      <c r="C5326" t="s" s="10">
        <v>128</v>
      </c>
      <c r="D5326" t="s" s="10">
        <v>129</v>
      </c>
      <c r="E5326" t="s" s="10">
        <v>253</v>
      </c>
      <c r="F5326" s="27">
        <v>45962</v>
      </c>
      <c r="G5326" t="s" s="10">
        <v>48</v>
      </c>
      <c r="H5326" t="s" s="42">
        <v>30</v>
      </c>
      <c r="I5326" t="s" s="42">
        <v>30</v>
      </c>
      <c r="J5326" t="s" s="10">
        <v>26814</v>
      </c>
      <c r="K5326" t="s" s="10">
        <v>30</v>
      </c>
      <c r="L5326" s="16">
        <f>HYPERLINK("http://www.inpact.com", "www.inpact.com")</f>
      </c>
      <c r="M5326" s="16">
        <f>HYPERLINK("https://my.pitchbook.com?c=157416-31", "View Company Online")</f>
      </c>
    </row>
    <row r="5327">
      <c r="A5327" t="s" s="11">
        <v>26816</v>
      </c>
      <c r="B5327" t="s" s="11">
        <v>26817</v>
      </c>
      <c r="C5327" t="s" s="11">
        <v>46</v>
      </c>
      <c r="D5327" t="s" s="11">
        <v>47</v>
      </c>
      <c r="E5327" t="s" s="11">
        <v>26818</v>
      </c>
      <c r="F5327" s="28">
        <v>45021</v>
      </c>
      <c r="G5327" t="s" s="11">
        <v>146</v>
      </c>
      <c r="H5327" t="s" s="43">
        <v>30</v>
      </c>
      <c r="I5327" t="s" s="43">
        <v>30</v>
      </c>
      <c r="J5327" t="s" s="11">
        <v>26819</v>
      </c>
      <c r="K5327" t="s" s="11">
        <v>26820</v>
      </c>
      <c r="L5327" s="17">
        <f>HYPERLINK("http://www.inbuild.ai", "www.inbuild.ai")</f>
      </c>
      <c r="M5327" s="17">
        <f>HYPERLINK("https://my.pitchbook.com?c=516182-41", "View Company Online")</f>
      </c>
    </row>
    <row r="5328">
      <c r="A5328" t="s" s="10">
        <v>26822</v>
      </c>
      <c r="B5328" t="s" s="10">
        <v>26823</v>
      </c>
      <c r="C5328" t="s" s="10">
        <v>172</v>
      </c>
      <c r="D5328" t="s" s="10">
        <v>338</v>
      </c>
      <c r="E5328" t="s" s="10">
        <v>253</v>
      </c>
      <c r="F5328" s="27">
        <v>46192</v>
      </c>
      <c r="G5328" t="s" s="10">
        <v>40</v>
      </c>
      <c r="H5328" t="s" s="42">
        <v>30</v>
      </c>
      <c r="I5328" t="s" s="42">
        <v>30</v>
      </c>
      <c r="J5328" t="s" s="10">
        <v>26824</v>
      </c>
      <c r="K5328" t="s" s="10">
        <v>26825</v>
      </c>
      <c r="L5328" s="16">
        <f>HYPERLINK("http://www.incentify.com", "www.incentify.com")</f>
      </c>
      <c r="M5328" s="16">
        <f>HYPERLINK("https://my.pitchbook.com?c=57063-70", "View Company Online")</f>
      </c>
    </row>
    <row r="5329">
      <c r="A5329" t="s" s="11">
        <v>26827</v>
      </c>
      <c r="B5329" t="s" s="11">
        <v>26828</v>
      </c>
      <c r="C5329" t="s" s="11">
        <v>60</v>
      </c>
      <c r="D5329" t="s" s="11">
        <v>727</v>
      </c>
      <c r="E5329" t="s" s="11">
        <v>2782</v>
      </c>
      <c r="F5329" s="28">
        <v>45778</v>
      </c>
      <c r="G5329" t="s" s="11">
        <v>40</v>
      </c>
      <c r="H5329" t="s" s="43">
        <v>30</v>
      </c>
      <c r="I5329" t="s" s="43">
        <v>30</v>
      </c>
      <c r="J5329" t="s" s="11">
        <v>26829</v>
      </c>
      <c r="K5329" t="s" s="11">
        <v>26830</v>
      </c>
      <c r="L5329" s="17">
        <f>HYPERLINK("http://www.inco.vc", "www.inco.vc")</f>
      </c>
      <c r="M5329" s="17">
        <f>HYPERLINK("https://my.pitchbook.com?c=491725-18", "View Company Online")</f>
      </c>
    </row>
    <row r="5330">
      <c r="A5330" t="s" s="10">
        <v>26832</v>
      </c>
      <c r="B5330" t="s" s="10">
        <v>26833</v>
      </c>
      <c r="C5330" t="s" s="10">
        <v>46</v>
      </c>
      <c r="D5330" t="s" s="10">
        <v>47</v>
      </c>
      <c r="E5330" t="s" s="10">
        <v>759</v>
      </c>
      <c r="F5330" s="27">
        <v>44757</v>
      </c>
      <c r="G5330" t="s" s="10">
        <v>40</v>
      </c>
      <c r="H5330" t="s" s="42">
        <v>30</v>
      </c>
      <c r="I5330" t="s" s="42">
        <v>30</v>
      </c>
      <c r="J5330" t="s" s="10">
        <v>26834</v>
      </c>
      <c r="K5330" t="s" s="10">
        <v>26835</v>
      </c>
      <c r="L5330" s="16">
        <f>HYPERLINK("http://www.increase.app", "www.increase.app")</f>
      </c>
      <c r="M5330" s="16">
        <f>HYPERLINK("https://my.pitchbook.com?c=96214-87", "View Company Online")</f>
      </c>
    </row>
    <row r="5331">
      <c r="A5331" t="s" s="11">
        <v>26837</v>
      </c>
      <c r="B5331" t="s" s="11">
        <v>26838</v>
      </c>
      <c r="C5331" t="s" s="11">
        <v>222</v>
      </c>
      <c r="D5331" t="s" s="11">
        <v>223</v>
      </c>
      <c r="E5331" t="s" s="11">
        <v>414</v>
      </c>
      <c r="F5331" s="28">
        <v>45937</v>
      </c>
      <c r="G5331" t="s" s="11">
        <v>4267</v>
      </c>
      <c r="H5331" s="43">
        <v>3.5</v>
      </c>
      <c r="I5331" t="s" s="43">
        <v>30</v>
      </c>
      <c r="J5331" t="s" s="11">
        <v>26839</v>
      </c>
      <c r="K5331" t="s" s="11">
        <v>26840</v>
      </c>
      <c r="L5331" s="17">
        <f>HYPERLINK("http://www.increasealpha.com", "www.increasealpha.com")</f>
      </c>
      <c r="M5331" s="17">
        <f>HYPERLINK("https://my.pitchbook.com?c=233495-83", "View Company Online")</f>
      </c>
    </row>
    <row r="5332">
      <c r="A5332" t="s" s="10">
        <v>26842</v>
      </c>
      <c r="B5332" t="s" s="10">
        <v>26843</v>
      </c>
      <c r="C5332" t="s" s="10">
        <v>60</v>
      </c>
      <c r="D5332" t="s" s="10">
        <v>192</v>
      </c>
      <c r="E5332" t="s" s="10">
        <v>270</v>
      </c>
      <c r="F5332" s="27">
        <v>45833</v>
      </c>
      <c r="G5332" t="s" s="10">
        <v>4267</v>
      </c>
      <c r="H5332" s="42">
        <v>3.77</v>
      </c>
      <c r="I5332" t="s" s="42">
        <v>30</v>
      </c>
      <c r="J5332" t="s" s="10">
        <v>26844</v>
      </c>
      <c r="K5332" t="s" s="10">
        <v>26845</v>
      </c>
      <c r="L5332" s="16">
        <f>HYPERLINK("http://www.indiabonds.com", "www.indiabonds.com")</f>
      </c>
      <c r="M5332" s="16">
        <f>HYPERLINK("https://my.pitchbook.com?c=563361-31", "View Company Online")</f>
      </c>
    </row>
    <row r="5333">
      <c r="A5333" t="s" s="11">
        <v>26847</v>
      </c>
      <c r="B5333" t="s" s="11">
        <v>26848</v>
      </c>
      <c r="C5333" t="s" s="11">
        <v>222</v>
      </c>
      <c r="D5333" t="s" s="11">
        <v>223</v>
      </c>
      <c r="E5333" t="s" s="11">
        <v>311</v>
      </c>
      <c r="F5333" s="28">
        <v>46054</v>
      </c>
      <c r="G5333" t="s" s="11">
        <v>40</v>
      </c>
      <c r="H5333" t="s" s="43">
        <v>30</v>
      </c>
      <c r="I5333" t="s" s="43">
        <v>30</v>
      </c>
      <c r="J5333" t="s" s="11">
        <v>26849</v>
      </c>
      <c r="K5333" t="s" s="11">
        <v>26850</v>
      </c>
      <c r="L5333" s="17">
        <f>HYPERLINK("http://indicialabs.ai", "indicialabs.ai")</f>
      </c>
      <c r="M5333" s="17">
        <f>HYPERLINK("https://my.pitchbook.com?c=519284-35", "View Company Online")</f>
      </c>
    </row>
    <row r="5334">
      <c r="A5334" t="s" s="10">
        <v>26852</v>
      </c>
      <c r="B5334" t="s" s="10">
        <v>26853</v>
      </c>
      <c r="C5334" t="s" s="10">
        <v>144</v>
      </c>
      <c r="D5334" t="s" s="10">
        <v>297</v>
      </c>
      <c r="E5334" t="s" s="10">
        <v>137</v>
      </c>
      <c r="F5334" s="27">
        <v>44796</v>
      </c>
      <c r="G5334" t="s" s="10">
        <v>4267</v>
      </c>
      <c r="H5334" s="42">
        <v>0.57</v>
      </c>
      <c r="I5334" t="s" s="42">
        <v>30</v>
      </c>
      <c r="J5334" t="s" s="10">
        <v>26854</v>
      </c>
      <c r="K5334" t="s" s="10">
        <v>26855</v>
      </c>
      <c r="L5334" s="16">
        <f>HYPERLINK("http://www.indiumfinance.com", "www.indiumfinance.com")</f>
      </c>
      <c r="M5334" s="16">
        <f>HYPERLINK("https://my.pitchbook.com?c=503936-20", "View Company Online")</f>
      </c>
    </row>
    <row r="5335">
      <c r="A5335" t="s" s="11">
        <v>26857</v>
      </c>
      <c r="B5335" t="s" s="11">
        <v>26858</v>
      </c>
      <c r="C5335" t="s" s="11">
        <v>27</v>
      </c>
      <c r="D5335" t="s" s="11">
        <v>28</v>
      </c>
      <c r="E5335" t="s" s="11">
        <v>158</v>
      </c>
      <c r="F5335" s="28">
        <v>43804</v>
      </c>
      <c r="G5335" t="s" s="11">
        <v>146</v>
      </c>
      <c r="H5335" s="43">
        <v>2.09</v>
      </c>
      <c r="I5335" t="s" s="43">
        <v>30</v>
      </c>
      <c r="J5335" t="s" s="11">
        <v>26859</v>
      </c>
      <c r="K5335" t="s" s="11">
        <v>26860</v>
      </c>
      <c r="L5335" s="17">
        <f>HYPERLINK("http://www.indyfint.com", "www.indyfint.com")</f>
      </c>
      <c r="M5335" s="17">
        <f>HYPERLINK("https://my.pitchbook.com?c=343461-07", "View Company Online")</f>
      </c>
    </row>
    <row r="5336">
      <c r="A5336" t="s" s="10">
        <v>26862</v>
      </c>
      <c r="B5336" t="s" s="10">
        <v>26863</v>
      </c>
      <c r="C5336" t="s" s="10">
        <v>27</v>
      </c>
      <c r="D5336" t="s" s="10">
        <v>28</v>
      </c>
      <c r="E5336" t="s" s="10">
        <v>5189</v>
      </c>
      <c r="F5336" s="27">
        <v>44459</v>
      </c>
      <c r="G5336" t="s" s="10">
        <v>4267</v>
      </c>
      <c r="H5336" s="42">
        <v>2</v>
      </c>
      <c r="I5336" t="s" s="42">
        <v>30</v>
      </c>
      <c r="J5336" t="s" s="10">
        <v>26864</v>
      </c>
      <c r="K5336" t="s" s="10">
        <v>26865</v>
      </c>
      <c r="L5336" s="16">
        <f>HYPERLINK("http://www.infibranches.com", "www.infibranches.com")</f>
      </c>
      <c r="M5336" s="16">
        <f>HYPERLINK("https://my.pitchbook.com?c=481463-47", "View Company Online")</f>
      </c>
    </row>
    <row r="5337">
      <c r="A5337" t="s" s="11">
        <v>26867</v>
      </c>
      <c r="B5337" t="s" s="11">
        <v>26868</v>
      </c>
      <c r="C5337" t="s" s="11">
        <v>60</v>
      </c>
      <c r="D5337" t="s" s="11">
        <v>61</v>
      </c>
      <c r="E5337" t="s" s="11">
        <v>270</v>
      </c>
      <c r="F5337" s="28">
        <v>45699</v>
      </c>
      <c r="G5337" t="s" s="11">
        <v>40</v>
      </c>
      <c r="H5337" t="s" s="43">
        <v>30</v>
      </c>
      <c r="I5337" t="s" s="43">
        <v>30</v>
      </c>
      <c r="J5337" t="s" s="11">
        <v>26869</v>
      </c>
      <c r="K5337" t="s" s="11">
        <v>26870</v>
      </c>
      <c r="L5337" s="17">
        <f>HYPERLINK("http://www.infina.vn", "www.infina.vn")</f>
      </c>
      <c r="M5337" s="17">
        <f>HYPERLINK("https://my.pitchbook.com?c=436858-84", "View Company Online")</f>
      </c>
    </row>
    <row r="5338">
      <c r="A5338" t="s" s="10">
        <v>26872</v>
      </c>
      <c r="B5338" t="s" s="10">
        <v>26873</v>
      </c>
      <c r="C5338" t="s" s="10">
        <v>164</v>
      </c>
      <c r="D5338" t="s" s="10">
        <v>206</v>
      </c>
      <c r="E5338" t="s" s="10">
        <v>193</v>
      </c>
      <c r="F5338" s="27">
        <v>46216</v>
      </c>
      <c r="G5338" t="s" s="10">
        <v>146</v>
      </c>
      <c r="H5338" s="42">
        <v>13.5</v>
      </c>
      <c r="I5338" t="s" s="42">
        <v>30</v>
      </c>
      <c r="J5338" t="s" s="10">
        <v>26874</v>
      </c>
      <c r="K5338" t="s" s="10">
        <v>26875</v>
      </c>
      <c r="L5338" s="16">
        <f>HYPERLINK("http://www.infinia.xyz", "www.infinia.xyz")</f>
      </c>
      <c r="M5338" s="16">
        <f>HYPERLINK("https://my.pitchbook.com?c=515845-90", "View Company Online")</f>
      </c>
    </row>
    <row r="5339">
      <c r="A5339" t="s" s="11">
        <v>26877</v>
      </c>
      <c r="B5339" t="s" s="11">
        <v>26878</v>
      </c>
      <c r="C5339" t="s" s="11">
        <v>27</v>
      </c>
      <c r="D5339" t="s" s="11">
        <v>28</v>
      </c>
      <c r="E5339" t="s" s="11">
        <v>332</v>
      </c>
      <c r="F5339" s="28">
        <v>44075</v>
      </c>
      <c r="G5339" t="s" s="11">
        <v>40</v>
      </c>
      <c r="H5339" t="s" s="43">
        <v>30</v>
      </c>
      <c r="I5339" t="s" s="43">
        <v>30</v>
      </c>
      <c r="J5339" t="s" s="11">
        <v>26879</v>
      </c>
      <c r="K5339" t="s" s="11">
        <v>26880</v>
      </c>
      <c r="L5339" s="17">
        <f>HYPERLINK("http://www.infinisoft.co.kr", "www.infinisoft.co.kr")</f>
      </c>
      <c r="M5339" s="17">
        <f>HYPERLINK("https://my.pitchbook.com?c=454837-51", "View Company Online")</f>
      </c>
    </row>
    <row r="5340">
      <c r="A5340" t="s" s="10">
        <v>26882</v>
      </c>
      <c r="B5340" t="s" s="10">
        <v>26883</v>
      </c>
      <c r="C5340" t="s" s="10">
        <v>27</v>
      </c>
      <c r="D5340" t="s" s="10">
        <v>70</v>
      </c>
      <c r="E5340" t="s" s="10">
        <v>373</v>
      </c>
      <c r="F5340" s="27">
        <v>45658</v>
      </c>
      <c r="G5340" t="s" s="10">
        <v>146</v>
      </c>
      <c r="H5340" t="s" s="42">
        <v>30</v>
      </c>
      <c r="I5340" t="s" s="42">
        <v>30</v>
      </c>
      <c r="J5340" t="s" s="10">
        <v>26884</v>
      </c>
      <c r="K5340" t="s" s="10">
        <v>26885</v>
      </c>
      <c r="L5340" s="16">
        <f>HYPERLINK("http://www.infinite.dev", "www.infinite.dev")</f>
      </c>
      <c r="M5340" s="16">
        <f>HYPERLINK("https://my.pitchbook.com?c=762768-64", "View Company Online")</f>
      </c>
    </row>
    <row r="5341">
      <c r="A5341" t="s" s="11">
        <v>26887</v>
      </c>
      <c r="B5341" t="s" s="11">
        <v>26888</v>
      </c>
      <c r="C5341" t="s" s="11">
        <v>60</v>
      </c>
      <c r="D5341" t="s" s="11">
        <v>192</v>
      </c>
      <c r="E5341" t="s" s="11">
        <v>253</v>
      </c>
      <c r="F5341" s="28">
        <v>45567</v>
      </c>
      <c r="G5341" t="s" s="11">
        <v>4267</v>
      </c>
      <c r="H5341" s="43">
        <v>2</v>
      </c>
      <c r="I5341" t="s" s="43">
        <v>30</v>
      </c>
      <c r="J5341" t="s" s="11">
        <v>26889</v>
      </c>
      <c r="K5341" t="s" s="11">
        <v>26890</v>
      </c>
      <c r="L5341" s="17">
        <f>HYPERLINK("http://www.infinitegiving.com", "www.infinitegiving.com")</f>
      </c>
      <c r="M5341" s="17">
        <f>HYPERLINK("https://my.pitchbook.com?c=495468-01", "View Company Online")</f>
      </c>
    </row>
    <row r="5342">
      <c r="A5342" t="s" s="10">
        <v>26892</v>
      </c>
      <c r="B5342" t="s" s="10">
        <v>26893</v>
      </c>
      <c r="C5342" t="s" s="10">
        <v>144</v>
      </c>
      <c r="D5342" t="s" s="10">
        <v>38</v>
      </c>
      <c r="E5342" t="s" s="10">
        <v>137</v>
      </c>
      <c r="F5342" s="27">
        <v>45636</v>
      </c>
      <c r="G5342" t="s" s="10">
        <v>146</v>
      </c>
      <c r="H5342" s="42">
        <v>1.9</v>
      </c>
      <c r="I5342" t="s" s="42">
        <v>30</v>
      </c>
      <c r="J5342" t="s" s="10">
        <v>26894</v>
      </c>
      <c r="K5342" t="s" s="10">
        <v>26895</v>
      </c>
      <c r="L5342" s="16">
        <f>HYPERLINK("http://www.infinityapp.in", "www.infinityapp.in")</f>
      </c>
      <c r="M5342" s="16">
        <f>HYPERLINK("https://my.pitchbook.com?c=595891-63", "View Company Online")</f>
      </c>
    </row>
    <row r="5343">
      <c r="A5343" t="s" s="11">
        <v>26897</v>
      </c>
      <c r="B5343" t="s" s="11">
        <v>26898</v>
      </c>
      <c r="C5343" t="s" s="11">
        <v>60</v>
      </c>
      <c r="D5343" t="s" s="11">
        <v>432</v>
      </c>
      <c r="E5343" t="s" s="11">
        <v>137</v>
      </c>
      <c r="F5343" s="28">
        <v>43062</v>
      </c>
      <c r="G5343" t="s" s="11">
        <v>146</v>
      </c>
      <c r="H5343" s="43">
        <v>2.28</v>
      </c>
      <c r="I5343" t="s" s="43">
        <v>30</v>
      </c>
      <c r="J5343" t="s" s="11">
        <v>26899</v>
      </c>
      <c r="K5343" t="s" s="11">
        <v>26900</v>
      </c>
      <c r="L5343" s="17">
        <f>HYPERLINK("http://www.ooteco.com", "www.ooteco.com")</f>
      </c>
      <c r="M5343" s="17">
        <f>HYPERLINK("https://my.pitchbook.com?c=438205-78", "View Company Online")</f>
      </c>
    </row>
    <row r="5344">
      <c r="A5344" t="s" s="10">
        <v>26902</v>
      </c>
      <c r="B5344" t="s" s="10">
        <v>26903</v>
      </c>
      <c r="C5344" t="s" s="10">
        <v>46</v>
      </c>
      <c r="D5344" t="s" s="10">
        <v>397</v>
      </c>
      <c r="E5344" t="s" s="10">
        <v>7678</v>
      </c>
      <c r="F5344" s="27">
        <v>44866</v>
      </c>
      <c r="G5344" t="s" s="10">
        <v>4267</v>
      </c>
      <c r="H5344" t="s" s="42">
        <v>30</v>
      </c>
      <c r="I5344" t="s" s="42">
        <v>30</v>
      </c>
      <c r="J5344" t="s" s="10">
        <v>26904</v>
      </c>
      <c r="K5344" t="s" s="10">
        <v>26905</v>
      </c>
      <c r="L5344" s="16">
        <f>HYPERLINK("http://www.infino.legal", "www.infino.legal")</f>
      </c>
      <c r="M5344" s="16">
        <f>HYPERLINK("https://my.pitchbook.com?c=515854-99", "View Company Online")</f>
      </c>
    </row>
    <row r="5345">
      <c r="A5345" t="s" s="11">
        <v>26907</v>
      </c>
      <c r="B5345" t="s" s="11">
        <v>26908</v>
      </c>
      <c r="C5345" t="s" s="11">
        <v>27</v>
      </c>
      <c r="D5345" t="s" s="11">
        <v>28</v>
      </c>
      <c r="E5345" t="s" s="11">
        <v>137</v>
      </c>
      <c r="F5345" s="28">
        <v>46055</v>
      </c>
      <c r="G5345" t="s" s="11">
        <v>607</v>
      </c>
      <c r="H5345" t="s" s="43">
        <v>30</v>
      </c>
      <c r="I5345" t="s" s="43">
        <v>30</v>
      </c>
      <c r="J5345" t="s" s="11">
        <v>26909</v>
      </c>
      <c r="K5345" t="s" s="11">
        <v>26910</v>
      </c>
      <c r="L5345" s="17">
        <f>HYPERLINK("http://www.inflowpay.com", "www.inflowpay.com")</f>
      </c>
      <c r="M5345" s="17">
        <f>HYPERLINK("https://my.pitchbook.com?c=744669-01", "View Company Online")</f>
      </c>
    </row>
    <row r="5346">
      <c r="A5346" t="s" s="10">
        <v>26912</v>
      </c>
      <c r="B5346" t="s" s="10">
        <v>26913</v>
      </c>
      <c r="C5346" t="s" s="10">
        <v>164</v>
      </c>
      <c r="D5346" t="s" s="10">
        <v>165</v>
      </c>
      <c r="E5346" t="s" s="10">
        <v>137</v>
      </c>
      <c r="F5346" t="s" s="27">
        <v>30</v>
      </c>
      <c r="G5346" t="s" s="10">
        <v>48</v>
      </c>
      <c r="H5346" t="s" s="42">
        <v>30</v>
      </c>
      <c r="I5346" t="s" s="42">
        <v>30</v>
      </c>
      <c r="J5346" t="s" s="10">
        <v>26914</v>
      </c>
      <c r="K5346" t="s" s="10">
        <v>26915</v>
      </c>
      <c r="L5346" s="16">
        <f>HYPERLINK("http://www.infoplusvn.com", "www.infoplusvn.com")</f>
      </c>
      <c r="M5346" s="16">
        <f>HYPERLINK("https://my.pitchbook.com?c=500714-11", "View Company Online")</f>
      </c>
    </row>
    <row r="5347">
      <c r="A5347" t="s" s="11">
        <v>26917</v>
      </c>
      <c r="B5347" t="s" s="11">
        <v>26918</v>
      </c>
      <c r="C5347" t="s" s="11">
        <v>164</v>
      </c>
      <c r="D5347" t="s" s="11">
        <v>206</v>
      </c>
      <c r="E5347" t="s" s="11">
        <v>373</v>
      </c>
      <c r="F5347" s="28">
        <v>45413</v>
      </c>
      <c r="G5347" t="s" s="11">
        <v>40</v>
      </c>
      <c r="H5347" s="43">
        <v>0.7</v>
      </c>
      <c r="I5347" t="s" s="43">
        <v>30</v>
      </c>
      <c r="J5347" t="s" s="11">
        <v>26919</v>
      </c>
      <c r="K5347" t="s" s="11">
        <v>26920</v>
      </c>
      <c r="L5347" s="17">
        <f>HYPERLINK("http://www.ingain.com", "www.ingain.com")</f>
      </c>
      <c r="M5347" s="17">
        <f>HYPERLINK("https://my.pitchbook.com?c=522790-12", "View Company Online")</f>
      </c>
    </row>
    <row r="5348">
      <c r="A5348" t="s" s="10">
        <v>26922</v>
      </c>
      <c r="B5348" t="s" s="10">
        <v>26923</v>
      </c>
      <c r="C5348" t="s" s="10">
        <v>60</v>
      </c>
      <c r="D5348" t="s" s="10">
        <v>420</v>
      </c>
      <c r="E5348" t="s" s="10">
        <v>137</v>
      </c>
      <c r="F5348" s="27">
        <v>45962</v>
      </c>
      <c r="G5348" t="s" s="10">
        <v>146</v>
      </c>
      <c r="H5348" t="s" s="42">
        <v>30</v>
      </c>
      <c r="I5348" t="s" s="42">
        <v>30</v>
      </c>
      <c r="J5348" t="s" s="10">
        <v>26924</v>
      </c>
      <c r="K5348" t="s" s="10">
        <v>15348</v>
      </c>
      <c r="L5348" s="16">
        <f>HYPERLINK("http://www.inheritly.ai", "www.inheritly.ai")</f>
      </c>
      <c r="M5348" s="16">
        <f>HYPERLINK("https://my.pitchbook.com?c=1165148-29", "View Company Online")</f>
      </c>
    </row>
    <row r="5349">
      <c r="A5349" t="s" s="11">
        <v>26926</v>
      </c>
      <c r="B5349" t="s" s="11">
        <v>26927</v>
      </c>
      <c r="C5349" t="s" s="11">
        <v>27</v>
      </c>
      <c r="D5349" t="s" s="11">
        <v>28</v>
      </c>
      <c r="E5349" t="s" s="11">
        <v>634</v>
      </c>
      <c r="F5349" s="28">
        <v>45118</v>
      </c>
      <c r="G5349" t="s" s="11">
        <v>40</v>
      </c>
      <c r="H5349" t="s" s="43">
        <v>30</v>
      </c>
      <c r="I5349" t="s" s="43">
        <v>30</v>
      </c>
      <c r="J5349" t="s" s="11">
        <v>26928</v>
      </c>
      <c r="K5349" t="s" s="11">
        <v>26929</v>
      </c>
      <c r="L5349" s="17">
        <f>HYPERLINK("http://www.ini.live", "www.ini.live")</f>
      </c>
      <c r="M5349" s="17">
        <f>HYPERLINK("https://my.pitchbook.com?c=174069-10", "View Company Online")</f>
      </c>
    </row>
    <row r="5350">
      <c r="A5350" t="s" s="10">
        <v>26931</v>
      </c>
      <c r="B5350" t="s" s="10">
        <v>26932</v>
      </c>
      <c r="C5350" t="s" s="10">
        <v>164</v>
      </c>
      <c r="D5350" t="s" s="10">
        <v>206</v>
      </c>
      <c r="E5350" t="s" s="10">
        <v>137</v>
      </c>
      <c r="F5350" s="27">
        <v>45884</v>
      </c>
      <c r="G5350" t="s" s="10">
        <v>146</v>
      </c>
      <c r="H5350" s="42">
        <v>37</v>
      </c>
      <c r="I5350" t="s" s="42">
        <v>30</v>
      </c>
      <c r="J5350" t="s" s="10">
        <v>26933</v>
      </c>
      <c r="K5350" t="s" s="10">
        <v>26934</v>
      </c>
      <c r="L5350" s="16">
        <f>HYPERLINK("http://www.iniciador.com.br", "www.iniciador.com.br")</f>
      </c>
      <c r="M5350" s="16">
        <f>HYPERLINK("https://my.pitchbook.com?c=533198-35", "View Company Online")</f>
      </c>
    </row>
    <row r="5351">
      <c r="A5351" t="s" s="11">
        <v>26936</v>
      </c>
      <c r="B5351" t="s" s="11">
        <v>26937</v>
      </c>
      <c r="C5351" t="s" s="11">
        <v>46</v>
      </c>
      <c r="D5351" t="s" s="11">
        <v>915</v>
      </c>
      <c r="E5351" t="s" s="11">
        <v>373</v>
      </c>
      <c r="F5351" s="28">
        <v>45118</v>
      </c>
      <c r="G5351" t="s" s="11">
        <v>146</v>
      </c>
      <c r="H5351" s="43">
        <v>1</v>
      </c>
      <c r="I5351" t="s" s="43">
        <v>30</v>
      </c>
      <c r="J5351" t="s" s="11">
        <v>26938</v>
      </c>
      <c r="K5351" t="s" s="11">
        <v>26939</v>
      </c>
      <c r="L5351" s="17">
        <f>HYPERLINK("http://www.initio.software", "www.initio.software")</f>
      </c>
      <c r="M5351" s="17">
        <f>HYPERLINK("https://my.pitchbook.com?c=505063-09", "View Company Online")</f>
      </c>
    </row>
    <row r="5352">
      <c r="A5352" t="s" s="10">
        <v>26941</v>
      </c>
      <c r="B5352" t="s" s="10">
        <v>26942</v>
      </c>
      <c r="C5352" t="s" s="10">
        <v>60</v>
      </c>
      <c r="D5352" t="s" s="10">
        <v>727</v>
      </c>
      <c r="E5352" t="s" s="10">
        <v>253</v>
      </c>
      <c r="F5352" t="s" s="27">
        <v>30</v>
      </c>
      <c r="G5352" t="s" s="10">
        <v>186</v>
      </c>
      <c r="H5352" t="s" s="42">
        <v>30</v>
      </c>
      <c r="I5352" t="s" s="42">
        <v>30</v>
      </c>
      <c r="J5352" t="s" s="10">
        <v>26943</v>
      </c>
      <c r="K5352" t="s" s="10">
        <v>26944</v>
      </c>
      <c r="L5352" s="16">
        <f>HYPERLINK("http://www.inkoms.com", "www.inkoms.com")</f>
      </c>
      <c r="M5352" s="16">
        <f>HYPERLINK("https://my.pitchbook.com?c=519644-62", "View Company Online")</f>
      </c>
    </row>
    <row r="5353">
      <c r="A5353" t="s" s="11">
        <v>26946</v>
      </c>
      <c r="B5353" t="s" s="11">
        <v>26947</v>
      </c>
      <c r="C5353" t="s" s="11">
        <v>46</v>
      </c>
      <c r="D5353" t="s" s="11">
        <v>915</v>
      </c>
      <c r="E5353" t="s" s="11">
        <v>26948</v>
      </c>
      <c r="F5353" s="28">
        <v>46023</v>
      </c>
      <c r="G5353" t="s" s="11">
        <v>146</v>
      </c>
      <c r="H5353" t="s" s="43">
        <v>30</v>
      </c>
      <c r="I5353" t="s" s="43">
        <v>30</v>
      </c>
      <c r="J5353" t="s" s="11">
        <v>26949</v>
      </c>
      <c r="K5353" t="s" s="11">
        <v>26950</v>
      </c>
      <c r="L5353" s="17">
        <f>HYPERLINK("http://www.inncivio.com", "www.inncivio.com")</f>
      </c>
      <c r="M5353" s="17">
        <f>HYPERLINK("https://my.pitchbook.com?c=593833-87", "View Company Online")</f>
      </c>
    </row>
    <row r="5354">
      <c r="A5354" t="s" s="10">
        <v>26952</v>
      </c>
      <c r="B5354" t="s" s="10">
        <v>26953</v>
      </c>
      <c r="C5354" t="s" s="10">
        <v>128</v>
      </c>
      <c r="D5354" t="s" s="10">
        <v>129</v>
      </c>
      <c r="E5354" t="s" s="10">
        <v>270</v>
      </c>
      <c r="F5354" s="27">
        <v>45901</v>
      </c>
      <c r="G5354" t="s" s="10">
        <v>607</v>
      </c>
      <c r="H5354" t="s" s="42">
        <v>30</v>
      </c>
      <c r="I5354" t="s" s="42">
        <v>30</v>
      </c>
      <c r="J5354" t="s" s="10">
        <v>26954</v>
      </c>
      <c r="K5354" t="s" s="10">
        <v>26955</v>
      </c>
      <c r="L5354" s="16">
        <f>HYPERLINK("http://inovat.tax", "inovat.tax")</f>
      </c>
      <c r="M5354" s="16">
        <f>HYPERLINK("https://my.pitchbook.com?c=454455-37", "View Company Online")</f>
      </c>
    </row>
    <row r="5355">
      <c r="A5355" t="s" s="11">
        <v>26957</v>
      </c>
      <c r="B5355" t="s" s="11">
        <v>26958</v>
      </c>
      <c r="C5355" t="s" s="11">
        <v>172</v>
      </c>
      <c r="D5355" t="s" s="11">
        <v>1454</v>
      </c>
      <c r="E5355" t="s" s="11">
        <v>1349</v>
      </c>
      <c r="F5355" s="28">
        <v>44260</v>
      </c>
      <c r="G5355" t="s" s="11">
        <v>40</v>
      </c>
      <c r="H5355" s="43">
        <v>0.67</v>
      </c>
      <c r="I5355" t="s" s="43">
        <v>30</v>
      </c>
      <c r="J5355" t="s" s="11">
        <v>26959</v>
      </c>
      <c r="K5355" t="s" s="11">
        <v>26960</v>
      </c>
      <c r="L5355" s="17">
        <f>HYPERLINK("http://www.inoxico.com", "www.inoxico.com")</f>
      </c>
      <c r="M5355" s="17">
        <f>HYPERLINK("https://my.pitchbook.com?c=98366-50", "View Company Online")</f>
      </c>
    </row>
    <row r="5356">
      <c r="A5356" t="s" s="10">
        <v>26962</v>
      </c>
      <c r="B5356" t="s" s="10">
        <v>26963</v>
      </c>
      <c r="C5356" t="s" s="10">
        <v>164</v>
      </c>
      <c r="D5356" t="s" s="10">
        <v>206</v>
      </c>
      <c r="E5356" t="s" s="10">
        <v>26964</v>
      </c>
      <c r="F5356" s="27">
        <v>45156</v>
      </c>
      <c r="G5356" t="s" s="10">
        <v>146</v>
      </c>
      <c r="H5356" t="s" s="42">
        <v>30</v>
      </c>
      <c r="I5356" t="s" s="42">
        <v>30</v>
      </c>
      <c r="J5356" t="s" s="10">
        <v>26965</v>
      </c>
      <c r="K5356" t="s" s="10">
        <v>26966</v>
      </c>
      <c r="L5356" s="16">
        <f>HYPERLINK("http://insidelook.cn", "insidelook.cn")</f>
      </c>
      <c r="M5356" s="16">
        <f>HYPERLINK("https://my.pitchbook.com?c=535295-89", "View Company Online")</f>
      </c>
    </row>
    <row r="5357">
      <c r="A5357" t="s" s="11">
        <v>26968</v>
      </c>
      <c r="B5357" t="s" s="11">
        <v>26969</v>
      </c>
      <c r="C5357" t="s" s="11">
        <v>114</v>
      </c>
      <c r="D5357" t="s" s="11">
        <v>136</v>
      </c>
      <c r="E5357" t="s" s="11">
        <v>16640</v>
      </c>
      <c r="F5357" s="28">
        <v>46203</v>
      </c>
      <c r="G5357" t="s" s="11">
        <v>31</v>
      </c>
      <c r="H5357" s="43">
        <v>138.1</v>
      </c>
      <c r="I5357" t="s" s="43">
        <v>30</v>
      </c>
      <c r="J5357" t="s" s="11">
        <v>26970</v>
      </c>
      <c r="K5357" t="s" s="11">
        <v>26971</v>
      </c>
      <c r="L5357" s="17">
        <f>HYPERLINK("http://www.insoil.com", "www.insoil.com")</f>
      </c>
      <c r="M5357" s="17">
        <f>HYPERLINK("https://my.pitchbook.com?c=481769-29", "View Company Online")</f>
      </c>
    </row>
    <row r="5358">
      <c r="A5358" t="s" s="10">
        <v>26973</v>
      </c>
      <c r="B5358" t="s" s="10">
        <v>26974</v>
      </c>
      <c r="C5358" t="s" s="10">
        <v>46</v>
      </c>
      <c r="D5358" t="s" s="10">
        <v>78</v>
      </c>
      <c r="E5358" t="s" s="10">
        <v>253</v>
      </c>
      <c r="F5358" s="27">
        <v>44662</v>
      </c>
      <c r="G5358" t="s" s="10">
        <v>146</v>
      </c>
      <c r="H5358" t="s" s="42">
        <v>30</v>
      </c>
      <c r="I5358" t="s" s="42">
        <v>30</v>
      </c>
      <c r="J5358" t="s" s="10">
        <v>26975</v>
      </c>
      <c r="K5358" t="s" s="10">
        <v>26976</v>
      </c>
      <c r="L5358" s="16">
        <f>HYPERLINK("http://www.inssent.com", "www.inssent.com")</f>
      </c>
      <c r="M5358" s="16">
        <f>HYPERLINK("https://my.pitchbook.com?c=342103-69", "View Company Online")</f>
      </c>
    </row>
    <row r="5359">
      <c r="A5359" t="s" s="11">
        <v>26978</v>
      </c>
      <c r="B5359" t="s" s="11">
        <v>26979</v>
      </c>
      <c r="C5359" t="s" s="11">
        <v>114</v>
      </c>
      <c r="D5359" t="s" s="11">
        <v>852</v>
      </c>
      <c r="E5359" t="s" s="11">
        <v>137</v>
      </c>
      <c r="F5359" s="28">
        <v>44190</v>
      </c>
      <c r="G5359" t="s" s="11">
        <v>2051</v>
      </c>
      <c r="H5359" t="s" s="43">
        <v>30</v>
      </c>
      <c r="I5359" t="s" s="43">
        <v>30</v>
      </c>
      <c r="J5359" t="s" s="11">
        <v>26980</v>
      </c>
      <c r="K5359" t="s" s="11">
        <v>30</v>
      </c>
      <c r="L5359" s="17">
        <f>HYPERLINK("http://www.ijikee.com", "www.ijikee.com")</f>
      </c>
      <c r="M5359" s="17">
        <f>HYPERLINK("https://my.pitchbook.com?c=304304-59", "View Company Online")</f>
      </c>
    </row>
    <row r="5360">
      <c r="A5360" t="s" s="10">
        <v>26982</v>
      </c>
      <c r="B5360" t="s" s="10">
        <v>26983</v>
      </c>
      <c r="C5360" t="s" s="10">
        <v>144</v>
      </c>
      <c r="D5360" t="s" s="10">
        <v>297</v>
      </c>
      <c r="E5360" t="s" s="10">
        <v>634</v>
      </c>
      <c r="F5360" s="27">
        <v>45966</v>
      </c>
      <c r="G5360" t="s" s="10">
        <v>31</v>
      </c>
      <c r="H5360" s="42">
        <v>34.84</v>
      </c>
      <c r="I5360" t="s" s="42">
        <v>30</v>
      </c>
      <c r="J5360" t="s" s="10">
        <v>26984</v>
      </c>
      <c r="K5360" t="s" s="10">
        <v>26985</v>
      </c>
      <c r="L5360" s="16">
        <f>HYPERLINK("http://www.instantfactoring.com", "www.instantfactoring.com")</f>
      </c>
      <c r="M5360" s="16">
        <f>HYPERLINK("https://my.pitchbook.com?c=234548-38", "View Company Online")</f>
      </c>
    </row>
    <row r="5361">
      <c r="A5361" t="s" s="11">
        <v>26987</v>
      </c>
      <c r="B5361" t="s" s="11">
        <v>26988</v>
      </c>
      <c r="C5361" t="s" s="11">
        <v>46</v>
      </c>
      <c r="D5361" t="s" s="11">
        <v>78</v>
      </c>
      <c r="E5361" t="s" s="11">
        <v>270</v>
      </c>
      <c r="F5361" s="28">
        <v>45471</v>
      </c>
      <c r="G5361" t="s" s="11">
        <v>31</v>
      </c>
      <c r="H5361" t="s" s="43">
        <v>30</v>
      </c>
      <c r="I5361" t="s" s="43">
        <v>30</v>
      </c>
      <c r="J5361" t="s" s="11">
        <v>26989</v>
      </c>
      <c r="K5361" t="s" s="11">
        <v>26990</v>
      </c>
      <c r="L5361" s="17">
        <f>HYPERLINK("http://www.instant.co", "www.instant.co")</f>
      </c>
      <c r="M5361" s="17">
        <f>HYPERLINK("https://my.pitchbook.com?c=154127-62", "View Company Online")</f>
      </c>
    </row>
    <row r="5362">
      <c r="A5362" t="s" s="10">
        <v>26992</v>
      </c>
      <c r="B5362" t="s" s="10">
        <v>26993</v>
      </c>
      <c r="C5362" t="s" s="10">
        <v>46</v>
      </c>
      <c r="D5362" t="s" s="10">
        <v>47</v>
      </c>
      <c r="E5362" t="s" s="10">
        <v>253</v>
      </c>
      <c r="F5362" s="27">
        <v>44691</v>
      </c>
      <c r="G5362" t="s" s="10">
        <v>146</v>
      </c>
      <c r="H5362" s="42">
        <v>0.34</v>
      </c>
      <c r="I5362" t="s" s="42">
        <v>30</v>
      </c>
      <c r="J5362" t="s" s="10">
        <v>26994</v>
      </c>
      <c r="K5362" t="s" s="10">
        <v>26995</v>
      </c>
      <c r="L5362" s="16">
        <f>HYPERLINK("http://www.instapay.pl", "www.instapay.pl")</f>
      </c>
      <c r="M5362" s="16">
        <f>HYPERLINK("https://my.pitchbook.com?c=512115-67", "View Company Online")</f>
      </c>
    </row>
    <row r="5363">
      <c r="A5363" t="s" s="11">
        <v>26997</v>
      </c>
      <c r="B5363" t="s" s="11">
        <v>26998</v>
      </c>
      <c r="C5363" t="s" s="11">
        <v>27</v>
      </c>
      <c r="D5363" t="s" s="11">
        <v>28</v>
      </c>
      <c r="E5363" t="s" s="11">
        <v>253</v>
      </c>
      <c r="F5363" s="28">
        <v>45826</v>
      </c>
      <c r="G5363" t="s" s="11">
        <v>40</v>
      </c>
      <c r="H5363" s="43">
        <v>3</v>
      </c>
      <c r="I5363" t="s" s="43">
        <v>30</v>
      </c>
      <c r="J5363" t="s" s="11">
        <v>26999</v>
      </c>
      <c r="K5363" t="s" s="11">
        <v>27000</v>
      </c>
      <c r="L5363" s="17">
        <f>HYPERLINK("http://www.instapaytech.com", "www.instapaytech.com")</f>
      </c>
      <c r="M5363" s="17">
        <f>HYPERLINK("https://my.pitchbook.com?c=231589-36", "View Company Online")</f>
      </c>
    </row>
    <row r="5364">
      <c r="A5364" t="s" s="10">
        <v>27002</v>
      </c>
      <c r="B5364" t="s" s="10">
        <v>27003</v>
      </c>
      <c r="C5364" t="s" s="10">
        <v>164</v>
      </c>
      <c r="D5364" t="s" s="10">
        <v>206</v>
      </c>
      <c r="E5364" t="s" s="10">
        <v>373</v>
      </c>
      <c r="F5364" s="27">
        <v>46147</v>
      </c>
      <c r="G5364" t="s" s="10">
        <v>4267</v>
      </c>
      <c r="H5364" s="42">
        <v>4.7</v>
      </c>
      <c r="I5364" t="s" s="42">
        <v>30</v>
      </c>
      <c r="J5364" t="s" s="10">
        <v>27004</v>
      </c>
      <c r="K5364" t="s" s="10">
        <v>27005</v>
      </c>
      <c r="L5364" s="16">
        <f>HYPERLINK("http://www.instaswitch.co", "www.instaswitch.co")</f>
      </c>
      <c r="M5364" s="16">
        <f>HYPERLINK("https://my.pitchbook.com?c=894764-98", "View Company Online")</f>
      </c>
    </row>
    <row r="5365">
      <c r="A5365" t="s" s="11">
        <v>27007</v>
      </c>
      <c r="B5365" t="s" s="11">
        <v>27008</v>
      </c>
      <c r="C5365" t="s" s="11">
        <v>46</v>
      </c>
      <c r="D5365" t="s" s="11">
        <v>78</v>
      </c>
      <c r="E5365" t="s" s="11">
        <v>2824</v>
      </c>
      <c r="F5365" s="28">
        <v>44572</v>
      </c>
      <c r="G5365" t="s" s="11">
        <v>40</v>
      </c>
      <c r="H5365" t="s" s="43">
        <v>30</v>
      </c>
      <c r="I5365" t="s" s="43">
        <v>30</v>
      </c>
      <c r="J5365" t="s" s="11">
        <v>27009</v>
      </c>
      <c r="K5365" t="s" s="11">
        <v>27010</v>
      </c>
      <c r="L5365" s="17">
        <f>HYPERLINK("http://www.insurepay.com", "www.insurepay.com")</f>
      </c>
      <c r="M5365" s="17">
        <f>HYPERLINK("https://my.pitchbook.com?c=460244-53", "View Company Online")</f>
      </c>
    </row>
    <row r="5366">
      <c r="A5366" t="s" s="10">
        <v>27012</v>
      </c>
      <c r="B5366" t="s" s="10">
        <v>27013</v>
      </c>
      <c r="C5366" t="s" s="10">
        <v>222</v>
      </c>
      <c r="D5366" t="s" s="10">
        <v>223</v>
      </c>
      <c r="E5366" t="s" s="10">
        <v>2695</v>
      </c>
      <c r="F5366" t="s" s="27">
        <v>30</v>
      </c>
      <c r="G5366" t="s" s="10">
        <v>607</v>
      </c>
      <c r="H5366" t="s" s="42">
        <v>30</v>
      </c>
      <c r="I5366" t="s" s="42">
        <v>30</v>
      </c>
      <c r="J5366" t="s" s="10">
        <v>27014</v>
      </c>
      <c r="K5366" t="s" s="10">
        <v>27015</v>
      </c>
      <c r="L5366" s="16">
        <f>HYPERLINK("http://www.intalk.im", "www.intalk.im")</f>
      </c>
      <c r="M5366" s="16">
        <f>HYPERLINK("https://my.pitchbook.com?c=589926-34", "View Company Online")</f>
      </c>
    </row>
    <row r="5367">
      <c r="A5367" t="s" s="11">
        <v>27017</v>
      </c>
      <c r="B5367" t="s" s="11">
        <v>27018</v>
      </c>
      <c r="C5367" t="s" s="11">
        <v>164</v>
      </c>
      <c r="D5367" t="s" s="11">
        <v>206</v>
      </c>
      <c r="E5367" t="s" s="11">
        <v>9889</v>
      </c>
      <c r="F5367" s="28">
        <v>45125</v>
      </c>
      <c r="G5367" t="s" s="11">
        <v>4267</v>
      </c>
      <c r="H5367" s="43">
        <v>0.6</v>
      </c>
      <c r="I5367" t="s" s="43">
        <v>30</v>
      </c>
      <c r="J5367" t="s" s="11">
        <v>27019</v>
      </c>
      <c r="K5367" t="s" s="11">
        <v>15016</v>
      </c>
      <c r="L5367" s="17">
        <f>HYPERLINK("http://www.intanify.com", "www.intanify.com")</f>
      </c>
      <c r="M5367" s="17">
        <f>HYPERLINK("https://my.pitchbook.com?c=531180-46", "View Company Online")</f>
      </c>
    </row>
    <row r="5368">
      <c r="A5368" t="s" s="10">
        <v>27021</v>
      </c>
      <c r="B5368" t="s" s="10">
        <v>27022</v>
      </c>
      <c r="C5368" t="s" s="10">
        <v>46</v>
      </c>
      <c r="D5368" t="s" s="10">
        <v>397</v>
      </c>
      <c r="E5368" t="s" s="10">
        <v>414</v>
      </c>
      <c r="F5368" s="27">
        <v>45700</v>
      </c>
      <c r="G5368" t="s" s="10">
        <v>146</v>
      </c>
      <c r="H5368" s="42">
        <v>6.53</v>
      </c>
      <c r="I5368" t="s" s="42">
        <v>30</v>
      </c>
      <c r="J5368" t="s" s="10">
        <v>27023</v>
      </c>
      <c r="K5368" t="s" s="10">
        <v>27024</v>
      </c>
      <c r="L5368" s="16">
        <f>HYPERLINK("http://www.integral.de", "www.integral.de")</f>
      </c>
      <c r="M5368" s="16">
        <f>HYPERLINK("https://my.pitchbook.com?c=749173-78", "View Company Online")</f>
      </c>
    </row>
    <row r="5369">
      <c r="A5369" t="s" s="11">
        <v>27026</v>
      </c>
      <c r="B5369" t="s" s="11">
        <v>27027</v>
      </c>
      <c r="C5369" t="s" s="11">
        <v>222</v>
      </c>
      <c r="D5369" t="s" s="11">
        <v>252</v>
      </c>
      <c r="E5369" t="s" s="11">
        <v>373</v>
      </c>
      <c r="F5369" s="28">
        <v>43405</v>
      </c>
      <c r="G5369" t="s" s="11">
        <v>5274</v>
      </c>
      <c r="H5369" s="43">
        <v>0.2</v>
      </c>
      <c r="I5369" t="s" s="43">
        <v>30</v>
      </c>
      <c r="J5369" t="s" s="11">
        <v>27028</v>
      </c>
      <c r="K5369" t="s" s="11">
        <v>30</v>
      </c>
      <c r="L5369" s="17">
        <f>HYPERLINK("http://intelletic.ca", "intelletic.ca")</f>
      </c>
      <c r="M5369" s="17">
        <f>HYPERLINK("https://my.pitchbook.com?c=437019-22", "View Company Online")</f>
      </c>
    </row>
    <row r="5370">
      <c r="A5370" t="s" s="10">
        <v>27030</v>
      </c>
      <c r="B5370" t="s" s="10">
        <v>27031</v>
      </c>
      <c r="C5370" t="s" s="10">
        <v>164</v>
      </c>
      <c r="D5370" t="s" s="10">
        <v>165</v>
      </c>
      <c r="E5370" t="s" s="10">
        <v>373</v>
      </c>
      <c r="F5370" s="27">
        <v>46054</v>
      </c>
      <c r="G5370" t="s" s="10">
        <v>4267</v>
      </c>
      <c r="H5370" t="s" s="42">
        <v>30</v>
      </c>
      <c r="I5370" t="s" s="42">
        <v>30</v>
      </c>
      <c r="J5370" t="s" s="10">
        <v>27032</v>
      </c>
      <c r="K5370" t="s" s="10">
        <v>27033</v>
      </c>
      <c r="L5370" s="16">
        <f>HYPERLINK("http://www.intellilake.com", "www.intellilake.com")</f>
      </c>
      <c r="M5370" s="16">
        <f>HYPERLINK("https://my.pitchbook.com?c=721490-23", "View Company Online")</f>
      </c>
    </row>
    <row r="5371">
      <c r="A5371" t="s" s="11">
        <v>27035</v>
      </c>
      <c r="B5371" t="s" s="11">
        <v>27036</v>
      </c>
      <c r="C5371" t="s" s="11">
        <v>164</v>
      </c>
      <c r="D5371" t="s" s="11">
        <v>206</v>
      </c>
      <c r="E5371" t="s" s="11">
        <v>373</v>
      </c>
      <c r="F5371" s="28">
        <v>45659</v>
      </c>
      <c r="G5371" t="s" s="11">
        <v>40</v>
      </c>
      <c r="H5371" t="s" s="43">
        <v>30</v>
      </c>
      <c r="I5371" t="s" s="43">
        <v>30</v>
      </c>
      <c r="J5371" t="s" s="11">
        <v>27037</v>
      </c>
      <c r="K5371" t="s" s="11">
        <v>5221</v>
      </c>
      <c r="L5371" s="17">
        <f>HYPERLINK("http://www.intellimation.ai", "www.intellimation.ai")</f>
      </c>
      <c r="M5371" s="17">
        <f>HYPERLINK("https://my.pitchbook.com?c=462857-77", "View Company Online")</f>
      </c>
    </row>
    <row r="5372">
      <c r="A5372" t="s" s="10">
        <v>27039</v>
      </c>
      <c r="B5372" t="s" s="10">
        <v>27040</v>
      </c>
      <c r="C5372" t="s" s="10">
        <v>222</v>
      </c>
      <c r="D5372" t="s" s="10">
        <v>223</v>
      </c>
      <c r="E5372" t="s" s="10">
        <v>19881</v>
      </c>
      <c r="F5372" s="27">
        <v>45078</v>
      </c>
      <c r="G5372" t="s" s="10">
        <v>607</v>
      </c>
      <c r="H5372" t="s" s="42">
        <v>30</v>
      </c>
      <c r="I5372" t="s" s="42">
        <v>30</v>
      </c>
      <c r="J5372" t="s" s="10">
        <v>27041</v>
      </c>
      <c r="K5372" t="s" s="10">
        <v>27042</v>
      </c>
      <c r="L5372" s="16">
        <f>HYPERLINK("http://intensel.net", "intensel.net")</f>
      </c>
      <c r="M5372" s="16">
        <f>HYPERLINK("https://my.pitchbook.com?c=436182-76", "View Company Online")</f>
      </c>
    </row>
    <row r="5373">
      <c r="A5373" t="s" s="11">
        <v>27044</v>
      </c>
      <c r="B5373" t="s" s="11">
        <v>27045</v>
      </c>
      <c r="C5373" t="s" s="11">
        <v>222</v>
      </c>
      <c r="D5373" t="s" s="11">
        <v>537</v>
      </c>
      <c r="E5373" t="s" s="11">
        <v>859</v>
      </c>
      <c r="F5373" t="s" s="28">
        <v>30</v>
      </c>
      <c r="G5373" t="s" s="11">
        <v>48</v>
      </c>
      <c r="H5373" t="s" s="43">
        <v>30</v>
      </c>
      <c r="I5373" t="s" s="43">
        <v>30</v>
      </c>
      <c r="J5373" t="s" s="11">
        <v>27046</v>
      </c>
      <c r="K5373" t="s" s="11">
        <v>27047</v>
      </c>
      <c r="L5373" s="17">
        <f>HYPERLINK("http://www.intentx.io", "www.intentx.io")</f>
      </c>
      <c r="M5373" s="17">
        <f>HYPERLINK("https://my.pitchbook.com?c=589267-90", "View Company Online")</f>
      </c>
    </row>
    <row r="5374">
      <c r="A5374" t="s" s="10">
        <v>27049</v>
      </c>
      <c r="B5374" t="s" s="10">
        <v>27050</v>
      </c>
      <c r="C5374" t="s" s="10">
        <v>222</v>
      </c>
      <c r="D5374" t="s" s="10">
        <v>252</v>
      </c>
      <c r="E5374" t="s" s="10">
        <v>253</v>
      </c>
      <c r="F5374" s="27">
        <v>46000</v>
      </c>
      <c r="G5374" t="s" s="10">
        <v>4267</v>
      </c>
      <c r="H5374" s="42">
        <v>17</v>
      </c>
      <c r="I5374" t="s" s="42">
        <v>30</v>
      </c>
      <c r="J5374" t="s" s="10">
        <v>27051</v>
      </c>
      <c r="K5374" t="s" s="10">
        <v>27052</v>
      </c>
      <c r="L5374" s="16">
        <f>HYPERLINK("http://www.interchange.com", "www.interchange.com")</f>
      </c>
      <c r="M5374" s="16">
        <f>HYPERLINK("https://my.pitchbook.com?c=1230623-56", "View Company Online")</f>
      </c>
    </row>
    <row r="5375">
      <c r="A5375" t="s" s="11">
        <v>27054</v>
      </c>
      <c r="B5375" t="s" s="11">
        <v>27055</v>
      </c>
      <c r="C5375" t="s" s="11">
        <v>114</v>
      </c>
      <c r="D5375" t="s" s="11">
        <v>852</v>
      </c>
      <c r="E5375" t="s" s="11">
        <v>3138</v>
      </c>
      <c r="F5375" s="28">
        <v>43921</v>
      </c>
      <c r="G5375" t="s" s="11">
        <v>40</v>
      </c>
      <c r="H5375" s="43">
        <v>0.39</v>
      </c>
      <c r="I5375" t="s" s="43">
        <v>30</v>
      </c>
      <c r="J5375" t="s" s="11">
        <v>27056</v>
      </c>
      <c r="K5375" t="s" s="11">
        <v>27057</v>
      </c>
      <c r="L5375" s="17">
        <f>HYPERLINK("http://www.interlinkages.online", "www.interlinkages.online")</f>
      </c>
      <c r="M5375" s="17">
        <f>HYPERLINK("https://my.pitchbook.com?c=277893-55", "View Company Online")</f>
      </c>
    </row>
    <row r="5376">
      <c r="A5376" t="s" s="10">
        <v>27059</v>
      </c>
      <c r="B5376" t="s" s="10">
        <v>27060</v>
      </c>
      <c r="C5376" t="s" s="10">
        <v>114</v>
      </c>
      <c r="D5376" t="s" s="10">
        <v>852</v>
      </c>
      <c r="E5376" t="s" s="10">
        <v>137</v>
      </c>
      <c r="F5376" s="27">
        <v>46023</v>
      </c>
      <c r="G5376" t="s" s="10">
        <v>31</v>
      </c>
      <c r="H5376" s="42">
        <v>30</v>
      </c>
      <c r="I5376" t="s" s="42">
        <v>30</v>
      </c>
      <c r="J5376" t="s" s="10">
        <v>27061</v>
      </c>
      <c r="K5376" t="s" s="10">
        <v>27062</v>
      </c>
      <c r="L5376" s="16">
        <f>HYPERLINK("http://www.internexcapital.com", "www.internexcapital.com")</f>
      </c>
      <c r="M5376" s="16">
        <f>HYPERLINK("https://my.pitchbook.com?c=156672-46", "View Company Online")</f>
      </c>
    </row>
    <row r="5377">
      <c r="A5377" t="s" s="11">
        <v>27064</v>
      </c>
      <c r="B5377" t="s" s="11">
        <v>27065</v>
      </c>
      <c r="C5377" t="s" s="11">
        <v>46</v>
      </c>
      <c r="D5377" t="s" s="11">
        <v>397</v>
      </c>
      <c r="E5377" t="s" s="11">
        <v>373</v>
      </c>
      <c r="F5377" s="28">
        <v>46219</v>
      </c>
      <c r="G5377" t="s" s="11">
        <v>607</v>
      </c>
      <c r="H5377" t="s" s="43">
        <v>30</v>
      </c>
      <c r="I5377" t="s" s="43">
        <v>30</v>
      </c>
      <c r="J5377" t="s" s="11">
        <v>27066</v>
      </c>
      <c r="K5377" t="s" s="11">
        <v>27067</v>
      </c>
      <c r="L5377" s="17">
        <f>HYPERLINK("http://www.invector.co", "www.invector.co")</f>
      </c>
      <c r="M5377" s="17">
        <f>HYPERLINK("https://my.pitchbook.com?c=544759-39", "View Company Online")</f>
      </c>
    </row>
    <row r="5378">
      <c r="A5378" t="s" s="10">
        <v>27069</v>
      </c>
      <c r="B5378" t="s" s="10">
        <v>27070</v>
      </c>
      <c r="C5378" t="s" s="10">
        <v>27</v>
      </c>
      <c r="D5378" t="s" s="10">
        <v>70</v>
      </c>
      <c r="E5378" t="s" s="10">
        <v>137</v>
      </c>
      <c r="F5378" s="27">
        <v>45790</v>
      </c>
      <c r="G5378" t="s" s="10">
        <v>146</v>
      </c>
      <c r="H5378" t="s" s="42">
        <v>30</v>
      </c>
      <c r="I5378" t="s" s="42">
        <v>30</v>
      </c>
      <c r="J5378" t="s" s="10">
        <v>27071</v>
      </c>
      <c r="K5378" t="s" s="10">
        <v>27072</v>
      </c>
      <c r="L5378" s="16">
        <f>HYPERLINK("http://www.invela.com", "www.invela.com")</f>
      </c>
      <c r="M5378" s="16">
        <f>HYPERLINK("https://my.pitchbook.com?c=819966-61", "View Company Online")</f>
      </c>
    </row>
    <row r="5379">
      <c r="A5379" t="s" s="11">
        <v>27074</v>
      </c>
      <c r="B5379" t="s" s="11">
        <v>27075</v>
      </c>
      <c r="C5379" t="s" s="11">
        <v>222</v>
      </c>
      <c r="D5379" t="s" s="11">
        <v>223</v>
      </c>
      <c r="E5379" t="s" s="11">
        <v>137</v>
      </c>
      <c r="F5379" s="28">
        <v>46065</v>
      </c>
      <c r="G5379" t="s" s="11">
        <v>138</v>
      </c>
      <c r="H5379" t="s" s="43">
        <v>30</v>
      </c>
      <c r="I5379" t="s" s="43">
        <v>30</v>
      </c>
      <c r="J5379" t="s" s="11">
        <v>27076</v>
      </c>
      <c r="K5379" t="s" s="11">
        <v>27077</v>
      </c>
      <c r="L5379" s="17">
        <f>HYPERLINK("http://www.inveniam.io", "www.inveniam.io")</f>
      </c>
      <c r="M5379" s="17">
        <f>HYPERLINK("https://my.pitchbook.com?c=156491-47", "View Company Online")</f>
      </c>
    </row>
    <row r="5380">
      <c r="A5380" t="s" s="10">
        <v>27079</v>
      </c>
      <c r="B5380" t="s" s="10">
        <v>27080</v>
      </c>
      <c r="C5380" t="s" s="10">
        <v>60</v>
      </c>
      <c r="D5380" t="s" s="10">
        <v>727</v>
      </c>
      <c r="E5380" t="s" s="10">
        <v>137</v>
      </c>
      <c r="F5380" s="27">
        <v>45352</v>
      </c>
      <c r="G5380" t="s" s="10">
        <v>146</v>
      </c>
      <c r="H5380" t="s" s="42">
        <v>30</v>
      </c>
      <c r="I5380" t="s" s="42">
        <v>30</v>
      </c>
      <c r="J5380" t="s" s="10">
        <v>27081</v>
      </c>
      <c r="K5380" t="s" s="10">
        <v>27082</v>
      </c>
      <c r="L5380" s="16">
        <f>HYPERLINK("http://www.inventure.capital", "www.inventure.capital")</f>
      </c>
      <c r="M5380" s="16">
        <f>HYPERLINK("https://my.pitchbook.com?c=494784-19", "View Company Online")</f>
      </c>
    </row>
    <row r="5381">
      <c r="A5381" t="s" s="11">
        <v>27084</v>
      </c>
      <c r="B5381" t="s" s="11">
        <v>27085</v>
      </c>
      <c r="C5381" t="s" s="11">
        <v>222</v>
      </c>
      <c r="D5381" t="s" s="11">
        <v>235</v>
      </c>
      <c r="E5381" t="s" s="11">
        <v>253</v>
      </c>
      <c r="F5381" s="28">
        <v>45597</v>
      </c>
      <c r="G5381" t="s" s="11">
        <v>146</v>
      </c>
      <c r="H5381" t="s" s="43">
        <v>30</v>
      </c>
      <c r="I5381" t="s" s="43">
        <v>30</v>
      </c>
      <c r="J5381" t="s" s="11">
        <v>27086</v>
      </c>
      <c r="K5381" t="s" s="11">
        <v>27087</v>
      </c>
      <c r="L5381" s="17">
        <f>HYPERLINK("http://www.invest.direct", "www.invest.direct")</f>
      </c>
      <c r="M5381" s="17">
        <f>HYPERLINK("https://my.pitchbook.com?c=517718-17", "View Company Online")</f>
      </c>
    </row>
    <row r="5382">
      <c r="A5382" t="s" s="10">
        <v>27089</v>
      </c>
      <c r="B5382" t="s" s="10">
        <v>27090</v>
      </c>
      <c r="C5382" t="s" s="10">
        <v>114</v>
      </c>
      <c r="D5382" t="s" s="10">
        <v>136</v>
      </c>
      <c r="E5382" t="s" s="10">
        <v>7575</v>
      </c>
      <c r="F5382" s="27">
        <v>45420</v>
      </c>
      <c r="G5382" t="s" s="10">
        <v>146</v>
      </c>
      <c r="H5382" s="42">
        <v>1.82</v>
      </c>
      <c r="I5382" t="s" s="42">
        <v>30</v>
      </c>
      <c r="J5382" t="s" s="10">
        <v>27091</v>
      </c>
      <c r="K5382" t="s" s="10">
        <v>27092</v>
      </c>
      <c r="L5382" s="16">
        <f>HYPERLINK("http://www.iif.today", "www.iif.today")</f>
      </c>
      <c r="M5382" s="16">
        <f>HYPERLINK("https://my.pitchbook.com?c=522082-27", "View Company Online")</f>
      </c>
    </row>
    <row r="5383">
      <c r="A5383" t="s" s="11">
        <v>27094</v>
      </c>
      <c r="B5383" t="s" s="11">
        <v>27095</v>
      </c>
      <c r="C5383" t="s" s="11">
        <v>60</v>
      </c>
      <c r="D5383" t="s" s="11">
        <v>432</v>
      </c>
      <c r="E5383" t="s" s="11">
        <v>414</v>
      </c>
      <c r="F5383" s="28">
        <v>45819</v>
      </c>
      <c r="G5383" t="s" s="11">
        <v>4267</v>
      </c>
      <c r="H5383" s="43">
        <v>3</v>
      </c>
      <c r="I5383" t="s" s="43">
        <v>30</v>
      </c>
      <c r="J5383" t="s" s="11">
        <v>27096</v>
      </c>
      <c r="K5383" t="s" s="11">
        <v>27097</v>
      </c>
      <c r="L5383" s="17">
        <f>HYPERLINK("http://investbanq.com", "investbanq.com")</f>
      </c>
      <c r="M5383" s="17">
        <f>HYPERLINK("https://my.pitchbook.com?c=433442-71", "View Company Online")</f>
      </c>
    </row>
    <row r="5384">
      <c r="A5384" t="s" s="10">
        <v>27099</v>
      </c>
      <c r="B5384" t="s" s="10">
        <v>27100</v>
      </c>
      <c r="C5384" t="s" s="10">
        <v>114</v>
      </c>
      <c r="D5384" t="s" s="10">
        <v>136</v>
      </c>
      <c r="E5384" t="s" s="10">
        <v>253</v>
      </c>
      <c r="F5384" s="27">
        <v>45916</v>
      </c>
      <c r="G5384" t="s" s="10">
        <v>607</v>
      </c>
      <c r="H5384" s="42">
        <v>0.05</v>
      </c>
      <c r="I5384" t="s" s="42">
        <v>30</v>
      </c>
      <c r="J5384" t="s" s="10">
        <v>27101</v>
      </c>
      <c r="K5384" t="s" s="10">
        <v>27102</v>
      </c>
      <c r="L5384" s="16">
        <f>HYPERLINK("http://www.invested.ph", "www.invested.ph")</f>
      </c>
      <c r="M5384" s="16">
        <f>HYPERLINK("https://my.pitchbook.com?c=232205-68", "View Company Online")</f>
      </c>
    </row>
    <row r="5385">
      <c r="A5385" t="s" s="11">
        <v>27104</v>
      </c>
      <c r="B5385" t="s" s="11">
        <v>27105</v>
      </c>
      <c r="C5385" t="s" s="11">
        <v>60</v>
      </c>
      <c r="D5385" t="s" s="11">
        <v>432</v>
      </c>
      <c r="E5385" t="s" s="11">
        <v>373</v>
      </c>
      <c r="F5385" s="28">
        <v>44658</v>
      </c>
      <c r="G5385" t="s" s="11">
        <v>40</v>
      </c>
      <c r="H5385" s="43">
        <v>30</v>
      </c>
      <c r="I5385" t="s" s="43">
        <v>30</v>
      </c>
      <c r="J5385" t="s" s="11">
        <v>27106</v>
      </c>
      <c r="K5385" t="s" s="11">
        <v>27107</v>
      </c>
      <c r="L5385" s="17">
        <f>HYPERLINK("http://www.investorflow.com", "www.investorflow.com")</f>
      </c>
      <c r="M5385" s="17">
        <f>HYPERLINK("https://my.pitchbook.com?c=365285-53", "View Company Online")</f>
      </c>
    </row>
    <row r="5386">
      <c r="A5386" t="s" s="10">
        <v>27109</v>
      </c>
      <c r="B5386" t="s" s="10">
        <v>27110</v>
      </c>
      <c r="C5386" t="s" s="10">
        <v>222</v>
      </c>
      <c r="D5386" t="s" s="10">
        <v>252</v>
      </c>
      <c r="E5386" t="s" s="10">
        <v>137</v>
      </c>
      <c r="F5386" s="27">
        <v>44910</v>
      </c>
      <c r="G5386" t="s" s="10">
        <v>146</v>
      </c>
      <c r="H5386" t="s" s="42">
        <v>30</v>
      </c>
      <c r="I5386" t="s" s="42">
        <v>30</v>
      </c>
      <c r="J5386" t="s" s="10">
        <v>27111</v>
      </c>
      <c r="K5386" t="s" s="10">
        <v>27112</v>
      </c>
      <c r="L5386" s="16">
        <f>HYPERLINK("http://www.investorlink.io", "www.investorlink.io")</f>
      </c>
      <c r="M5386" s="16">
        <f>HYPERLINK("https://my.pitchbook.com?c=519098-95", "View Company Online")</f>
      </c>
    </row>
    <row r="5387">
      <c r="A5387" t="s" s="11">
        <v>27114</v>
      </c>
      <c r="B5387" t="s" s="11">
        <v>27115</v>
      </c>
      <c r="C5387" t="s" s="11">
        <v>60</v>
      </c>
      <c r="D5387" t="s" s="11">
        <v>192</v>
      </c>
      <c r="E5387" t="s" s="11">
        <v>414</v>
      </c>
      <c r="F5387" s="28">
        <v>45230</v>
      </c>
      <c r="G5387" t="s" s="11">
        <v>607</v>
      </c>
      <c r="H5387" t="s" s="43">
        <v>30</v>
      </c>
      <c r="I5387" t="s" s="43">
        <v>30</v>
      </c>
      <c r="J5387" t="s" s="11">
        <v>27116</v>
      </c>
      <c r="K5387" t="s" s="11">
        <v>27117</v>
      </c>
      <c r="L5387" s="17">
        <f>HYPERLINK("http://www.investorslounge.com", "www.investorslounge.com")</f>
      </c>
      <c r="M5387" s="17">
        <f>HYPERLINK("https://my.pitchbook.com?c=530921-44", "View Company Online")</f>
      </c>
    </row>
    <row r="5388">
      <c r="A5388" t="s" s="10">
        <v>27119</v>
      </c>
      <c r="B5388" t="s" s="10">
        <v>27120</v>
      </c>
      <c r="C5388" t="s" s="10">
        <v>60</v>
      </c>
      <c r="D5388" t="s" s="10">
        <v>727</v>
      </c>
      <c r="E5388" t="s" s="10">
        <v>3604</v>
      </c>
      <c r="F5388" s="27">
        <v>45901</v>
      </c>
      <c r="G5388" t="s" s="10">
        <v>40</v>
      </c>
      <c r="H5388" t="s" s="42">
        <v>30</v>
      </c>
      <c r="I5388" t="s" s="42">
        <v>30</v>
      </c>
      <c r="J5388" t="s" s="10">
        <v>27121</v>
      </c>
      <c r="K5388" t="s" s="10">
        <v>27122</v>
      </c>
      <c r="L5388" s="16">
        <f>HYPERLINK("http://www.investown.cz", "www.investown.cz")</f>
      </c>
      <c r="M5388" s="16">
        <f>HYPERLINK("https://my.pitchbook.com?c=439833-70", "View Company Online")</f>
      </c>
    </row>
    <row r="5389">
      <c r="A5389" t="s" s="11">
        <v>27124</v>
      </c>
      <c r="B5389" t="s" s="11">
        <v>27125</v>
      </c>
      <c r="C5389" t="s" s="11">
        <v>60</v>
      </c>
      <c r="D5389" t="s" s="11">
        <v>246</v>
      </c>
      <c r="E5389" t="s" s="11">
        <v>373</v>
      </c>
      <c r="F5389" s="28">
        <v>45615</v>
      </c>
      <c r="G5389" t="s" s="11">
        <v>607</v>
      </c>
      <c r="H5389" t="s" s="43">
        <v>30</v>
      </c>
      <c r="I5389" t="s" s="43">
        <v>30</v>
      </c>
      <c r="J5389" t="s" s="11">
        <v>27126</v>
      </c>
      <c r="K5389" t="s" s="11">
        <v>27127</v>
      </c>
      <c r="L5389" s="17">
        <f>HYPERLINK("http://www.investplay.com.br", "www.investplay.com.br")</f>
      </c>
      <c r="M5389" s="17">
        <f>HYPERLINK("https://my.pitchbook.com?c=547546-33", "View Company Online")</f>
      </c>
    </row>
    <row r="5390">
      <c r="A5390" t="s" s="10">
        <v>27129</v>
      </c>
      <c r="B5390" t="s" s="10">
        <v>27130</v>
      </c>
      <c r="C5390" t="s" s="10">
        <v>60</v>
      </c>
      <c r="D5390" t="s" s="10">
        <v>192</v>
      </c>
      <c r="E5390" t="s" s="10">
        <v>253</v>
      </c>
      <c r="F5390" s="27">
        <v>46062</v>
      </c>
      <c r="G5390" t="s" s="10">
        <v>4267</v>
      </c>
      <c r="H5390" s="42">
        <v>4</v>
      </c>
      <c r="I5390" t="s" s="42">
        <v>30</v>
      </c>
      <c r="J5390" t="s" s="10">
        <v>27131</v>
      </c>
      <c r="K5390" t="s" s="10">
        <v>27132</v>
      </c>
      <c r="L5390" s="16">
        <f>HYPERLINK("http://www.investsky.com", "www.investsky.com")</f>
      </c>
      <c r="M5390" s="16">
        <f>HYPERLINK("https://my.pitchbook.com?c=518037-31", "View Company Online")</f>
      </c>
    </row>
    <row r="5391">
      <c r="A5391" t="s" s="11">
        <v>27134</v>
      </c>
      <c r="B5391" t="s" s="11">
        <v>27135</v>
      </c>
      <c r="C5391" t="s" s="11">
        <v>46</v>
      </c>
      <c r="D5391" t="s" s="11">
        <v>47</v>
      </c>
      <c r="E5391" t="s" s="11">
        <v>629</v>
      </c>
      <c r="F5391" s="28">
        <v>45698</v>
      </c>
      <c r="G5391" t="s" s="11">
        <v>607</v>
      </c>
      <c r="H5391" s="43">
        <v>0.07</v>
      </c>
      <c r="I5391" t="s" s="43">
        <v>30</v>
      </c>
      <c r="J5391" t="s" s="11">
        <v>27136</v>
      </c>
      <c r="K5391" t="s" s="11">
        <v>27137</v>
      </c>
      <c r="L5391" s="17">
        <f>HYPERLINK("http://www.invoicemate.tech", "www.invoicemate.tech")</f>
      </c>
      <c r="M5391" s="17">
        <f>HYPERLINK("https://my.pitchbook.com?c=519939-10", "View Company Online")</f>
      </c>
    </row>
    <row r="5392">
      <c r="A5392" t="s" s="10">
        <v>27139</v>
      </c>
      <c r="B5392" t="s" s="10">
        <v>27140</v>
      </c>
      <c r="C5392" t="s" s="10">
        <v>46</v>
      </c>
      <c r="D5392" t="s" s="10">
        <v>47</v>
      </c>
      <c r="E5392" t="s" s="10">
        <v>259</v>
      </c>
      <c r="F5392" s="27">
        <v>45643</v>
      </c>
      <c r="G5392" t="s" s="10">
        <v>146</v>
      </c>
      <c r="H5392" s="42">
        <v>1.2</v>
      </c>
      <c r="I5392" t="s" s="42">
        <v>30</v>
      </c>
      <c r="J5392" t="s" s="10">
        <v>27141</v>
      </c>
      <c r="K5392" t="s" s="10">
        <v>27142</v>
      </c>
      <c r="L5392" s="16">
        <f>HYPERLINK("http://www.invoiceq.com", "www.invoiceq.com")</f>
      </c>
      <c r="M5392" s="16">
        <f>HYPERLINK("https://my.pitchbook.com?c=494030-80", "View Company Online")</f>
      </c>
    </row>
    <row r="5393">
      <c r="A5393" t="s" s="11">
        <v>27144</v>
      </c>
      <c r="B5393" t="s" s="11">
        <v>27145</v>
      </c>
      <c r="C5393" t="s" s="11">
        <v>60</v>
      </c>
      <c r="D5393" t="s" s="11">
        <v>61</v>
      </c>
      <c r="E5393" t="s" s="11">
        <v>1266</v>
      </c>
      <c r="F5393" s="28">
        <v>44272</v>
      </c>
      <c r="G5393" t="s" s="11">
        <v>40</v>
      </c>
      <c r="H5393" s="43">
        <v>20</v>
      </c>
      <c r="I5393" t="s" s="43">
        <v>30</v>
      </c>
      <c r="J5393" t="s" s="11">
        <v>27146</v>
      </c>
      <c r="K5393" t="s" s="11">
        <v>27147</v>
      </c>
      <c r="L5393" s="17">
        <f>HYPERLINK("http://www.invstr.com", "www.invstr.com")</f>
      </c>
      <c r="M5393" s="17">
        <f>HYPERLINK("https://my.pitchbook.com?c=112118-14", "View Company Online")</f>
      </c>
    </row>
    <row r="5394">
      <c r="A5394" t="s" s="10">
        <v>27149</v>
      </c>
      <c r="B5394" t="s" s="10">
        <v>27150</v>
      </c>
      <c r="C5394" t="s" s="10">
        <v>172</v>
      </c>
      <c r="D5394" t="s" s="10">
        <v>173</v>
      </c>
      <c r="E5394" t="s" s="10">
        <v>11659</v>
      </c>
      <c r="F5394" s="27">
        <v>45448</v>
      </c>
      <c r="G5394" t="s" s="10">
        <v>146</v>
      </c>
      <c r="H5394" s="42">
        <v>5.3</v>
      </c>
      <c r="I5394" t="s" s="42">
        <v>30</v>
      </c>
      <c r="J5394" t="s" s="10">
        <v>27151</v>
      </c>
      <c r="K5394" t="s" s="10">
        <v>27152</v>
      </c>
      <c r="L5394" s="16">
        <f>HYPERLINK("http://www.ipid.tech", "www.ipid.tech")</f>
      </c>
      <c r="M5394" s="16">
        <f>HYPERLINK("https://my.pitchbook.com?c=495957-25", "View Company Online")</f>
      </c>
    </row>
    <row r="5395">
      <c r="A5395" t="s" s="11">
        <v>27154</v>
      </c>
      <c r="B5395" t="s" s="11">
        <v>27155</v>
      </c>
      <c r="C5395" t="s" s="11">
        <v>172</v>
      </c>
      <c r="D5395" t="s" s="11">
        <v>1454</v>
      </c>
      <c r="E5395" t="s" s="11">
        <v>367</v>
      </c>
      <c r="F5395" s="28">
        <v>46073</v>
      </c>
      <c r="G5395" t="s" s="11">
        <v>4267</v>
      </c>
      <c r="H5395" s="43">
        <v>0.18</v>
      </c>
      <c r="I5395" t="s" s="43">
        <v>30</v>
      </c>
      <c r="J5395" t="s" s="11">
        <v>27156</v>
      </c>
      <c r="K5395" t="s" s="11">
        <v>30</v>
      </c>
      <c r="L5395" s="17">
        <f>HYPERLINK("http://www.iqfinance.ai", "www.iqfinance.ai")</f>
      </c>
      <c r="M5395" s="17">
        <f>HYPERLINK("https://my.pitchbook.com?c=1319281-39", "View Company Online")</f>
      </c>
    </row>
    <row r="5396">
      <c r="A5396" t="s" s="10">
        <v>27158</v>
      </c>
      <c r="B5396" t="s" s="10">
        <v>27159</v>
      </c>
      <c r="C5396" t="s" s="10">
        <v>46</v>
      </c>
      <c r="D5396" t="s" s="10">
        <v>915</v>
      </c>
      <c r="E5396" t="s" s="10">
        <v>634</v>
      </c>
      <c r="F5396" t="s" s="27">
        <v>30</v>
      </c>
      <c r="G5396" t="s" s="10">
        <v>146</v>
      </c>
      <c r="H5396" t="s" s="42">
        <v>30</v>
      </c>
      <c r="I5396" t="s" s="42">
        <v>30</v>
      </c>
      <c r="J5396" t="s" s="10">
        <v>27160</v>
      </c>
      <c r="K5396" t="s" s="10">
        <v>27161</v>
      </c>
      <c r="L5396" s="16">
        <f>HYPERLINK("http://www.irisfinance.co", "www.irisfinance.co")</f>
      </c>
      <c r="M5396" s="16">
        <f>HYPERLINK("https://my.pitchbook.com?c=588598-66", "View Company Online")</f>
      </c>
    </row>
    <row r="5397">
      <c r="A5397" t="s" s="11">
        <v>27163</v>
      </c>
      <c r="B5397" t="s" s="11">
        <v>27164</v>
      </c>
      <c r="C5397" t="s" s="11">
        <v>46</v>
      </c>
      <c r="D5397" t="s" s="11">
        <v>47</v>
      </c>
      <c r="E5397" t="s" s="11">
        <v>414</v>
      </c>
      <c r="F5397" s="28">
        <v>43935</v>
      </c>
      <c r="G5397" t="s" s="11">
        <v>5311</v>
      </c>
      <c r="H5397" t="s" s="43">
        <v>30</v>
      </c>
      <c r="I5397" t="s" s="43">
        <v>30</v>
      </c>
      <c r="J5397" t="s" s="11">
        <v>27165</v>
      </c>
      <c r="K5397" t="s" s="11">
        <v>27166</v>
      </c>
      <c r="L5397" s="17">
        <f>HYPERLINK("http://www.itemize.com", "www.itemize.com")</f>
      </c>
      <c r="M5397" s="17">
        <f>HYPERLINK("https://my.pitchbook.com?c=86715-37", "View Company Online")</f>
      </c>
    </row>
    <row r="5398">
      <c r="A5398" t="s" s="10">
        <v>27168</v>
      </c>
      <c r="B5398" t="s" s="10">
        <v>27169</v>
      </c>
      <c r="C5398" t="s" s="10">
        <v>164</v>
      </c>
      <c r="D5398" t="s" s="10">
        <v>206</v>
      </c>
      <c r="E5398" t="s" s="10">
        <v>493</v>
      </c>
      <c r="F5398" t="s" s="27">
        <v>30</v>
      </c>
      <c r="G5398" t="s" s="10">
        <v>146</v>
      </c>
      <c r="H5398" t="s" s="42">
        <v>30</v>
      </c>
      <c r="I5398" t="s" s="42">
        <v>30</v>
      </c>
      <c r="J5398" t="s" s="10">
        <v>27170</v>
      </c>
      <c r="K5398" t="s" s="10">
        <v>27171</v>
      </c>
      <c r="L5398" s="16">
        <f>HYPERLINK("http://www.izifin.com", "www.izifin.com")</f>
      </c>
      <c r="M5398" s="16">
        <f>HYPERLINK("https://my.pitchbook.com?c=540855-37", "View Company Online")</f>
      </c>
    </row>
    <row r="5399">
      <c r="A5399" t="s" s="11">
        <v>27173</v>
      </c>
      <c r="B5399" t="s" s="11">
        <v>27174</v>
      </c>
      <c r="C5399" t="s" s="11">
        <v>60</v>
      </c>
      <c r="D5399" t="s" s="11">
        <v>246</v>
      </c>
      <c r="E5399" t="s" s="11">
        <v>634</v>
      </c>
      <c r="F5399" s="28">
        <v>45167</v>
      </c>
      <c r="G5399" t="s" s="11">
        <v>40</v>
      </c>
      <c r="H5399" s="43">
        <v>0.2</v>
      </c>
      <c r="I5399" t="s" s="43">
        <v>30</v>
      </c>
      <c r="J5399" t="s" s="11">
        <v>27175</v>
      </c>
      <c r="K5399" t="s" s="11">
        <v>30</v>
      </c>
      <c r="L5399" s="17">
        <f>HYPERLINK("http://www.j4.ai", "www.j4.ai")</f>
      </c>
      <c r="M5399" s="17">
        <f>HYPERLINK("https://my.pitchbook.com?c=437102-65", "View Company Online")</f>
      </c>
    </row>
    <row r="5400">
      <c r="A5400" t="s" s="10">
        <v>27177</v>
      </c>
      <c r="B5400" t="s" s="10">
        <v>27178</v>
      </c>
      <c r="C5400" t="s" s="10">
        <v>114</v>
      </c>
      <c r="D5400" t="s" s="10">
        <v>870</v>
      </c>
      <c r="E5400" t="s" s="10">
        <v>137</v>
      </c>
      <c r="F5400" s="27">
        <v>45459</v>
      </c>
      <c r="G5400" t="s" s="10">
        <v>146</v>
      </c>
      <c r="H5400" s="42">
        <v>2</v>
      </c>
      <c r="I5400" t="s" s="42">
        <v>30</v>
      </c>
      <c r="J5400" t="s" s="10">
        <v>27179</v>
      </c>
      <c r="K5400" t="s" s="10">
        <v>27180</v>
      </c>
      <c r="L5400" s="16">
        <f>HYPERLINK("http://www.finance.jackfruitnetwork.com", "www.finance.jackfruitnetwork.com")</f>
      </c>
      <c r="M5400" s="16">
        <f>HYPERLINK("https://my.pitchbook.com?c=497453-77", "View Company Online")</f>
      </c>
    </row>
    <row r="5401">
      <c r="A5401" t="s" s="11">
        <v>27182</v>
      </c>
      <c r="B5401" t="s" s="11">
        <v>27183</v>
      </c>
      <c r="C5401" t="s" s="11">
        <v>46</v>
      </c>
      <c r="D5401" t="s" s="11">
        <v>78</v>
      </c>
      <c r="E5401" t="s" s="11">
        <v>253</v>
      </c>
      <c r="F5401" s="28">
        <v>45936</v>
      </c>
      <c r="G5401" t="s" s="11">
        <v>607</v>
      </c>
      <c r="H5401" s="43">
        <v>0.12</v>
      </c>
      <c r="I5401" t="s" s="43">
        <v>30</v>
      </c>
      <c r="J5401" t="s" s="11">
        <v>27184</v>
      </c>
      <c r="K5401" t="s" s="11">
        <v>27185</v>
      </c>
      <c r="L5401" s="17">
        <f>HYPERLINK("http://www.jahazii.io", "www.jahazii.io")</f>
      </c>
      <c r="M5401" s="17">
        <f>HYPERLINK("https://my.pitchbook.com?c=539171-92", "View Company Online")</f>
      </c>
    </row>
    <row r="5402">
      <c r="A5402" t="s" s="10">
        <v>27187</v>
      </c>
      <c r="B5402" t="s" s="10">
        <v>27188</v>
      </c>
      <c r="C5402" t="s" s="10">
        <v>222</v>
      </c>
      <c r="D5402" t="s" s="10">
        <v>235</v>
      </c>
      <c r="E5402" t="s" s="10">
        <v>137</v>
      </c>
      <c r="F5402" s="27">
        <v>45292</v>
      </c>
      <c r="G5402" t="s" s="10">
        <v>146</v>
      </c>
      <c r="H5402" s="42">
        <v>0.02</v>
      </c>
      <c r="I5402" t="s" s="42">
        <v>30</v>
      </c>
      <c r="J5402" t="s" s="10">
        <v>27189</v>
      </c>
      <c r="K5402" t="s" s="10">
        <v>27190</v>
      </c>
      <c r="L5402" s="16">
        <f>HYPERLINK("http://www.jaheshcrowd.ir", "www.jaheshcrowd.ir")</f>
      </c>
      <c r="M5402" s="16">
        <f>HYPERLINK("https://my.pitchbook.com?c=802980-10", "View Company Online")</f>
      </c>
    </row>
    <row r="5403">
      <c r="A5403" t="s" s="11">
        <v>27192</v>
      </c>
      <c r="B5403" t="s" s="11">
        <v>27193</v>
      </c>
      <c r="C5403" t="s" s="11">
        <v>144</v>
      </c>
      <c r="D5403" t="s" s="11">
        <v>38</v>
      </c>
      <c r="E5403" t="s" s="11">
        <v>27194</v>
      </c>
      <c r="F5403" t="s" s="28">
        <v>30</v>
      </c>
      <c r="G5403" t="s" s="11">
        <v>146</v>
      </c>
      <c r="H5403" t="s" s="43">
        <v>30</v>
      </c>
      <c r="I5403" t="s" s="43">
        <v>30</v>
      </c>
      <c r="J5403" t="s" s="11">
        <v>27195</v>
      </c>
      <c r="K5403" t="s" s="11">
        <v>27196</v>
      </c>
      <c r="L5403" s="17">
        <f>HYPERLINK("http://www.jambo.technology", "www.jambo.technology")</f>
      </c>
      <c r="M5403" s="17">
        <f>HYPERLINK("https://my.pitchbook.com?c=490343-68", "View Company Online")</f>
      </c>
    </row>
    <row r="5404">
      <c r="A5404" t="s" s="10">
        <v>27198</v>
      </c>
      <c r="B5404" t="s" s="10">
        <v>27199</v>
      </c>
      <c r="C5404" t="s" s="10">
        <v>60</v>
      </c>
      <c r="D5404" t="s" s="10">
        <v>246</v>
      </c>
      <c r="E5404" t="s" s="10">
        <v>137</v>
      </c>
      <c r="F5404" s="27">
        <v>43079</v>
      </c>
      <c r="G5404" t="s" s="10">
        <v>146</v>
      </c>
      <c r="H5404" s="42">
        <v>0.76</v>
      </c>
      <c r="I5404" t="s" s="42">
        <v>30</v>
      </c>
      <c r="J5404" t="s" s="10">
        <v>27200</v>
      </c>
      <c r="K5404" t="s" s="10">
        <v>27201</v>
      </c>
      <c r="L5404" s="16">
        <f>HYPERLINK("http://www.jane7.com", "www.jane7.com")</f>
      </c>
      <c r="M5404" s="16">
        <f>HYPERLINK("https://my.pitchbook.com?c=442459-27", "View Company Online")</f>
      </c>
    </row>
    <row r="5405">
      <c r="A5405" t="s" s="11">
        <v>27203</v>
      </c>
      <c r="B5405" t="s" s="11">
        <v>27204</v>
      </c>
      <c r="C5405" t="s" s="11">
        <v>164</v>
      </c>
      <c r="D5405" t="s" s="11">
        <v>165</v>
      </c>
      <c r="E5405" t="s" s="11">
        <v>373</v>
      </c>
      <c r="F5405" s="28">
        <v>45264</v>
      </c>
      <c r="G5405" t="s" s="11">
        <v>40</v>
      </c>
      <c r="H5405" s="43">
        <v>12</v>
      </c>
      <c r="I5405" t="s" s="43">
        <v>30</v>
      </c>
      <c r="J5405" t="s" s="11">
        <v>27205</v>
      </c>
      <c r="K5405" t="s" s="11">
        <v>27206</v>
      </c>
      <c r="L5405" s="17">
        <f>HYPERLINK("http://www.january.com", "www.january.com")</f>
      </c>
      <c r="M5405" s="17">
        <f>HYPERLINK("https://my.pitchbook.com?c=233309-26", "View Company Online")</f>
      </c>
    </row>
    <row r="5406">
      <c r="A5406" t="s" s="10">
        <v>27208</v>
      </c>
      <c r="B5406" t="s" s="10">
        <v>27209</v>
      </c>
      <c r="C5406" t="s" s="10">
        <v>60</v>
      </c>
      <c r="D5406" t="s" s="10">
        <v>727</v>
      </c>
      <c r="E5406" t="s" s="10">
        <v>311</v>
      </c>
      <c r="F5406" s="27">
        <v>45834</v>
      </c>
      <c r="G5406" t="s" s="10">
        <v>4267</v>
      </c>
      <c r="H5406" s="42">
        <v>5</v>
      </c>
      <c r="I5406" t="s" s="42">
        <v>30</v>
      </c>
      <c r="J5406" t="s" s="10">
        <v>27210</v>
      </c>
      <c r="K5406" t="s" s="10">
        <v>27211</v>
      </c>
      <c r="L5406" s="16">
        <f>HYPERLINK("http://www.jarsy.com", "www.jarsy.com")</f>
      </c>
      <c r="M5406" s="16">
        <f>HYPERLINK("https://my.pitchbook.com?c=608305-87", "View Company Online")</f>
      </c>
    </row>
    <row r="5407">
      <c r="A5407" t="s" s="11">
        <v>27213</v>
      </c>
      <c r="B5407" t="s" s="11">
        <v>27214</v>
      </c>
      <c r="C5407" t="s" s="11">
        <v>27</v>
      </c>
      <c r="D5407" t="s" s="11">
        <v>28</v>
      </c>
      <c r="E5407" t="s" s="11">
        <v>200</v>
      </c>
      <c r="F5407" s="28">
        <v>45017</v>
      </c>
      <c r="G5407" t="s" s="11">
        <v>146</v>
      </c>
      <c r="H5407" s="43">
        <v>0.25</v>
      </c>
      <c r="I5407" t="s" s="43">
        <v>30</v>
      </c>
      <c r="J5407" t="s" s="11">
        <v>27215</v>
      </c>
      <c r="K5407" t="s" s="11">
        <v>27216</v>
      </c>
      <c r="L5407" s="17">
        <f>HYPERLINK("http://www.jarvixhk.com", "www.jarvixhk.com")</f>
      </c>
      <c r="M5407" s="17">
        <f>HYPERLINK("https://my.pitchbook.com?c=435493-63", "View Company Online")</f>
      </c>
    </row>
    <row r="5408">
      <c r="A5408" t="s" s="10">
        <v>27218</v>
      </c>
      <c r="B5408" t="s" s="10">
        <v>27219</v>
      </c>
      <c r="C5408" t="s" s="10">
        <v>27</v>
      </c>
      <c r="D5408" t="s" s="10">
        <v>28</v>
      </c>
      <c r="E5408" t="s" s="10">
        <v>1859</v>
      </c>
      <c r="F5408" s="27">
        <v>45663</v>
      </c>
      <c r="G5408" t="s" s="10">
        <v>4267</v>
      </c>
      <c r="H5408" s="42">
        <v>6.64</v>
      </c>
      <c r="I5408" t="s" s="42">
        <v>30</v>
      </c>
      <c r="J5408" t="s" s="10">
        <v>27220</v>
      </c>
      <c r="K5408" t="s" s="10">
        <v>27221</v>
      </c>
      <c r="L5408" s="16">
        <f>HYPERLINK("http://www.jeel.co", "www.jeel.co")</f>
      </c>
      <c r="M5408" s="16">
        <f>HYPERLINK("https://my.pitchbook.com?c=592529-32", "View Company Online")</f>
      </c>
    </row>
    <row r="5409">
      <c r="A5409" t="s" s="11">
        <v>27223</v>
      </c>
      <c r="B5409" t="s" s="11">
        <v>27224</v>
      </c>
      <c r="C5409" t="s" s="11">
        <v>164</v>
      </c>
      <c r="D5409" t="s" s="11">
        <v>206</v>
      </c>
      <c r="E5409" t="s" s="11">
        <v>137</v>
      </c>
      <c r="F5409" s="28">
        <v>45667</v>
      </c>
      <c r="G5409" t="s" s="11">
        <v>40</v>
      </c>
      <c r="H5409" s="43">
        <v>20</v>
      </c>
      <c r="I5409" t="s" s="43">
        <v>30</v>
      </c>
      <c r="J5409" t="s" s="11">
        <v>27225</v>
      </c>
      <c r="K5409" t="s" s="11">
        <v>27226</v>
      </c>
      <c r="L5409" s="17">
        <f>HYPERLINK("http://www.jeff-app.com", "www.jeff-app.com")</f>
      </c>
      <c r="M5409" s="17">
        <f>HYPERLINK("https://my.pitchbook.com?c=399623-77", "View Company Online")</f>
      </c>
    </row>
    <row r="5410">
      <c r="A5410" t="s" s="10">
        <v>27228</v>
      </c>
      <c r="B5410" t="s" s="10">
        <v>27229</v>
      </c>
      <c r="C5410" t="s" s="10">
        <v>27</v>
      </c>
      <c r="D5410" t="s" s="10">
        <v>28</v>
      </c>
      <c r="E5410" t="s" s="10">
        <v>270</v>
      </c>
      <c r="F5410" s="27">
        <v>46023</v>
      </c>
      <c r="G5410" t="s" s="10">
        <v>146</v>
      </c>
      <c r="H5410" t="s" s="42">
        <v>30</v>
      </c>
      <c r="I5410" t="s" s="42">
        <v>30</v>
      </c>
      <c r="J5410" t="s" s="10">
        <v>27230</v>
      </c>
      <c r="K5410" t="s" s="10">
        <v>27231</v>
      </c>
      <c r="L5410" s="16">
        <f>HYPERLINK("http://www.jeko.africa", "www.jeko.africa")</f>
      </c>
      <c r="M5410" s="16">
        <f>HYPERLINK("https://my.pitchbook.com?c=972375-85", "View Company Online")</f>
      </c>
    </row>
    <row r="5411">
      <c r="A5411" t="s" s="11">
        <v>27233</v>
      </c>
      <c r="B5411" t="s" s="11">
        <v>27234</v>
      </c>
      <c r="C5411" t="s" s="11">
        <v>60</v>
      </c>
      <c r="D5411" t="s" s="11">
        <v>246</v>
      </c>
      <c r="E5411" t="s" s="11">
        <v>623</v>
      </c>
      <c r="F5411" s="28">
        <v>44516</v>
      </c>
      <c r="G5411" t="s" s="11">
        <v>271</v>
      </c>
      <c r="H5411" s="43">
        <v>0.38</v>
      </c>
      <c r="I5411" t="s" s="43">
        <v>30</v>
      </c>
      <c r="J5411" t="s" s="11">
        <v>27235</v>
      </c>
      <c r="K5411" t="s" s="11">
        <v>27236</v>
      </c>
      <c r="L5411" s="17">
        <f>HYPERLINK("http://www.jelli.us", "www.jelli.us")</f>
      </c>
      <c r="M5411" s="17">
        <f>HYPERLINK("https://my.pitchbook.com?c=470979-46", "View Company Online")</f>
      </c>
    </row>
    <row r="5412">
      <c r="A5412" t="s" s="10">
        <v>27238</v>
      </c>
      <c r="B5412" t="s" s="10">
        <v>27239</v>
      </c>
      <c r="C5412" t="s" s="10">
        <v>60</v>
      </c>
      <c r="D5412" t="s" s="10">
        <v>192</v>
      </c>
      <c r="E5412" t="s" s="10">
        <v>373</v>
      </c>
      <c r="F5412" s="27">
        <v>45748</v>
      </c>
      <c r="G5412" t="s" s="10">
        <v>146</v>
      </c>
      <c r="H5412" t="s" s="42">
        <v>30</v>
      </c>
      <c r="I5412" t="s" s="42">
        <v>30</v>
      </c>
      <c r="J5412" t="s" s="10">
        <v>27240</v>
      </c>
      <c r="K5412" t="s" s="10">
        <v>27241</v>
      </c>
      <c r="L5412" s="16">
        <f>HYPERLINK("http://www.jenova.ai", "www.jenova.ai")</f>
      </c>
      <c r="M5412" s="16">
        <f>HYPERLINK("https://my.pitchbook.com?c=435732-76", "View Company Online")</f>
      </c>
    </row>
    <row r="5413">
      <c r="A5413" t="s" s="11">
        <v>27243</v>
      </c>
      <c r="B5413" t="s" s="11">
        <v>27244</v>
      </c>
      <c r="C5413" t="s" s="11">
        <v>60</v>
      </c>
      <c r="D5413" t="s" s="11">
        <v>246</v>
      </c>
      <c r="E5413" t="s" s="11">
        <v>137</v>
      </c>
      <c r="F5413" s="28">
        <v>45919</v>
      </c>
      <c r="G5413" t="s" s="11">
        <v>138</v>
      </c>
      <c r="H5413" t="s" s="43">
        <v>30</v>
      </c>
      <c r="I5413" t="s" s="43">
        <v>30</v>
      </c>
      <c r="J5413" t="s" s="11">
        <v>27245</v>
      </c>
      <c r="K5413" t="s" s="11">
        <v>27246</v>
      </c>
      <c r="L5413" s="17">
        <f>HYPERLINK("http://taxdown.kr", "taxdown.kr")</f>
      </c>
      <c r="M5413" s="17">
        <f>HYPERLINK("https://my.pitchbook.com?c=1021516-57", "View Company Online")</f>
      </c>
    </row>
    <row r="5414">
      <c r="A5414" t="s" s="10">
        <v>27248</v>
      </c>
      <c r="B5414" t="s" s="10">
        <v>27249</v>
      </c>
      <c r="C5414" t="s" s="10">
        <v>60</v>
      </c>
      <c r="D5414" t="s" s="10">
        <v>61</v>
      </c>
      <c r="E5414" t="s" s="10">
        <v>193</v>
      </c>
      <c r="F5414" t="s" s="27">
        <v>30</v>
      </c>
      <c r="G5414" t="s" s="10">
        <v>607</v>
      </c>
      <c r="H5414" t="s" s="42">
        <v>30</v>
      </c>
      <c r="I5414" t="s" s="42">
        <v>30</v>
      </c>
      <c r="J5414" t="s" s="10">
        <v>27250</v>
      </c>
      <c r="K5414" t="s" s="10">
        <v>27251</v>
      </c>
      <c r="L5414" s="16">
        <f>HYPERLINK("http://www.jett.uz", "www.jett.uz")</f>
      </c>
      <c r="M5414" s="16">
        <f>HYPERLINK("https://my.pitchbook.com?c=534465-46", "View Company Online")</f>
      </c>
    </row>
    <row r="5415">
      <c r="A5415" t="s" s="11">
        <v>27253</v>
      </c>
      <c r="B5415" t="s" s="11">
        <v>27254</v>
      </c>
      <c r="C5415" t="s" s="11">
        <v>164</v>
      </c>
      <c r="D5415" t="s" s="11">
        <v>165</v>
      </c>
      <c r="E5415" t="s" s="11">
        <v>27255</v>
      </c>
      <c r="F5415" s="28">
        <v>43678</v>
      </c>
      <c r="G5415" t="s" s="11">
        <v>40</v>
      </c>
      <c r="H5415" s="43">
        <v>43.59</v>
      </c>
      <c r="I5415" t="s" s="43">
        <v>30</v>
      </c>
      <c r="J5415" t="s" s="11">
        <v>27256</v>
      </c>
      <c r="K5415" t="s" s="11">
        <v>27257</v>
      </c>
      <c r="L5415" s="17">
        <f>HYPERLINK("http://www.riveretech.com", "www.riveretech.com")</f>
      </c>
      <c r="M5415" s="17">
        <f>HYPERLINK("https://my.pitchbook.com?c=277652-53", "View Company Online")</f>
      </c>
    </row>
    <row r="5416">
      <c r="A5416" t="s" s="10">
        <v>27259</v>
      </c>
      <c r="B5416" t="s" s="10">
        <v>27260</v>
      </c>
      <c r="C5416" t="s" s="10">
        <v>222</v>
      </c>
      <c r="D5416" t="s" s="10">
        <v>235</v>
      </c>
      <c r="E5416" t="s" s="10">
        <v>270</v>
      </c>
      <c r="F5416" s="27">
        <v>44645</v>
      </c>
      <c r="G5416" t="s" s="10">
        <v>48</v>
      </c>
      <c r="H5416" t="s" s="42">
        <v>30</v>
      </c>
      <c r="I5416" t="s" s="42">
        <v>30</v>
      </c>
      <c r="J5416" t="s" s="10">
        <v>27261</v>
      </c>
      <c r="K5416" t="s" s="10">
        <v>27262</v>
      </c>
      <c r="L5416" s="16">
        <f>HYPERLINK("http://www.jfz.com", "www.jfz.com")</f>
      </c>
      <c r="M5416" s="16">
        <f>HYPERLINK("https://my.pitchbook.com?c=119175-76", "View Company Online")</f>
      </c>
    </row>
    <row r="5417">
      <c r="A5417" t="s" s="11">
        <v>27264</v>
      </c>
      <c r="B5417" t="s" s="11">
        <v>27265</v>
      </c>
      <c r="C5417" t="s" s="11">
        <v>128</v>
      </c>
      <c r="D5417" t="s" s="11">
        <v>276</v>
      </c>
      <c r="E5417" t="s" s="11">
        <v>1065</v>
      </c>
      <c r="F5417" s="28">
        <v>45666</v>
      </c>
      <c r="G5417" t="s" s="11">
        <v>2662</v>
      </c>
      <c r="H5417" t="s" s="43">
        <v>30</v>
      </c>
      <c r="I5417" t="s" s="43">
        <v>30</v>
      </c>
      <c r="J5417" t="s" s="11">
        <v>27266</v>
      </c>
      <c r="K5417" t="s" s="11">
        <v>27267</v>
      </c>
      <c r="L5417" s="17">
        <f>HYPERLINK("http://www.jinglepay.com", "www.jinglepay.com")</f>
      </c>
      <c r="M5417" s="17">
        <f>HYPERLINK("https://my.pitchbook.com?c=438547-15", "View Company Online")</f>
      </c>
    </row>
    <row r="5418">
      <c r="A5418" t="s" s="10">
        <v>27269</v>
      </c>
      <c r="B5418" t="s" s="10">
        <v>27270</v>
      </c>
      <c r="C5418" t="s" s="10">
        <v>27</v>
      </c>
      <c r="D5418" t="s" s="10">
        <v>28</v>
      </c>
      <c r="E5418" t="s" s="10">
        <v>137</v>
      </c>
      <c r="F5418" s="27">
        <v>43832</v>
      </c>
      <c r="G5418" t="s" s="10">
        <v>146</v>
      </c>
      <c r="H5418" s="42">
        <v>1.43</v>
      </c>
      <c r="I5418" t="s" s="42">
        <v>30</v>
      </c>
      <c r="J5418" t="s" s="10">
        <v>27271</v>
      </c>
      <c r="K5418" t="s" s="10">
        <v>27272</v>
      </c>
      <c r="L5418" t="s" s="10">
        <v>30</v>
      </c>
      <c r="M5418" s="16">
        <f>HYPERLINK("https://my.pitchbook.com?c=399039-76", "View Company Online")</f>
      </c>
    </row>
    <row r="5419">
      <c r="A5419" t="s" s="11">
        <v>27273</v>
      </c>
      <c r="B5419" t="s" s="11">
        <v>27274</v>
      </c>
      <c r="C5419" t="s" s="11">
        <v>27</v>
      </c>
      <c r="D5419" t="s" s="11">
        <v>28</v>
      </c>
      <c r="E5419" t="s" s="11">
        <v>1065</v>
      </c>
      <c r="F5419" s="28">
        <v>45408</v>
      </c>
      <c r="G5419" t="s" s="11">
        <v>4267</v>
      </c>
      <c r="H5419" s="43">
        <v>4.15</v>
      </c>
      <c r="I5419" t="s" s="43">
        <v>30</v>
      </c>
      <c r="J5419" t="s" s="11">
        <v>27275</v>
      </c>
      <c r="K5419" t="s" s="11">
        <v>30</v>
      </c>
      <c r="L5419" s="17">
        <f>HYPERLINK("http://www.jinshefu.com", "www.jinshefu.com")</f>
      </c>
      <c r="M5419" s="17">
        <f>HYPERLINK("https://my.pitchbook.com?c=596498-68", "View Company Online")</f>
      </c>
    </row>
    <row r="5420">
      <c r="A5420" t="s" s="10">
        <v>27277</v>
      </c>
      <c r="B5420" t="s" s="10">
        <v>27278</v>
      </c>
      <c r="C5420" t="s" s="10">
        <v>144</v>
      </c>
      <c r="D5420" t="s" s="10">
        <v>297</v>
      </c>
      <c r="E5420" t="s" s="10">
        <v>137</v>
      </c>
      <c r="F5420" t="s" s="27">
        <v>30</v>
      </c>
      <c r="G5420" t="s" s="10">
        <v>40</v>
      </c>
      <c r="H5420" s="42">
        <v>10.08</v>
      </c>
      <c r="I5420" t="s" s="42">
        <v>30</v>
      </c>
      <c r="J5420" t="s" s="10">
        <v>27279</v>
      </c>
      <c r="K5420" t="s" s="10">
        <v>27280</v>
      </c>
      <c r="L5420" s="16">
        <f>HYPERLINK("http://www.jiraaf.com", "www.jiraaf.com")</f>
      </c>
      <c r="M5420" s="16">
        <f>HYPERLINK("https://my.pitchbook.com?c=498076-57", "View Company Online")</f>
      </c>
    </row>
    <row r="5421">
      <c r="A5421" t="s" s="11">
        <v>27282</v>
      </c>
      <c r="B5421" t="s" s="11">
        <v>27283</v>
      </c>
      <c r="C5421" t="s" s="11">
        <v>144</v>
      </c>
      <c r="D5421" t="s" s="11">
        <v>297</v>
      </c>
      <c r="E5421" t="s" s="11">
        <v>137</v>
      </c>
      <c r="F5421" s="28">
        <v>43589</v>
      </c>
      <c r="G5421" t="s" s="11">
        <v>4267</v>
      </c>
      <c r="H5421" s="43">
        <v>1</v>
      </c>
      <c r="I5421" t="s" s="43">
        <v>30</v>
      </c>
      <c r="J5421" t="s" s="11">
        <v>27284</v>
      </c>
      <c r="K5421" t="s" s="11">
        <v>27285</v>
      </c>
      <c r="L5421" s="17">
        <f>HYPERLINK("http://jitfin.co", "jitfin.co")</f>
      </c>
      <c r="M5421" s="17">
        <f>HYPERLINK("https://my.pitchbook.com?c=510285-70", "View Company Online")</f>
      </c>
    </row>
    <row r="5422">
      <c r="A5422" t="s" s="10">
        <v>27287</v>
      </c>
      <c r="B5422" t="s" s="10">
        <v>27288</v>
      </c>
      <c r="C5422" t="s" s="10">
        <v>60</v>
      </c>
      <c r="D5422" t="s" s="10">
        <v>192</v>
      </c>
      <c r="E5422" t="s" s="10">
        <v>270</v>
      </c>
      <c r="F5422" s="27">
        <v>43510</v>
      </c>
      <c r="G5422" t="s" s="10">
        <v>4267</v>
      </c>
      <c r="H5422" s="42">
        <v>6.5</v>
      </c>
      <c r="I5422" t="s" s="42">
        <v>30</v>
      </c>
      <c r="J5422" t="s" s="10">
        <v>27289</v>
      </c>
      <c r="K5422" t="s" s="10">
        <v>27290</v>
      </c>
      <c r="L5422" s="16">
        <f>HYPERLINK("http://www.jitta.com", "www.jitta.com")</f>
      </c>
      <c r="M5422" s="16">
        <f>HYPERLINK("https://my.pitchbook.com?c=265432-78", "View Company Online")</f>
      </c>
    </row>
    <row r="5423">
      <c r="A5423" t="s" s="11">
        <v>27292</v>
      </c>
      <c r="B5423" t="s" s="11">
        <v>27293</v>
      </c>
      <c r="C5423" t="s" s="11">
        <v>164</v>
      </c>
      <c r="D5423" t="s" s="11">
        <v>165</v>
      </c>
      <c r="E5423" t="s" s="11">
        <v>414</v>
      </c>
      <c r="F5423" s="28">
        <v>45811</v>
      </c>
      <c r="G5423" t="s" s="11">
        <v>4267</v>
      </c>
      <c r="H5423" s="43">
        <v>1.39</v>
      </c>
      <c r="I5423" t="s" s="43">
        <v>30</v>
      </c>
      <c r="J5423" t="s" s="11">
        <v>27294</v>
      </c>
      <c r="K5423" t="s" s="11">
        <v>30</v>
      </c>
      <c r="L5423" t="s" s="11">
        <v>30</v>
      </c>
      <c r="M5423" s="17">
        <f>HYPERLINK("https://my.pitchbook.com?c=862958-89", "View Company Online")</f>
      </c>
    </row>
    <row r="5424">
      <c r="A5424" t="s" s="10">
        <v>27295</v>
      </c>
      <c r="B5424" t="s" s="10">
        <v>27296</v>
      </c>
      <c r="C5424" t="s" s="10">
        <v>46</v>
      </c>
      <c r="D5424" t="s" s="10">
        <v>397</v>
      </c>
      <c r="E5424" t="s" s="10">
        <v>29</v>
      </c>
      <c r="F5424" t="s" s="27">
        <v>30</v>
      </c>
      <c r="G5424" t="s" s="10">
        <v>607</v>
      </c>
      <c r="H5424" t="s" s="42">
        <v>30</v>
      </c>
      <c r="I5424" t="s" s="42">
        <v>30</v>
      </c>
      <c r="J5424" t="s" s="10">
        <v>27297</v>
      </c>
      <c r="K5424" t="s" s="10">
        <v>27298</v>
      </c>
      <c r="L5424" s="16">
        <f>HYPERLINK("http://www.jobis.co", "www.jobis.co")</f>
      </c>
      <c r="M5424" s="16">
        <f>HYPERLINK("https://my.pitchbook.com?c=454839-67", "View Company Online")</f>
      </c>
    </row>
    <row r="5425">
      <c r="A5425" t="s" s="11">
        <v>27300</v>
      </c>
      <c r="B5425" t="s" s="11">
        <v>27301</v>
      </c>
      <c r="C5425" t="s" s="11">
        <v>222</v>
      </c>
      <c r="D5425" t="s" s="11">
        <v>223</v>
      </c>
      <c r="E5425" t="s" s="11">
        <v>253</v>
      </c>
      <c r="F5425" s="28">
        <v>43084</v>
      </c>
      <c r="G5425" t="s" s="11">
        <v>146</v>
      </c>
      <c r="H5425" s="43">
        <v>15.12</v>
      </c>
      <c r="I5425" t="s" s="43">
        <v>30</v>
      </c>
      <c r="J5425" t="s" s="11">
        <v>27302</v>
      </c>
      <c r="K5425" t="s" s="11">
        <v>27303</v>
      </c>
      <c r="L5425" s="17">
        <f>HYPERLINK("http://www.joinquant.com", "www.joinquant.com")</f>
      </c>
      <c r="M5425" s="17">
        <f>HYPERLINK("https://my.pitchbook.com?c=436511-71", "View Company Online")</f>
      </c>
    </row>
    <row r="5426">
      <c r="A5426" t="s" s="10">
        <v>27305</v>
      </c>
      <c r="B5426" t="s" s="10">
        <v>27306</v>
      </c>
      <c r="C5426" t="s" s="10">
        <v>27</v>
      </c>
      <c r="D5426" t="s" s="10">
        <v>28</v>
      </c>
      <c r="E5426" t="s" s="10">
        <v>137</v>
      </c>
      <c r="F5426" s="27">
        <v>45911</v>
      </c>
      <c r="G5426" t="s" s="10">
        <v>4267</v>
      </c>
      <c r="H5426" s="42">
        <v>0.57</v>
      </c>
      <c r="I5426" t="s" s="42">
        <v>30</v>
      </c>
      <c r="J5426" t="s" s="10">
        <v>27307</v>
      </c>
      <c r="K5426" t="s" s="10">
        <v>30</v>
      </c>
      <c r="L5426" s="16">
        <f>HYPERLINK("http://www.jvcpayments.com", "www.jvcpayments.com")</f>
      </c>
      <c r="M5426" s="16">
        <f>HYPERLINK("https://my.pitchbook.com?c=979834-96", "View Company Online")</f>
      </c>
    </row>
    <row r="5427">
      <c r="A5427" t="s" s="11">
        <v>27309</v>
      </c>
      <c r="B5427" t="s" s="11">
        <v>27310</v>
      </c>
      <c r="C5427" t="s" s="11">
        <v>27</v>
      </c>
      <c r="D5427" t="s" s="11">
        <v>28</v>
      </c>
      <c r="E5427" t="s" s="11">
        <v>137</v>
      </c>
      <c r="F5427" s="28">
        <v>45566</v>
      </c>
      <c r="G5427" t="s" s="11">
        <v>146</v>
      </c>
      <c r="H5427" t="s" s="43">
        <v>30</v>
      </c>
      <c r="I5427" t="s" s="43">
        <v>30</v>
      </c>
      <c r="J5427" t="s" s="11">
        <v>27311</v>
      </c>
      <c r="K5427" t="s" s="11">
        <v>27312</v>
      </c>
      <c r="L5427" s="17">
        <f>HYPERLINK("http://www.jompstart.com", "www.jompstart.com")</f>
      </c>
      <c r="M5427" s="17">
        <f>HYPERLINK("https://my.pitchbook.com?c=680295-25", "View Company Online")</f>
      </c>
    </row>
    <row r="5428">
      <c r="A5428" t="s" s="10">
        <v>27314</v>
      </c>
      <c r="B5428" t="s" s="10">
        <v>27315</v>
      </c>
      <c r="C5428" t="s" s="10">
        <v>27</v>
      </c>
      <c r="D5428" t="s" s="10">
        <v>28</v>
      </c>
      <c r="E5428" t="s" s="10">
        <v>137</v>
      </c>
      <c r="F5428" s="27">
        <v>45642</v>
      </c>
      <c r="G5428" t="s" s="10">
        <v>146</v>
      </c>
      <c r="H5428" t="s" s="42">
        <v>30</v>
      </c>
      <c r="I5428" t="s" s="42">
        <v>30</v>
      </c>
      <c r="J5428" t="s" s="10">
        <v>27316</v>
      </c>
      <c r="K5428" t="s" s="10">
        <v>27317</v>
      </c>
      <c r="L5428" s="16">
        <f>HYPERLINK("http://www.juicyway.com", "www.juicyway.com")</f>
      </c>
      <c r="M5428" s="16">
        <f>HYPERLINK("https://my.pitchbook.com?c=517380-94", "View Company Online")</f>
      </c>
    </row>
    <row r="5429">
      <c r="A5429" t="s" s="11">
        <v>27319</v>
      </c>
      <c r="B5429" t="s" s="11">
        <v>27320</v>
      </c>
      <c r="C5429" t="s" s="11">
        <v>60</v>
      </c>
      <c r="D5429" t="s" s="11">
        <v>192</v>
      </c>
      <c r="E5429" t="s" s="11">
        <v>2210</v>
      </c>
      <c r="F5429" s="28">
        <v>46054</v>
      </c>
      <c r="G5429" t="s" s="11">
        <v>146</v>
      </c>
      <c r="H5429" t="s" s="43">
        <v>30</v>
      </c>
      <c r="I5429" t="s" s="43">
        <v>30</v>
      </c>
      <c r="J5429" t="s" s="11">
        <v>27321</v>
      </c>
      <c r="K5429" t="s" s="11">
        <v>27322</v>
      </c>
      <c r="L5429" s="17">
        <f>HYPERLINK("http://www.juniorgo.in", "www.juniorgo.in")</f>
      </c>
      <c r="M5429" s="17">
        <f>HYPERLINK("https://my.pitchbook.com?c=1319536-99", "View Company Online")</f>
      </c>
    </row>
    <row r="5430">
      <c r="A5430" t="s" s="10">
        <v>27324</v>
      </c>
      <c r="B5430" t="s" s="10">
        <v>27325</v>
      </c>
      <c r="C5430" t="s" s="10">
        <v>114</v>
      </c>
      <c r="D5430" t="s" s="10">
        <v>136</v>
      </c>
      <c r="E5430" t="s" s="10">
        <v>137</v>
      </c>
      <c r="F5430" s="27">
        <v>43803</v>
      </c>
      <c r="G5430" t="s" s="10">
        <v>4267</v>
      </c>
      <c r="H5430" s="42">
        <v>2.42</v>
      </c>
      <c r="I5430" t="s" s="42">
        <v>30</v>
      </c>
      <c r="J5430" t="s" s="10">
        <v>27326</v>
      </c>
      <c r="K5430" t="s" s="10">
        <v>27327</v>
      </c>
      <c r="L5430" s="16">
        <f>HYPERLINK("http://www.joinjuno.com", "www.joinjuno.com")</f>
      </c>
      <c r="M5430" s="16">
        <f>HYPERLINK("https://my.pitchbook.com?c=267496-84", "View Company Online")</f>
      </c>
    </row>
    <row r="5431">
      <c r="A5431" t="s" s="11">
        <v>27329</v>
      </c>
      <c r="B5431" t="s" s="11">
        <v>27330</v>
      </c>
      <c r="C5431" t="s" s="11">
        <v>46</v>
      </c>
      <c r="D5431" t="s" s="11">
        <v>397</v>
      </c>
      <c r="E5431" t="s" s="11">
        <v>373</v>
      </c>
      <c r="F5431" s="28">
        <v>46142</v>
      </c>
      <c r="G5431" t="s" s="11">
        <v>4267</v>
      </c>
      <c r="H5431" s="43">
        <v>0.84</v>
      </c>
      <c r="I5431" t="s" s="43">
        <v>30</v>
      </c>
      <c r="J5431" t="s" s="11">
        <v>27331</v>
      </c>
      <c r="K5431" t="s" s="11">
        <v>27332</v>
      </c>
      <c r="L5431" s="17">
        <f>HYPERLINK("http://www.jupid.com", "www.jupid.com")</f>
      </c>
      <c r="M5431" s="17">
        <f>HYPERLINK("https://my.pitchbook.com?c=749257-84", "View Company Online")</f>
      </c>
    </row>
    <row r="5432">
      <c r="A5432" t="s" s="10">
        <v>27334</v>
      </c>
      <c r="B5432" t="s" s="10">
        <v>27335</v>
      </c>
      <c r="C5432" t="s" s="10">
        <v>27</v>
      </c>
      <c r="D5432" t="s" s="10">
        <v>70</v>
      </c>
      <c r="E5432" t="s" s="10">
        <v>259</v>
      </c>
      <c r="F5432" s="27">
        <v>45566</v>
      </c>
      <c r="G5432" t="s" s="10">
        <v>146</v>
      </c>
      <c r="H5432" t="s" s="42">
        <v>30</v>
      </c>
      <c r="I5432" t="s" s="42">
        <v>30</v>
      </c>
      <c r="J5432" t="s" s="10">
        <v>27336</v>
      </c>
      <c r="K5432" t="s" s="10">
        <v>27337</v>
      </c>
      <c r="L5432" s="16">
        <f>HYPERLINK("http://justpaid.ai", "justpaid.ai")</f>
      </c>
      <c r="M5432" s="16">
        <f>HYPERLINK("https://my.pitchbook.com?c=512226-73", "View Company Online")</f>
      </c>
    </row>
    <row r="5433">
      <c r="A5433" t="s" s="11">
        <v>27339</v>
      </c>
      <c r="B5433" t="s" s="11">
        <v>27340</v>
      </c>
      <c r="C5433" t="s" s="11">
        <v>27</v>
      </c>
      <c r="D5433" t="s" s="11">
        <v>28</v>
      </c>
      <c r="E5433" t="s" s="11">
        <v>253</v>
      </c>
      <c r="F5433" s="28">
        <v>45750</v>
      </c>
      <c r="G5433" t="s" s="11">
        <v>146</v>
      </c>
      <c r="H5433" s="43">
        <v>1.19</v>
      </c>
      <c r="I5433" t="s" s="43">
        <v>30</v>
      </c>
      <c r="J5433" t="s" s="11">
        <v>27341</v>
      </c>
      <c r="K5433" t="s" s="11">
        <v>27342</v>
      </c>
      <c r="L5433" s="17">
        <f>HYPERLINK("http://www.justtip.net", "www.justtip.net")</f>
      </c>
      <c r="M5433" s="17">
        <f>HYPERLINK("https://my.pitchbook.com?c=532508-50", "View Company Online")</f>
      </c>
    </row>
    <row r="5434">
      <c r="A5434" t="s" s="10">
        <v>27344</v>
      </c>
      <c r="B5434" t="s" s="10">
        <v>27345</v>
      </c>
      <c r="C5434" t="s" s="10">
        <v>172</v>
      </c>
      <c r="D5434" t="s" s="10">
        <v>1454</v>
      </c>
      <c r="E5434" t="s" s="10">
        <v>6677</v>
      </c>
      <c r="F5434" s="27">
        <v>43516</v>
      </c>
      <c r="G5434" t="s" s="10">
        <v>40</v>
      </c>
      <c r="H5434" t="s" s="42">
        <v>30</v>
      </c>
      <c r="I5434" t="s" s="42">
        <v>30</v>
      </c>
      <c r="J5434" t="s" s="10">
        <v>27346</v>
      </c>
      <c r="K5434" t="s" s="10">
        <v>27347</v>
      </c>
      <c r="L5434" s="16">
        <f>HYPERLINK("http://www.juxinli.com", "www.juxinli.com")</f>
      </c>
      <c r="M5434" s="16">
        <f>HYPERLINK("https://my.pitchbook.com?c=96270-76", "View Company Online")</f>
      </c>
    </row>
    <row r="5435">
      <c r="A5435" t="s" s="11">
        <v>27349</v>
      </c>
      <c r="B5435" t="s" s="11">
        <v>27350</v>
      </c>
      <c r="C5435" t="s" s="11">
        <v>114</v>
      </c>
      <c r="D5435" t="s" s="11">
        <v>870</v>
      </c>
      <c r="E5435" t="s" s="11">
        <v>27351</v>
      </c>
      <c r="F5435" s="28">
        <v>45706</v>
      </c>
      <c r="G5435" t="s" s="11">
        <v>27352</v>
      </c>
      <c r="H5435" s="43">
        <v>5</v>
      </c>
      <c r="I5435" t="s" s="43">
        <v>30</v>
      </c>
      <c r="J5435" t="s" s="11">
        <v>27353</v>
      </c>
      <c r="K5435" t="s" s="11">
        <v>27354</v>
      </c>
      <c r="L5435" s="17">
        <f>HYPERLINK("http://www.creditfair.in", "www.creditfair.in")</f>
      </c>
      <c r="M5435" s="17">
        <f>HYPERLINK("https://my.pitchbook.com?c=469978-84", "View Company Online")</f>
      </c>
    </row>
    <row r="5436">
      <c r="A5436" t="s" s="10">
        <v>27356</v>
      </c>
      <c r="B5436" t="s" s="10">
        <v>27357</v>
      </c>
      <c r="C5436" t="s" s="10">
        <v>114</v>
      </c>
      <c r="D5436" t="s" s="10">
        <v>852</v>
      </c>
      <c r="E5436" t="s" s="10">
        <v>373</v>
      </c>
      <c r="F5436" s="27">
        <v>45980</v>
      </c>
      <c r="G5436" t="s" s="10">
        <v>4267</v>
      </c>
      <c r="H5436" s="42">
        <v>3.8</v>
      </c>
      <c r="I5436" t="s" s="42">
        <v>30</v>
      </c>
      <c r="J5436" t="s" s="10">
        <v>27358</v>
      </c>
      <c r="K5436" t="s" s="10">
        <v>27359</v>
      </c>
      <c r="L5436" s="16">
        <f>HYPERLINK("http://kaaj.ai", "kaaj.ai")</f>
      </c>
      <c r="M5436" s="16">
        <f>HYPERLINK("https://my.pitchbook.com?c=541028-98", "View Company Online")</f>
      </c>
    </row>
    <row r="5437">
      <c r="A5437" t="s" s="11">
        <v>27361</v>
      </c>
      <c r="B5437" t="s" s="11">
        <v>27362</v>
      </c>
      <c r="C5437" t="s" s="11">
        <v>46</v>
      </c>
      <c r="D5437" t="s" s="11">
        <v>397</v>
      </c>
      <c r="E5437" t="s" s="11">
        <v>373</v>
      </c>
      <c r="F5437" s="28">
        <v>45966</v>
      </c>
      <c r="G5437" t="s" s="11">
        <v>4267</v>
      </c>
      <c r="H5437" s="43">
        <v>4.41</v>
      </c>
      <c r="I5437" t="s" s="43">
        <v>30</v>
      </c>
      <c r="J5437" t="s" s="11">
        <v>27363</v>
      </c>
      <c r="K5437" t="s" s="11">
        <v>27364</v>
      </c>
      <c r="L5437" s="17">
        <f>HYPERLINK("http://www.kabilio.es", "www.kabilio.es")</f>
      </c>
      <c r="M5437" s="17">
        <f>HYPERLINK("https://my.pitchbook.com?c=1158740-83", "View Company Online")</f>
      </c>
    </row>
    <row r="5438">
      <c r="A5438" t="s" s="10">
        <v>27366</v>
      </c>
      <c r="B5438" t="s" s="10">
        <v>27367</v>
      </c>
      <c r="C5438" t="s" s="10">
        <v>128</v>
      </c>
      <c r="D5438" t="s" s="10">
        <v>276</v>
      </c>
      <c r="E5438" t="s" s="10">
        <v>270</v>
      </c>
      <c r="F5438" t="s" s="27">
        <v>30</v>
      </c>
      <c r="G5438" t="s" s="10">
        <v>607</v>
      </c>
      <c r="H5438" t="s" s="42">
        <v>30</v>
      </c>
      <c r="I5438" t="s" s="42">
        <v>30</v>
      </c>
      <c r="J5438" t="s" s="10">
        <v>27368</v>
      </c>
      <c r="K5438" t="s" s="10">
        <v>27369</v>
      </c>
      <c r="L5438" s="16">
        <f>HYPERLINK("http://www.kacha.et", "www.kacha.et")</f>
      </c>
      <c r="M5438" s="16">
        <f>HYPERLINK("https://my.pitchbook.com?c=535118-59", "View Company Online")</f>
      </c>
    </row>
    <row r="5439">
      <c r="A5439" t="s" s="11">
        <v>27371</v>
      </c>
      <c r="B5439" t="s" s="11">
        <v>27372</v>
      </c>
      <c r="C5439" t="s" s="11">
        <v>60</v>
      </c>
      <c r="D5439" t="s" s="11">
        <v>246</v>
      </c>
      <c r="E5439" t="s" s="11">
        <v>27373</v>
      </c>
      <c r="F5439" s="28">
        <v>44682</v>
      </c>
      <c r="G5439" t="s" s="11">
        <v>271</v>
      </c>
      <c r="H5439" s="43">
        <v>0.22</v>
      </c>
      <c r="I5439" t="s" s="43">
        <v>30</v>
      </c>
      <c r="J5439" t="s" s="11">
        <v>27374</v>
      </c>
      <c r="K5439" t="s" s="11">
        <v>27375</v>
      </c>
      <c r="L5439" s="17">
        <f>HYPERLINK("http://www.kachinga.com", "www.kachinga.com")</f>
      </c>
      <c r="M5439" s="17">
        <f>HYPERLINK("https://my.pitchbook.com?c=443087-29", "View Company Online")</f>
      </c>
    </row>
    <row r="5440">
      <c r="A5440" t="s" s="10">
        <v>27377</v>
      </c>
      <c r="B5440" t="s" s="10">
        <v>27378</v>
      </c>
      <c r="C5440" t="s" s="10">
        <v>60</v>
      </c>
      <c r="D5440" t="s" s="10">
        <v>61</v>
      </c>
      <c r="E5440" t="s" s="10">
        <v>137</v>
      </c>
      <c r="F5440" s="27">
        <v>46056</v>
      </c>
      <c r="G5440" t="s" s="10">
        <v>4267</v>
      </c>
      <c r="H5440" s="42">
        <v>2.5</v>
      </c>
      <c r="I5440" t="s" s="42">
        <v>30</v>
      </c>
      <c r="J5440" t="s" s="10">
        <v>27379</v>
      </c>
      <c r="K5440" t="s" s="10">
        <v>27380</v>
      </c>
      <c r="L5440" s="16">
        <f>HYPERLINK("http://www.kairos.trade", "www.kairos.trade")</f>
      </c>
      <c r="M5440" s="16">
        <f>HYPERLINK("https://my.pitchbook.com?c=753203-89", "View Company Online")</f>
      </c>
    </row>
    <row r="5441">
      <c r="A5441" t="s" s="11">
        <v>27382</v>
      </c>
      <c r="B5441" t="s" s="11">
        <v>27383</v>
      </c>
      <c r="C5441" t="s" s="11">
        <v>114</v>
      </c>
      <c r="D5441" t="s" s="11">
        <v>870</v>
      </c>
      <c r="E5441" t="s" s="11">
        <v>859</v>
      </c>
      <c r="F5441" s="28">
        <v>44187</v>
      </c>
      <c r="G5441" t="s" s="11">
        <v>48</v>
      </c>
      <c r="H5441" t="s" s="43">
        <v>30</v>
      </c>
      <c r="I5441" t="s" s="43">
        <v>30</v>
      </c>
      <c r="J5441" t="s" s="11">
        <v>27384</v>
      </c>
      <c r="K5441" t="s" s="11">
        <v>27385</v>
      </c>
      <c r="L5441" s="17">
        <f>HYPERLINK("http://www.kxkj.com", "www.kxkj.com")</f>
      </c>
      <c r="M5441" s="17">
        <f>HYPERLINK("https://my.pitchbook.com?c=172366-57", "View Company Online")</f>
      </c>
    </row>
    <row r="5442">
      <c r="A5442" t="s" s="10">
        <v>27387</v>
      </c>
      <c r="B5442" t="s" s="10">
        <v>27388</v>
      </c>
      <c r="C5442" t="s" s="10">
        <v>37</v>
      </c>
      <c r="D5442" t="s" s="10">
        <v>38</v>
      </c>
      <c r="E5442" t="s" s="10">
        <v>1065</v>
      </c>
      <c r="F5442" s="27">
        <v>42255</v>
      </c>
      <c r="G5442" t="s" s="10">
        <v>40</v>
      </c>
      <c r="H5442" t="s" s="42">
        <v>30</v>
      </c>
      <c r="I5442" t="s" s="42">
        <v>30</v>
      </c>
      <c r="J5442" t="s" s="10">
        <v>27389</v>
      </c>
      <c r="K5442" t="s" s="10">
        <v>27390</v>
      </c>
      <c r="L5442" s="16">
        <f>HYPERLINK("http://www.firstcard.com.cn", "www.firstcard.com.cn")</f>
      </c>
      <c r="M5442" s="16">
        <f>HYPERLINK("https://my.pitchbook.com?c=110319-13", "View Company Online")</f>
      </c>
    </row>
    <row r="5443">
      <c r="A5443" t="s" s="11">
        <v>27392</v>
      </c>
      <c r="B5443" t="s" s="11">
        <v>27393</v>
      </c>
      <c r="C5443" t="s" s="11">
        <v>164</v>
      </c>
      <c r="D5443" t="s" s="11">
        <v>206</v>
      </c>
      <c r="E5443" t="s" s="11">
        <v>253</v>
      </c>
      <c r="F5443" s="28">
        <v>46000</v>
      </c>
      <c r="G5443" t="s" s="11">
        <v>31</v>
      </c>
      <c r="H5443" s="43">
        <v>55</v>
      </c>
      <c r="I5443" t="s" s="43">
        <v>30</v>
      </c>
      <c r="J5443" t="s" s="11">
        <v>27394</v>
      </c>
      <c r="K5443" t="s" s="11">
        <v>27395</v>
      </c>
      <c r="L5443" s="17">
        <f>HYPERLINK("http://www.kalacredito.com", "www.kalacredito.com")</f>
      </c>
      <c r="M5443" s="17">
        <f>HYPERLINK("https://my.pitchbook.com?c=494748-82", "View Company Online")</f>
      </c>
    </row>
    <row r="5444">
      <c r="A5444" t="s" s="10">
        <v>27397</v>
      </c>
      <c r="B5444" t="s" s="10">
        <v>27398</v>
      </c>
      <c r="C5444" t="s" s="10">
        <v>128</v>
      </c>
      <c r="D5444" t="s" s="10">
        <v>129</v>
      </c>
      <c r="E5444" t="s" s="10">
        <v>6920</v>
      </c>
      <c r="F5444" s="27">
        <v>46230</v>
      </c>
      <c r="G5444" t="s" s="10">
        <v>391</v>
      </c>
      <c r="H5444" t="s" s="42">
        <v>30</v>
      </c>
      <c r="I5444" t="s" s="42">
        <v>30</v>
      </c>
      <c r="J5444" t="s" s="10">
        <v>27399</v>
      </c>
      <c r="K5444" t="s" s="10">
        <v>30</v>
      </c>
      <c r="L5444" s="16">
        <f>HYPERLINK("http://getkalder.com", "getkalder.com")</f>
      </c>
      <c r="M5444" s="16">
        <f>HYPERLINK("https://my.pitchbook.com?c=513047-89", "View Company Online")</f>
      </c>
    </row>
    <row r="5445">
      <c r="A5445" t="s" s="11">
        <v>27401</v>
      </c>
      <c r="B5445" t="s" s="11">
        <v>27402</v>
      </c>
      <c r="C5445" t="s" s="11">
        <v>37</v>
      </c>
      <c r="D5445" t="s" s="11">
        <v>304</v>
      </c>
      <c r="E5445" t="s" s="11">
        <v>270</v>
      </c>
      <c r="F5445" s="28">
        <v>45427</v>
      </c>
      <c r="G5445" t="s" s="11">
        <v>146</v>
      </c>
      <c r="H5445" s="43">
        <v>1</v>
      </c>
      <c r="I5445" t="s" s="43">
        <v>30</v>
      </c>
      <c r="J5445" t="s" s="11">
        <v>27403</v>
      </c>
      <c r="K5445" t="s" s="11">
        <v>27404</v>
      </c>
      <c r="L5445" s="17">
        <f>HYPERLINK("http://www.kalpayfinancials.com", "www.kalpayfinancials.com")</f>
      </c>
      <c r="M5445" s="17">
        <f>HYPERLINK("https://my.pitchbook.com?c=489931-66", "View Company Online")</f>
      </c>
    </row>
    <row r="5446">
      <c r="A5446" t="s" s="10">
        <v>27406</v>
      </c>
      <c r="B5446" t="s" s="10">
        <v>27407</v>
      </c>
      <c r="C5446" t="s" s="10">
        <v>27</v>
      </c>
      <c r="D5446" t="s" s="10">
        <v>70</v>
      </c>
      <c r="E5446" t="s" s="10">
        <v>270</v>
      </c>
      <c r="F5446" s="27">
        <v>44826</v>
      </c>
      <c r="G5446" t="s" s="10">
        <v>4267</v>
      </c>
      <c r="H5446" s="42">
        <v>4</v>
      </c>
      <c r="I5446" t="s" s="42">
        <v>30</v>
      </c>
      <c r="J5446" t="s" s="10">
        <v>27408</v>
      </c>
      <c r="K5446" t="s" s="10">
        <v>27409</v>
      </c>
      <c r="L5446" s="16">
        <f>HYPERLINK("http://www.kamelpay.com", "www.kamelpay.com")</f>
      </c>
      <c r="M5446" s="16">
        <f>HYPERLINK("https://my.pitchbook.com?c=493561-72", "View Company Online")</f>
      </c>
    </row>
    <row r="5447">
      <c r="A5447" t="s" s="11">
        <v>27411</v>
      </c>
      <c r="B5447" t="s" s="11">
        <v>27412</v>
      </c>
      <c r="C5447" t="s" s="11">
        <v>60</v>
      </c>
      <c r="D5447" t="s" s="11">
        <v>246</v>
      </c>
      <c r="E5447" t="s" s="11">
        <v>270</v>
      </c>
      <c r="F5447" s="28">
        <v>45923</v>
      </c>
      <c r="G5447" t="s" s="11">
        <v>607</v>
      </c>
      <c r="H5447" t="s" s="43">
        <v>30</v>
      </c>
      <c r="I5447" t="s" s="43">
        <v>30</v>
      </c>
      <c r="J5447" t="s" s="11">
        <v>27413</v>
      </c>
      <c r="K5447" t="s" s="11">
        <v>27414</v>
      </c>
      <c r="L5447" s="17">
        <f>HYPERLINK("http://www.kamina.ai", "www.kamina.ai")</f>
      </c>
      <c r="M5447" s="17">
        <f>HYPERLINK("https://my.pitchbook.com?c=541544-59", "View Company Online")</f>
      </c>
    </row>
    <row r="5448">
      <c r="A5448" t="s" s="10">
        <v>27416</v>
      </c>
      <c r="B5448" t="s" s="10">
        <v>27417</v>
      </c>
      <c r="C5448" t="s" s="10">
        <v>144</v>
      </c>
      <c r="D5448" t="s" s="10">
        <v>38</v>
      </c>
      <c r="E5448" t="s" s="10">
        <v>108</v>
      </c>
      <c r="F5448" s="27">
        <v>45898</v>
      </c>
      <c r="G5448" t="s" s="10">
        <v>146</v>
      </c>
      <c r="H5448" s="42">
        <v>10.2</v>
      </c>
      <c r="I5448" t="s" s="42">
        <v>30</v>
      </c>
      <c r="J5448" t="s" s="10">
        <v>27418</v>
      </c>
      <c r="K5448" t="s" s="10">
        <v>27419</v>
      </c>
      <c r="L5448" s="16">
        <f>HYPERLINK("http://www.kamino.com.br", "www.kamino.com.br")</f>
      </c>
      <c r="M5448" s="16">
        <f>HYPERLINK("https://my.pitchbook.com?c=493681-78", "View Company Online")</f>
      </c>
    </row>
    <row r="5449">
      <c r="A5449" t="s" s="11">
        <v>27421</v>
      </c>
      <c r="B5449" t="s" s="11">
        <v>27422</v>
      </c>
      <c r="C5449" t="s" s="11">
        <v>222</v>
      </c>
      <c r="D5449" t="s" s="11">
        <v>252</v>
      </c>
      <c r="E5449" t="s" s="11">
        <v>253</v>
      </c>
      <c r="F5449" s="28">
        <v>45931</v>
      </c>
      <c r="G5449" t="s" s="11">
        <v>146</v>
      </c>
      <c r="H5449" s="43">
        <v>30</v>
      </c>
      <c r="I5449" t="s" s="43">
        <v>30</v>
      </c>
      <c r="J5449" t="s" s="11">
        <v>27423</v>
      </c>
      <c r="K5449" t="s" s="11">
        <v>27424</v>
      </c>
      <c r="L5449" s="17">
        <f>HYPERLINK("http://www.kanastra.com.br", "www.kanastra.com.br")</f>
      </c>
      <c r="M5449" s="17">
        <f>HYPERLINK("https://my.pitchbook.com?c=500583-52", "View Company Online")</f>
      </c>
    </row>
    <row r="5450">
      <c r="A5450" t="s" s="10">
        <v>27426</v>
      </c>
      <c r="B5450" t="s" s="10">
        <v>27427</v>
      </c>
      <c r="C5450" t="s" s="10">
        <v>60</v>
      </c>
      <c r="D5450" t="s" s="10">
        <v>432</v>
      </c>
      <c r="E5450" t="s" s="10">
        <v>1349</v>
      </c>
      <c r="F5450" s="27">
        <v>43208</v>
      </c>
      <c r="G5450" t="s" s="10">
        <v>4267</v>
      </c>
      <c r="H5450" s="42">
        <v>0.79</v>
      </c>
      <c r="I5450" t="s" s="42">
        <v>30</v>
      </c>
      <c r="J5450" t="s" s="10">
        <v>27428</v>
      </c>
      <c r="K5450" t="s" s="10">
        <v>27429</v>
      </c>
      <c r="L5450" s="16">
        <f>HYPERLINK("http://www.seek-data.com", "www.seek-data.com")</f>
      </c>
      <c r="M5450" s="16">
        <f>HYPERLINK("https://my.pitchbook.com?c=340850-35", "View Company Online")</f>
      </c>
    </row>
    <row r="5451">
      <c r="A5451" t="s" s="11">
        <v>27431</v>
      </c>
      <c r="B5451" t="s" s="11">
        <v>27432</v>
      </c>
      <c r="C5451" t="s" s="11">
        <v>27</v>
      </c>
      <c r="D5451" t="s" s="11">
        <v>122</v>
      </c>
      <c r="E5451" t="s" s="11">
        <v>137</v>
      </c>
      <c r="F5451" s="28">
        <v>45308</v>
      </c>
      <c r="G5451" t="s" s="11">
        <v>607</v>
      </c>
      <c r="H5451" t="s" s="43">
        <v>30</v>
      </c>
      <c r="I5451" t="s" s="43">
        <v>30</v>
      </c>
      <c r="J5451" t="s" s="11">
        <v>27433</v>
      </c>
      <c r="K5451" t="s" s="11">
        <v>27434</v>
      </c>
      <c r="L5451" s="17">
        <f>HYPERLINK("http://www.kaoshifi.com", "www.kaoshifi.com")</f>
      </c>
      <c r="M5451" s="17">
        <f>HYPERLINK("https://my.pitchbook.com?c=433213-30", "View Company Online")</f>
      </c>
    </row>
    <row r="5452">
      <c r="A5452" t="s" s="10">
        <v>27436</v>
      </c>
      <c r="B5452" t="s" s="10">
        <v>27437</v>
      </c>
      <c r="C5452" t="s" s="10">
        <v>164</v>
      </c>
      <c r="D5452" t="s" s="10">
        <v>206</v>
      </c>
      <c r="E5452" t="s" s="10">
        <v>253</v>
      </c>
      <c r="F5452" s="27">
        <v>46140</v>
      </c>
      <c r="G5452" t="s" s="10">
        <v>607</v>
      </c>
      <c r="H5452" t="s" s="42">
        <v>30</v>
      </c>
      <c r="I5452" t="s" s="42">
        <v>30</v>
      </c>
      <c r="J5452" t="s" s="10">
        <v>27438</v>
      </c>
      <c r="K5452" t="s" s="10">
        <v>27439</v>
      </c>
      <c r="L5452" s="16">
        <f>HYPERLINK("http://www.kapnative.com", "www.kapnative.com")</f>
      </c>
      <c r="M5452" s="16">
        <f>HYPERLINK("https://my.pitchbook.com?c=552648-88", "View Company Online")</f>
      </c>
    </row>
    <row r="5453">
      <c r="A5453" t="s" s="11">
        <v>27441</v>
      </c>
      <c r="B5453" t="s" s="11">
        <v>27442</v>
      </c>
      <c r="C5453" t="s" s="11">
        <v>144</v>
      </c>
      <c r="D5453" t="s" s="11">
        <v>38</v>
      </c>
      <c r="E5453" t="s" s="11">
        <v>5051</v>
      </c>
      <c r="F5453" t="s" s="28">
        <v>30</v>
      </c>
      <c r="G5453" t="s" s="11">
        <v>48</v>
      </c>
      <c r="H5453" t="s" s="43">
        <v>30</v>
      </c>
      <c r="I5453" t="s" s="43">
        <v>30</v>
      </c>
      <c r="J5453" t="s" s="11">
        <v>27443</v>
      </c>
      <c r="K5453" t="s" s="11">
        <v>27444</v>
      </c>
      <c r="L5453" s="17">
        <f>HYPERLINK("http://www.karboncard.com", "www.karboncard.com")</f>
      </c>
      <c r="M5453" s="17">
        <f>HYPERLINK("https://my.pitchbook.com?c=433031-32", "View Company Online")</f>
      </c>
    </row>
    <row r="5454">
      <c r="A5454" t="s" s="10">
        <v>27446</v>
      </c>
      <c r="B5454" t="s" s="10">
        <v>27447</v>
      </c>
      <c r="C5454" t="s" s="10">
        <v>144</v>
      </c>
      <c r="D5454" t="s" s="10">
        <v>297</v>
      </c>
      <c r="E5454" t="s" s="10">
        <v>137</v>
      </c>
      <c r="F5454" s="27">
        <v>46035</v>
      </c>
      <c r="G5454" t="s" s="10">
        <v>494</v>
      </c>
      <c r="H5454" s="42">
        <v>58.61</v>
      </c>
      <c r="I5454" t="s" s="42">
        <v>30</v>
      </c>
      <c r="J5454" t="s" s="10">
        <v>27448</v>
      </c>
      <c r="K5454" t="s" s="10">
        <v>27449</v>
      </c>
      <c r="L5454" s="16">
        <f>HYPERLINK("http://www.karmen.io", "www.karmen.io")</f>
      </c>
      <c r="M5454" s="16">
        <f>HYPERLINK("https://my.pitchbook.com?c=490691-98", "View Company Online")</f>
      </c>
    </row>
    <row r="5455">
      <c r="A5455" t="s" s="11">
        <v>27451</v>
      </c>
      <c r="B5455" t="s" s="11">
        <v>27452</v>
      </c>
      <c r="C5455" t="s" s="11">
        <v>114</v>
      </c>
      <c r="D5455" t="s" s="11">
        <v>136</v>
      </c>
      <c r="E5455" t="s" s="11">
        <v>270</v>
      </c>
      <c r="F5455" s="28">
        <v>45720</v>
      </c>
      <c r="G5455" t="s" s="11">
        <v>146</v>
      </c>
      <c r="H5455" t="s" s="43">
        <v>30</v>
      </c>
      <c r="I5455" t="s" s="43">
        <v>30</v>
      </c>
      <c r="J5455" t="s" s="11">
        <v>27453</v>
      </c>
      <c r="K5455" t="s" s="11">
        <v>27454</v>
      </c>
      <c r="L5455" s="17">
        <f>HYPERLINK("http://www.karoo.ca", "www.karoo.ca")</f>
      </c>
      <c r="M5455" s="17">
        <f>HYPERLINK("https://my.pitchbook.com?c=739930-15", "View Company Online")</f>
      </c>
    </row>
    <row r="5456">
      <c r="A5456" t="s" s="10">
        <v>27456</v>
      </c>
      <c r="B5456" t="s" s="10">
        <v>27457</v>
      </c>
      <c r="C5456" t="s" s="10">
        <v>128</v>
      </c>
      <c r="D5456" t="s" s="10">
        <v>199</v>
      </c>
      <c r="E5456" t="s" s="10">
        <v>137</v>
      </c>
      <c r="F5456" t="s" s="27">
        <v>30</v>
      </c>
      <c r="G5456" t="s" s="10">
        <v>4267</v>
      </c>
      <c r="H5456" t="s" s="42">
        <v>30</v>
      </c>
      <c r="I5456" t="s" s="42">
        <v>30</v>
      </c>
      <c r="J5456" t="s" s="10">
        <v>27458</v>
      </c>
      <c r="K5456" t="s" s="10">
        <v>27459</v>
      </c>
      <c r="L5456" s="16">
        <f>HYPERLINK("http://www.gokarsa.com", "www.gokarsa.com")</f>
      </c>
      <c r="M5456" s="16">
        <f>HYPERLINK("https://my.pitchbook.com?c=739925-83", "View Company Online")</f>
      </c>
    </row>
    <row r="5457">
      <c r="A5457" t="s" s="11">
        <v>27461</v>
      </c>
      <c r="B5457" t="s" s="11">
        <v>27462</v>
      </c>
      <c r="C5457" t="s" s="11">
        <v>27</v>
      </c>
      <c r="D5457" t="s" s="11">
        <v>28</v>
      </c>
      <c r="E5457" t="s" s="11">
        <v>137</v>
      </c>
      <c r="F5457" s="28">
        <v>45261</v>
      </c>
      <c r="G5457" t="s" s="11">
        <v>146</v>
      </c>
      <c r="H5457" t="s" s="43">
        <v>30</v>
      </c>
      <c r="I5457" t="s" s="43">
        <v>30</v>
      </c>
      <c r="J5457" t="s" s="11">
        <v>27463</v>
      </c>
      <c r="K5457" t="s" s="11">
        <v>27464</v>
      </c>
      <c r="L5457" s="17">
        <f>HYPERLINK("http://www.kartera.com", "www.kartera.com")</f>
      </c>
      <c r="M5457" s="17">
        <f>HYPERLINK("https://my.pitchbook.com?c=498053-53", "View Company Online")</f>
      </c>
    </row>
    <row r="5458">
      <c r="A5458" t="s" s="10">
        <v>27466</v>
      </c>
      <c r="B5458" t="s" s="10">
        <v>27467</v>
      </c>
      <c r="C5458" t="s" s="10">
        <v>128</v>
      </c>
      <c r="D5458" t="s" s="10">
        <v>276</v>
      </c>
      <c r="E5458" t="s" s="10">
        <v>270</v>
      </c>
      <c r="F5458" s="27">
        <v>45313</v>
      </c>
      <c r="G5458" t="s" s="10">
        <v>4267</v>
      </c>
      <c r="H5458" s="42">
        <v>2</v>
      </c>
      <c r="I5458" t="s" s="42">
        <v>30</v>
      </c>
      <c r="J5458" t="s" s="10">
        <v>27468</v>
      </c>
      <c r="K5458" t="s" s="10">
        <v>27469</v>
      </c>
      <c r="L5458" s="16">
        <f>HYPERLINK("http://www.karty.qa", "www.karty.qa")</f>
      </c>
      <c r="M5458" s="16">
        <f>HYPERLINK("https://my.pitchbook.com?c=500938-75", "View Company Online")</f>
      </c>
    </row>
    <row r="5459">
      <c r="A5459" t="s" s="11">
        <v>27471</v>
      </c>
      <c r="B5459" t="s" s="11">
        <v>27472</v>
      </c>
      <c r="C5459" t="s" s="11">
        <v>60</v>
      </c>
      <c r="D5459" t="s" s="11">
        <v>246</v>
      </c>
      <c r="E5459" t="s" s="11">
        <v>137</v>
      </c>
      <c r="F5459" s="28">
        <v>44966</v>
      </c>
      <c r="G5459" t="s" s="11">
        <v>146</v>
      </c>
      <c r="H5459" s="43">
        <v>3.5</v>
      </c>
      <c r="I5459" t="s" s="43">
        <v>30</v>
      </c>
      <c r="J5459" t="s" s="11">
        <v>27473</v>
      </c>
      <c r="K5459" t="s" s="11">
        <v>27474</v>
      </c>
      <c r="L5459" s="17">
        <f>HYPERLINK("http://www.kasheesh.co", "www.kasheesh.co")</f>
      </c>
      <c r="M5459" s="17">
        <f>HYPERLINK("https://my.pitchbook.com?c=482319-64", "View Company Online")</f>
      </c>
    </row>
    <row r="5460">
      <c r="A5460" t="s" s="10">
        <v>27476</v>
      </c>
      <c r="B5460" t="s" s="10">
        <v>27477</v>
      </c>
      <c r="C5460" t="s" s="10">
        <v>37</v>
      </c>
      <c r="D5460" t="s" s="10">
        <v>38</v>
      </c>
      <c r="E5460" t="s" s="10">
        <v>137</v>
      </c>
      <c r="F5460" s="27">
        <v>45020</v>
      </c>
      <c r="G5460" t="s" s="10">
        <v>40</v>
      </c>
      <c r="H5460" t="s" s="42">
        <v>30</v>
      </c>
      <c r="I5460" t="s" s="42">
        <v>30</v>
      </c>
      <c r="J5460" t="s" s="10">
        <v>27478</v>
      </c>
      <c r="K5460" t="s" s="10">
        <v>27479</v>
      </c>
      <c r="L5460" s="16">
        <f>HYPERLINK("http://www.kashet.com", "www.kashet.com")</f>
      </c>
      <c r="M5460" s="16">
        <f>HYPERLINK("https://my.pitchbook.com?c=469538-20", "View Company Online")</f>
      </c>
    </row>
    <row r="5461">
      <c r="A5461" t="s" s="11">
        <v>27481</v>
      </c>
      <c r="B5461" t="s" s="11">
        <v>27482</v>
      </c>
      <c r="C5461" t="s" s="11">
        <v>164</v>
      </c>
      <c r="D5461" t="s" s="11">
        <v>206</v>
      </c>
      <c r="E5461" t="s" s="11">
        <v>193</v>
      </c>
      <c r="F5461" s="28">
        <v>44454</v>
      </c>
      <c r="G5461" t="s" s="11">
        <v>4267</v>
      </c>
      <c r="H5461" s="43">
        <v>4.5</v>
      </c>
      <c r="I5461" t="s" s="43">
        <v>30</v>
      </c>
      <c r="J5461" t="s" s="11">
        <v>27483</v>
      </c>
      <c r="K5461" t="s" s="11">
        <v>27484</v>
      </c>
      <c r="L5461" s="17">
        <f>HYPERLINK("http://www.kata-software.com", "www.kata-software.com")</f>
      </c>
      <c r="M5461" s="17">
        <f>HYPERLINK("https://my.pitchbook.com?c=501489-64", "View Company Online")</f>
      </c>
    </row>
    <row r="5462">
      <c r="A5462" t="s" s="10">
        <v>27486</v>
      </c>
      <c r="B5462" t="s" s="10">
        <v>27487</v>
      </c>
      <c r="C5462" t="s" s="10">
        <v>114</v>
      </c>
      <c r="D5462" t="s" s="10">
        <v>1386</v>
      </c>
      <c r="E5462" t="s" s="10">
        <v>373</v>
      </c>
      <c r="F5462" s="27">
        <v>45658</v>
      </c>
      <c r="G5462" t="s" s="10">
        <v>4267</v>
      </c>
      <c r="H5462" t="s" s="42">
        <v>30</v>
      </c>
      <c r="I5462" t="s" s="42">
        <v>30</v>
      </c>
      <c r="J5462" t="s" s="10">
        <v>27488</v>
      </c>
      <c r="K5462" t="s" s="10">
        <v>27489</v>
      </c>
      <c r="L5462" s="16">
        <f>HYPERLINK("http://www.katohq.com", "www.katohq.com")</f>
      </c>
      <c r="M5462" s="16">
        <f>HYPERLINK("https://my.pitchbook.com?c=721155-88", "View Company Online")</f>
      </c>
    </row>
    <row r="5463">
      <c r="A5463" t="s" s="11">
        <v>27491</v>
      </c>
      <c r="B5463" t="s" s="11">
        <v>27492</v>
      </c>
      <c r="C5463" t="s" s="11">
        <v>60</v>
      </c>
      <c r="D5463" t="s" s="11">
        <v>192</v>
      </c>
      <c r="E5463" t="s" s="11">
        <v>5920</v>
      </c>
      <c r="F5463" s="28">
        <v>46045</v>
      </c>
      <c r="G5463" t="s" s="11">
        <v>4267</v>
      </c>
      <c r="H5463" t="s" s="43">
        <v>30</v>
      </c>
      <c r="I5463" t="s" s="43">
        <v>30</v>
      </c>
      <c r="J5463" t="s" s="11">
        <v>27493</v>
      </c>
      <c r="K5463" t="s" s="11">
        <v>27494</v>
      </c>
      <c r="L5463" s="17">
        <f>HYPERLINK("http://katsby.io", "katsby.io")</f>
      </c>
      <c r="M5463" s="17">
        <f>HYPERLINK("https://my.pitchbook.com?c=1158203-35", "View Company Online")</f>
      </c>
    </row>
    <row r="5464">
      <c r="A5464" t="s" s="10">
        <v>27496</v>
      </c>
      <c r="B5464" t="s" s="10">
        <v>27497</v>
      </c>
      <c r="C5464" t="s" s="10">
        <v>60</v>
      </c>
      <c r="D5464" t="s" s="10">
        <v>192</v>
      </c>
      <c r="E5464" t="s" s="10">
        <v>1277</v>
      </c>
      <c r="F5464" s="27">
        <v>45992</v>
      </c>
      <c r="G5464" t="s" s="10">
        <v>48</v>
      </c>
      <c r="H5464" t="s" s="42">
        <v>30</v>
      </c>
      <c r="I5464" t="s" s="42">
        <v>30</v>
      </c>
      <c r="J5464" t="s" s="10">
        <v>27498</v>
      </c>
      <c r="K5464" t="s" s="10">
        <v>27499</v>
      </c>
      <c r="L5464" s="16">
        <f>HYPERLINK("http://www.kavout.com", "www.kavout.com")</f>
      </c>
      <c r="M5464" s="16">
        <f>HYPERLINK("https://my.pitchbook.com?c=166571-56", "View Company Online")</f>
      </c>
    </row>
    <row r="5465">
      <c r="A5465" t="s" s="11">
        <v>27501</v>
      </c>
      <c r="B5465" t="s" s="11">
        <v>27502</v>
      </c>
      <c r="C5465" t="s" s="11">
        <v>27</v>
      </c>
      <c r="D5465" t="s" s="11">
        <v>28</v>
      </c>
      <c r="E5465" t="s" s="11">
        <v>253</v>
      </c>
      <c r="F5465" s="28">
        <v>46008</v>
      </c>
      <c r="G5465" t="s" s="11">
        <v>4267</v>
      </c>
      <c r="H5465" s="43">
        <v>1.2</v>
      </c>
      <c r="I5465" t="s" s="43">
        <v>30</v>
      </c>
      <c r="J5465" t="s" s="11">
        <v>27503</v>
      </c>
      <c r="K5465" t="s" s="11">
        <v>27504</v>
      </c>
      <c r="L5465" s="17">
        <f>HYPERLINK("http://www.kaykoapp.com", "www.kaykoapp.com")</f>
      </c>
      <c r="M5465" s="17">
        <f>HYPERLINK("https://my.pitchbook.com?c=565143-67", "View Company Online")</f>
      </c>
    </row>
    <row r="5466">
      <c r="A5466" t="s" s="10">
        <v>27506</v>
      </c>
      <c r="B5466" t="s" s="10">
        <v>27507</v>
      </c>
      <c r="C5466" t="s" s="10">
        <v>60</v>
      </c>
      <c r="D5466" t="s" s="10">
        <v>246</v>
      </c>
      <c r="E5466" t="s" s="10">
        <v>137</v>
      </c>
      <c r="F5466" s="27">
        <v>45727</v>
      </c>
      <c r="G5466" t="s" s="10">
        <v>40</v>
      </c>
      <c r="H5466" t="s" s="42">
        <v>30</v>
      </c>
      <c r="I5466" t="s" s="42">
        <v>30</v>
      </c>
      <c r="J5466" t="s" s="10">
        <v>27508</v>
      </c>
      <c r="K5466" t="s" s="10">
        <v>27509</v>
      </c>
      <c r="L5466" s="16">
        <f>HYPERLINK("http://finory.tech", "finory.tech")</f>
      </c>
      <c r="M5466" s="16">
        <f>HYPERLINK("https://my.pitchbook.com?c=509781-79", "View Company Online")</f>
      </c>
    </row>
    <row r="5467">
      <c r="A5467" t="s" s="11">
        <v>27511</v>
      </c>
      <c r="B5467" t="s" s="11">
        <v>27512</v>
      </c>
      <c r="C5467" t="s" s="11">
        <v>46</v>
      </c>
      <c r="D5467" t="s" s="11">
        <v>47</v>
      </c>
      <c r="E5467" t="s" s="11">
        <v>253</v>
      </c>
      <c r="F5467" s="28">
        <v>45797</v>
      </c>
      <c r="G5467" t="s" s="11">
        <v>146</v>
      </c>
      <c r="H5467" s="43">
        <v>76</v>
      </c>
      <c r="I5467" t="s" s="43">
        <v>30</v>
      </c>
      <c r="J5467" t="s" s="11">
        <v>27513</v>
      </c>
      <c r="K5467" t="s" s="11">
        <v>27514</v>
      </c>
      <c r="L5467" s="17">
        <f>HYPERLINK("http://www.trykeep.com", "www.trykeep.com")</f>
      </c>
      <c r="M5467" s="17">
        <f>HYPERLINK("https://my.pitchbook.com?c=491016-70", "View Company Online")</f>
      </c>
    </row>
    <row r="5468">
      <c r="A5468" t="s" s="10">
        <v>27516</v>
      </c>
      <c r="B5468" t="s" s="10">
        <v>27517</v>
      </c>
      <c r="C5468" t="s" s="10">
        <v>46</v>
      </c>
      <c r="D5468" t="s" s="10">
        <v>47</v>
      </c>
      <c r="E5468" t="s" s="10">
        <v>259</v>
      </c>
      <c r="F5468" s="27">
        <v>45335</v>
      </c>
      <c r="G5468" t="s" s="10">
        <v>4267</v>
      </c>
      <c r="H5468" s="42">
        <v>2</v>
      </c>
      <c r="I5468" t="s" s="42">
        <v>30</v>
      </c>
      <c r="J5468" t="s" s="10">
        <v>27518</v>
      </c>
      <c r="K5468" t="s" s="10">
        <v>27519</v>
      </c>
      <c r="L5468" s="16">
        <f>HYPERLINK("http://www.kema.co", "www.kema.co")</f>
      </c>
      <c r="M5468" s="16">
        <f>HYPERLINK("https://my.pitchbook.com?c=537292-36", "View Company Online")</f>
      </c>
    </row>
    <row r="5469">
      <c r="A5469" t="s" s="11">
        <v>27521</v>
      </c>
      <c r="B5469" t="s" s="11">
        <v>27522</v>
      </c>
      <c r="C5469" t="s" s="11">
        <v>60</v>
      </c>
      <c r="D5469" t="s" s="11">
        <v>246</v>
      </c>
      <c r="E5469" t="s" s="11">
        <v>253</v>
      </c>
      <c r="F5469" s="28">
        <v>46014</v>
      </c>
      <c r="G5469" t="s" s="11">
        <v>146</v>
      </c>
      <c r="H5469" t="s" s="43">
        <v>30</v>
      </c>
      <c r="I5469" t="s" s="43">
        <v>30</v>
      </c>
      <c r="J5469" t="s" s="11">
        <v>27523</v>
      </c>
      <c r="K5469" t="s" s="11">
        <v>27524</v>
      </c>
      <c r="L5469" s="17">
        <f>HYPERLINK("http://www.kernelwealth.co.nz", "www.kernelwealth.co.nz")</f>
      </c>
      <c r="M5469" s="17">
        <f>HYPERLINK("https://my.pitchbook.com?c=469650-34", "View Company Online")</f>
      </c>
    </row>
    <row r="5470">
      <c r="A5470" t="s" s="10">
        <v>27526</v>
      </c>
      <c r="B5470" t="s" s="10">
        <v>27527</v>
      </c>
      <c r="C5470" t="s" s="10">
        <v>164</v>
      </c>
      <c r="D5470" t="s" s="10">
        <v>206</v>
      </c>
      <c r="E5470" t="s" s="10">
        <v>1859</v>
      </c>
      <c r="F5470" s="27">
        <v>44562</v>
      </c>
      <c r="G5470" t="s" s="10">
        <v>607</v>
      </c>
      <c r="H5470" t="s" s="42">
        <v>30</v>
      </c>
      <c r="I5470" t="s" s="42">
        <v>30</v>
      </c>
      <c r="J5470" t="s" s="10">
        <v>27528</v>
      </c>
      <c r="K5470" t="s" s="10">
        <v>27529</v>
      </c>
      <c r="L5470" s="16">
        <f>HYPERLINK("http://www.kernolab.com", "www.kernolab.com")</f>
      </c>
      <c r="M5470" s="16">
        <f>HYPERLINK("https://my.pitchbook.com?c=481464-10", "View Company Online")</f>
      </c>
    </row>
    <row r="5471">
      <c r="A5471" t="s" s="11">
        <v>27531</v>
      </c>
      <c r="B5471" t="s" s="11">
        <v>27532</v>
      </c>
      <c r="C5471" t="s" s="11">
        <v>60</v>
      </c>
      <c r="D5471" t="s" s="11">
        <v>192</v>
      </c>
      <c r="E5471" t="s" s="11">
        <v>373</v>
      </c>
      <c r="F5471" s="28">
        <v>45615</v>
      </c>
      <c r="G5471" t="s" s="11">
        <v>40</v>
      </c>
      <c r="H5471" s="43">
        <v>9.03</v>
      </c>
      <c r="I5471" t="s" s="43">
        <v>30</v>
      </c>
      <c r="J5471" t="s" s="11">
        <v>27533</v>
      </c>
      <c r="K5471" t="s" s="11">
        <v>27534</v>
      </c>
      <c r="L5471" s="17">
        <f>HYPERLINK("http://www.ketosoftware.com", "www.ketosoftware.com")</f>
      </c>
      <c r="M5471" s="17">
        <f>HYPERLINK("https://my.pitchbook.com?c=323132-23", "View Company Online")</f>
      </c>
    </row>
    <row r="5472">
      <c r="A5472" t="s" s="10">
        <v>27536</v>
      </c>
      <c r="B5472" t="s" s="10">
        <v>27537</v>
      </c>
      <c r="C5472" t="s" s="10">
        <v>164</v>
      </c>
      <c r="D5472" t="s" s="10">
        <v>206</v>
      </c>
      <c r="E5472" t="s" s="10">
        <v>137</v>
      </c>
      <c r="F5472" s="27">
        <v>44278</v>
      </c>
      <c r="G5472" t="s" s="10">
        <v>146</v>
      </c>
      <c r="H5472" t="s" s="42">
        <v>30</v>
      </c>
      <c r="I5472" t="s" s="42">
        <v>30</v>
      </c>
      <c r="J5472" t="s" s="10">
        <v>27538</v>
      </c>
      <c r="K5472" t="s" s="10">
        <v>27539</v>
      </c>
      <c r="L5472" s="16">
        <f>HYPERLINK("http://www.keyike.com", "www.keyike.com")</f>
      </c>
      <c r="M5472" s="16">
        <f>HYPERLINK("https://my.pitchbook.com?c=268451-38", "View Company Online")</f>
      </c>
    </row>
    <row r="5473">
      <c r="A5473" t="s" s="11">
        <v>27541</v>
      </c>
      <c r="B5473" t="s" s="11">
        <v>27542</v>
      </c>
      <c r="C5473" t="s" s="11">
        <v>172</v>
      </c>
      <c r="D5473" t="s" s="11">
        <v>173</v>
      </c>
      <c r="E5473" t="s" s="11">
        <v>7068</v>
      </c>
      <c r="F5473" s="28">
        <v>45394</v>
      </c>
      <c r="G5473" t="s" s="11">
        <v>40</v>
      </c>
      <c r="H5473" t="s" s="43">
        <v>30</v>
      </c>
      <c r="I5473" t="s" s="43">
        <v>30</v>
      </c>
      <c r="J5473" t="s" s="11">
        <v>27543</v>
      </c>
      <c r="K5473" t="s" s="11">
        <v>27544</v>
      </c>
      <c r="L5473" s="17">
        <f>HYPERLINK("http://www.keyo.com", "www.keyo.com")</f>
      </c>
      <c r="M5473" s="17">
        <f>HYPERLINK("https://my.pitchbook.com?c=170712-10", "View Company Online")</f>
      </c>
    </row>
    <row r="5474">
      <c r="A5474" t="s" s="10">
        <v>27546</v>
      </c>
      <c r="B5474" t="s" s="10">
        <v>27547</v>
      </c>
      <c r="C5474" t="s" s="10">
        <v>46</v>
      </c>
      <c r="D5474" t="s" s="10">
        <v>47</v>
      </c>
      <c r="E5474" t="s" s="10">
        <v>193</v>
      </c>
      <c r="F5474" s="27">
        <v>45692</v>
      </c>
      <c r="G5474" t="s" s="10">
        <v>40</v>
      </c>
      <c r="H5474" s="42">
        <v>16</v>
      </c>
      <c r="I5474" t="s" s="42">
        <v>30</v>
      </c>
      <c r="J5474" t="s" s="10">
        <v>27548</v>
      </c>
      <c r="K5474" t="s" s="10">
        <v>27549</v>
      </c>
      <c r="L5474" s="16">
        <f>HYPERLINK("http://khazna.app", "khazna.app")</f>
      </c>
      <c r="M5474" s="16">
        <f>HYPERLINK("https://my.pitchbook.com?c=433145-80", "View Company Online")</f>
      </c>
    </row>
    <row r="5475">
      <c r="A5475" t="s" s="11">
        <v>27551</v>
      </c>
      <c r="B5475" t="s" s="11">
        <v>27552</v>
      </c>
      <c r="C5475" t="s" s="11">
        <v>46</v>
      </c>
      <c r="D5475" t="s" s="11">
        <v>397</v>
      </c>
      <c r="E5475" t="s" s="11">
        <v>634</v>
      </c>
      <c r="F5475" t="s" s="28">
        <v>30</v>
      </c>
      <c r="G5475" t="s" s="11">
        <v>4267</v>
      </c>
      <c r="H5475" t="s" s="43">
        <v>30</v>
      </c>
      <c r="I5475" t="s" s="43">
        <v>30</v>
      </c>
      <c r="J5475" t="s" s="11">
        <v>27553</v>
      </c>
      <c r="K5475" t="s" s="11">
        <v>27554</v>
      </c>
      <c r="L5475" s="17">
        <f>HYPERLINK("http://www.kick.co", "www.kick.co")</f>
      </c>
      <c r="M5475" s="17">
        <f>HYPERLINK("https://my.pitchbook.com?c=481409-11", "View Company Online")</f>
      </c>
    </row>
    <row r="5476">
      <c r="A5476" t="s" s="10">
        <v>27556</v>
      </c>
      <c r="B5476" t="s" s="10">
        <v>27557</v>
      </c>
      <c r="C5476" t="s" s="10">
        <v>60</v>
      </c>
      <c r="D5476" t="s" s="10">
        <v>192</v>
      </c>
      <c r="E5476" t="s" s="10">
        <v>4075</v>
      </c>
      <c r="F5476" s="27">
        <v>45966</v>
      </c>
      <c r="G5476" t="s" s="10">
        <v>40</v>
      </c>
      <c r="H5476" t="s" s="42">
        <v>30</v>
      </c>
      <c r="I5476" t="s" s="42">
        <v>30</v>
      </c>
      <c r="J5476" t="s" s="10">
        <v>27558</v>
      </c>
      <c r="K5476" t="s" s="10">
        <v>27559</v>
      </c>
      <c r="L5476" s="16">
        <f>HYPERLINK("http://www.kidvestors.co", "www.kidvestors.co")</f>
      </c>
      <c r="M5476" s="16">
        <f>HYPERLINK("https://my.pitchbook.com?c=521306-92", "View Company Online")</f>
      </c>
    </row>
    <row r="5477">
      <c r="A5477" t="s" s="11">
        <v>27561</v>
      </c>
      <c r="B5477" t="s" s="11">
        <v>27562</v>
      </c>
      <c r="C5477" t="s" s="11">
        <v>128</v>
      </c>
      <c r="D5477" t="s" s="11">
        <v>129</v>
      </c>
      <c r="E5477" t="s" s="11">
        <v>25117</v>
      </c>
      <c r="F5477" s="28">
        <v>45071</v>
      </c>
      <c r="G5477" t="s" s="11">
        <v>146</v>
      </c>
      <c r="H5477" s="43">
        <v>6.5</v>
      </c>
      <c r="I5477" t="s" s="43">
        <v>30</v>
      </c>
      <c r="J5477" t="s" s="11">
        <v>27563</v>
      </c>
      <c r="K5477" t="s" s="11">
        <v>27564</v>
      </c>
      <c r="L5477" s="17">
        <f>HYPERLINK("http://kigo.io", "kigo.io")</f>
      </c>
      <c r="M5477" s="17">
        <f>HYPERLINK("https://my.pitchbook.com?c=528312-25", "View Company Online")</f>
      </c>
    </row>
    <row r="5478">
      <c r="A5478" t="s" s="10">
        <v>27566</v>
      </c>
      <c r="B5478" t="s" s="10">
        <v>27567</v>
      </c>
      <c r="C5478" t="s" s="10">
        <v>46</v>
      </c>
      <c r="D5478" t="s" s="10">
        <v>78</v>
      </c>
      <c r="E5478" t="s" s="10">
        <v>859</v>
      </c>
      <c r="F5478" s="27">
        <v>46082</v>
      </c>
      <c r="G5478" t="s" s="10">
        <v>146</v>
      </c>
      <c r="H5478" t="s" s="42">
        <v>30</v>
      </c>
      <c r="I5478" t="s" s="42">
        <v>30</v>
      </c>
      <c r="J5478" t="s" s="10">
        <v>27568</v>
      </c>
      <c r="K5478" t="s" s="10">
        <v>27569</v>
      </c>
      <c r="L5478" s="16">
        <f>HYPERLINK("http://www.kiip.app", "www.kiip.app")</f>
      </c>
      <c r="M5478" s="16">
        <f>HYPERLINK("https://my.pitchbook.com?c=1210573-09", "View Company Online")</f>
      </c>
    </row>
    <row r="5479">
      <c r="A5479" t="s" s="11">
        <v>27571</v>
      </c>
      <c r="B5479" t="s" s="11">
        <v>27572</v>
      </c>
      <c r="C5479" t="s" s="11">
        <v>114</v>
      </c>
      <c r="D5479" t="s" s="11">
        <v>852</v>
      </c>
      <c r="E5479" t="s" s="11">
        <v>137</v>
      </c>
      <c r="F5479" s="28">
        <v>46174</v>
      </c>
      <c r="G5479" t="s" s="11">
        <v>4267</v>
      </c>
      <c r="H5479" s="43">
        <v>3.79</v>
      </c>
      <c r="I5479" t="s" s="43">
        <v>30</v>
      </c>
      <c r="J5479" t="s" s="11">
        <v>27573</v>
      </c>
      <c r="K5479" t="s" s="11">
        <v>30</v>
      </c>
      <c r="L5479" s="17">
        <f>HYPERLINK("http://www.kilocapital.com", "www.kilocapital.com")</f>
      </c>
      <c r="M5479" s="17">
        <f>HYPERLINK("https://my.pitchbook.com?c=232589-26", "View Company Online")</f>
      </c>
    </row>
    <row r="5480">
      <c r="A5480" t="s" s="10">
        <v>27575</v>
      </c>
      <c r="B5480" t="s" s="10">
        <v>27576</v>
      </c>
      <c r="C5480" t="s" s="10">
        <v>114</v>
      </c>
      <c r="D5480" t="s" s="10">
        <v>1386</v>
      </c>
      <c r="E5480" t="s" s="10">
        <v>373</v>
      </c>
      <c r="F5480" t="s" s="27">
        <v>30</v>
      </c>
      <c r="G5480" t="s" s="10">
        <v>607</v>
      </c>
      <c r="H5480" t="s" s="42">
        <v>30</v>
      </c>
      <c r="I5480" t="s" s="42">
        <v>30</v>
      </c>
      <c r="J5480" t="s" s="10">
        <v>27577</v>
      </c>
      <c r="K5480" t="s" s="10">
        <v>27578</v>
      </c>
      <c r="L5480" s="16">
        <f>HYPERLINK("http://finayo.tech", "finayo.tech")</f>
      </c>
      <c r="M5480" s="16">
        <f>HYPERLINK("https://my.pitchbook.com?c=530155-81", "View Company Online")</f>
      </c>
    </row>
    <row r="5481">
      <c r="A5481" t="s" s="11">
        <v>27580</v>
      </c>
      <c r="B5481" t="s" s="11">
        <v>27581</v>
      </c>
      <c r="C5481" t="s" s="11">
        <v>128</v>
      </c>
      <c r="D5481" t="s" s="11">
        <v>129</v>
      </c>
      <c r="E5481" t="s" s="11">
        <v>137</v>
      </c>
      <c r="F5481" s="28">
        <v>45736</v>
      </c>
      <c r="G5481" t="s" s="11">
        <v>146</v>
      </c>
      <c r="H5481" t="s" s="43">
        <v>30</v>
      </c>
      <c r="I5481" t="s" s="43">
        <v>30</v>
      </c>
      <c r="J5481" t="s" s="11">
        <v>27582</v>
      </c>
      <c r="K5481" t="s" s="11">
        <v>27583</v>
      </c>
      <c r="L5481" s="17">
        <f>HYPERLINK("http://www.kina.co", "www.kina.co")</f>
      </c>
      <c r="M5481" s="17">
        <f>HYPERLINK("https://my.pitchbook.com?c=770520-88", "View Company Online")</f>
      </c>
    </row>
    <row r="5482">
      <c r="A5482" t="s" s="10">
        <v>27585</v>
      </c>
      <c r="B5482" t="s" s="10">
        <v>27586</v>
      </c>
      <c r="C5482" t="s" s="10">
        <v>27</v>
      </c>
      <c r="D5482" t="s" s="10">
        <v>28</v>
      </c>
      <c r="E5482" t="s" s="10">
        <v>4075</v>
      </c>
      <c r="F5482" s="27">
        <v>46010</v>
      </c>
      <c r="G5482" t="s" s="10">
        <v>40</v>
      </c>
      <c r="H5482" s="42">
        <v>8.59</v>
      </c>
      <c r="I5482" t="s" s="42">
        <v>30</v>
      </c>
      <c r="J5482" t="s" s="10">
        <v>27587</v>
      </c>
      <c r="K5482" t="s" s="10">
        <v>27588</v>
      </c>
      <c r="L5482" s="16">
        <f>HYPERLINK("http://www.kindo.co.nz", "www.kindo.co.nz")</f>
      </c>
      <c r="M5482" s="16">
        <f>HYPERLINK("https://my.pitchbook.com?c=549916-48", "View Company Online")</f>
      </c>
    </row>
    <row r="5483">
      <c r="A5483" t="s" s="11">
        <v>27590</v>
      </c>
      <c r="B5483" t="s" s="11">
        <v>27591</v>
      </c>
      <c r="C5483" t="s" s="11">
        <v>27</v>
      </c>
      <c r="D5483" t="s" s="11">
        <v>28</v>
      </c>
      <c r="E5483" t="s" s="11">
        <v>27592</v>
      </c>
      <c r="F5483" s="28">
        <v>45604</v>
      </c>
      <c r="G5483" t="s" s="11">
        <v>40</v>
      </c>
      <c r="H5483" t="s" s="43">
        <v>30</v>
      </c>
      <c r="I5483" t="s" s="43">
        <v>30</v>
      </c>
      <c r="J5483" t="s" s="11">
        <v>27593</v>
      </c>
      <c r="K5483" t="s" s="11">
        <v>27594</v>
      </c>
      <c r="L5483" s="17">
        <f>HYPERLINK("http://www.kios9.com", "www.kios9.com")</f>
      </c>
      <c r="M5483" s="17">
        <f>HYPERLINK("https://my.pitchbook.com?c=707573-62", "View Company Online")</f>
      </c>
    </row>
    <row r="5484">
      <c r="A5484" t="s" s="10">
        <v>27596</v>
      </c>
      <c r="B5484" t="s" s="10">
        <v>27597</v>
      </c>
      <c r="C5484" t="s" s="10">
        <v>164</v>
      </c>
      <c r="D5484" t="s" s="10">
        <v>206</v>
      </c>
      <c r="E5484" t="s" s="10">
        <v>373</v>
      </c>
      <c r="F5484" s="27">
        <v>43831</v>
      </c>
      <c r="G5484" t="s" s="10">
        <v>4267</v>
      </c>
      <c r="H5484" s="42">
        <v>4.58</v>
      </c>
      <c r="I5484" t="s" s="42">
        <v>30</v>
      </c>
      <c r="J5484" t="s" s="10">
        <v>27598</v>
      </c>
      <c r="K5484" t="s" s="10">
        <v>27599</v>
      </c>
      <c r="L5484" s="16">
        <f>HYPERLINK("http://kipp-corp.com", "kipp-corp.com")</f>
      </c>
      <c r="M5484" s="16">
        <f>HYPERLINK("https://my.pitchbook.com?c=462574-09", "View Company Online")</f>
      </c>
    </row>
    <row r="5485">
      <c r="A5485" t="s" s="11">
        <v>27601</v>
      </c>
      <c r="B5485" t="s" s="11">
        <v>27602</v>
      </c>
      <c r="C5485" t="s" s="11">
        <v>164</v>
      </c>
      <c r="D5485" t="s" s="11">
        <v>206</v>
      </c>
      <c r="E5485" t="s" s="11">
        <v>414</v>
      </c>
      <c r="F5485" s="28">
        <v>45895</v>
      </c>
      <c r="G5485" t="s" s="11">
        <v>146</v>
      </c>
      <c r="H5485" s="43">
        <v>6.7</v>
      </c>
      <c r="I5485" t="s" s="43">
        <v>30</v>
      </c>
      <c r="J5485" t="s" s="11">
        <v>27603</v>
      </c>
      <c r="K5485" t="s" s="11">
        <v>27604</v>
      </c>
      <c r="L5485" s="17">
        <f>HYPERLINK("http://www.kirafin.ai", "www.kirafin.ai")</f>
      </c>
      <c r="M5485" s="17">
        <f>HYPERLINK("https://my.pitchbook.com?c=894548-98", "View Company Online")</f>
      </c>
    </row>
    <row r="5486">
      <c r="A5486" t="s" s="10">
        <v>27606</v>
      </c>
      <c r="B5486" t="s" s="10">
        <v>27607</v>
      </c>
      <c r="C5486" t="s" s="10">
        <v>114</v>
      </c>
      <c r="D5486" t="s" s="10">
        <v>136</v>
      </c>
      <c r="E5486" t="s" s="10">
        <v>270</v>
      </c>
      <c r="F5486" s="27">
        <v>45139</v>
      </c>
      <c r="G5486" t="s" s="10">
        <v>40</v>
      </c>
      <c r="H5486" t="s" s="42">
        <v>30</v>
      </c>
      <c r="I5486" t="s" s="42">
        <v>30</v>
      </c>
      <c r="J5486" t="s" s="10">
        <v>27608</v>
      </c>
      <c r="K5486" t="s" s="10">
        <v>27609</v>
      </c>
      <c r="L5486" s="16">
        <f>HYPERLINK("http://www.kitabisa.com", "www.kitabisa.com")</f>
      </c>
      <c r="M5486" s="16">
        <f>HYPERLINK("https://my.pitchbook.com?c=118158-04", "View Company Online")</f>
      </c>
    </row>
    <row r="5487">
      <c r="A5487" t="s" s="11">
        <v>27611</v>
      </c>
      <c r="B5487" t="s" s="11">
        <v>27612</v>
      </c>
      <c r="C5487" t="s" s="11">
        <v>128</v>
      </c>
      <c r="D5487" t="s" s="11">
        <v>276</v>
      </c>
      <c r="E5487" t="s" s="11">
        <v>193</v>
      </c>
      <c r="F5487" t="s" s="28">
        <v>30</v>
      </c>
      <c r="G5487" t="s" s="11">
        <v>4267</v>
      </c>
      <c r="H5487" t="s" s="43">
        <v>30</v>
      </c>
      <c r="I5487" t="s" s="43">
        <v>30</v>
      </c>
      <c r="J5487" t="s" s="11">
        <v>27613</v>
      </c>
      <c r="K5487" t="s" s="11">
        <v>27614</v>
      </c>
      <c r="L5487" s="17">
        <f>HYPERLINK("http://www.kiweapp.com", "www.kiweapp.com")</f>
      </c>
      <c r="M5487" s="17">
        <f>HYPERLINK("https://my.pitchbook.com?c=462645-01", "View Company Online")</f>
      </c>
    </row>
    <row r="5488">
      <c r="A5488" t="s" s="10">
        <v>27616</v>
      </c>
      <c r="B5488" t="s" s="10">
        <v>27617</v>
      </c>
      <c r="C5488" t="s" s="10">
        <v>114</v>
      </c>
      <c r="D5488" t="s" s="10">
        <v>870</v>
      </c>
      <c r="E5488" t="s" s="10">
        <v>270</v>
      </c>
      <c r="F5488" s="27">
        <v>45966</v>
      </c>
      <c r="G5488" t="s" s="10">
        <v>31</v>
      </c>
      <c r="H5488" s="42">
        <v>100</v>
      </c>
      <c r="I5488" t="s" s="42">
        <v>30</v>
      </c>
      <c r="J5488" t="s" s="10">
        <v>27618</v>
      </c>
      <c r="K5488" t="s" s="10">
        <v>27619</v>
      </c>
      <c r="L5488" s="16">
        <f>HYPERLINK("http://www.kiwicredito.com", "www.kiwicredito.com")</f>
      </c>
      <c r="M5488" s="16">
        <f>HYPERLINK("https://my.pitchbook.com?c=482719-42", "View Company Online")</f>
      </c>
    </row>
    <row r="5489">
      <c r="A5489" t="s" s="11">
        <v>27621</v>
      </c>
      <c r="B5489" t="s" s="11">
        <v>27622</v>
      </c>
      <c r="C5489" t="s" s="11">
        <v>37</v>
      </c>
      <c r="D5489" t="s" s="11">
        <v>304</v>
      </c>
      <c r="E5489" t="s" s="11">
        <v>2741</v>
      </c>
      <c r="F5489" s="28">
        <v>45772</v>
      </c>
      <c r="G5489" t="s" s="11">
        <v>4267</v>
      </c>
      <c r="H5489" s="43">
        <v>10</v>
      </c>
      <c r="I5489" t="s" s="43">
        <v>30</v>
      </c>
      <c r="J5489" t="s" s="11">
        <v>27623</v>
      </c>
      <c r="K5489" t="s" s="11">
        <v>27624</v>
      </c>
      <c r="L5489" s="17">
        <f>HYPERLINK("http://www.pagaconkiwi.com", "www.pagaconkiwi.com")</f>
      </c>
      <c r="M5489" s="17">
        <f>HYPERLINK("https://my.pitchbook.com?c=818651-71", "View Company Online")</f>
      </c>
    </row>
    <row r="5490">
      <c r="A5490" t="s" s="10">
        <v>27626</v>
      </c>
      <c r="B5490" t="s" s="10">
        <v>27627</v>
      </c>
      <c r="C5490" t="s" s="10">
        <v>164</v>
      </c>
      <c r="D5490" t="s" s="10">
        <v>165</v>
      </c>
      <c r="E5490" t="s" s="10">
        <v>253</v>
      </c>
      <c r="F5490" s="27">
        <v>45292</v>
      </c>
      <c r="G5490" t="s" s="10">
        <v>40</v>
      </c>
      <c r="H5490" s="42">
        <v>11</v>
      </c>
      <c r="I5490" t="s" s="42">
        <v>30</v>
      </c>
      <c r="J5490" t="s" s="10">
        <v>27628</v>
      </c>
      <c r="K5490" t="s" s="10">
        <v>27629</v>
      </c>
      <c r="L5490" s="16">
        <f>HYPERLINK("http://www.klarivis.com", "www.klarivis.com")</f>
      </c>
      <c r="M5490" s="16">
        <f>HYPERLINK("https://my.pitchbook.com?c=436708-45", "View Company Online")</f>
      </c>
    </row>
    <row r="5491">
      <c r="A5491" t="s" s="11">
        <v>27631</v>
      </c>
      <c r="B5491" t="s" s="11">
        <v>27632</v>
      </c>
      <c r="C5491" t="s" s="11">
        <v>114</v>
      </c>
      <c r="D5491" t="s" s="11">
        <v>136</v>
      </c>
      <c r="E5491" t="s" s="11">
        <v>253</v>
      </c>
      <c r="F5491" s="28">
        <v>45868</v>
      </c>
      <c r="G5491" t="s" s="11">
        <v>391</v>
      </c>
      <c r="H5491" t="s" s="43">
        <v>30</v>
      </c>
      <c r="I5491" t="s" s="43">
        <v>30</v>
      </c>
      <c r="J5491" t="s" s="11">
        <v>27633</v>
      </c>
      <c r="K5491" t="s" s="11">
        <v>27634</v>
      </c>
      <c r="L5491" s="17">
        <f>HYPERLINK("http://www.klearlending.com", "www.klearlending.com")</f>
      </c>
      <c r="M5491" s="17">
        <f>HYPERLINK("https://my.pitchbook.com?c=172304-65", "View Company Online")</f>
      </c>
    </row>
    <row r="5492">
      <c r="A5492" t="s" s="10">
        <v>27636</v>
      </c>
      <c r="B5492" t="s" s="10">
        <v>27637</v>
      </c>
      <c r="C5492" t="s" s="10">
        <v>60</v>
      </c>
      <c r="D5492" t="s" s="10">
        <v>192</v>
      </c>
      <c r="E5492" t="s" s="10">
        <v>373</v>
      </c>
      <c r="F5492" s="27">
        <v>45945</v>
      </c>
      <c r="G5492" t="s" s="10">
        <v>607</v>
      </c>
      <c r="H5492" t="s" s="42">
        <v>30</v>
      </c>
      <c r="I5492" t="s" s="42">
        <v>30</v>
      </c>
      <c r="J5492" t="s" s="10">
        <v>27638</v>
      </c>
      <c r="K5492" t="s" s="10">
        <v>23538</v>
      </c>
      <c r="L5492" s="16">
        <f>HYPERLINK("http://www.klearfinance.com", "www.klearfinance.com")</f>
      </c>
      <c r="M5492" s="16">
        <f>HYPERLINK("https://my.pitchbook.com?c=756525-88", "View Company Online")</f>
      </c>
    </row>
    <row r="5493">
      <c r="A5493" t="s" s="11">
        <v>27640</v>
      </c>
      <c r="B5493" t="s" s="11">
        <v>27641</v>
      </c>
      <c r="C5493" t="s" s="11">
        <v>27</v>
      </c>
      <c r="D5493" t="s" s="11">
        <v>28</v>
      </c>
      <c r="E5493" t="s" s="11">
        <v>193</v>
      </c>
      <c r="F5493" s="28">
        <v>46035</v>
      </c>
      <c r="G5493" t="s" s="11">
        <v>146</v>
      </c>
      <c r="H5493" s="43">
        <v>14.07</v>
      </c>
      <c r="I5493" t="s" s="43">
        <v>30</v>
      </c>
      <c r="J5493" t="s" s="11">
        <v>27642</v>
      </c>
      <c r="K5493" t="s" s="11">
        <v>27643</v>
      </c>
      <c r="L5493" s="17">
        <f>HYPERLINK("http://www.klearly.nl", "www.klearly.nl")</f>
      </c>
      <c r="M5493" s="17">
        <f>HYPERLINK("https://my.pitchbook.com?c=515236-78", "View Company Online")</f>
      </c>
    </row>
    <row r="5494">
      <c r="A5494" t="s" s="10">
        <v>27645</v>
      </c>
      <c r="B5494" t="s" s="10">
        <v>27646</v>
      </c>
      <c r="C5494" t="s" s="10">
        <v>46</v>
      </c>
      <c r="D5494" t="s" s="10">
        <v>397</v>
      </c>
      <c r="E5494" t="s" s="10">
        <v>27647</v>
      </c>
      <c r="F5494" s="27">
        <v>43542</v>
      </c>
      <c r="G5494" t="s" s="10">
        <v>48</v>
      </c>
      <c r="H5494" s="42">
        <v>2.26</v>
      </c>
      <c r="I5494" t="s" s="42">
        <v>30</v>
      </c>
      <c r="J5494" t="s" s="10">
        <v>27648</v>
      </c>
      <c r="K5494" t="s" s="10">
        <v>27649</v>
      </c>
      <c r="L5494" s="16">
        <f>HYPERLINK("http://www.kleer.se", "www.kleer.se")</f>
      </c>
      <c r="M5494" s="16">
        <f>HYPERLINK("https://my.pitchbook.com?c=156529-81", "View Company Online")</f>
      </c>
    </row>
    <row r="5495">
      <c r="A5495" t="s" s="11">
        <v>27651</v>
      </c>
      <c r="B5495" t="s" s="11">
        <v>27652</v>
      </c>
      <c r="C5495" t="s" s="11">
        <v>144</v>
      </c>
      <c r="D5495" t="s" s="11">
        <v>297</v>
      </c>
      <c r="E5495" t="s" s="11">
        <v>137</v>
      </c>
      <c r="F5495" t="s" s="28">
        <v>30</v>
      </c>
      <c r="G5495" t="s" s="11">
        <v>48</v>
      </c>
      <c r="H5495" t="s" s="43">
        <v>30</v>
      </c>
      <c r="I5495" t="s" s="43">
        <v>30</v>
      </c>
      <c r="J5495" t="s" s="11">
        <v>27653</v>
      </c>
      <c r="K5495" t="s" s="11">
        <v>27654</v>
      </c>
      <c r="L5495" s="17">
        <f>HYPERLINK("http://klub.ai", "klub.ai")</f>
      </c>
      <c r="M5495" s="17">
        <f>HYPERLINK("https://my.pitchbook.com?c=327452-14", "View Company Online")</f>
      </c>
    </row>
    <row r="5496">
      <c r="A5496" t="s" s="10">
        <v>27656</v>
      </c>
      <c r="B5496" t="s" s="10">
        <v>27657</v>
      </c>
      <c r="C5496" t="s" s="10">
        <v>114</v>
      </c>
      <c r="D5496" t="s" s="10">
        <v>136</v>
      </c>
      <c r="E5496" t="s" s="10">
        <v>2695</v>
      </c>
      <c r="F5496" s="27">
        <v>46003</v>
      </c>
      <c r="G5496" t="s" s="10">
        <v>40</v>
      </c>
      <c r="H5496" s="42">
        <v>14.39</v>
      </c>
      <c r="I5496" t="s" s="42">
        <v>30</v>
      </c>
      <c r="J5496" t="s" s="10">
        <v>27658</v>
      </c>
      <c r="K5496" t="s" s="10">
        <v>27659</v>
      </c>
      <c r="L5496" s="16">
        <f>HYPERLINK("http://www.klubi.com.br", "www.klubi.com.br")</f>
      </c>
      <c r="M5496" s="16">
        <f>HYPERLINK("https://my.pitchbook.com?c=482133-43", "View Company Online")</f>
      </c>
    </row>
    <row r="5497">
      <c r="A5497" t="s" s="11">
        <v>27661</v>
      </c>
      <c r="B5497" t="s" s="11">
        <v>27662</v>
      </c>
      <c r="C5497" t="s" s="11">
        <v>37</v>
      </c>
      <c r="D5497" t="s" s="11">
        <v>304</v>
      </c>
      <c r="E5497" t="s" s="11">
        <v>193</v>
      </c>
      <c r="F5497" s="28">
        <v>44629</v>
      </c>
      <c r="G5497" t="s" s="11">
        <v>4267</v>
      </c>
      <c r="H5497" s="43">
        <v>0.78</v>
      </c>
      <c r="I5497" t="s" s="43">
        <v>30</v>
      </c>
      <c r="J5497" t="s" s="11">
        <v>27663</v>
      </c>
      <c r="K5497" t="s" s="11">
        <v>27664</v>
      </c>
      <c r="L5497" s="17">
        <f>HYPERLINK("http://www.useklump.com", "www.useklump.com")</f>
      </c>
      <c r="M5497" s="17">
        <f>HYPERLINK("https://my.pitchbook.com?c=493346-80", "View Company Online")</f>
      </c>
    </row>
    <row r="5498">
      <c r="A5498" t="s" s="10">
        <v>27666</v>
      </c>
      <c r="B5498" t="s" s="10">
        <v>27667</v>
      </c>
      <c r="C5498" t="s" s="10">
        <v>60</v>
      </c>
      <c r="D5498" t="s" s="10">
        <v>432</v>
      </c>
      <c r="E5498" t="s" s="10">
        <v>1652</v>
      </c>
      <c r="F5498" s="27">
        <v>45950</v>
      </c>
      <c r="G5498" t="s" s="10">
        <v>48</v>
      </c>
      <c r="H5498" t="s" s="42">
        <v>30</v>
      </c>
      <c r="I5498" t="s" s="42">
        <v>30</v>
      </c>
      <c r="J5498" t="s" s="10">
        <v>27668</v>
      </c>
      <c r="K5498" t="s" s="10">
        <v>27669</v>
      </c>
      <c r="L5498" s="16">
        <f>HYPERLINK("http://www.knightfintech.com", "www.knightfintech.com")</f>
      </c>
      <c r="M5498" s="16">
        <f>HYPERLINK("https://my.pitchbook.com?c=227485-18", "View Company Online")</f>
      </c>
    </row>
    <row r="5499">
      <c r="A5499" t="s" s="11">
        <v>27671</v>
      </c>
      <c r="B5499" t="s" s="11">
        <v>27672</v>
      </c>
      <c r="C5499" t="s" s="11">
        <v>164</v>
      </c>
      <c r="D5499" t="s" s="11">
        <v>206</v>
      </c>
      <c r="E5499" t="s" s="11">
        <v>253</v>
      </c>
      <c r="F5499" s="28">
        <v>44127</v>
      </c>
      <c r="G5499" t="s" s="11">
        <v>607</v>
      </c>
      <c r="H5499" t="s" s="43">
        <v>30</v>
      </c>
      <c r="I5499" t="s" s="43">
        <v>30</v>
      </c>
      <c r="J5499" t="s" s="11">
        <v>27673</v>
      </c>
      <c r="K5499" t="s" s="11">
        <v>27674</v>
      </c>
      <c r="L5499" s="17">
        <f>HYPERLINK("http://www.kobakus.com", "www.kobakus.com")</f>
      </c>
      <c r="M5499" s="17">
        <f>HYPERLINK("https://my.pitchbook.com?c=500589-91", "View Company Online")</f>
      </c>
    </row>
    <row r="5500">
      <c r="A5500" t="s" s="10">
        <v>27676</v>
      </c>
      <c r="B5500" t="s" s="10">
        <v>27677</v>
      </c>
      <c r="C5500" t="s" s="10">
        <v>114</v>
      </c>
      <c r="D5500" t="s" s="10">
        <v>115</v>
      </c>
      <c r="E5500" t="s" s="10">
        <v>2782</v>
      </c>
      <c r="F5500" s="27">
        <v>45552</v>
      </c>
      <c r="G5500" t="s" s="10">
        <v>146</v>
      </c>
      <c r="H5500" s="42">
        <v>3</v>
      </c>
      <c r="I5500" t="s" s="42">
        <v>30</v>
      </c>
      <c r="J5500" t="s" s="10">
        <v>27678</v>
      </c>
      <c r="K5500" t="s" s="10">
        <v>27679</v>
      </c>
      <c r="L5500" s="16">
        <f>HYPERLINK("http://www.koggi.co", "www.koggi.co")</f>
      </c>
      <c r="M5500" s="16">
        <f>HYPERLINK("https://my.pitchbook.com?c=495664-39", "View Company Online")</f>
      </c>
    </row>
    <row r="5501">
      <c r="A5501" t="s" s="11">
        <v>27681</v>
      </c>
      <c r="B5501" t="s" s="11">
        <v>27682</v>
      </c>
      <c r="C5501" t="s" s="11">
        <v>222</v>
      </c>
      <c r="D5501" t="s" s="11">
        <v>235</v>
      </c>
      <c r="E5501" t="s" s="11">
        <v>253</v>
      </c>
      <c r="F5501" s="28">
        <v>45658</v>
      </c>
      <c r="G5501" t="s" s="11">
        <v>146</v>
      </c>
      <c r="H5501" t="s" s="43">
        <v>30</v>
      </c>
      <c r="I5501" t="s" s="43">
        <v>30</v>
      </c>
      <c r="J5501" t="s" s="11">
        <v>27683</v>
      </c>
      <c r="K5501" t="s" s="11">
        <v>27684</v>
      </c>
      <c r="L5501" s="17">
        <f>HYPERLINK("http://www.usekoi.com", "www.usekoi.com")</f>
      </c>
      <c r="M5501" s="17">
        <f>HYPERLINK("https://my.pitchbook.com?c=592818-22", "View Company Online")</f>
      </c>
    </row>
    <row r="5502">
      <c r="A5502" t="s" s="10">
        <v>27686</v>
      </c>
      <c r="B5502" t="s" s="10">
        <v>27687</v>
      </c>
      <c r="C5502" t="s" s="10">
        <v>222</v>
      </c>
      <c r="D5502" t="s" s="10">
        <v>223</v>
      </c>
      <c r="E5502" t="s" s="10">
        <v>465</v>
      </c>
      <c r="F5502" s="27">
        <v>45560</v>
      </c>
      <c r="G5502" t="s" s="10">
        <v>4267</v>
      </c>
      <c r="H5502" s="42">
        <v>5</v>
      </c>
      <c r="I5502" t="s" s="42">
        <v>30</v>
      </c>
      <c r="J5502" t="s" s="10">
        <v>27688</v>
      </c>
      <c r="K5502" t="s" s="10">
        <v>30</v>
      </c>
      <c r="L5502" s="16">
        <f>HYPERLINK("http://koiostech.ai", "koiostech.ai")</f>
      </c>
      <c r="M5502" s="16">
        <f>HYPERLINK("https://my.pitchbook.com?c=564591-61", "View Company Online")</f>
      </c>
    </row>
    <row r="5503">
      <c r="A5503" t="s" s="11">
        <v>27690</v>
      </c>
      <c r="B5503" t="s" s="11">
        <v>27691</v>
      </c>
      <c r="C5503" t="s" s="11">
        <v>60</v>
      </c>
      <c r="D5503" t="s" s="11">
        <v>727</v>
      </c>
      <c r="E5503" t="s" s="11">
        <v>3604</v>
      </c>
      <c r="F5503" s="28">
        <v>45474</v>
      </c>
      <c r="G5503" t="s" s="11">
        <v>40</v>
      </c>
      <c r="H5503" t="s" s="43">
        <v>30</v>
      </c>
      <c r="I5503" t="s" s="43">
        <v>30</v>
      </c>
      <c r="J5503" t="s" s="11">
        <v>27692</v>
      </c>
      <c r="K5503" t="s" s="11">
        <v>27693</v>
      </c>
      <c r="L5503" s="17">
        <f>HYPERLINK("http://www.konfidis.com", "www.konfidis.com")</f>
      </c>
      <c r="M5503" s="17">
        <f>HYPERLINK("https://my.pitchbook.com?c=292870-99", "View Company Online")</f>
      </c>
    </row>
    <row r="5504">
      <c r="A5504" t="s" s="10">
        <v>27695</v>
      </c>
      <c r="B5504" t="s" s="10">
        <v>27696</v>
      </c>
      <c r="C5504" t="s" s="10">
        <v>27</v>
      </c>
      <c r="D5504" t="s" s="10">
        <v>122</v>
      </c>
      <c r="E5504" t="s" s="10">
        <v>1859</v>
      </c>
      <c r="F5504" s="27">
        <v>45763</v>
      </c>
      <c r="G5504" t="s" s="10">
        <v>4267</v>
      </c>
      <c r="H5504" s="42">
        <v>1.5</v>
      </c>
      <c r="I5504" t="s" s="42">
        <v>30</v>
      </c>
      <c r="J5504" t="s" s="10">
        <v>27697</v>
      </c>
      <c r="K5504" t="s" s="10">
        <v>27698</v>
      </c>
      <c r="L5504" s="16">
        <f>HYPERLINK("http://www.konnect.network", "www.konnect.network")</f>
      </c>
      <c r="M5504" s="16">
        <f>HYPERLINK("https://my.pitchbook.com?c=497462-41", "View Company Online")</f>
      </c>
    </row>
    <row r="5505">
      <c r="A5505" t="s" s="11">
        <v>27700</v>
      </c>
      <c r="B5505" t="s" s="11">
        <v>27701</v>
      </c>
      <c r="C5505" t="s" s="11">
        <v>114</v>
      </c>
      <c r="D5505" t="s" s="11">
        <v>136</v>
      </c>
      <c r="E5505" t="s" s="11">
        <v>270</v>
      </c>
      <c r="F5505" s="28">
        <v>45461</v>
      </c>
      <c r="G5505" t="s" s="11">
        <v>4267</v>
      </c>
      <c r="H5505" s="43">
        <v>1.05</v>
      </c>
      <c r="I5505" t="s" s="43">
        <v>30</v>
      </c>
      <c r="J5505" t="s" s="11">
        <v>27702</v>
      </c>
      <c r="K5505" t="s" s="11">
        <v>27703</v>
      </c>
      <c r="L5505" s="17">
        <f>HYPERLINK("http://www.konsi.com.br", "www.konsi.com.br")</f>
      </c>
      <c r="M5505" s="17">
        <f>HYPERLINK("https://my.pitchbook.com?c=527123-71", "View Company Online")</f>
      </c>
    </row>
    <row r="5506">
      <c r="A5506" t="s" s="10">
        <v>27705</v>
      </c>
      <c r="B5506" t="s" s="10">
        <v>27706</v>
      </c>
      <c r="C5506" t="s" s="10">
        <v>46</v>
      </c>
      <c r="D5506" t="s" s="10">
        <v>47</v>
      </c>
      <c r="E5506" t="s" s="10">
        <v>253</v>
      </c>
      <c r="F5506" s="27">
        <v>44620</v>
      </c>
      <c r="G5506" t="s" s="10">
        <v>146</v>
      </c>
      <c r="H5506" s="42">
        <v>2.6</v>
      </c>
      <c r="I5506" t="s" s="42">
        <v>30</v>
      </c>
      <c r="J5506" t="s" s="10">
        <v>27707</v>
      </c>
      <c r="K5506" t="s" s="10">
        <v>27708</v>
      </c>
      <c r="L5506" s="16">
        <f>HYPERLINK("http://www.konta.com", "www.konta.com")</f>
      </c>
      <c r="M5506" s="16">
        <f>HYPERLINK("https://my.pitchbook.com?c=481412-44", "View Company Online")</f>
      </c>
    </row>
    <row r="5507">
      <c r="A5507" t="s" s="11">
        <v>27710</v>
      </c>
      <c r="B5507" t="s" s="11">
        <v>27711</v>
      </c>
      <c r="C5507" t="s" s="11">
        <v>114</v>
      </c>
      <c r="D5507" t="s" s="11">
        <v>136</v>
      </c>
      <c r="E5507" t="s" s="11">
        <v>373</v>
      </c>
      <c r="F5507" s="28">
        <v>46009</v>
      </c>
      <c r="G5507" t="s" s="11">
        <v>4267</v>
      </c>
      <c r="H5507" s="43">
        <v>20</v>
      </c>
      <c r="I5507" t="s" s="43">
        <v>30</v>
      </c>
      <c r="J5507" t="s" s="11">
        <v>27712</v>
      </c>
      <c r="K5507" t="s" s="11">
        <v>27713</v>
      </c>
      <c r="L5507" s="17">
        <f>HYPERLINK("http://www.kontigo.com/en", "www.kontigo.com/en")</f>
      </c>
      <c r="M5507" s="17">
        <f>HYPERLINK("https://my.pitchbook.com?c=541424-44", "View Company Online")</f>
      </c>
    </row>
    <row r="5508">
      <c r="A5508" t="s" s="10">
        <v>27715</v>
      </c>
      <c r="B5508" t="s" s="10">
        <v>27716</v>
      </c>
      <c r="C5508" t="s" s="10">
        <v>46</v>
      </c>
      <c r="D5508" t="s" s="10">
        <v>397</v>
      </c>
      <c r="E5508" t="s" s="10">
        <v>373</v>
      </c>
      <c r="F5508" s="27">
        <v>45778</v>
      </c>
      <c r="G5508" t="s" s="10">
        <v>146</v>
      </c>
      <c r="H5508" t="s" s="42">
        <v>30</v>
      </c>
      <c r="I5508" t="s" s="42">
        <v>30</v>
      </c>
      <c r="J5508" t="s" s="10">
        <v>27717</v>
      </c>
      <c r="K5508" t="s" s="10">
        <v>27718</v>
      </c>
      <c r="L5508" s="16">
        <f>HYPERLINK("http://www.kontofy.com", "www.kontofy.com")</f>
      </c>
      <c r="M5508" s="16">
        <f>HYPERLINK("https://my.pitchbook.com?c=821258-11", "View Company Online")</f>
      </c>
    </row>
    <row r="5509">
      <c r="A5509" t="s" s="11">
        <v>27720</v>
      </c>
      <c r="B5509" t="s" s="11">
        <v>27721</v>
      </c>
      <c r="C5509" t="s" s="11">
        <v>60</v>
      </c>
      <c r="D5509" t="s" s="11">
        <v>246</v>
      </c>
      <c r="E5509" t="s" s="11">
        <v>185</v>
      </c>
      <c r="F5509" s="28">
        <v>44096</v>
      </c>
      <c r="G5509" t="s" s="11">
        <v>138</v>
      </c>
      <c r="H5509" t="s" s="43">
        <v>30</v>
      </c>
      <c r="I5509" t="s" s="43">
        <v>30</v>
      </c>
      <c r="J5509" t="s" s="11">
        <v>27722</v>
      </c>
      <c r="K5509" t="s" s="11">
        <v>27723</v>
      </c>
      <c r="L5509" s="17">
        <f>HYPERLINK("http://www.kontomatik.com", "www.kontomatik.com")</f>
      </c>
      <c r="M5509" s="17">
        <f>HYPERLINK("https://my.pitchbook.com?c=107140-15", "View Company Online")</f>
      </c>
    </row>
    <row r="5510">
      <c r="A5510" t="s" s="10">
        <v>27725</v>
      </c>
      <c r="B5510" t="s" s="10">
        <v>27726</v>
      </c>
      <c r="C5510" t="s" s="10">
        <v>60</v>
      </c>
      <c r="D5510" t="s" s="10">
        <v>727</v>
      </c>
      <c r="E5510" t="s" s="10">
        <v>193</v>
      </c>
      <c r="F5510" s="27">
        <v>45658</v>
      </c>
      <c r="G5510" t="s" s="10">
        <v>40</v>
      </c>
      <c r="H5510" t="s" s="42">
        <v>30</v>
      </c>
      <c r="I5510" t="s" s="42">
        <v>30</v>
      </c>
      <c r="J5510" t="s" s="10">
        <v>27727</v>
      </c>
      <c r="K5510" t="s" s="10">
        <v>27728</v>
      </c>
      <c r="L5510" s="16">
        <f>HYPERLINK("http://www.konvi.app", "www.konvi.app")</f>
      </c>
      <c r="M5510" s="16">
        <f>HYPERLINK("https://my.pitchbook.com?c=489659-41", "View Company Online")</f>
      </c>
    </row>
    <row r="5511">
      <c r="A5511" t="s" s="11">
        <v>27730</v>
      </c>
      <c r="B5511" t="s" s="11">
        <v>27731</v>
      </c>
      <c r="C5511" t="s" s="11">
        <v>164</v>
      </c>
      <c r="D5511" t="s" s="11">
        <v>165</v>
      </c>
      <c r="E5511" t="s" s="11">
        <v>253</v>
      </c>
      <c r="F5511" t="s" s="28">
        <v>30</v>
      </c>
      <c r="G5511" t="s" s="11">
        <v>48</v>
      </c>
      <c r="H5511" t="s" s="43">
        <v>30</v>
      </c>
      <c r="I5511" t="s" s="43">
        <v>30</v>
      </c>
      <c r="J5511" t="s" s="11">
        <v>27732</v>
      </c>
      <c r="K5511" t="s" s="11">
        <v>27733</v>
      </c>
      <c r="L5511" s="17">
        <f>HYPERLINK("http://www.kooltra.com", "www.kooltra.com")</f>
      </c>
      <c r="M5511" s="17">
        <f>HYPERLINK("https://my.pitchbook.com?c=135198-19", "View Company Online")</f>
      </c>
    </row>
    <row r="5512">
      <c r="A5512" t="s" s="10">
        <v>27735</v>
      </c>
      <c r="B5512" t="s" s="10">
        <v>27736</v>
      </c>
      <c r="C5512" t="s" s="10">
        <v>172</v>
      </c>
      <c r="D5512" t="s" s="10">
        <v>338</v>
      </c>
      <c r="E5512" t="s" s="10">
        <v>137</v>
      </c>
      <c r="F5512" s="27">
        <v>45944</v>
      </c>
      <c r="G5512" t="s" s="10">
        <v>146</v>
      </c>
      <c r="H5512" t="s" s="42">
        <v>30</v>
      </c>
      <c r="I5512" t="s" s="42">
        <v>30</v>
      </c>
      <c r="J5512" t="s" s="10">
        <v>27737</v>
      </c>
      <c r="K5512" t="s" s="10">
        <v>27738</v>
      </c>
      <c r="L5512" s="16">
        <f>HYPERLINK("http://www.korfinancial.com", "www.korfinancial.com")</f>
      </c>
      <c r="M5512" s="16">
        <f>HYPERLINK("https://my.pitchbook.com?c=498233-08", "View Company Online")</f>
      </c>
    </row>
    <row r="5513">
      <c r="A5513" t="s" s="11">
        <v>27740</v>
      </c>
      <c r="B5513" t="s" s="11">
        <v>27741</v>
      </c>
      <c r="C5513" t="s" s="11">
        <v>222</v>
      </c>
      <c r="D5513" t="s" s="11">
        <v>252</v>
      </c>
      <c r="E5513" t="s" s="11">
        <v>859</v>
      </c>
      <c r="F5513" s="28">
        <v>45987</v>
      </c>
      <c r="G5513" t="s" s="11">
        <v>40</v>
      </c>
      <c r="H5513" t="s" s="43">
        <v>30</v>
      </c>
      <c r="I5513" t="s" s="43">
        <v>30</v>
      </c>
      <c r="J5513" t="s" s="11">
        <v>27742</v>
      </c>
      <c r="K5513" t="s" s="11">
        <v>27743</v>
      </c>
      <c r="L5513" s="17">
        <f>HYPERLINK("http://www.kdac.io", "www.kdac.io")</f>
      </c>
      <c r="M5513" s="17">
        <f>HYPERLINK("https://my.pitchbook.com?c=506888-56", "View Company Online")</f>
      </c>
    </row>
    <row r="5514">
      <c r="A5514" t="s" s="10">
        <v>27745</v>
      </c>
      <c r="B5514" t="s" s="10">
        <v>27746</v>
      </c>
      <c r="C5514" t="s" s="10">
        <v>164</v>
      </c>
      <c r="D5514" t="s" s="10">
        <v>206</v>
      </c>
      <c r="E5514" t="s" s="10">
        <v>2927</v>
      </c>
      <c r="F5514" t="s" s="27">
        <v>30</v>
      </c>
      <c r="G5514" t="s" s="10">
        <v>48</v>
      </c>
      <c r="H5514" t="s" s="42">
        <v>30</v>
      </c>
      <c r="I5514" t="s" s="42">
        <v>30</v>
      </c>
      <c r="J5514" t="s" s="10">
        <v>27747</v>
      </c>
      <c r="K5514" t="s" s="10">
        <v>27748</v>
      </c>
      <c r="L5514" s="16">
        <f>HYPERLINK("http://www.kslnetwork.com", "www.kslnetwork.com")</f>
      </c>
      <c r="M5514" s="16">
        <f>HYPERLINK("https://my.pitchbook.com?c=459763-75", "View Company Online")</f>
      </c>
    </row>
    <row r="5515">
      <c r="A5515" t="s" s="11">
        <v>27750</v>
      </c>
      <c r="B5515" t="s" s="11">
        <v>27751</v>
      </c>
      <c r="C5515" t="s" s="11">
        <v>128</v>
      </c>
      <c r="D5515" t="s" s="11">
        <v>129</v>
      </c>
      <c r="E5515" t="s" s="11">
        <v>270</v>
      </c>
      <c r="F5515" t="s" s="28">
        <v>30</v>
      </c>
      <c r="G5515" t="s" s="11">
        <v>607</v>
      </c>
      <c r="H5515" t="s" s="43">
        <v>30</v>
      </c>
      <c r="I5515" t="s" s="43">
        <v>30</v>
      </c>
      <c r="J5515" t="s" s="11">
        <v>27752</v>
      </c>
      <c r="K5515" t="s" s="11">
        <v>27753</v>
      </c>
      <c r="L5515" s="17">
        <f>HYPERLINK("http://www.koree.africa", "www.koree.africa")</f>
      </c>
      <c r="M5515" s="17">
        <f>HYPERLINK("https://my.pitchbook.com?c=523433-98", "View Company Online")</f>
      </c>
    </row>
    <row r="5516">
      <c r="A5516" t="s" s="10">
        <v>27755</v>
      </c>
      <c r="B5516" t="s" s="10">
        <v>27756</v>
      </c>
      <c r="C5516" t="s" s="10">
        <v>27</v>
      </c>
      <c r="D5516" t="s" s="10">
        <v>28</v>
      </c>
      <c r="E5516" t="s" s="10">
        <v>3138</v>
      </c>
      <c r="F5516" s="27">
        <v>45455</v>
      </c>
      <c r="G5516" t="s" s="10">
        <v>40</v>
      </c>
      <c r="H5516" s="42">
        <v>1.25</v>
      </c>
      <c r="I5516" t="s" s="42">
        <v>30</v>
      </c>
      <c r="J5516" t="s" s="10">
        <v>27757</v>
      </c>
      <c r="K5516" t="s" s="10">
        <v>27758</v>
      </c>
      <c r="L5516" s="16">
        <f>HYPERLINK("http://www.kortpayments.com", "www.kortpayments.com")</f>
      </c>
      <c r="M5516" s="16">
        <f>HYPERLINK("https://my.pitchbook.com?c=230056-03", "View Company Online")</f>
      </c>
    </row>
    <row r="5517">
      <c r="A5517" t="s" s="11">
        <v>27760</v>
      </c>
      <c r="B5517" t="s" s="11">
        <v>27761</v>
      </c>
      <c r="C5517" t="s" s="11">
        <v>128</v>
      </c>
      <c r="D5517" t="s" s="11">
        <v>276</v>
      </c>
      <c r="E5517" t="s" s="11">
        <v>193</v>
      </c>
      <c r="F5517" s="28">
        <v>45951</v>
      </c>
      <c r="G5517" t="s" s="11">
        <v>2662</v>
      </c>
      <c r="H5517" t="s" s="43">
        <v>30</v>
      </c>
      <c r="I5517" t="s" s="43">
        <v>30</v>
      </c>
      <c r="J5517" t="s" s="11">
        <v>27762</v>
      </c>
      <c r="K5517" t="s" s="11">
        <v>27763</v>
      </c>
      <c r="L5517" s="17">
        <f>HYPERLINK("http://www.kotanipay.com", "www.kotanipay.com")</f>
      </c>
      <c r="M5517" s="17">
        <f>HYPERLINK("https://my.pitchbook.com?c=495809-92", "View Company Online")</f>
      </c>
    </row>
    <row r="5518">
      <c r="A5518" t="s" s="10">
        <v>27765</v>
      </c>
      <c r="B5518" t="s" s="10">
        <v>27766</v>
      </c>
      <c r="C5518" t="s" s="10">
        <v>27</v>
      </c>
      <c r="D5518" t="s" s="10">
        <v>28</v>
      </c>
      <c r="E5518" t="s" s="10">
        <v>137</v>
      </c>
      <c r="F5518" s="27">
        <v>46177</v>
      </c>
      <c r="G5518" t="s" s="10">
        <v>607</v>
      </c>
      <c r="H5518" t="s" s="42">
        <v>30</v>
      </c>
      <c r="I5518" t="s" s="42">
        <v>30</v>
      </c>
      <c r="J5518" t="s" s="10">
        <v>27767</v>
      </c>
      <c r="K5518" t="s" s="10">
        <v>27768</v>
      </c>
      <c r="L5518" s="16">
        <f>HYPERLINK("http://www.kpay-group.com", "www.kpay-group.com")</f>
      </c>
      <c r="M5518" s="16">
        <f>HYPERLINK("https://my.pitchbook.com?c=509377-87", "View Company Online")</f>
      </c>
    </row>
    <row r="5519">
      <c r="A5519" t="s" s="11">
        <v>27770</v>
      </c>
      <c r="B5519" t="s" s="11">
        <v>27771</v>
      </c>
      <c r="C5519" t="s" s="11">
        <v>164</v>
      </c>
      <c r="D5519" t="s" s="11">
        <v>165</v>
      </c>
      <c r="E5519" t="s" s="11">
        <v>859</v>
      </c>
      <c r="F5519" s="28">
        <v>45275</v>
      </c>
      <c r="G5519" t="s" s="11">
        <v>4267</v>
      </c>
      <c r="H5519" s="43">
        <v>3.6</v>
      </c>
      <c r="I5519" t="s" s="43">
        <v>30</v>
      </c>
      <c r="J5519" t="s" s="11">
        <v>27772</v>
      </c>
      <c r="K5519" t="s" s="11">
        <v>27773</v>
      </c>
      <c r="L5519" s="17">
        <f>HYPERLINK("http://www.kravata.co", "www.kravata.co")</f>
      </c>
      <c r="M5519" s="17">
        <f>HYPERLINK("https://my.pitchbook.com?c=512303-59", "View Company Online")</f>
      </c>
    </row>
    <row r="5520">
      <c r="A5520" t="s" s="10">
        <v>27775</v>
      </c>
      <c r="B5520" t="s" s="10">
        <v>27776</v>
      </c>
      <c r="C5520" t="s" s="10">
        <v>144</v>
      </c>
      <c r="D5520" t="s" s="10">
        <v>297</v>
      </c>
      <c r="E5520" t="s" s="10">
        <v>1859</v>
      </c>
      <c r="F5520" s="27">
        <v>45741</v>
      </c>
      <c r="G5520" t="s" s="10">
        <v>4267</v>
      </c>
      <c r="H5520" s="42">
        <v>1.5</v>
      </c>
      <c r="I5520" t="s" s="42">
        <v>30</v>
      </c>
      <c r="J5520" t="s" s="10">
        <v>27777</v>
      </c>
      <c r="K5520" t="s" s="10">
        <v>27778</v>
      </c>
      <c r="L5520" s="16">
        <f>HYPERLINK("http://www.kredfeed.com", "www.kredfeed.com")</f>
      </c>
      <c r="M5520" s="16">
        <f>HYPERLINK("https://my.pitchbook.com?c=490793-50", "View Company Online")</f>
      </c>
    </row>
    <row r="5521">
      <c r="A5521" t="s" s="11">
        <v>27780</v>
      </c>
      <c r="B5521" t="s" s="11">
        <v>27781</v>
      </c>
      <c r="C5521" t="s" s="11">
        <v>37</v>
      </c>
      <c r="D5521" t="s" s="11">
        <v>38</v>
      </c>
      <c r="E5521" t="s" s="11">
        <v>193</v>
      </c>
      <c r="F5521" s="28">
        <v>45127</v>
      </c>
      <c r="G5521" t="s" s="11">
        <v>4267</v>
      </c>
      <c r="H5521" t="s" s="43">
        <v>30</v>
      </c>
      <c r="I5521" t="s" s="43">
        <v>30</v>
      </c>
      <c r="J5521" t="s" s="11">
        <v>27782</v>
      </c>
      <c r="K5521" t="s" s="11">
        <v>27783</v>
      </c>
      <c r="L5521" s="17">
        <f>HYPERLINK("http://www.thekredibank.com", "www.thekredibank.com")</f>
      </c>
      <c r="M5521" s="17">
        <f>HYPERLINK("https://my.pitchbook.com?c=510041-71", "View Company Online")</f>
      </c>
    </row>
    <row r="5522">
      <c r="A5522" t="s" s="10">
        <v>27785</v>
      </c>
      <c r="B5522" t="s" s="10">
        <v>27786</v>
      </c>
      <c r="C5522" t="s" s="10">
        <v>172</v>
      </c>
      <c r="D5522" t="s" s="10">
        <v>338</v>
      </c>
      <c r="E5522" t="s" s="10">
        <v>414</v>
      </c>
      <c r="F5522" s="27">
        <v>45566</v>
      </c>
      <c r="G5522" t="s" s="10">
        <v>146</v>
      </c>
      <c r="H5522" t="s" s="42">
        <v>30</v>
      </c>
      <c r="I5522" t="s" s="42">
        <v>30</v>
      </c>
      <c r="J5522" t="s" s="10">
        <v>27787</v>
      </c>
      <c r="K5522" t="s" s="10">
        <v>27788</v>
      </c>
      <c r="L5522" s="16">
        <f>HYPERLINK("http://www.kreditafrica.com", "www.kreditafrica.com")</f>
      </c>
      <c r="M5522" s="16">
        <f>HYPERLINK("https://my.pitchbook.com?c=697818-52", "View Company Online")</f>
      </c>
    </row>
    <row r="5523">
      <c r="A5523" t="s" s="11">
        <v>27790</v>
      </c>
      <c r="B5523" t="s" s="11">
        <v>27791</v>
      </c>
      <c r="C5523" t="s" s="11">
        <v>144</v>
      </c>
      <c r="D5523" t="s" s="11">
        <v>38</v>
      </c>
      <c r="E5523" t="s" s="11">
        <v>2184</v>
      </c>
      <c r="F5523" s="28">
        <v>44904</v>
      </c>
      <c r="G5523" t="s" s="11">
        <v>146</v>
      </c>
      <c r="H5523" s="43">
        <v>6</v>
      </c>
      <c r="I5523" t="s" s="43">
        <v>30</v>
      </c>
      <c r="J5523" t="s" s="11">
        <v>27792</v>
      </c>
      <c r="K5523" t="s" s="11">
        <v>27793</v>
      </c>
      <c r="L5523" s="17">
        <f>HYPERLINK("http://www.kredito.cl", "www.kredito.cl")</f>
      </c>
      <c r="M5523" s="17">
        <f>HYPERLINK("https://my.pitchbook.com?c=466633-45", "View Company Online")</f>
      </c>
    </row>
    <row r="5524">
      <c r="A5524" t="s" s="10">
        <v>27795</v>
      </c>
      <c r="B5524" t="s" s="10">
        <v>27796</v>
      </c>
      <c r="C5524" t="s" s="10">
        <v>144</v>
      </c>
      <c r="D5524" t="s" s="10">
        <v>297</v>
      </c>
      <c r="E5524" t="s" s="10">
        <v>29</v>
      </c>
      <c r="F5524" t="s" s="27">
        <v>30</v>
      </c>
      <c r="G5524" t="s" s="10">
        <v>146</v>
      </c>
      <c r="H5524" t="s" s="42">
        <v>30</v>
      </c>
      <c r="I5524" t="s" s="42">
        <v>30</v>
      </c>
      <c r="J5524" t="s" s="10">
        <v>27797</v>
      </c>
      <c r="K5524" t="s" s="10">
        <v>27798</v>
      </c>
      <c r="L5524" s="16">
        <f>HYPERLINK("http://www.kredmint.com", "www.kredmint.com")</f>
      </c>
      <c r="M5524" s="16">
        <f>HYPERLINK("https://my.pitchbook.com?c=516045-88", "View Company Online")</f>
      </c>
    </row>
    <row r="5525">
      <c r="A5525" t="s" s="11">
        <v>27800</v>
      </c>
      <c r="B5525" t="s" s="11">
        <v>27801</v>
      </c>
      <c r="C5525" t="s" s="11">
        <v>114</v>
      </c>
      <c r="D5525" t="s" s="11">
        <v>852</v>
      </c>
      <c r="E5525" t="s" s="11">
        <v>137</v>
      </c>
      <c r="F5525" s="28">
        <v>46079</v>
      </c>
      <c r="G5525" t="s" s="11">
        <v>146</v>
      </c>
      <c r="H5525" t="s" s="43">
        <v>30</v>
      </c>
      <c r="I5525" t="s" s="43">
        <v>30</v>
      </c>
      <c r="J5525" t="s" s="11">
        <v>27802</v>
      </c>
      <c r="K5525" t="s" s="11">
        <v>30</v>
      </c>
      <c r="L5525" s="17">
        <f>HYPERLINK("http://www.kredo.swiss", "www.kredo.swiss")</f>
      </c>
      <c r="M5525" s="17">
        <f>HYPERLINK("https://my.pitchbook.com?c=756748-72", "View Company Online")</f>
      </c>
    </row>
    <row r="5526">
      <c r="A5526" t="s" s="10">
        <v>27804</v>
      </c>
      <c r="B5526" t="s" s="10">
        <v>27805</v>
      </c>
      <c r="C5526" t="s" s="10">
        <v>222</v>
      </c>
      <c r="D5526" t="s" s="10">
        <v>537</v>
      </c>
      <c r="E5526" t="s" s="10">
        <v>9633</v>
      </c>
      <c r="F5526" s="27">
        <v>45729</v>
      </c>
      <c r="G5526" t="s" s="10">
        <v>48</v>
      </c>
      <c r="H5526" t="s" s="42">
        <v>30</v>
      </c>
      <c r="I5526" t="s" s="42">
        <v>30</v>
      </c>
      <c r="J5526" t="s" s="10">
        <v>27806</v>
      </c>
      <c r="K5526" t="s" s="10">
        <v>27807</v>
      </c>
      <c r="L5526" s="16">
        <f>HYPERLINK("http://www.kronosresearch.com", "www.kronosresearch.com")</f>
      </c>
      <c r="M5526" s="16">
        <f>HYPERLINK("https://my.pitchbook.com?c=462628-90", "View Company Online")</f>
      </c>
    </row>
    <row r="5527">
      <c r="A5527" t="s" s="11">
        <v>27809</v>
      </c>
      <c r="B5527" t="s" s="11">
        <v>27810</v>
      </c>
      <c r="C5527" t="s" s="11">
        <v>60</v>
      </c>
      <c r="D5527" t="s" s="11">
        <v>192</v>
      </c>
      <c r="E5527" t="s" s="11">
        <v>137</v>
      </c>
      <c r="F5527" s="28">
        <v>44043</v>
      </c>
      <c r="G5527" t="s" s="11">
        <v>146</v>
      </c>
      <c r="H5527" s="43">
        <v>7.16</v>
      </c>
      <c r="I5527" t="s" s="43">
        <v>30</v>
      </c>
      <c r="J5527" t="s" s="11">
        <v>27811</v>
      </c>
      <c r="K5527" t="s" s="11">
        <v>27812</v>
      </c>
      <c r="L5527" s="17">
        <f>HYPERLINK("http://kross-finance.vercel.app", "kross-finance.vercel.app")</f>
      </c>
      <c r="M5527" s="17">
        <f>HYPERLINK("https://my.pitchbook.com?c=466108-66", "View Company Online")</f>
      </c>
    </row>
    <row r="5528">
      <c r="A5528" t="s" s="10">
        <v>27814</v>
      </c>
      <c r="B5528" t="s" s="10">
        <v>27815</v>
      </c>
      <c r="C5528" t="s" s="10">
        <v>128</v>
      </c>
      <c r="D5528" t="s" s="10">
        <v>129</v>
      </c>
      <c r="E5528" t="s" s="10">
        <v>253</v>
      </c>
      <c r="F5528" s="27">
        <v>45572</v>
      </c>
      <c r="G5528" t="s" s="10">
        <v>4267</v>
      </c>
      <c r="H5528" s="42">
        <v>1.5</v>
      </c>
      <c r="I5528" t="s" s="42">
        <v>30</v>
      </c>
      <c r="J5528" t="s" s="10">
        <v>27816</v>
      </c>
      <c r="K5528" t="s" s="10">
        <v>21416</v>
      </c>
      <c r="L5528" s="16">
        <f>HYPERLINK("http://www.krti.com", "www.krti.com")</f>
      </c>
      <c r="M5528" s="16">
        <f>HYPERLINK("https://my.pitchbook.com?c=685224-19", "View Company Online")</f>
      </c>
    </row>
    <row r="5529">
      <c r="A5529" t="s" s="11">
        <v>27818</v>
      </c>
      <c r="B5529" t="s" s="11">
        <v>27819</v>
      </c>
      <c r="C5529" t="s" s="11">
        <v>222</v>
      </c>
      <c r="D5529" t="s" s="11">
        <v>223</v>
      </c>
      <c r="E5529" t="s" s="11">
        <v>634</v>
      </c>
      <c r="F5529" s="28">
        <v>46087</v>
      </c>
      <c r="G5529" t="s" s="11">
        <v>146</v>
      </c>
      <c r="H5529" s="43">
        <v>1.33</v>
      </c>
      <c r="I5529" t="s" s="43">
        <v>30</v>
      </c>
      <c r="J5529" t="s" s="11">
        <v>27820</v>
      </c>
      <c r="K5529" t="s" s="11">
        <v>27821</v>
      </c>
      <c r="L5529" s="17">
        <f>HYPERLINK("http://www.kruncher.ai", "www.kruncher.ai")</f>
      </c>
      <c r="M5529" s="17">
        <f>HYPERLINK("https://my.pitchbook.com?c=658984-42", "View Company Online")</f>
      </c>
    </row>
    <row r="5530">
      <c r="A5530" t="s" s="10">
        <v>27823</v>
      </c>
      <c r="B5530" t="s" s="10">
        <v>27824</v>
      </c>
      <c r="C5530" t="s" s="10">
        <v>27</v>
      </c>
      <c r="D5530" t="s" s="10">
        <v>122</v>
      </c>
      <c r="E5530" t="s" s="10">
        <v>3553</v>
      </c>
      <c r="F5530" s="27">
        <v>45536</v>
      </c>
      <c r="G5530" t="s" s="10">
        <v>40</v>
      </c>
      <c r="H5530" s="42">
        <v>1</v>
      </c>
      <c r="I5530" t="s" s="42">
        <v>30</v>
      </c>
      <c r="J5530" t="s" s="10">
        <v>27825</v>
      </c>
      <c r="K5530" t="s" s="10">
        <v>27826</v>
      </c>
      <c r="L5530" s="16">
        <f>HYPERLINK("http://www.ksher.net", "www.ksher.net")</f>
      </c>
      <c r="M5530" s="16">
        <f>HYPERLINK("https://my.pitchbook.com?c=233848-09", "View Company Online")</f>
      </c>
    </row>
    <row r="5531">
      <c r="A5531" t="s" s="11">
        <v>27828</v>
      </c>
      <c r="B5531" t="s" s="11">
        <v>27829</v>
      </c>
      <c r="C5531" t="s" s="11">
        <v>27</v>
      </c>
      <c r="D5531" t="s" s="11">
        <v>28</v>
      </c>
      <c r="E5531" t="s" s="11">
        <v>137</v>
      </c>
      <c r="F5531" s="28">
        <v>43930</v>
      </c>
      <c r="G5531" t="s" s="11">
        <v>146</v>
      </c>
      <c r="H5531" s="43">
        <v>10</v>
      </c>
      <c r="I5531" t="s" s="43">
        <v>30</v>
      </c>
      <c r="J5531" t="s" s="11">
        <v>27830</v>
      </c>
      <c r="K5531" t="s" s="11">
        <v>27831</v>
      </c>
      <c r="L5531" s="17">
        <f>HYPERLINK("http://www.ksher.cn", "www.ksher.cn")</f>
      </c>
      <c r="M5531" s="17">
        <f>HYPERLINK("https://my.pitchbook.com?c=483577-48", "View Company Online")</f>
      </c>
    </row>
    <row r="5532">
      <c r="A5532" t="s" s="10">
        <v>27833</v>
      </c>
      <c r="B5532" t="s" s="10">
        <v>27834</v>
      </c>
      <c r="C5532" t="s" s="10">
        <v>46</v>
      </c>
      <c r="D5532" t="s" s="10">
        <v>915</v>
      </c>
      <c r="E5532" t="s" s="10">
        <v>634</v>
      </c>
      <c r="F5532" s="27">
        <v>46097</v>
      </c>
      <c r="G5532" t="s" s="10">
        <v>146</v>
      </c>
      <c r="H5532" s="42">
        <v>1.1</v>
      </c>
      <c r="I5532" t="s" s="42">
        <v>30</v>
      </c>
      <c r="J5532" t="s" s="10">
        <v>27835</v>
      </c>
      <c r="K5532" t="s" s="10">
        <v>27836</v>
      </c>
      <c r="L5532" s="16">
        <f>HYPERLINK("http://www.kudwa.co", "www.kudwa.co")</f>
      </c>
      <c r="M5532" s="16">
        <f>HYPERLINK("https://my.pitchbook.com?c=593382-34", "View Company Online")</f>
      </c>
    </row>
    <row r="5533">
      <c r="A5533" t="s" s="11">
        <v>27838</v>
      </c>
      <c r="B5533" t="s" s="11">
        <v>27839</v>
      </c>
      <c r="C5533" t="s" s="11">
        <v>114</v>
      </c>
      <c r="D5533" t="s" s="11">
        <v>870</v>
      </c>
      <c r="E5533" t="s" s="11">
        <v>1006</v>
      </c>
      <c r="F5533" s="28">
        <v>46143</v>
      </c>
      <c r="G5533" t="s" s="11">
        <v>40</v>
      </c>
      <c r="H5533" t="s" s="43">
        <v>30</v>
      </c>
      <c r="I5533" t="s" s="43">
        <v>30</v>
      </c>
      <c r="J5533" t="s" s="11">
        <v>27840</v>
      </c>
      <c r="K5533" t="s" s="11">
        <v>27841</v>
      </c>
      <c r="L5533" s="17">
        <f>HYPERLINK("http://www.kueski.com", "www.kueski.com")</f>
      </c>
      <c r="M5533" s="17">
        <f>HYPERLINK("https://my.pitchbook.com?c=91503-46", "View Company Online")</f>
      </c>
    </row>
    <row r="5534">
      <c r="A5534" t="s" s="10">
        <v>27843</v>
      </c>
      <c r="B5534" t="s" s="10">
        <v>27844</v>
      </c>
      <c r="C5534" t="s" s="10">
        <v>114</v>
      </c>
      <c r="D5534" t="s" s="10">
        <v>136</v>
      </c>
      <c r="E5534" t="s" s="10">
        <v>137</v>
      </c>
      <c r="F5534" s="27">
        <v>44621</v>
      </c>
      <c r="G5534" t="s" s="10">
        <v>4267</v>
      </c>
      <c r="H5534" s="42">
        <v>20</v>
      </c>
      <c r="I5534" t="s" s="42">
        <v>30</v>
      </c>
      <c r="J5534" t="s" s="10">
        <v>27845</v>
      </c>
      <c r="K5534" t="s" s="10">
        <v>27846</v>
      </c>
      <c r="L5534" s="16">
        <f>HYPERLINK("http://www.kuhoo.com", "www.kuhoo.com")</f>
      </c>
      <c r="M5534" s="16">
        <f>HYPERLINK("https://my.pitchbook.com?c=492977-89", "View Company Online")</f>
      </c>
    </row>
    <row r="5535">
      <c r="A5535" t="s" s="11">
        <v>27848</v>
      </c>
      <c r="B5535" t="s" s="11">
        <v>27849</v>
      </c>
      <c r="C5535" t="s" s="11">
        <v>222</v>
      </c>
      <c r="D5535" t="s" s="11">
        <v>223</v>
      </c>
      <c r="E5535" t="s" s="11">
        <v>137</v>
      </c>
      <c r="F5535" s="28">
        <v>43598</v>
      </c>
      <c r="G5535" t="s" s="11">
        <v>4267</v>
      </c>
      <c r="H5535" s="43">
        <v>0.43</v>
      </c>
      <c r="I5535" t="s" s="43">
        <v>30</v>
      </c>
      <c r="J5535" t="s" s="11">
        <v>27850</v>
      </c>
      <c r="K5535" t="s" s="11">
        <v>27851</v>
      </c>
      <c r="L5535" s="17">
        <f>HYPERLINK("http://www.kuma.capital", "www.kuma.capital")</f>
      </c>
      <c r="M5535" s="17">
        <f>HYPERLINK("https://my.pitchbook.com?c=163717-93", "View Company Online")</f>
      </c>
    </row>
    <row r="5536">
      <c r="A5536" t="s" s="10">
        <v>27853</v>
      </c>
      <c r="B5536" t="s" s="10">
        <v>27854</v>
      </c>
      <c r="C5536" t="s" s="10">
        <v>114</v>
      </c>
      <c r="D5536" t="s" s="10">
        <v>136</v>
      </c>
      <c r="E5536" t="s" s="10">
        <v>27855</v>
      </c>
      <c r="F5536" s="27">
        <v>45778</v>
      </c>
      <c r="G5536" t="s" s="10">
        <v>146</v>
      </c>
      <c r="H5536" t="s" s="42">
        <v>30</v>
      </c>
      <c r="I5536" t="s" s="42">
        <v>30</v>
      </c>
      <c r="J5536" t="s" s="10">
        <v>27856</v>
      </c>
      <c r="K5536" t="s" s="10">
        <v>27857</v>
      </c>
      <c r="L5536" s="16">
        <f>HYPERLINK("http://www.kumo.earth", "www.kumo.earth")</f>
      </c>
      <c r="M5536" s="16">
        <f>HYPERLINK("https://my.pitchbook.com?c=538273-54", "View Company Online")</f>
      </c>
    </row>
    <row r="5537">
      <c r="A5537" t="s" s="11">
        <v>27859</v>
      </c>
      <c r="B5537" t="s" s="11">
        <v>27860</v>
      </c>
      <c r="C5537" t="s" s="11">
        <v>27</v>
      </c>
      <c r="D5537" t="s" s="11">
        <v>122</v>
      </c>
      <c r="E5537" t="s" s="11">
        <v>253</v>
      </c>
      <c r="F5537" t="s" s="28">
        <v>30</v>
      </c>
      <c r="G5537" t="s" s="11">
        <v>146</v>
      </c>
      <c r="H5537" t="s" s="43">
        <v>30</v>
      </c>
      <c r="I5537" t="s" s="43">
        <v>30</v>
      </c>
      <c r="J5537" t="s" s="11">
        <v>27861</v>
      </c>
      <c r="K5537" t="s" s="11">
        <v>27862</v>
      </c>
      <c r="L5537" s="17">
        <f>HYPERLINK("http://www.kuratek.com", "www.kuratek.com")</f>
      </c>
      <c r="M5537" s="17">
        <f>HYPERLINK("https://my.pitchbook.com?c=533136-16", "View Company Online")</f>
      </c>
    </row>
    <row r="5538">
      <c r="A5538" t="s" s="10">
        <v>27864</v>
      </c>
      <c r="B5538" t="s" s="10">
        <v>27865</v>
      </c>
      <c r="C5538" t="s" s="10">
        <v>46</v>
      </c>
      <c r="D5538" t="s" s="10">
        <v>78</v>
      </c>
      <c r="E5538" t="s" s="10">
        <v>759</v>
      </c>
      <c r="F5538" s="27">
        <v>45162</v>
      </c>
      <c r="G5538" t="s" s="10">
        <v>607</v>
      </c>
      <c r="H5538" t="s" s="42">
        <v>30</v>
      </c>
      <c r="I5538" t="s" s="42">
        <v>30</v>
      </c>
      <c r="J5538" t="s" s="10">
        <v>27866</v>
      </c>
      <c r="K5538" t="s" s="10">
        <v>27867</v>
      </c>
      <c r="L5538" s="16">
        <f>HYPERLINK("http://www.kurense.com", "www.kurense.com")</f>
      </c>
      <c r="M5538" s="16">
        <f>HYPERLINK("https://my.pitchbook.com?c=52653-70", "View Company Online")</f>
      </c>
    </row>
    <row r="5539">
      <c r="A5539" t="s" s="11">
        <v>27869</v>
      </c>
      <c r="B5539" t="s" s="11">
        <v>27870</v>
      </c>
      <c r="C5539" t="s" s="11">
        <v>27</v>
      </c>
      <c r="D5539" t="s" s="11">
        <v>28</v>
      </c>
      <c r="E5539" t="s" s="11">
        <v>270</v>
      </c>
      <c r="F5539" s="28">
        <v>44225</v>
      </c>
      <c r="G5539" t="s" s="11">
        <v>40</v>
      </c>
      <c r="H5539" s="43">
        <v>1.21</v>
      </c>
      <c r="I5539" t="s" s="43">
        <v>30</v>
      </c>
      <c r="J5539" t="s" s="11">
        <v>27871</v>
      </c>
      <c r="K5539" t="s" s="11">
        <v>27872</v>
      </c>
      <c r="L5539" s="17">
        <f>HYPERLINK("http://www.kuto.app", "www.kuto.app")</f>
      </c>
      <c r="M5539" s="17">
        <f>HYPERLINK("https://my.pitchbook.com?c=463042-99", "View Company Online")</f>
      </c>
    </row>
    <row r="5540">
      <c r="A5540" t="s" s="10">
        <v>27874</v>
      </c>
      <c r="B5540" t="s" s="10">
        <v>27875</v>
      </c>
      <c r="C5540" t="s" s="10">
        <v>114</v>
      </c>
      <c r="D5540" t="s" s="10">
        <v>136</v>
      </c>
      <c r="E5540" t="s" s="10">
        <v>270</v>
      </c>
      <c r="F5540" s="27">
        <v>44687</v>
      </c>
      <c r="G5540" t="s" s="10">
        <v>4267</v>
      </c>
      <c r="H5540" t="s" s="42">
        <v>30</v>
      </c>
      <c r="I5540" t="s" s="42">
        <v>30</v>
      </c>
      <c r="J5540" t="s" s="10">
        <v>27876</v>
      </c>
      <c r="K5540" t="s" s="10">
        <v>27877</v>
      </c>
      <c r="L5540" s="16">
        <f>HYPERLINK("http://www.kwaba.africa", "www.kwaba.africa")</f>
      </c>
      <c r="M5540" s="16">
        <f>HYPERLINK("https://my.pitchbook.com?c=442725-22", "View Company Online")</f>
      </c>
    </row>
    <row r="5541">
      <c r="A5541" t="s" s="11">
        <v>27879</v>
      </c>
      <c r="B5541" t="s" s="11">
        <v>27880</v>
      </c>
      <c r="C5541" t="s" s="11">
        <v>27</v>
      </c>
      <c r="D5541" t="s" s="11">
        <v>122</v>
      </c>
      <c r="E5541" t="s" s="11">
        <v>200</v>
      </c>
      <c r="F5541" s="28">
        <v>45748</v>
      </c>
      <c r="G5541" t="s" s="11">
        <v>607</v>
      </c>
      <c r="H5541" t="s" s="43">
        <v>30</v>
      </c>
      <c r="I5541" t="s" s="43">
        <v>30</v>
      </c>
      <c r="J5541" t="s" s="11">
        <v>27881</v>
      </c>
      <c r="K5541" t="s" s="11">
        <v>27882</v>
      </c>
      <c r="L5541" s="17">
        <f>HYPERLINK("http://www.kyshi.co", "www.kyshi.co")</f>
      </c>
      <c r="M5541" s="17">
        <f>HYPERLINK("https://my.pitchbook.com?c=468048-16", "View Company Online")</f>
      </c>
    </row>
    <row r="5542">
      <c r="A5542" t="s" s="10">
        <v>27884</v>
      </c>
      <c r="B5542" t="s" s="10">
        <v>27885</v>
      </c>
      <c r="C5542" t="s" s="10">
        <v>172</v>
      </c>
      <c r="D5542" t="s" s="10">
        <v>173</v>
      </c>
      <c r="E5542" t="s" s="10">
        <v>27886</v>
      </c>
      <c r="F5542" s="27">
        <v>46054</v>
      </c>
      <c r="G5542" t="s" s="10">
        <v>146</v>
      </c>
      <c r="H5542" t="s" s="42">
        <v>30</v>
      </c>
      <c r="I5542" t="s" s="42">
        <v>30</v>
      </c>
      <c r="J5542" t="s" s="10">
        <v>27887</v>
      </c>
      <c r="K5542" t="s" s="10">
        <v>6890</v>
      </c>
      <c r="L5542" s="16">
        <f>HYPERLINK("http://kyxstart.com", "kyxstart.com")</f>
      </c>
      <c r="M5542" s="16">
        <f>HYPERLINK("https://my.pitchbook.com?c=712129-33", "View Company Online")</f>
      </c>
    </row>
    <row r="5543">
      <c r="A5543" t="s" s="11">
        <v>27889</v>
      </c>
      <c r="B5543" t="s" s="11">
        <v>27890</v>
      </c>
      <c r="C5543" t="s" s="11">
        <v>222</v>
      </c>
      <c r="D5543" t="s" s="11">
        <v>223</v>
      </c>
      <c r="E5543" t="s" s="11">
        <v>373</v>
      </c>
      <c r="F5543" s="28">
        <v>45352</v>
      </c>
      <c r="G5543" t="s" s="11">
        <v>40</v>
      </c>
      <c r="H5543" s="43">
        <v>3.2</v>
      </c>
      <c r="I5543" t="s" s="43">
        <v>30</v>
      </c>
      <c r="J5543" t="s" s="11">
        <v>27891</v>
      </c>
      <c r="K5543" t="s" s="11">
        <v>27892</v>
      </c>
      <c r="L5543" s="17">
        <f>HYPERLINK("http://www.primeunicornindex.com", "www.primeunicornindex.com")</f>
      </c>
      <c r="M5543" s="17">
        <f>HYPERLINK("https://my.pitchbook.com?c=222064-30", "View Company Online")</f>
      </c>
    </row>
    <row r="5544">
      <c r="A5544" t="s" s="10">
        <v>27894</v>
      </c>
      <c r="B5544" t="s" s="10">
        <v>27895</v>
      </c>
      <c r="C5544" t="s" s="10">
        <v>60</v>
      </c>
      <c r="D5544" t="s" s="10">
        <v>432</v>
      </c>
      <c r="E5544" t="s" s="10">
        <v>137</v>
      </c>
      <c r="F5544" s="27">
        <v>42936</v>
      </c>
      <c r="G5544" t="s" s="10">
        <v>146</v>
      </c>
      <c r="H5544" s="42">
        <v>8.83</v>
      </c>
      <c r="I5544" t="s" s="42">
        <v>30</v>
      </c>
      <c r="J5544" t="s" s="10">
        <v>27896</v>
      </c>
      <c r="K5544" t="s" s="10">
        <v>30</v>
      </c>
      <c r="L5544" s="16">
        <f>HYPERLINK("http://www.laicunba.com", "www.laicunba.com")</f>
      </c>
      <c r="M5544" s="16">
        <f>HYPERLINK("https://my.pitchbook.com?c=435269-53", "View Company Online")</f>
      </c>
    </row>
    <row r="5545">
      <c r="A5545" t="s" s="11">
        <v>27898</v>
      </c>
      <c r="B5545" t="s" s="11">
        <v>27899</v>
      </c>
      <c r="C5545" t="s" s="11">
        <v>164</v>
      </c>
      <c r="D5545" t="s" s="11">
        <v>206</v>
      </c>
      <c r="E5545" t="s" s="11">
        <v>634</v>
      </c>
      <c r="F5545" s="28">
        <v>46196</v>
      </c>
      <c r="G5545" t="s" s="11">
        <v>146</v>
      </c>
      <c r="H5545" s="43">
        <v>10</v>
      </c>
      <c r="I5545" t="s" s="43">
        <v>30</v>
      </c>
      <c r="J5545" t="s" s="11">
        <v>27900</v>
      </c>
      <c r="K5545" t="s" s="11">
        <v>27901</v>
      </c>
      <c r="L5545" s="17">
        <f>HYPERLINK("http://www.lama.ai", "www.lama.ai")</f>
      </c>
      <c r="M5545" s="17">
        <f>HYPERLINK("https://my.pitchbook.com?c=510225-94", "View Company Online")</f>
      </c>
    </row>
    <row r="5546">
      <c r="A5546" t="s" s="10">
        <v>27903</v>
      </c>
      <c r="B5546" t="s" s="10">
        <v>27904</v>
      </c>
      <c r="C5546" t="s" s="10">
        <v>114</v>
      </c>
      <c r="D5546" t="s" s="10">
        <v>852</v>
      </c>
      <c r="E5546" t="s" s="10">
        <v>27905</v>
      </c>
      <c r="F5546" s="27">
        <v>45834</v>
      </c>
      <c r="G5546" t="s" s="10">
        <v>146</v>
      </c>
      <c r="H5546" t="s" s="42">
        <v>30</v>
      </c>
      <c r="I5546" t="s" s="42">
        <v>30</v>
      </c>
      <c r="J5546" t="s" s="10">
        <v>27906</v>
      </c>
      <c r="K5546" t="s" s="10">
        <v>27907</v>
      </c>
      <c r="L5546" s="16">
        <f>HYPERLINK("http://www.lana.eco", "www.lana.eco")</f>
      </c>
      <c r="M5546" s="16">
        <f>HYPERLINK("https://my.pitchbook.com?c=875235-88", "View Company Online")</f>
      </c>
    </row>
    <row r="5547">
      <c r="A5547" t="s" s="11">
        <v>27909</v>
      </c>
      <c r="B5547" t="s" s="11">
        <v>27910</v>
      </c>
      <c r="C5547" t="s" s="11">
        <v>60</v>
      </c>
      <c r="D5547" t="s" s="11">
        <v>192</v>
      </c>
      <c r="E5547" t="s" s="11">
        <v>6677</v>
      </c>
      <c r="F5547" s="28">
        <v>43292</v>
      </c>
      <c r="G5547" t="s" s="11">
        <v>40</v>
      </c>
      <c r="H5547" s="43">
        <v>76.33</v>
      </c>
      <c r="I5547" t="s" s="43">
        <v>30</v>
      </c>
      <c r="J5547" t="s" s="11">
        <v>27911</v>
      </c>
      <c r="K5547" t="s" s="11">
        <v>27912</v>
      </c>
      <c r="L5547" s="17">
        <f>HYPERLINK("http://www.lancai.cn", "www.lancai.cn")</f>
      </c>
      <c r="M5547" s="17">
        <f>HYPERLINK("https://my.pitchbook.com?c=164153-44", "View Company Online")</f>
      </c>
    </row>
    <row r="5548">
      <c r="A5548" t="s" s="10">
        <v>27914</v>
      </c>
      <c r="B5548" t="s" s="10">
        <v>27915</v>
      </c>
      <c r="C5548" t="s" s="10">
        <v>164</v>
      </c>
      <c r="D5548" t="s" s="10">
        <v>165</v>
      </c>
      <c r="E5548" t="s" s="10">
        <v>27916</v>
      </c>
      <c r="F5548" s="27">
        <v>45778</v>
      </c>
      <c r="G5548" t="s" s="10">
        <v>40</v>
      </c>
      <c r="H5548" t="s" s="42">
        <v>30</v>
      </c>
      <c r="I5548" t="s" s="42">
        <v>30</v>
      </c>
      <c r="J5548" t="s" s="10">
        <v>27917</v>
      </c>
      <c r="K5548" t="s" s="10">
        <v>27918</v>
      </c>
      <c r="L5548" s="16">
        <f>HYPERLINK("http://www.lancetier.co.jp", "www.lancetier.co.jp")</f>
      </c>
      <c r="M5548" s="16">
        <f>HYPERLINK("https://my.pitchbook.com?c=832188-88", "View Company Online")</f>
      </c>
    </row>
    <row r="5549">
      <c r="A5549" t="s" s="11">
        <v>27920</v>
      </c>
      <c r="B5549" t="s" s="11">
        <v>27921</v>
      </c>
      <c r="C5549" t="s" s="11">
        <v>46</v>
      </c>
      <c r="D5549" t="s" s="11">
        <v>397</v>
      </c>
      <c r="E5549" t="s" s="11">
        <v>2835</v>
      </c>
      <c r="F5549" t="s" s="28">
        <v>30</v>
      </c>
      <c r="G5549" t="s" s="11">
        <v>48</v>
      </c>
      <c r="H5549" t="s" s="43">
        <v>30</v>
      </c>
      <c r="I5549" t="s" s="43">
        <v>30</v>
      </c>
      <c r="J5549" t="s" s="11">
        <v>27922</v>
      </c>
      <c r="K5549" t="s" s="11">
        <v>27923</v>
      </c>
      <c r="L5549" s="17">
        <f>HYPERLINK("http://www.landlordstudio.com", "www.landlordstudio.com")</f>
      </c>
      <c r="M5549" s="17">
        <f>HYPERLINK("https://my.pitchbook.com?c=498098-08", "View Company Online")</f>
      </c>
    </row>
    <row r="5550">
      <c r="A5550" t="s" s="10">
        <v>27925</v>
      </c>
      <c r="B5550" t="s" s="10">
        <v>27926</v>
      </c>
      <c r="C5550" t="s" s="10">
        <v>60</v>
      </c>
      <c r="D5550" t="s" s="10">
        <v>246</v>
      </c>
      <c r="E5550" t="s" s="10">
        <v>253</v>
      </c>
      <c r="F5550" s="27">
        <v>45839</v>
      </c>
      <c r="G5550" t="s" s="10">
        <v>146</v>
      </c>
      <c r="H5550" t="s" s="42">
        <v>30</v>
      </c>
      <c r="I5550" t="s" s="42">
        <v>30</v>
      </c>
      <c r="J5550" t="s" s="10">
        <v>27927</v>
      </c>
      <c r="K5550" t="s" s="10">
        <v>26042</v>
      </c>
      <c r="L5550" s="16">
        <f>HYPERLINK("http://www.lapisan.xyz", "www.lapisan.xyz")</f>
      </c>
      <c r="M5550" s="16">
        <f>HYPERLINK("https://my.pitchbook.com?c=895736-80", "View Company Online")</f>
      </c>
    </row>
    <row r="5551">
      <c r="A5551" t="s" s="11">
        <v>27929</v>
      </c>
      <c r="B5551" t="s" s="11">
        <v>27930</v>
      </c>
      <c r="C5551" t="s" s="11">
        <v>222</v>
      </c>
      <c r="D5551" t="s" s="11">
        <v>252</v>
      </c>
      <c r="E5551" t="s" s="11">
        <v>1207</v>
      </c>
      <c r="F5551" s="28">
        <v>45216</v>
      </c>
      <c r="G5551" t="s" s="11">
        <v>31</v>
      </c>
      <c r="H5551" s="43">
        <v>1.9</v>
      </c>
      <c r="I5551" t="s" s="43">
        <v>30</v>
      </c>
      <c r="J5551" t="s" s="11">
        <v>27931</v>
      </c>
      <c r="K5551" t="s" s="11">
        <v>27932</v>
      </c>
      <c r="L5551" s="17">
        <f>HYPERLINK("http://www.laqus.com.br", "www.laqus.com.br")</f>
      </c>
      <c r="M5551" s="17">
        <f>HYPERLINK("https://my.pitchbook.com?c=221547-43", "View Company Online")</f>
      </c>
    </row>
    <row r="5552">
      <c r="A5552" t="s" s="10">
        <v>27934</v>
      </c>
      <c r="B5552" t="s" s="10">
        <v>27935</v>
      </c>
      <c r="C5552" t="s" s="10">
        <v>60</v>
      </c>
      <c r="D5552" t="s" s="10">
        <v>420</v>
      </c>
      <c r="E5552" t="s" s="10">
        <v>253</v>
      </c>
      <c r="F5552" s="27">
        <v>46181</v>
      </c>
      <c r="G5552" t="s" s="10">
        <v>146</v>
      </c>
      <c r="H5552" t="s" s="42">
        <v>30</v>
      </c>
      <c r="I5552" t="s" s="42">
        <v>30</v>
      </c>
      <c r="J5552" t="s" s="10">
        <v>27936</v>
      </c>
      <c r="K5552" t="s" s="10">
        <v>27937</v>
      </c>
      <c r="L5552" s="16">
        <f>HYPERLINK("http://www.lastwish.com.br", "www.lastwish.com.br")</f>
      </c>
      <c r="M5552" s="16">
        <f>HYPERLINK("https://my.pitchbook.com?c=734748-76", "View Company Online")</f>
      </c>
    </row>
    <row r="5553">
      <c r="A5553" t="s" s="11">
        <v>27939</v>
      </c>
      <c r="B5553" t="s" s="11">
        <v>27940</v>
      </c>
      <c r="C5553" t="s" s="11">
        <v>114</v>
      </c>
      <c r="D5553" t="s" s="11">
        <v>136</v>
      </c>
      <c r="E5553" t="s" s="11">
        <v>137</v>
      </c>
      <c r="F5553" s="28">
        <v>45465</v>
      </c>
      <c r="G5553" t="s" s="11">
        <v>40</v>
      </c>
      <c r="H5553" s="43">
        <v>4</v>
      </c>
      <c r="I5553" t="s" s="43">
        <v>30</v>
      </c>
      <c r="J5553" t="s" s="11">
        <v>27941</v>
      </c>
      <c r="K5553" t="s" s="11">
        <v>27942</v>
      </c>
      <c r="L5553" s="17">
        <f>HYPERLINK("http://www.laudex.mx", "www.laudex.mx")</f>
      </c>
      <c r="M5553" s="17">
        <f>HYPERLINK("https://my.pitchbook.com?c=175114-54", "View Company Online")</f>
      </c>
    </row>
    <row r="5554">
      <c r="A5554" t="s" s="10">
        <v>27944</v>
      </c>
      <c r="B5554" t="s" s="10">
        <v>27945</v>
      </c>
      <c r="C5554" t="s" s="10">
        <v>164</v>
      </c>
      <c r="D5554" t="s" s="10">
        <v>165</v>
      </c>
      <c r="E5554" t="s" s="10">
        <v>373</v>
      </c>
      <c r="F5554" s="27">
        <v>45413</v>
      </c>
      <c r="G5554" t="s" s="10">
        <v>40</v>
      </c>
      <c r="H5554" t="s" s="42">
        <v>30</v>
      </c>
      <c r="I5554" t="s" s="42">
        <v>30</v>
      </c>
      <c r="J5554" t="s" s="10">
        <v>27946</v>
      </c>
      <c r="K5554" t="s" s="10">
        <v>27947</v>
      </c>
      <c r="L5554" s="16">
        <f>HYPERLINK("http://www.lauramac.com", "www.lauramac.com")</f>
      </c>
      <c r="M5554" s="16">
        <f>HYPERLINK("https://my.pitchbook.com?c=439146-46", "View Company Online")</f>
      </c>
    </row>
    <row r="5555">
      <c r="A5555" t="s" s="11">
        <v>27949</v>
      </c>
      <c r="B5555" t="s" s="11">
        <v>27950</v>
      </c>
      <c r="C5555" t="s" s="11">
        <v>27</v>
      </c>
      <c r="D5555" t="s" s="11">
        <v>28</v>
      </c>
      <c r="E5555" t="s" s="11">
        <v>373</v>
      </c>
      <c r="F5555" s="28">
        <v>45875</v>
      </c>
      <c r="G5555" t="s" s="11">
        <v>4267</v>
      </c>
      <c r="H5555" s="43">
        <v>5.8</v>
      </c>
      <c r="I5555" t="s" s="43">
        <v>30</v>
      </c>
      <c r="J5555" t="s" s="11">
        <v>27951</v>
      </c>
      <c r="K5555" t="s" s="11">
        <v>27952</v>
      </c>
      <c r="L5555" s="17">
        <f>HYPERLINK("http://www.lava.so", "www.lava.so")</f>
      </c>
      <c r="M5555" s="17">
        <f>HYPERLINK("https://my.pitchbook.com?c=906517-99", "View Company Online")</f>
      </c>
    </row>
    <row r="5556">
      <c r="A5556" t="s" s="10">
        <v>27954</v>
      </c>
      <c r="B5556" t="s" s="10">
        <v>27955</v>
      </c>
      <c r="C5556" t="s" s="10">
        <v>27</v>
      </c>
      <c r="D5556" t="s" s="10">
        <v>28</v>
      </c>
      <c r="E5556" t="s" s="10">
        <v>6584</v>
      </c>
      <c r="F5556" s="27">
        <v>45281</v>
      </c>
      <c r="G5556" t="s" s="10">
        <v>4267</v>
      </c>
      <c r="H5556" s="42">
        <v>1.5</v>
      </c>
      <c r="I5556" t="s" s="42">
        <v>30</v>
      </c>
      <c r="J5556" t="s" s="10">
        <v>27956</v>
      </c>
      <c r="K5556" t="s" s="10">
        <v>21475</v>
      </c>
      <c r="L5556" s="16">
        <f>HYPERLINK("http://www.lawfi.com", "www.lawfi.com")</f>
      </c>
      <c r="M5556" s="16">
        <f>HYPERLINK("https://my.pitchbook.com?c=544805-20", "View Company Online")</f>
      </c>
    </row>
    <row r="5557">
      <c r="A5557" t="s" s="11">
        <v>27958</v>
      </c>
      <c r="B5557" t="s" s="11">
        <v>27959</v>
      </c>
      <c r="C5557" t="s" s="11">
        <v>46</v>
      </c>
      <c r="D5557" t="s" s="11">
        <v>397</v>
      </c>
      <c r="E5557" t="s" s="11">
        <v>1679</v>
      </c>
      <c r="F5557" s="28">
        <v>45770</v>
      </c>
      <c r="G5557" t="s" s="11">
        <v>40</v>
      </c>
      <c r="H5557" s="43">
        <v>1</v>
      </c>
      <c r="I5557" t="s" s="43">
        <v>30</v>
      </c>
      <c r="J5557" t="s" s="11">
        <v>27960</v>
      </c>
      <c r="K5557" t="s" s="11">
        <v>27961</v>
      </c>
      <c r="L5557" s="17">
        <f>HYPERLINK("http://www.lazo.us", "www.lazo.us")</f>
      </c>
      <c r="M5557" s="17">
        <f>HYPERLINK("https://my.pitchbook.com?c=504046-90", "View Company Online")</f>
      </c>
    </row>
    <row r="5558">
      <c r="A5558" t="s" s="10">
        <v>27963</v>
      </c>
      <c r="B5558" t="s" s="10">
        <v>27964</v>
      </c>
      <c r="C5558" t="s" s="10">
        <v>144</v>
      </c>
      <c r="D5558" t="s" s="10">
        <v>297</v>
      </c>
      <c r="E5558" t="s" s="10">
        <v>137</v>
      </c>
      <c r="F5558" s="27">
        <v>45916</v>
      </c>
      <c r="G5558" t="s" s="10">
        <v>4267</v>
      </c>
      <c r="H5558" s="42">
        <v>4.8</v>
      </c>
      <c r="I5558" t="s" s="42">
        <v>30</v>
      </c>
      <c r="J5558" t="s" s="10">
        <v>27965</v>
      </c>
      <c r="K5558" t="s" s="10">
        <v>27966</v>
      </c>
      <c r="L5558" s="16">
        <f>HYPERLINK("http://www.ldun.com.sa", "www.ldun.com.sa")</f>
      </c>
      <c r="M5558" s="16">
        <f>HYPERLINK("https://my.pitchbook.com?c=565806-34", "View Company Online")</f>
      </c>
    </row>
    <row r="5559">
      <c r="A5559" t="s" s="11">
        <v>27968</v>
      </c>
      <c r="B5559" t="s" s="11">
        <v>27969</v>
      </c>
      <c r="C5559" t="s" s="11">
        <v>128</v>
      </c>
      <c r="D5559" t="s" s="11">
        <v>129</v>
      </c>
      <c r="E5559" t="s" s="11">
        <v>14409</v>
      </c>
      <c r="F5559" s="28">
        <v>45321</v>
      </c>
      <c r="G5559" t="s" s="11">
        <v>40</v>
      </c>
      <c r="H5559" s="43">
        <v>5</v>
      </c>
      <c r="I5559" t="s" s="43">
        <v>30</v>
      </c>
      <c r="J5559" t="s" s="11">
        <v>27970</v>
      </c>
      <c r="K5559" t="s" s="11">
        <v>27971</v>
      </c>
      <c r="L5559" s="17">
        <f>HYPERLINK("http://www.leal.co", "www.leal.co")</f>
      </c>
      <c r="M5559" s="17">
        <f>HYPERLINK("https://my.pitchbook.com?c=180919-81", "View Company Online")</f>
      </c>
    </row>
    <row r="5560">
      <c r="A5560" t="s" s="10">
        <v>27973</v>
      </c>
      <c r="B5560" t="s" s="10">
        <v>27974</v>
      </c>
      <c r="C5560" t="s" s="10">
        <v>164</v>
      </c>
      <c r="D5560" t="s" s="10">
        <v>206</v>
      </c>
      <c r="E5560" t="s" s="10">
        <v>253</v>
      </c>
      <c r="F5560" s="27">
        <v>45727</v>
      </c>
      <c r="G5560" t="s" s="10">
        <v>40</v>
      </c>
      <c r="H5560" s="42">
        <v>67.5</v>
      </c>
      <c r="I5560" t="s" s="42">
        <v>30</v>
      </c>
      <c r="J5560" t="s" s="10">
        <v>27975</v>
      </c>
      <c r="K5560" t="s" s="10">
        <v>27976</v>
      </c>
      <c r="L5560" s="16">
        <f>HYPERLINK("http://www.leantech.me", "www.leantech.me")</f>
      </c>
      <c r="M5560" s="16">
        <f>HYPERLINK("https://my.pitchbook.com?c=431327-44", "View Company Online")</f>
      </c>
    </row>
    <row r="5561">
      <c r="A5561" t="s" s="11">
        <v>27978</v>
      </c>
      <c r="B5561" t="s" s="11">
        <v>27979</v>
      </c>
      <c r="C5561" t="s" s="11">
        <v>46</v>
      </c>
      <c r="D5561" t="s" s="11">
        <v>47</v>
      </c>
      <c r="E5561" t="s" s="11">
        <v>373</v>
      </c>
      <c r="F5561" t="s" s="28">
        <v>30</v>
      </c>
      <c r="G5561" t="s" s="11">
        <v>607</v>
      </c>
      <c r="H5561" t="s" s="43">
        <v>30</v>
      </c>
      <c r="I5561" t="s" s="43">
        <v>30</v>
      </c>
      <c r="J5561" t="s" s="11">
        <v>27980</v>
      </c>
      <c r="K5561" t="s" s="11">
        <v>27981</v>
      </c>
      <c r="L5561" s="17">
        <f>HYPERLINK("http://www.ledge.co", "www.ledge.co")</f>
      </c>
      <c r="M5561" s="17">
        <f>HYPERLINK("https://my.pitchbook.com?c=519206-05", "View Company Online")</f>
      </c>
    </row>
    <row r="5562">
      <c r="A5562" t="s" s="10">
        <v>27983</v>
      </c>
      <c r="B5562" t="s" s="10">
        <v>27984</v>
      </c>
      <c r="C5562" t="s" s="10">
        <v>164</v>
      </c>
      <c r="D5562" t="s" s="10">
        <v>165</v>
      </c>
      <c r="E5562" t="s" s="10">
        <v>137</v>
      </c>
      <c r="F5562" s="27">
        <v>45845</v>
      </c>
      <c r="G5562" t="s" s="10">
        <v>146</v>
      </c>
      <c r="H5562" t="s" s="42">
        <v>30</v>
      </c>
      <c r="I5562" t="s" s="42">
        <v>30</v>
      </c>
      <c r="J5562" t="s" s="10">
        <v>27985</v>
      </c>
      <c r="K5562" t="s" s="10">
        <v>27986</v>
      </c>
      <c r="L5562" s="16">
        <f>HYPERLINK("http://www.ledgerrocket.com", "www.ledgerrocket.com")</f>
      </c>
      <c r="M5562" s="16">
        <f>HYPERLINK("https://my.pitchbook.com?c=895893-58", "View Company Online")</f>
      </c>
    </row>
    <row r="5563">
      <c r="A5563" t="s" s="11">
        <v>27988</v>
      </c>
      <c r="B5563" t="s" s="11">
        <v>27989</v>
      </c>
      <c r="C5563" t="s" s="11">
        <v>46</v>
      </c>
      <c r="D5563" t="s" s="11">
        <v>397</v>
      </c>
      <c r="E5563" t="s" s="11">
        <v>373</v>
      </c>
      <c r="F5563" s="28">
        <v>46059</v>
      </c>
      <c r="G5563" t="s" s="11">
        <v>4267</v>
      </c>
      <c r="H5563" t="s" s="43">
        <v>30</v>
      </c>
      <c r="I5563" t="s" s="43">
        <v>30</v>
      </c>
      <c r="J5563" t="s" s="11">
        <v>27990</v>
      </c>
      <c r="K5563" t="s" s="11">
        <v>27991</v>
      </c>
      <c r="L5563" s="17">
        <f>HYPERLINK("http://ledgerowl.com", "ledgerowl.com")</f>
      </c>
      <c r="M5563" s="17">
        <f>HYPERLINK("https://my.pitchbook.com?c=520750-81", "View Company Online")</f>
      </c>
    </row>
    <row r="5564">
      <c r="A5564" t="s" s="10">
        <v>27993</v>
      </c>
      <c r="B5564" t="s" s="10">
        <v>27994</v>
      </c>
      <c r="C5564" t="s" s="10">
        <v>27</v>
      </c>
      <c r="D5564" t="s" s="10">
        <v>28</v>
      </c>
      <c r="E5564" t="s" s="10">
        <v>1853</v>
      </c>
      <c r="F5564" s="27">
        <v>44735</v>
      </c>
      <c r="G5564" t="s" s="10">
        <v>48</v>
      </c>
      <c r="H5564" t="s" s="42">
        <v>30</v>
      </c>
      <c r="I5564" t="s" s="42">
        <v>30</v>
      </c>
      <c r="J5564" t="s" s="10">
        <v>27995</v>
      </c>
      <c r="K5564" t="s" s="10">
        <v>27996</v>
      </c>
      <c r="L5564" s="16">
        <f>HYPERLINK("http://www.58fangdai.com", "www.58fangdai.com")</f>
      </c>
      <c r="M5564" s="16">
        <f>HYPERLINK("https://my.pitchbook.com?c=169993-27", "View Company Online")</f>
      </c>
    </row>
    <row r="5565">
      <c r="A5565" t="s" s="11">
        <v>27998</v>
      </c>
      <c r="B5565" t="s" s="11">
        <v>27999</v>
      </c>
      <c r="C5565" t="s" s="11">
        <v>27</v>
      </c>
      <c r="D5565" t="s" s="11">
        <v>28</v>
      </c>
      <c r="E5565" t="s" s="11">
        <v>137</v>
      </c>
      <c r="F5565" s="28">
        <v>44449</v>
      </c>
      <c r="G5565" t="s" s="11">
        <v>146</v>
      </c>
      <c r="H5565" s="43">
        <v>1.54</v>
      </c>
      <c r="I5565" t="s" s="43">
        <v>30</v>
      </c>
      <c r="J5565" t="s" s="11">
        <v>28000</v>
      </c>
      <c r="K5565" t="s" s="11">
        <v>30</v>
      </c>
      <c r="L5565" s="17">
        <f>HYPERLINK("http://www.lefenbuy.com", "www.lefenbuy.com")</f>
      </c>
      <c r="M5565" s="17">
        <f>HYPERLINK("https://my.pitchbook.com?c=472581-19", "View Company Online")</f>
      </c>
    </row>
    <row r="5566">
      <c r="A5566" t="s" s="10">
        <v>28002</v>
      </c>
      <c r="B5566" t="s" s="10">
        <v>28003</v>
      </c>
      <c r="C5566" t="s" s="10">
        <v>60</v>
      </c>
      <c r="D5566" t="s" s="10">
        <v>192</v>
      </c>
      <c r="E5566" t="s" s="10">
        <v>253</v>
      </c>
      <c r="F5566" s="27">
        <v>45875</v>
      </c>
      <c r="G5566" t="s" s="10">
        <v>40</v>
      </c>
      <c r="H5566" s="42">
        <v>20</v>
      </c>
      <c r="I5566" t="s" s="42">
        <v>30</v>
      </c>
      <c r="J5566" t="s" s="10">
        <v>28004</v>
      </c>
      <c r="K5566" t="s" s="10">
        <v>30</v>
      </c>
      <c r="L5566" s="16">
        <f>HYPERLINK("http://www.legacyknight.com", "www.legacyknight.com")</f>
      </c>
      <c r="M5566" s="16">
        <f>HYPERLINK("https://my.pitchbook.com?c=343435-78", "View Company Online")</f>
      </c>
    </row>
    <row r="5567">
      <c r="A5567" t="s" s="11">
        <v>28006</v>
      </c>
      <c r="B5567" t="s" s="11">
        <v>28007</v>
      </c>
      <c r="C5567" t="s" s="11">
        <v>27</v>
      </c>
      <c r="D5567" t="s" s="11">
        <v>28</v>
      </c>
      <c r="E5567" t="s" s="11">
        <v>1093</v>
      </c>
      <c r="F5567" s="28">
        <v>45145</v>
      </c>
      <c r="G5567" t="s" s="11">
        <v>40</v>
      </c>
      <c r="H5567" t="s" s="43">
        <v>30</v>
      </c>
      <c r="I5567" t="s" s="43">
        <v>30</v>
      </c>
      <c r="J5567" t="s" s="11">
        <v>28008</v>
      </c>
      <c r="K5567" t="s" s="11">
        <v>28009</v>
      </c>
      <c r="L5567" s="17">
        <f>HYPERLINK("http://www.leilong.vip", "www.leilong.vip")</f>
      </c>
      <c r="M5567" s="17">
        <f>HYPERLINK("https://my.pitchbook.com?c=533183-77", "View Company Online")</f>
      </c>
    </row>
    <row r="5568">
      <c r="A5568" t="s" s="10">
        <v>28011</v>
      </c>
      <c r="B5568" t="s" s="10">
        <v>28012</v>
      </c>
      <c r="C5568" t="s" s="10">
        <v>27</v>
      </c>
      <c r="D5568" t="s" s="10">
        <v>70</v>
      </c>
      <c r="E5568" t="s" s="10">
        <v>951</v>
      </c>
      <c r="F5568" s="27">
        <v>45740</v>
      </c>
      <c r="G5568" t="s" s="10">
        <v>607</v>
      </c>
      <c r="H5568" t="s" s="42">
        <v>30</v>
      </c>
      <c r="I5568" t="s" s="42">
        <v>30</v>
      </c>
      <c r="J5568" t="s" s="10">
        <v>28013</v>
      </c>
      <c r="K5568" t="s" s="10">
        <v>28014</v>
      </c>
      <c r="L5568" s="16">
        <f>HYPERLINK("http://leja.co.ke", "leja.co.ke")</f>
      </c>
      <c r="M5568" s="16">
        <f>HYPERLINK("https://my.pitchbook.com?c=279673-12", "View Company Online")</f>
      </c>
    </row>
    <row r="5569">
      <c r="A5569" t="s" s="11">
        <v>28016</v>
      </c>
      <c r="B5569" t="s" s="11">
        <v>28017</v>
      </c>
      <c r="C5569" t="s" s="11">
        <v>128</v>
      </c>
      <c r="D5569" t="s" s="11">
        <v>276</v>
      </c>
      <c r="E5569" t="s" s="11">
        <v>137</v>
      </c>
      <c r="F5569" s="28">
        <v>45481</v>
      </c>
      <c r="G5569" t="s" s="11">
        <v>146</v>
      </c>
      <c r="H5569" t="s" s="43">
        <v>30</v>
      </c>
      <c r="I5569" t="s" s="43">
        <v>30</v>
      </c>
      <c r="J5569" t="s" s="11">
        <v>28018</v>
      </c>
      <c r="K5569" t="s" s="11">
        <v>28019</v>
      </c>
      <c r="L5569" s="17">
        <f>HYPERLINK("http://www.firfin.family", "www.firfin.family")</f>
      </c>
      <c r="M5569" s="17">
        <f>HYPERLINK("https://my.pitchbook.com?c=483307-21", "View Company Online")</f>
      </c>
    </row>
    <row r="5570">
      <c r="A5570" t="s" s="10">
        <v>28021</v>
      </c>
      <c r="B5570" t="s" s="10">
        <v>28022</v>
      </c>
      <c r="C5570" t="s" s="10">
        <v>114</v>
      </c>
      <c r="D5570" t="s" s="10">
        <v>870</v>
      </c>
      <c r="E5570" t="s" s="10">
        <v>22859</v>
      </c>
      <c r="F5570" s="27">
        <v>45714</v>
      </c>
      <c r="G5570" t="s" s="10">
        <v>607</v>
      </c>
      <c r="H5570" t="s" s="42">
        <v>30</v>
      </c>
      <c r="I5570" t="s" s="42">
        <v>30</v>
      </c>
      <c r="J5570" t="s" s="10">
        <v>28023</v>
      </c>
      <c r="K5570" t="s" s="10">
        <v>28024</v>
      </c>
      <c r="L5570" s="16">
        <f>HYPERLINK("http://www.lemonero.cz", "www.lemonero.cz")</f>
      </c>
      <c r="M5570" s="16">
        <f>HYPERLINK("https://my.pitchbook.com?c=465608-71", "View Company Online")</f>
      </c>
    </row>
    <row r="5571">
      <c r="A5571" t="s" s="11">
        <v>28026</v>
      </c>
      <c r="B5571" t="s" s="11">
        <v>28027</v>
      </c>
      <c r="C5571" t="s" s="11">
        <v>37</v>
      </c>
      <c r="D5571" t="s" s="11">
        <v>304</v>
      </c>
      <c r="E5571" t="s" s="11">
        <v>62</v>
      </c>
      <c r="F5571" s="28">
        <v>46099</v>
      </c>
      <c r="G5571" t="s" s="11">
        <v>4267</v>
      </c>
      <c r="H5571" t="s" s="43">
        <v>30</v>
      </c>
      <c r="I5571" t="s" s="43">
        <v>30</v>
      </c>
      <c r="J5571" t="s" s="11">
        <v>28028</v>
      </c>
      <c r="K5571" t="s" s="11">
        <v>28029</v>
      </c>
      <c r="L5571" s="17">
        <f>HYPERLINK("http://www.lendasat.com", "www.lendasat.com")</f>
      </c>
      <c r="M5571" s="17">
        <f>HYPERLINK("https://my.pitchbook.com?c=1364897-62", "View Company Online")</f>
      </c>
    </row>
    <row r="5572">
      <c r="A5572" t="s" s="10">
        <v>28031</v>
      </c>
      <c r="B5572" t="s" s="10">
        <v>28032</v>
      </c>
      <c r="C5572" t="s" s="10">
        <v>114</v>
      </c>
      <c r="D5572" t="s" s="10">
        <v>136</v>
      </c>
      <c r="E5572" t="s" s="10">
        <v>253</v>
      </c>
      <c r="F5572" s="27">
        <v>45231</v>
      </c>
      <c r="G5572" t="s" s="10">
        <v>146</v>
      </c>
      <c r="H5572" t="s" s="42">
        <v>30</v>
      </c>
      <c r="I5572" t="s" s="42">
        <v>30</v>
      </c>
      <c r="J5572" t="s" s="10">
        <v>28033</v>
      </c>
      <c r="K5572" t="s" s="10">
        <v>20019</v>
      </c>
      <c r="L5572" s="16">
        <f>HYPERLINK("http://www.lendcrm.com", "www.lendcrm.com")</f>
      </c>
      <c r="M5572" s="16">
        <f>HYPERLINK("https://my.pitchbook.com?c=517039-21", "View Company Online")</f>
      </c>
    </row>
    <row r="5573">
      <c r="A5573" t="s" s="11">
        <v>28035</v>
      </c>
      <c r="B5573" t="s" s="11">
        <v>28036</v>
      </c>
      <c r="C5573" t="s" s="11">
        <v>114</v>
      </c>
      <c r="D5573" t="s" s="11">
        <v>1386</v>
      </c>
      <c r="E5573" t="s" s="11">
        <v>634</v>
      </c>
      <c r="F5573" t="s" s="28">
        <v>30</v>
      </c>
      <c r="G5573" t="s" s="11">
        <v>40</v>
      </c>
      <c r="H5573" t="s" s="43">
        <v>30</v>
      </c>
      <c r="I5573" t="s" s="43">
        <v>30</v>
      </c>
      <c r="J5573" t="s" s="11">
        <v>28037</v>
      </c>
      <c r="K5573" t="s" s="11">
        <v>28038</v>
      </c>
      <c r="L5573" s="17">
        <f>HYPERLINK("http://www.lenddoefl.com", "www.lenddoefl.com")</f>
      </c>
      <c r="M5573" s="17">
        <f>HYPERLINK("https://my.pitchbook.com?c=53940-52", "View Company Online")</f>
      </c>
    </row>
    <row r="5574">
      <c r="A5574" t="s" s="10">
        <v>28040</v>
      </c>
      <c r="B5574" t="s" s="10">
        <v>28041</v>
      </c>
      <c r="C5574" t="s" s="10">
        <v>164</v>
      </c>
      <c r="D5574" t="s" s="10">
        <v>206</v>
      </c>
      <c r="E5574" t="s" s="10">
        <v>367</v>
      </c>
      <c r="F5574" s="27">
        <v>45717</v>
      </c>
      <c r="G5574" t="s" s="10">
        <v>4267</v>
      </c>
      <c r="H5574" s="42">
        <v>1.25</v>
      </c>
      <c r="I5574" t="s" s="42">
        <v>30</v>
      </c>
      <c r="J5574" t="s" s="10">
        <v>28042</v>
      </c>
      <c r="K5574" t="s" s="10">
        <v>28043</v>
      </c>
      <c r="L5574" s="16">
        <f>HYPERLINK("http://www.lenderlink.ph", "www.lenderlink.ph")</f>
      </c>
      <c r="M5574" s="16">
        <f>HYPERLINK("https://my.pitchbook.com?c=756521-92", "View Company Online")</f>
      </c>
    </row>
    <row r="5575">
      <c r="A5575" t="s" s="11">
        <v>28045</v>
      </c>
      <c r="B5575" t="s" s="11">
        <v>28046</v>
      </c>
      <c r="C5575" t="s" s="11">
        <v>114</v>
      </c>
      <c r="D5575" t="s" s="11">
        <v>852</v>
      </c>
      <c r="E5575" t="s" s="11">
        <v>116</v>
      </c>
      <c r="F5575" s="28">
        <v>45098</v>
      </c>
      <c r="G5575" t="s" s="11">
        <v>146</v>
      </c>
      <c r="H5575" s="43">
        <v>0.05</v>
      </c>
      <c r="I5575" t="s" s="43">
        <v>30</v>
      </c>
      <c r="J5575" t="s" s="11">
        <v>28047</v>
      </c>
      <c r="K5575" t="s" s="11">
        <v>28048</v>
      </c>
      <c r="L5575" s="17">
        <f>HYPERLINK("http://www.lendha.com", "www.lendha.com")</f>
      </c>
      <c r="M5575" s="17">
        <f>HYPERLINK("https://my.pitchbook.com?c=503540-20", "View Company Online")</f>
      </c>
    </row>
    <row r="5576">
      <c r="A5576" t="s" s="10">
        <v>28050</v>
      </c>
      <c r="B5576" t="s" s="10">
        <v>28051</v>
      </c>
      <c r="C5576" t="s" s="10">
        <v>114</v>
      </c>
      <c r="D5576" t="s" s="10">
        <v>115</v>
      </c>
      <c r="E5576" t="s" s="10">
        <v>2782</v>
      </c>
      <c r="F5576" s="27">
        <v>44322</v>
      </c>
      <c r="G5576" t="s" s="10">
        <v>138</v>
      </c>
      <c r="H5576" t="s" s="42">
        <v>30</v>
      </c>
      <c r="I5576" t="s" s="42">
        <v>30</v>
      </c>
      <c r="J5576" t="s" s="10">
        <v>28052</v>
      </c>
      <c r="K5576" t="s" s="10">
        <v>30</v>
      </c>
      <c r="L5576" s="16">
        <f>HYPERLINK("http://www.lendi.com.au", "www.lendi.com.au")</f>
      </c>
      <c r="M5576" s="16">
        <f>HYPERLINK("https://my.pitchbook.com?c=82428-04", "View Company Online")</f>
      </c>
    </row>
    <row r="5577">
      <c r="A5577" t="s" s="11">
        <v>28054</v>
      </c>
      <c r="B5577" t="s" s="11">
        <v>28055</v>
      </c>
      <c r="C5577" t="s" s="11">
        <v>114</v>
      </c>
      <c r="D5577" t="s" s="11">
        <v>136</v>
      </c>
      <c r="E5577" t="s" s="11">
        <v>253</v>
      </c>
      <c r="F5577" s="28">
        <v>45789</v>
      </c>
      <c r="G5577" t="s" s="11">
        <v>40</v>
      </c>
      <c r="H5577" t="s" s="43">
        <v>30</v>
      </c>
      <c r="I5577" t="s" s="43">
        <v>30</v>
      </c>
      <c r="J5577" t="s" s="11">
        <v>28056</v>
      </c>
      <c r="K5577" t="s" s="11">
        <v>28057</v>
      </c>
      <c r="L5577" s="17">
        <f>HYPERLINK("http://www.lendingloop.ca", "www.lendingloop.ca")</f>
      </c>
      <c r="M5577" s="17">
        <f>HYPERLINK("https://my.pitchbook.com?c=118457-56", "View Company Online")</f>
      </c>
    </row>
    <row r="5578">
      <c r="A5578" t="s" s="10">
        <v>28059</v>
      </c>
      <c r="B5578" t="s" s="10">
        <v>28060</v>
      </c>
      <c r="C5578" t="s" s="10">
        <v>114</v>
      </c>
      <c r="D5578" t="s" s="10">
        <v>136</v>
      </c>
      <c r="E5578" t="s" s="10">
        <v>137</v>
      </c>
      <c r="F5578" t="s" s="27">
        <v>30</v>
      </c>
      <c r="G5578" t="s" s="10">
        <v>48</v>
      </c>
      <c r="H5578" t="s" s="42">
        <v>30</v>
      </c>
      <c r="I5578" t="s" s="42">
        <v>30</v>
      </c>
      <c r="J5578" t="s" s="10">
        <v>28061</v>
      </c>
      <c r="K5578" t="s" s="10">
        <v>30</v>
      </c>
      <c r="L5578" s="16">
        <f>HYPERLINK("http://www.lendingusa.com", "www.lendingusa.com")</f>
      </c>
      <c r="M5578" s="16">
        <f>HYPERLINK("https://my.pitchbook.com?c=222969-07", "View Company Online")</f>
      </c>
    </row>
    <row r="5579">
      <c r="A5579" t="s" s="11">
        <v>28063</v>
      </c>
      <c r="B5579" t="s" s="11">
        <v>28064</v>
      </c>
      <c r="C5579" t="s" s="11">
        <v>37</v>
      </c>
      <c r="D5579" t="s" s="11">
        <v>304</v>
      </c>
      <c r="E5579" t="s" s="11">
        <v>259</v>
      </c>
      <c r="F5579" s="28">
        <v>45217</v>
      </c>
      <c r="G5579" t="s" s="11">
        <v>607</v>
      </c>
      <c r="H5579" t="s" s="43">
        <v>30</v>
      </c>
      <c r="I5579" t="s" s="43">
        <v>30</v>
      </c>
      <c r="J5579" t="s" s="11">
        <v>28065</v>
      </c>
      <c r="K5579" t="s" s="11">
        <v>28066</v>
      </c>
      <c r="L5579" s="17">
        <f>HYPERLINK("http://www.lendiron.com", "www.lendiron.com")</f>
      </c>
      <c r="M5579" s="17">
        <f>HYPERLINK("https://my.pitchbook.com?c=483769-99", "View Company Online")</f>
      </c>
    </row>
    <row r="5580">
      <c r="A5580" t="s" s="10">
        <v>28068</v>
      </c>
      <c r="B5580" t="s" s="10">
        <v>28069</v>
      </c>
      <c r="C5580" t="s" s="10">
        <v>222</v>
      </c>
      <c r="D5580" t="s" s="10">
        <v>235</v>
      </c>
      <c r="E5580" t="s" s="10">
        <v>193</v>
      </c>
      <c r="F5580" s="27">
        <v>46069</v>
      </c>
      <c r="G5580" t="s" s="10">
        <v>31</v>
      </c>
      <c r="H5580" t="s" s="42">
        <v>30</v>
      </c>
      <c r="I5580" t="s" s="42">
        <v>30</v>
      </c>
      <c r="J5580" t="s" s="10">
        <v>28070</v>
      </c>
      <c r="K5580" t="s" s="10">
        <v>28071</v>
      </c>
      <c r="L5580" s="16">
        <f>HYPERLINK("http://www.lendo.sa", "www.lendo.sa")</f>
      </c>
      <c r="M5580" s="16">
        <f>HYPERLINK("https://my.pitchbook.com?c=434181-88", "View Company Online")</f>
      </c>
    </row>
    <row r="5581">
      <c r="A5581" t="s" s="11">
        <v>28073</v>
      </c>
      <c r="B5581" t="s" s="11">
        <v>28074</v>
      </c>
      <c r="C5581" t="s" s="11">
        <v>164</v>
      </c>
      <c r="D5581" t="s" s="11">
        <v>165</v>
      </c>
      <c r="E5581" t="s" s="11">
        <v>2293</v>
      </c>
      <c r="F5581" s="28">
        <v>45419</v>
      </c>
      <c r="G5581" t="s" s="11">
        <v>146</v>
      </c>
      <c r="H5581" s="43">
        <v>0.41</v>
      </c>
      <c r="I5581" t="s" s="43">
        <v>30</v>
      </c>
      <c r="J5581" t="s" s="11">
        <v>28075</v>
      </c>
      <c r="K5581" t="s" s="11">
        <v>28076</v>
      </c>
      <c r="L5581" s="17">
        <f>HYPERLINK("http://www.lendview.com", "www.lendview.com")</f>
      </c>
      <c r="M5581" s="17">
        <f>HYPERLINK("https://my.pitchbook.com?c=517052-98", "View Company Online")</f>
      </c>
    </row>
    <row r="5582">
      <c r="A5582" t="s" s="10">
        <v>28078</v>
      </c>
      <c r="B5582" t="s" s="10">
        <v>28079</v>
      </c>
      <c r="C5582" t="s" s="10">
        <v>164</v>
      </c>
      <c r="D5582" t="s" s="10">
        <v>165</v>
      </c>
      <c r="E5582" t="s" s="10">
        <v>253</v>
      </c>
      <c r="F5582" s="27">
        <v>46049</v>
      </c>
      <c r="G5582" t="s" s="10">
        <v>146</v>
      </c>
      <c r="H5582" s="42">
        <v>5.55</v>
      </c>
      <c r="I5582" t="s" s="42">
        <v>30</v>
      </c>
      <c r="J5582" t="s" s="10">
        <v>28080</v>
      </c>
      <c r="K5582" t="s" s="10">
        <v>28081</v>
      </c>
      <c r="L5582" s="16">
        <f>HYPERLINK("http://www.lerian.studio", "www.lerian.studio")</f>
      </c>
      <c r="M5582" s="16">
        <f>HYPERLINK("https://my.pitchbook.com?c=707379-67", "View Company Online")</f>
      </c>
    </row>
    <row r="5583">
      <c r="A5583" t="s" s="11">
        <v>28083</v>
      </c>
      <c r="B5583" t="s" s="11">
        <v>28084</v>
      </c>
      <c r="C5583" t="s" s="11">
        <v>114</v>
      </c>
      <c r="D5583" t="s" s="11">
        <v>136</v>
      </c>
      <c r="E5583" t="s" s="11">
        <v>137</v>
      </c>
      <c r="F5583" s="28">
        <v>46140</v>
      </c>
      <c r="G5583" t="s" s="11">
        <v>2051</v>
      </c>
      <c r="H5583" t="s" s="43">
        <v>30</v>
      </c>
      <c r="I5583" t="s" s="43">
        <v>30</v>
      </c>
      <c r="J5583" t="s" s="11">
        <v>28085</v>
      </c>
      <c r="K5583" t="s" s="11">
        <v>30</v>
      </c>
      <c r="L5583" s="17">
        <f>HYPERLINK("http://www.letsgrant.com", "www.letsgrant.com")</f>
      </c>
      <c r="M5583" s="17">
        <f>HYPERLINK("https://my.pitchbook.com?c=234499-51", "View Company Online")</f>
      </c>
    </row>
    <row r="5584">
      <c r="A5584" t="s" s="10">
        <v>28087</v>
      </c>
      <c r="B5584" t="s" s="10">
        <v>28088</v>
      </c>
      <c r="C5584" t="s" s="10">
        <v>27</v>
      </c>
      <c r="D5584" t="s" s="10">
        <v>28</v>
      </c>
      <c r="E5584" t="s" s="10">
        <v>28089</v>
      </c>
      <c r="F5584" s="27">
        <v>44169</v>
      </c>
      <c r="G5584" t="s" s="10">
        <v>31</v>
      </c>
      <c r="H5584" s="42">
        <v>0.5</v>
      </c>
      <c r="I5584" t="s" s="42">
        <v>30</v>
      </c>
      <c r="J5584" t="s" s="10">
        <v>28090</v>
      </c>
      <c r="K5584" t="s" s="10">
        <v>28091</v>
      </c>
      <c r="L5584" s="16">
        <f>HYPERLINK("http://www.let.us", "www.let.us")</f>
      </c>
      <c r="M5584" s="16">
        <f>HYPERLINK("https://my.pitchbook.com?c=88984-72", "View Company Online")</f>
      </c>
    </row>
    <row r="5585">
      <c r="A5585" t="s" s="11">
        <v>28093</v>
      </c>
      <c r="B5585" t="s" s="11">
        <v>28094</v>
      </c>
      <c r="C5585" t="s" s="11">
        <v>222</v>
      </c>
      <c r="D5585" t="s" s="11">
        <v>235</v>
      </c>
      <c r="E5585" t="s" s="11">
        <v>137</v>
      </c>
      <c r="F5585" s="28">
        <v>46082</v>
      </c>
      <c r="G5585" t="s" s="11">
        <v>40</v>
      </c>
      <c r="H5585" t="s" s="43">
        <v>30</v>
      </c>
      <c r="I5585" t="s" s="43">
        <v>30</v>
      </c>
      <c r="J5585" t="s" s="11">
        <v>28095</v>
      </c>
      <c r="K5585" t="s" s="11">
        <v>28096</v>
      </c>
      <c r="L5585" s="17">
        <f>HYPERLINK("http://www.leva.pe", "www.leva.pe")</f>
      </c>
      <c r="M5585" s="17">
        <f>HYPERLINK("https://my.pitchbook.com?c=185139-82", "View Company Online")</f>
      </c>
    </row>
    <row r="5586">
      <c r="A5586" t="s" s="10">
        <v>28098</v>
      </c>
      <c r="B5586" t="s" s="10">
        <v>28099</v>
      </c>
      <c r="C5586" t="s" s="10">
        <v>144</v>
      </c>
      <c r="D5586" t="s" s="10">
        <v>297</v>
      </c>
      <c r="E5586" t="s" s="10">
        <v>270</v>
      </c>
      <c r="F5586" s="27">
        <v>45658</v>
      </c>
      <c r="G5586" t="s" s="10">
        <v>607</v>
      </c>
      <c r="H5586" t="s" s="42">
        <v>30</v>
      </c>
      <c r="I5586" t="s" s="42">
        <v>30</v>
      </c>
      <c r="J5586" t="s" s="10">
        <v>28100</v>
      </c>
      <c r="K5586" t="s" s="10">
        <v>28101</v>
      </c>
      <c r="L5586" s="16">
        <f>HYPERLINK("http://www.levannta.com", "www.levannta.com")</f>
      </c>
      <c r="M5586" s="16">
        <f>HYPERLINK("https://my.pitchbook.com?c=512977-96", "View Company Online")</f>
      </c>
    </row>
    <row r="5587">
      <c r="A5587" t="s" s="11">
        <v>28103</v>
      </c>
      <c r="B5587" t="s" s="11">
        <v>28104</v>
      </c>
      <c r="C5587" t="s" s="11">
        <v>60</v>
      </c>
      <c r="D5587" t="s" s="11">
        <v>192</v>
      </c>
      <c r="E5587" t="s" s="11">
        <v>137</v>
      </c>
      <c r="F5587" s="28">
        <v>45345</v>
      </c>
      <c r="G5587" t="s" s="11">
        <v>146</v>
      </c>
      <c r="H5587" t="s" s="43">
        <v>30</v>
      </c>
      <c r="I5587" t="s" s="43">
        <v>30</v>
      </c>
      <c r="J5587" t="s" s="11">
        <v>28105</v>
      </c>
      <c r="K5587" t="s" s="11">
        <v>28106</v>
      </c>
      <c r="L5587" s="17">
        <f>HYPERLINK("http://www.level.africa", "www.level.africa")</f>
      </c>
      <c r="M5587" s="17">
        <f>HYPERLINK("https://my.pitchbook.com?c=565568-38", "View Company Online")</f>
      </c>
    </row>
    <row r="5588">
      <c r="A5588" t="s" s="10">
        <v>28108</v>
      </c>
      <c r="B5588" t="s" s="10">
        <v>28109</v>
      </c>
      <c r="C5588" t="s" s="10">
        <v>60</v>
      </c>
      <c r="D5588" t="s" s="10">
        <v>192</v>
      </c>
      <c r="E5588" t="s" s="10">
        <v>367</v>
      </c>
      <c r="F5588" s="27">
        <v>45809</v>
      </c>
      <c r="G5588" t="s" s="10">
        <v>40</v>
      </c>
      <c r="H5588" s="42">
        <v>0.25</v>
      </c>
      <c r="I5588" t="s" s="42">
        <v>30</v>
      </c>
      <c r="J5588" t="s" s="10">
        <v>28110</v>
      </c>
      <c r="K5588" t="s" s="10">
        <v>28111</v>
      </c>
      <c r="L5588" s="16">
        <f>HYPERLINK("http://www.levelfields.ai", "www.levelfields.ai")</f>
      </c>
      <c r="M5588" s="16">
        <f>HYPERLINK("https://my.pitchbook.com?c=462725-65", "View Company Online")</f>
      </c>
    </row>
    <row r="5589">
      <c r="A5589" t="s" s="11">
        <v>28113</v>
      </c>
      <c r="B5589" t="s" s="11">
        <v>28114</v>
      </c>
      <c r="C5589" t="s" s="11">
        <v>144</v>
      </c>
      <c r="D5589" t="s" s="11">
        <v>297</v>
      </c>
      <c r="E5589" t="s" s="11">
        <v>253</v>
      </c>
      <c r="F5589" s="28">
        <v>45114</v>
      </c>
      <c r="G5589" t="s" s="11">
        <v>146</v>
      </c>
      <c r="H5589" s="43">
        <v>8.71</v>
      </c>
      <c r="I5589" t="s" s="43">
        <v>30</v>
      </c>
      <c r="J5589" t="s" s="11">
        <v>28115</v>
      </c>
      <c r="K5589" t="s" s="11">
        <v>28116</v>
      </c>
      <c r="L5589" s="17">
        <f>HYPERLINK("http://www.levenue.com", "www.levenue.com")</f>
      </c>
      <c r="M5589" s="17">
        <f>HYPERLINK("https://my.pitchbook.com?c=489958-93", "View Company Online")</f>
      </c>
    </row>
    <row r="5590">
      <c r="A5590" t="s" s="10">
        <v>28118</v>
      </c>
      <c r="B5590" t="s" s="10">
        <v>28119</v>
      </c>
      <c r="C5590" t="s" s="10">
        <v>114</v>
      </c>
      <c r="D5590" t="s" s="10">
        <v>136</v>
      </c>
      <c r="E5590" t="s" s="10">
        <v>253</v>
      </c>
      <c r="F5590" s="27">
        <v>45608</v>
      </c>
      <c r="G5590" t="s" s="10">
        <v>607</v>
      </c>
      <c r="H5590" t="s" s="42">
        <v>30</v>
      </c>
      <c r="I5590" t="s" s="42">
        <v>30</v>
      </c>
      <c r="J5590" t="s" s="10">
        <v>28120</v>
      </c>
      <c r="K5590" t="s" s="10">
        <v>28121</v>
      </c>
      <c r="L5590" s="16">
        <f>HYPERLINK("http://leverest.net", "leverest.net")</f>
      </c>
      <c r="M5590" s="16">
        <f>HYPERLINK("https://my.pitchbook.com?c=493727-05", "View Company Online")</f>
      </c>
    </row>
    <row r="5591">
      <c r="A5591" t="s" s="11">
        <v>28123</v>
      </c>
      <c r="B5591" t="s" s="11">
        <v>28124</v>
      </c>
      <c r="C5591" t="s" s="11">
        <v>164</v>
      </c>
      <c r="D5591" t="s" s="11">
        <v>206</v>
      </c>
      <c r="E5591" t="s" s="11">
        <v>629</v>
      </c>
      <c r="F5591" s="28">
        <v>45951</v>
      </c>
      <c r="G5591" t="s" s="11">
        <v>146</v>
      </c>
      <c r="H5591" s="43">
        <v>0.02</v>
      </c>
      <c r="I5591" t="s" s="43">
        <v>30</v>
      </c>
      <c r="J5591" t="s" s="11">
        <v>28125</v>
      </c>
      <c r="K5591" t="s" s="11">
        <v>28126</v>
      </c>
      <c r="L5591" s="17">
        <f>HYPERLINK("http://www.levery.io", "www.levery.io")</f>
      </c>
      <c r="M5591" s="17">
        <f>HYPERLINK("https://my.pitchbook.com?c=1153718-65", "View Company Online")</f>
      </c>
    </row>
    <row r="5592">
      <c r="A5592" t="s" s="10">
        <v>28128</v>
      </c>
      <c r="B5592" t="s" s="10">
        <v>28129</v>
      </c>
      <c r="C5592" t="s" s="10">
        <v>27</v>
      </c>
      <c r="D5592" t="s" s="10">
        <v>70</v>
      </c>
      <c r="E5592" t="s" s="10">
        <v>859</v>
      </c>
      <c r="F5592" s="27">
        <v>46063</v>
      </c>
      <c r="G5592" t="s" s="10">
        <v>4267</v>
      </c>
      <c r="H5592" s="42">
        <v>7</v>
      </c>
      <c r="I5592" t="s" s="42">
        <v>30</v>
      </c>
      <c r="J5592" t="s" s="10">
        <v>28130</v>
      </c>
      <c r="K5592" t="s" s="10">
        <v>28131</v>
      </c>
      <c r="L5592" s="16">
        <f>HYPERLINK("http://www.levl.ch", "www.levl.ch")</f>
      </c>
      <c r="M5592" s="16">
        <f>HYPERLINK("https://my.pitchbook.com?c=664564-78", "View Company Online")</f>
      </c>
    </row>
    <row r="5593">
      <c r="A5593" t="s" s="11">
        <v>28133</v>
      </c>
      <c r="B5593" t="s" s="11">
        <v>28134</v>
      </c>
      <c r="C5593" t="s" s="11">
        <v>114</v>
      </c>
      <c r="D5593" t="s" s="11">
        <v>852</v>
      </c>
      <c r="E5593" t="s" s="11">
        <v>373</v>
      </c>
      <c r="F5593" s="28">
        <v>45343</v>
      </c>
      <c r="G5593" t="s" s="11">
        <v>4267</v>
      </c>
      <c r="H5593" s="43">
        <v>2.4</v>
      </c>
      <c r="I5593" t="s" s="43">
        <v>30</v>
      </c>
      <c r="J5593" t="s" s="11">
        <v>28135</v>
      </c>
      <c r="K5593" t="s" s="11">
        <v>28136</v>
      </c>
      <c r="L5593" s="17">
        <f>HYPERLINK("http://www.levr.ai", "www.levr.ai")</f>
      </c>
      <c r="M5593" s="17">
        <f>HYPERLINK("https://my.pitchbook.com?c=510137-02", "View Company Online")</f>
      </c>
    </row>
    <row r="5594">
      <c r="A5594" t="s" s="10">
        <v>28138</v>
      </c>
      <c r="B5594" t="s" s="10">
        <v>28139</v>
      </c>
      <c r="C5594" t="s" s="10">
        <v>114</v>
      </c>
      <c r="D5594" t="s" s="10">
        <v>136</v>
      </c>
      <c r="E5594" t="s" s="10">
        <v>1964</v>
      </c>
      <c r="F5594" s="27">
        <v>43161</v>
      </c>
      <c r="G5594" t="s" s="10">
        <v>146</v>
      </c>
      <c r="H5594" s="42">
        <v>9.49</v>
      </c>
      <c r="I5594" t="s" s="42">
        <v>30</v>
      </c>
      <c r="J5594" t="s" s="10">
        <v>28140</v>
      </c>
      <c r="K5594" t="s" s="10">
        <v>28141</v>
      </c>
      <c r="L5594" s="16">
        <f>HYPERLINK("http://www.lianyinkeji.cn", "www.lianyinkeji.cn")</f>
      </c>
      <c r="M5594" s="16">
        <f>HYPERLINK("https://my.pitchbook.com?c=266624-65", "View Company Online")</f>
      </c>
    </row>
    <row r="5595">
      <c r="A5595" t="s" s="11">
        <v>28143</v>
      </c>
      <c r="B5595" t="s" s="11">
        <v>28144</v>
      </c>
      <c r="C5595" t="s" s="11">
        <v>60</v>
      </c>
      <c r="D5595" t="s" s="11">
        <v>192</v>
      </c>
      <c r="E5595" t="s" s="11">
        <v>28145</v>
      </c>
      <c r="F5595" s="28">
        <v>46210</v>
      </c>
      <c r="G5595" t="s" s="11">
        <v>607</v>
      </c>
      <c r="H5595" t="s" s="43">
        <v>30</v>
      </c>
      <c r="I5595" t="s" s="43">
        <v>30</v>
      </c>
      <c r="J5595" t="s" s="11">
        <v>28146</v>
      </c>
      <c r="K5595" t="s" s="11">
        <v>28147</v>
      </c>
      <c r="L5595" s="17">
        <f>HYPERLINK("http://www.lifehubeducation.com", "www.lifehubeducation.com")</f>
      </c>
      <c r="M5595" s="17">
        <f>HYPERLINK("https://my.pitchbook.com?c=121877-83", "View Company Online")</f>
      </c>
    </row>
    <row r="5596">
      <c r="A5596" t="s" s="10">
        <v>28149</v>
      </c>
      <c r="B5596" t="s" s="10">
        <v>28150</v>
      </c>
      <c r="C5596" t="s" s="10">
        <v>164</v>
      </c>
      <c r="D5596" t="s" s="10">
        <v>206</v>
      </c>
      <c r="E5596" t="s" s="10">
        <v>137</v>
      </c>
      <c r="F5596" s="27">
        <v>45091</v>
      </c>
      <c r="G5596" t="s" s="10">
        <v>40</v>
      </c>
      <c r="H5596" s="42">
        <v>0.4</v>
      </c>
      <c r="I5596" t="s" s="42">
        <v>30</v>
      </c>
      <c r="J5596" t="s" s="10">
        <v>28151</v>
      </c>
      <c r="K5596" t="s" s="10">
        <v>28152</v>
      </c>
      <c r="L5596" s="16">
        <f>HYPERLINK("http://www.cloudbankin.com", "www.cloudbankin.com")</f>
      </c>
      <c r="M5596" s="16">
        <f>HYPERLINK("https://my.pitchbook.com?c=256618-18", "View Company Online")</f>
      </c>
    </row>
    <row r="5597">
      <c r="A5597" t="s" s="11">
        <v>28154</v>
      </c>
      <c r="B5597" t="s" s="11">
        <v>28155</v>
      </c>
      <c r="C5597" t="s" s="11">
        <v>46</v>
      </c>
      <c r="D5597" t="s" s="11">
        <v>47</v>
      </c>
      <c r="E5597" t="s" s="11">
        <v>253</v>
      </c>
      <c r="F5597" t="s" s="28">
        <v>30</v>
      </c>
      <c r="G5597" t="s" s="11">
        <v>48</v>
      </c>
      <c r="H5597" t="s" s="43">
        <v>30</v>
      </c>
      <c r="I5597" t="s" s="43">
        <v>30</v>
      </c>
      <c r="J5597" t="s" s="11">
        <v>28156</v>
      </c>
      <c r="K5597" t="s" s="11">
        <v>28157</v>
      </c>
      <c r="L5597" s="17">
        <f>HYPERLINK("http://www.likvido.com", "www.likvido.com")</f>
      </c>
      <c r="M5597" s="17">
        <f>HYPERLINK("https://my.pitchbook.com?c=230611-69", "View Company Online")</f>
      </c>
    </row>
    <row r="5598">
      <c r="A5598" t="s" s="10">
        <v>28159</v>
      </c>
      <c r="B5598" t="s" s="10">
        <v>28160</v>
      </c>
      <c r="C5598" t="s" s="10">
        <v>46</v>
      </c>
      <c r="D5598" t="s" s="10">
        <v>47</v>
      </c>
      <c r="E5598" t="s" s="10">
        <v>28161</v>
      </c>
      <c r="F5598" s="27">
        <v>45292</v>
      </c>
      <c r="G5598" t="s" s="10">
        <v>607</v>
      </c>
      <c r="H5598" t="s" s="42">
        <v>30</v>
      </c>
      <c r="I5598" t="s" s="42">
        <v>30</v>
      </c>
      <c r="J5598" t="s" s="10">
        <v>28162</v>
      </c>
      <c r="K5598" t="s" s="10">
        <v>28163</v>
      </c>
      <c r="L5598" s="16">
        <f>HYPERLINK("http://www.lillio.com", "www.lillio.com")</f>
      </c>
      <c r="M5598" s="16">
        <f>HYPERLINK("https://my.pitchbook.com?c=222572-98", "View Company Online")</f>
      </c>
    </row>
    <row r="5599">
      <c r="A5599" t="s" s="11">
        <v>28165</v>
      </c>
      <c r="B5599" t="s" s="11">
        <v>28166</v>
      </c>
      <c r="C5599" t="s" s="11">
        <v>60</v>
      </c>
      <c r="D5599" t="s" s="11">
        <v>61</v>
      </c>
      <c r="E5599" t="s" s="11">
        <v>253</v>
      </c>
      <c r="F5599" s="28">
        <v>43936</v>
      </c>
      <c r="G5599" t="s" s="11">
        <v>5311</v>
      </c>
      <c r="H5599" t="s" s="43">
        <v>30</v>
      </c>
      <c r="I5599" t="s" s="43">
        <v>30</v>
      </c>
      <c r="J5599" t="s" s="11">
        <v>28167</v>
      </c>
      <c r="K5599" t="s" s="11">
        <v>28168</v>
      </c>
      <c r="L5599" s="17">
        <f>HYPERLINK("http://www.lime.co", "www.lime.co")</f>
      </c>
      <c r="M5599" s="17">
        <f>HYPERLINK("https://my.pitchbook.com?c=172209-43", "View Company Online")</f>
      </c>
    </row>
    <row r="5600">
      <c r="A5600" t="s" s="10">
        <v>28170</v>
      </c>
      <c r="B5600" t="s" s="10">
        <v>28171</v>
      </c>
      <c r="C5600" t="s" s="10">
        <v>164</v>
      </c>
      <c r="D5600" t="s" s="10">
        <v>206</v>
      </c>
      <c r="E5600" t="s" s="10">
        <v>253</v>
      </c>
      <c r="F5600" s="27">
        <v>45301</v>
      </c>
      <c r="G5600" t="s" s="10">
        <v>146</v>
      </c>
      <c r="H5600" s="42">
        <v>1.64</v>
      </c>
      <c r="I5600" t="s" s="42">
        <v>30</v>
      </c>
      <c r="J5600" t="s" s="10">
        <v>28172</v>
      </c>
      <c r="K5600" t="s" s="10">
        <v>28173</v>
      </c>
      <c r="L5600" s="16">
        <f>HYPERLINK("http://www.linaopenx.com.br", "www.linaopenx.com.br")</f>
      </c>
      <c r="M5600" s="16">
        <f>HYPERLINK("https://my.pitchbook.com?c=551727-55", "View Company Online")</f>
      </c>
    </row>
    <row r="5601">
      <c r="A5601" t="s" s="11">
        <v>28175</v>
      </c>
      <c r="B5601" t="s" s="11">
        <v>28176</v>
      </c>
      <c r="C5601" t="s" s="11">
        <v>27</v>
      </c>
      <c r="D5601" t="s" s="11">
        <v>28</v>
      </c>
      <c r="E5601" t="s" s="11">
        <v>1859</v>
      </c>
      <c r="F5601" s="28">
        <v>45627</v>
      </c>
      <c r="G5601" t="s" s="11">
        <v>146</v>
      </c>
      <c r="H5601" t="s" s="43">
        <v>30</v>
      </c>
      <c r="I5601" t="s" s="43">
        <v>30</v>
      </c>
      <c r="J5601" t="s" s="11">
        <v>28177</v>
      </c>
      <c r="K5601" t="s" s="11">
        <v>28178</v>
      </c>
      <c r="L5601" s="17">
        <f>HYPERLINK("http://www.lincfi.com", "www.lincfi.com")</f>
      </c>
      <c r="M5601" s="17">
        <f>HYPERLINK("https://my.pitchbook.com?c=597498-22", "View Company Online")</f>
      </c>
    </row>
    <row r="5602">
      <c r="A5602" t="s" s="10">
        <v>28180</v>
      </c>
      <c r="B5602" t="s" s="10">
        <v>28181</v>
      </c>
      <c r="C5602" t="s" s="10">
        <v>27</v>
      </c>
      <c r="D5602" t="s" s="10">
        <v>70</v>
      </c>
      <c r="E5602" t="s" s="10">
        <v>1859</v>
      </c>
      <c r="F5602" s="27">
        <v>45884</v>
      </c>
      <c r="G5602" t="s" s="10">
        <v>4267</v>
      </c>
      <c r="H5602" s="42">
        <v>5</v>
      </c>
      <c r="I5602" t="s" s="42">
        <v>30</v>
      </c>
      <c r="J5602" t="s" s="10">
        <v>28182</v>
      </c>
      <c r="K5602" t="s" s="10">
        <v>30</v>
      </c>
      <c r="L5602" s="16">
        <f>HYPERLINK("http://www.linguardlabs.com", "www.linguardlabs.com")</f>
      </c>
      <c r="M5602" s="16">
        <f>HYPERLINK("https://my.pitchbook.com?c=608446-54", "View Company Online")</f>
      </c>
    </row>
    <row r="5603">
      <c r="A5603" t="s" s="11">
        <v>28184</v>
      </c>
      <c r="B5603" t="s" s="11">
        <v>28185</v>
      </c>
      <c r="C5603" t="s" s="11">
        <v>164</v>
      </c>
      <c r="D5603" t="s" s="11">
        <v>165</v>
      </c>
      <c r="E5603" t="s" s="11">
        <v>367</v>
      </c>
      <c r="F5603" s="28">
        <v>44893</v>
      </c>
      <c r="G5603" t="s" s="11">
        <v>146</v>
      </c>
      <c r="H5603" t="s" s="43">
        <v>30</v>
      </c>
      <c r="I5603" t="s" s="43">
        <v>30</v>
      </c>
      <c r="J5603" t="s" s="11">
        <v>28186</v>
      </c>
      <c r="K5603" t="s" s="11">
        <v>28187</v>
      </c>
      <c r="L5603" s="17">
        <f>HYPERLINK("http://www.lingyudt.com", "www.lingyudt.com")</f>
      </c>
      <c r="M5603" s="17">
        <f>HYPERLINK("https://my.pitchbook.com?c=515314-00", "View Company Online")</f>
      </c>
    </row>
    <row r="5604">
      <c r="A5604" t="s" s="10">
        <v>28189</v>
      </c>
      <c r="B5604" t="s" s="10">
        <v>28190</v>
      </c>
      <c r="C5604" t="s" s="10">
        <v>128</v>
      </c>
      <c r="D5604" t="s" s="10">
        <v>129</v>
      </c>
      <c r="E5604" t="s" s="10">
        <v>253</v>
      </c>
      <c r="F5604" s="27">
        <v>45058</v>
      </c>
      <c r="G5604" t="s" s="10">
        <v>40</v>
      </c>
      <c r="H5604" s="42">
        <v>2.44</v>
      </c>
      <c r="I5604" t="s" s="42">
        <v>30</v>
      </c>
      <c r="J5604" t="s" s="10">
        <v>28191</v>
      </c>
      <c r="K5604" t="s" s="10">
        <v>28192</v>
      </c>
      <c r="L5604" s="16">
        <f>HYPERLINK("http://www.link-plans.com", "www.link-plans.com")</f>
      </c>
      <c r="M5604" s="16">
        <f>HYPERLINK("https://my.pitchbook.com?c=443004-67", "View Company Online")</f>
      </c>
    </row>
    <row r="5605">
      <c r="A5605" t="s" s="11">
        <v>28194</v>
      </c>
      <c r="B5605" t="s" s="11">
        <v>28195</v>
      </c>
      <c r="C5605" t="s" s="11">
        <v>128</v>
      </c>
      <c r="D5605" t="s" s="11">
        <v>199</v>
      </c>
      <c r="E5605" t="s" s="11">
        <v>158</v>
      </c>
      <c r="F5605" s="28">
        <v>45378</v>
      </c>
      <c r="G5605" t="s" s="11">
        <v>40</v>
      </c>
      <c r="H5605" t="s" s="43">
        <v>30</v>
      </c>
      <c r="I5605" t="s" s="43">
        <v>30</v>
      </c>
      <c r="J5605" t="s" s="11">
        <v>28196</v>
      </c>
      <c r="K5605" t="s" s="11">
        <v>28197</v>
      </c>
      <c r="L5605" s="17">
        <f>HYPERLINK("http://www.linkaja.id", "www.linkaja.id")</f>
      </c>
      <c r="M5605" s="17">
        <f>HYPERLINK("https://my.pitchbook.com?c=279523-99", "View Company Online")</f>
      </c>
    </row>
    <row r="5606">
      <c r="A5606" t="s" s="10">
        <v>28199</v>
      </c>
      <c r="B5606" t="s" s="10">
        <v>28200</v>
      </c>
      <c r="C5606" t="s" s="10">
        <v>114</v>
      </c>
      <c r="D5606" t="s" s="10">
        <v>852</v>
      </c>
      <c r="E5606" t="s" s="10">
        <v>253</v>
      </c>
      <c r="F5606" s="27">
        <v>44916</v>
      </c>
      <c r="G5606" t="s" s="10">
        <v>146</v>
      </c>
      <c r="H5606" t="s" s="42">
        <v>30</v>
      </c>
      <c r="I5606" t="s" s="42">
        <v>30</v>
      </c>
      <c r="J5606" t="s" s="10">
        <v>28201</v>
      </c>
      <c r="K5606" t="s" s="10">
        <v>28202</v>
      </c>
      <c r="L5606" s="16">
        <f>HYPERLINK("http://www.linkapital.com.br", "www.linkapital.com.br")</f>
      </c>
      <c r="M5606" s="16">
        <f>HYPERLINK("https://my.pitchbook.com?c=155827-00", "View Company Online")</f>
      </c>
    </row>
    <row r="5607">
      <c r="A5607" t="s" s="11">
        <v>28204</v>
      </c>
      <c r="B5607" t="s" s="11">
        <v>28205</v>
      </c>
      <c r="C5607" t="s" s="11">
        <v>164</v>
      </c>
      <c r="D5607" t="s" s="11">
        <v>206</v>
      </c>
      <c r="E5607" t="s" s="11">
        <v>1349</v>
      </c>
      <c r="F5607" s="28">
        <v>43672</v>
      </c>
      <c r="G5607" t="s" s="11">
        <v>146</v>
      </c>
      <c r="H5607" s="43">
        <v>50</v>
      </c>
      <c r="I5607" t="s" s="43">
        <v>30</v>
      </c>
      <c r="J5607" t="s" s="11">
        <v>28206</v>
      </c>
      <c r="K5607" t="s" s="11">
        <v>28207</v>
      </c>
      <c r="L5607" s="17">
        <f>HYPERLINK("http://www.linkfin-tech.com", "www.linkfin-tech.com")</f>
      </c>
      <c r="M5607" s="17">
        <f>HYPERLINK("https://my.pitchbook.com?c=277465-78", "View Company Online")</f>
      </c>
    </row>
    <row r="5608">
      <c r="A5608" t="s" s="10">
        <v>28209</v>
      </c>
      <c r="B5608" t="s" s="10">
        <v>28210</v>
      </c>
      <c r="C5608" t="s" s="10">
        <v>46</v>
      </c>
      <c r="D5608" t="s" s="10">
        <v>78</v>
      </c>
      <c r="E5608" t="s" s="10">
        <v>137</v>
      </c>
      <c r="F5608" s="27">
        <v>44804</v>
      </c>
      <c r="G5608" t="s" s="10">
        <v>4267</v>
      </c>
      <c r="H5608" s="42">
        <v>0.05</v>
      </c>
      <c r="I5608" t="s" s="42">
        <v>30</v>
      </c>
      <c r="J5608" t="s" s="10">
        <v>28211</v>
      </c>
      <c r="K5608" t="s" s="10">
        <v>28212</v>
      </c>
      <c r="L5608" s="16">
        <f>HYPERLINK("http://www.linxe.com", "www.linxe.com")</f>
      </c>
      <c r="M5608" s="16">
        <f>HYPERLINK("https://my.pitchbook.com?c=433147-24", "View Company Online")</f>
      </c>
    </row>
    <row r="5609">
      <c r="A5609" t="s" s="11">
        <v>28214</v>
      </c>
      <c r="B5609" t="s" s="11">
        <v>28215</v>
      </c>
      <c r="C5609" t="s" s="11">
        <v>114</v>
      </c>
      <c r="D5609" t="s" s="11">
        <v>852</v>
      </c>
      <c r="E5609" t="s" s="11">
        <v>28216</v>
      </c>
      <c r="F5609" s="28">
        <v>45825</v>
      </c>
      <c r="G5609" t="s" s="11">
        <v>40</v>
      </c>
      <c r="H5609" s="43">
        <v>1.14</v>
      </c>
      <c r="I5609" t="s" s="43">
        <v>30</v>
      </c>
      <c r="J5609" t="s" s="11">
        <v>28217</v>
      </c>
      <c r="K5609" t="s" s="11">
        <v>28218</v>
      </c>
      <c r="L5609" s="17">
        <f>HYPERLINK("http://www.linxfour.com", "www.linxfour.com")</f>
      </c>
      <c r="M5609" s="17">
        <f>HYPERLINK("https://my.pitchbook.com?c=431197-39", "View Company Online")</f>
      </c>
    </row>
    <row r="5610">
      <c r="A5610" t="s" s="10">
        <v>28220</v>
      </c>
      <c r="B5610" t="s" s="10">
        <v>28221</v>
      </c>
      <c r="C5610" t="s" s="10">
        <v>222</v>
      </c>
      <c r="D5610" t="s" s="10">
        <v>223</v>
      </c>
      <c r="E5610" t="s" s="10">
        <v>253</v>
      </c>
      <c r="F5610" s="27">
        <v>43082</v>
      </c>
      <c r="G5610" t="s" s="10">
        <v>146</v>
      </c>
      <c r="H5610" s="42">
        <v>10</v>
      </c>
      <c r="I5610" t="s" s="42">
        <v>30</v>
      </c>
      <c r="J5610" t="s" s="10">
        <v>28222</v>
      </c>
      <c r="K5610" t="s" s="10">
        <v>28223</v>
      </c>
      <c r="L5610" t="s" s="10">
        <v>30</v>
      </c>
      <c r="M5610" s="16">
        <f>HYPERLINK("https://my.pitchbook.com?c=223029-01", "View Company Online")</f>
      </c>
    </row>
    <row r="5611">
      <c r="A5611" t="s" s="11">
        <v>28224</v>
      </c>
      <c r="B5611" t="s" s="11">
        <v>28225</v>
      </c>
      <c r="C5611" t="s" s="11">
        <v>114</v>
      </c>
      <c r="D5611" t="s" s="11">
        <v>852</v>
      </c>
      <c r="E5611" t="s" s="11">
        <v>253</v>
      </c>
      <c r="F5611" s="28">
        <v>44910</v>
      </c>
      <c r="G5611" t="s" s="11">
        <v>146</v>
      </c>
      <c r="H5611" s="43">
        <v>0.7</v>
      </c>
      <c r="I5611" t="s" s="43">
        <v>30</v>
      </c>
      <c r="J5611" t="s" s="11">
        <v>28226</v>
      </c>
      <c r="K5611" t="s" s="11">
        <v>23952</v>
      </c>
      <c r="L5611" s="17">
        <f>HYPERLINK("http://www.liqi.it", "www.liqi.it")</f>
      </c>
      <c r="M5611" s="17">
        <f>HYPERLINK("https://my.pitchbook.com?c=519708-34", "View Company Online")</f>
      </c>
    </row>
    <row r="5612">
      <c r="A5612" t="s" s="10">
        <v>28228</v>
      </c>
      <c r="B5612" t="s" s="10">
        <v>28229</v>
      </c>
      <c r="C5612" t="s" s="10">
        <v>172</v>
      </c>
      <c r="D5612" t="s" s="10">
        <v>338</v>
      </c>
      <c r="E5612" t="s" s="10">
        <v>28230</v>
      </c>
      <c r="F5612" s="27">
        <v>46044</v>
      </c>
      <c r="G5612" t="s" s="10">
        <v>48</v>
      </c>
      <c r="H5612" t="s" s="42">
        <v>30</v>
      </c>
      <c r="I5612" t="s" s="42">
        <v>30</v>
      </c>
      <c r="J5612" t="s" s="10">
        <v>28231</v>
      </c>
      <c r="K5612" t="s" s="10">
        <v>30</v>
      </c>
      <c r="L5612" s="16">
        <f>HYPERLINK("http://www.liquidinc.asia", "www.liquidinc.asia")</f>
      </c>
      <c r="M5612" s="16">
        <f>HYPERLINK("https://my.pitchbook.com?c=158366-71", "View Company Online")</f>
      </c>
    </row>
    <row r="5613">
      <c r="A5613" t="s" s="11">
        <v>28233</v>
      </c>
      <c r="B5613" t="s" s="11">
        <v>28234</v>
      </c>
      <c r="C5613" t="s" s="11">
        <v>164</v>
      </c>
      <c r="D5613" t="s" s="11">
        <v>206</v>
      </c>
      <c r="E5613" t="s" s="11">
        <v>629</v>
      </c>
      <c r="F5613" s="28">
        <v>45026</v>
      </c>
      <c r="G5613" t="s" s="11">
        <v>40</v>
      </c>
      <c r="H5613" t="s" s="43">
        <v>30</v>
      </c>
      <c r="I5613" t="s" s="43">
        <v>30</v>
      </c>
      <c r="J5613" t="s" s="11">
        <v>28235</v>
      </c>
      <c r="K5613" t="s" s="11">
        <v>28236</v>
      </c>
      <c r="L5613" s="17">
        <f>HYPERLINK("http://www.liquidfi.io", "www.liquidfi.io")</f>
      </c>
      <c r="M5613" s="17">
        <f>HYPERLINK("https://my.pitchbook.com?c=326888-65", "View Company Online")</f>
      </c>
    </row>
    <row r="5614">
      <c r="A5614" t="s" s="10">
        <v>28238</v>
      </c>
      <c r="B5614" t="s" s="10">
        <v>28239</v>
      </c>
      <c r="C5614" t="s" s="10">
        <v>222</v>
      </c>
      <c r="D5614" t="s" s="10">
        <v>252</v>
      </c>
      <c r="E5614" t="s" s="10">
        <v>859</v>
      </c>
      <c r="F5614" s="27">
        <v>45748</v>
      </c>
      <c r="G5614" t="s" s="10">
        <v>40</v>
      </c>
      <c r="H5614" t="s" s="42">
        <v>30</v>
      </c>
      <c r="I5614" t="s" s="42">
        <v>30</v>
      </c>
      <c r="J5614" t="s" s="10">
        <v>28240</v>
      </c>
      <c r="K5614" t="s" s="10">
        <v>28241</v>
      </c>
      <c r="L5614" s="16">
        <f>HYPERLINK("http://www.liquidity.digital", "www.liquidity.digital")</f>
      </c>
      <c r="M5614" s="16">
        <f>HYPERLINK("https://my.pitchbook.com?c=431280-91", "View Company Online")</f>
      </c>
    </row>
    <row r="5615">
      <c r="A5615" t="s" s="11">
        <v>28243</v>
      </c>
      <c r="B5615" t="s" s="11">
        <v>28244</v>
      </c>
      <c r="C5615" t="s" s="11">
        <v>60</v>
      </c>
      <c r="D5615" t="s" s="11">
        <v>432</v>
      </c>
      <c r="E5615" t="s" s="11">
        <v>414</v>
      </c>
      <c r="F5615" s="28">
        <v>46022</v>
      </c>
      <c r="G5615" t="s" s="11">
        <v>4267</v>
      </c>
      <c r="H5615" t="s" s="43">
        <v>30</v>
      </c>
      <c r="I5615" t="s" s="43">
        <v>30</v>
      </c>
      <c r="J5615" t="s" s="11">
        <v>28245</v>
      </c>
      <c r="K5615" t="s" s="11">
        <v>28246</v>
      </c>
      <c r="L5615" s="17">
        <f>HYPERLINK("http://www.getlira.ai", "www.getlira.ai")</f>
      </c>
      <c r="M5615" s="17">
        <f>HYPERLINK("https://my.pitchbook.com?c=1257862-15", "View Company Online")</f>
      </c>
    </row>
    <row r="5616">
      <c r="A5616" t="s" s="10">
        <v>28248</v>
      </c>
      <c r="B5616" t="s" s="10">
        <v>28249</v>
      </c>
      <c r="C5616" t="s" s="10">
        <v>114</v>
      </c>
      <c r="D5616" t="s" s="10">
        <v>115</v>
      </c>
      <c r="E5616" t="s" s="10">
        <v>3433</v>
      </c>
      <c r="F5616" s="27">
        <v>46099</v>
      </c>
      <c r="G5616" t="s" s="10">
        <v>146</v>
      </c>
      <c r="H5616" s="42">
        <v>10.3</v>
      </c>
      <c r="I5616" t="s" s="42">
        <v>30</v>
      </c>
      <c r="J5616" t="s" s="10">
        <v>28250</v>
      </c>
      <c r="K5616" t="s" s="10">
        <v>28251</v>
      </c>
      <c r="L5616" s="16">
        <f>HYPERLINK("http://www.litfinancial.com", "www.litfinancial.com")</f>
      </c>
      <c r="M5616" s="16">
        <f>HYPERLINK("https://my.pitchbook.com?c=607981-33", "View Company Online")</f>
      </c>
    </row>
    <row r="5617">
      <c r="A5617" t="s" s="11">
        <v>28253</v>
      </c>
      <c r="B5617" t="s" s="11">
        <v>28254</v>
      </c>
      <c r="C5617" t="s" s="11">
        <v>60</v>
      </c>
      <c r="D5617" t="s" s="11">
        <v>727</v>
      </c>
      <c r="E5617" t="s" s="11">
        <v>629</v>
      </c>
      <c r="F5617" s="28">
        <v>44385</v>
      </c>
      <c r="G5617" t="s" s="11">
        <v>146</v>
      </c>
      <c r="H5617" s="43">
        <v>27.05</v>
      </c>
      <c r="I5617" t="s" s="43">
        <v>30</v>
      </c>
      <c r="J5617" t="s" s="11">
        <v>28255</v>
      </c>
      <c r="K5617" t="s" s="11">
        <v>28256</v>
      </c>
      <c r="L5617" s="17">
        <f>HYPERLINK("http://www.liticapital.com", "www.liticapital.com")</f>
      </c>
      <c r="M5617" s="17">
        <f>HYPERLINK("https://my.pitchbook.com?c=470444-77", "View Company Online")</f>
      </c>
    </row>
    <row r="5618">
      <c r="A5618" t="s" s="10">
        <v>28258</v>
      </c>
      <c r="B5618" t="s" s="10">
        <v>28259</v>
      </c>
      <c r="C5618" t="s" s="10">
        <v>37</v>
      </c>
      <c r="D5618" t="s" s="10">
        <v>38</v>
      </c>
      <c r="E5618" t="s" s="10">
        <v>253</v>
      </c>
      <c r="F5618" s="27">
        <v>46023</v>
      </c>
      <c r="G5618" t="s" s="10">
        <v>40</v>
      </c>
      <c r="H5618" t="s" s="42">
        <v>30</v>
      </c>
      <c r="I5618" t="s" s="42">
        <v>30</v>
      </c>
      <c r="J5618" t="s" s="10">
        <v>28260</v>
      </c>
      <c r="K5618" t="s" s="10">
        <v>28261</v>
      </c>
      <c r="L5618" s="16">
        <f>HYPERLINK("http://www.littio.co", "www.littio.co")</f>
      </c>
      <c r="M5618" s="16">
        <f>HYPERLINK("https://my.pitchbook.com?c=490690-90", "View Company Online")</f>
      </c>
    </row>
    <row r="5619">
      <c r="A5619" t="s" s="11">
        <v>28263</v>
      </c>
      <c r="B5619" t="s" s="11">
        <v>28264</v>
      </c>
      <c r="C5619" t="s" s="11">
        <v>60</v>
      </c>
      <c r="D5619" t="s" s="11">
        <v>192</v>
      </c>
      <c r="E5619" t="s" s="11">
        <v>62</v>
      </c>
      <c r="F5619" s="28">
        <v>45578</v>
      </c>
      <c r="G5619" t="s" s="11">
        <v>607</v>
      </c>
      <c r="H5619" t="s" s="43">
        <v>30</v>
      </c>
      <c r="I5619" t="s" s="43">
        <v>30</v>
      </c>
      <c r="J5619" t="s" s="11">
        <v>28265</v>
      </c>
      <c r="K5619" t="s" s="11">
        <v>28266</v>
      </c>
      <c r="L5619" s="17">
        <f>HYPERLINK("http://www.littlebuffett.com", "www.littlebuffett.com")</f>
      </c>
      <c r="M5619" s="17">
        <f>HYPERLINK("https://my.pitchbook.com?c=533159-83", "View Company Online")</f>
      </c>
    </row>
    <row r="5620">
      <c r="A5620" t="s" s="10">
        <v>28268</v>
      </c>
      <c r="B5620" t="s" s="10">
        <v>28269</v>
      </c>
      <c r="C5620" t="s" s="10">
        <v>37</v>
      </c>
      <c r="D5620" t="s" s="10">
        <v>38</v>
      </c>
      <c r="E5620" t="s" s="10">
        <v>1266</v>
      </c>
      <c r="F5620" s="27">
        <v>45015</v>
      </c>
      <c r="G5620" t="s" s="10">
        <v>4267</v>
      </c>
      <c r="H5620" s="42">
        <v>1.6</v>
      </c>
      <c r="I5620" t="s" s="42">
        <v>30</v>
      </c>
      <c r="J5620" t="s" s="10">
        <v>28270</v>
      </c>
      <c r="K5620" t="s" s="10">
        <v>28271</v>
      </c>
      <c r="L5620" s="16">
        <f>HYPERLINK("http://www.littlewallet.co", "www.littlewallet.co")</f>
      </c>
      <c r="M5620" s="16">
        <f>HYPERLINK("https://my.pitchbook.com?c=522477-10", "View Company Online")</f>
      </c>
    </row>
    <row r="5621">
      <c r="A5621" t="s" s="11">
        <v>28273</v>
      </c>
      <c r="B5621" t="s" s="11">
        <v>28274</v>
      </c>
      <c r="C5621" t="s" s="11">
        <v>164</v>
      </c>
      <c r="D5621" t="s" s="11">
        <v>206</v>
      </c>
      <c r="E5621" t="s" s="11">
        <v>373</v>
      </c>
      <c r="F5621" s="28">
        <v>46105</v>
      </c>
      <c r="G5621" t="s" s="11">
        <v>40</v>
      </c>
      <c r="H5621" s="43">
        <v>9.5</v>
      </c>
      <c r="I5621" t="s" s="43">
        <v>30</v>
      </c>
      <c r="J5621" t="s" s="11">
        <v>28275</v>
      </c>
      <c r="K5621" t="s" s="11">
        <v>28276</v>
      </c>
      <c r="L5621" s="17">
        <f>HYPERLINK("http://www.littlefishapp.com", "www.littlefishapp.com")</f>
      </c>
      <c r="M5621" s="17">
        <f>HYPERLINK("https://my.pitchbook.com?c=557004-52", "View Company Online")</f>
      </c>
    </row>
    <row r="5622">
      <c r="A5622" t="s" s="10">
        <v>28278</v>
      </c>
      <c r="B5622" t="s" s="10">
        <v>28279</v>
      </c>
      <c r="C5622" t="s" s="10">
        <v>164</v>
      </c>
      <c r="D5622" t="s" s="10">
        <v>165</v>
      </c>
      <c r="E5622" t="s" s="10">
        <v>3997</v>
      </c>
      <c r="F5622" s="27">
        <v>44342</v>
      </c>
      <c r="G5622" t="s" s="10">
        <v>146</v>
      </c>
      <c r="H5622" s="42">
        <v>2.45</v>
      </c>
      <c r="I5622" t="s" s="42">
        <v>30</v>
      </c>
      <c r="J5622" t="s" s="10">
        <v>28280</v>
      </c>
      <c r="K5622" t="s" s="10">
        <v>28281</v>
      </c>
      <c r="L5622" s="16">
        <f>HYPERLINK("http://www.livegage.ai", "www.livegage.ai")</f>
      </c>
      <c r="M5622" s="16">
        <f>HYPERLINK("https://my.pitchbook.com?c=471103-75", "View Company Online")</f>
      </c>
    </row>
    <row r="5623">
      <c r="A5623" t="s" s="11">
        <v>28283</v>
      </c>
      <c r="B5623" t="s" s="11">
        <v>28284</v>
      </c>
      <c r="C5623" t="s" s="11">
        <v>144</v>
      </c>
      <c r="D5623" t="s" s="11">
        <v>297</v>
      </c>
      <c r="E5623" t="s" s="11">
        <v>137</v>
      </c>
      <c r="F5623" s="28">
        <v>45861</v>
      </c>
      <c r="G5623" t="s" s="11">
        <v>48</v>
      </c>
      <c r="H5623" t="s" s="43">
        <v>30</v>
      </c>
      <c r="I5623" t="s" s="43">
        <v>30</v>
      </c>
      <c r="J5623" t="s" s="11">
        <v>28285</v>
      </c>
      <c r="K5623" t="s" s="11">
        <v>28286</v>
      </c>
      <c r="L5623" s="17">
        <f>HYPERLINK("http://www.livfin.com", "www.livfin.com")</f>
      </c>
      <c r="M5623" s="17">
        <f>HYPERLINK("https://my.pitchbook.com?c=267503-14", "View Company Online")</f>
      </c>
    </row>
    <row r="5624">
      <c r="A5624" t="s" s="10">
        <v>28288</v>
      </c>
      <c r="B5624" t="s" s="10">
        <v>28289</v>
      </c>
      <c r="C5624" t="s" s="10">
        <v>114</v>
      </c>
      <c r="D5624" t="s" s="10">
        <v>136</v>
      </c>
      <c r="E5624" t="s" s="10">
        <v>4013</v>
      </c>
      <c r="F5624" s="27">
        <v>45433</v>
      </c>
      <c r="G5624" t="s" s="10">
        <v>31</v>
      </c>
      <c r="H5624" s="42">
        <v>5</v>
      </c>
      <c r="I5624" t="s" s="42">
        <v>30</v>
      </c>
      <c r="J5624" t="s" s="10">
        <v>28290</v>
      </c>
      <c r="K5624" t="s" s="10">
        <v>28291</v>
      </c>
      <c r="L5624" s="16">
        <f>HYPERLINK("http://liwwa.com", "liwwa.com")</f>
      </c>
      <c r="M5624" s="16">
        <f>HYPERLINK("https://my.pitchbook.com?c=110997-10", "View Company Online")</f>
      </c>
    </row>
    <row r="5625">
      <c r="A5625" t="s" s="11">
        <v>28293</v>
      </c>
      <c r="B5625" t="s" s="11">
        <v>28294</v>
      </c>
      <c r="C5625" t="s" s="11">
        <v>114</v>
      </c>
      <c r="D5625" t="s" s="11">
        <v>136</v>
      </c>
      <c r="E5625" t="s" s="11">
        <v>28295</v>
      </c>
      <c r="F5625" t="s" s="28">
        <v>30</v>
      </c>
      <c r="G5625" t="s" s="11">
        <v>40</v>
      </c>
      <c r="H5625" t="s" s="43">
        <v>30</v>
      </c>
      <c r="I5625" t="s" s="43">
        <v>30</v>
      </c>
      <c r="J5625" t="s" s="11">
        <v>28296</v>
      </c>
      <c r="K5625" t="s" s="11">
        <v>28297</v>
      </c>
      <c r="L5625" s="17">
        <f>HYPERLINK("http://www.lizza.link", "www.lizza.link")</f>
      </c>
      <c r="M5625" s="17">
        <f>HYPERLINK("https://my.pitchbook.com?c=433845-91", "View Company Online")</f>
      </c>
    </row>
    <row r="5626">
      <c r="A5626" t="s" s="10">
        <v>28299</v>
      </c>
      <c r="B5626" t="s" s="10">
        <v>28300</v>
      </c>
      <c r="C5626" t="s" s="10">
        <v>144</v>
      </c>
      <c r="D5626" t="s" s="10">
        <v>297</v>
      </c>
      <c r="E5626" t="s" s="10">
        <v>253</v>
      </c>
      <c r="F5626" s="27">
        <v>44522</v>
      </c>
      <c r="G5626" t="s" s="10">
        <v>4267</v>
      </c>
      <c r="H5626" s="42">
        <v>3</v>
      </c>
      <c r="I5626" t="s" s="42">
        <v>30</v>
      </c>
      <c r="J5626" t="s" s="10">
        <v>28301</v>
      </c>
      <c r="K5626" t="s" s="10">
        <v>28302</v>
      </c>
      <c r="L5626" s="16">
        <f>HYPERLINK("http://www.lnddo.com", "www.lnddo.com")</f>
      </c>
      <c r="M5626" s="16">
        <f>HYPERLINK("https://my.pitchbook.com?c=484189-93", "View Company Online")</f>
      </c>
    </row>
    <row r="5627">
      <c r="A5627" t="s" s="11">
        <v>28304</v>
      </c>
      <c r="B5627" t="s" s="11">
        <v>28305</v>
      </c>
      <c r="C5627" t="s" s="11">
        <v>164</v>
      </c>
      <c r="D5627" t="s" s="11">
        <v>165</v>
      </c>
      <c r="E5627" t="s" s="11">
        <v>137</v>
      </c>
      <c r="F5627" s="28">
        <v>46138</v>
      </c>
      <c r="G5627" t="s" s="11">
        <v>2051</v>
      </c>
      <c r="H5627" t="s" s="43">
        <v>30</v>
      </c>
      <c r="I5627" t="s" s="43">
        <v>30</v>
      </c>
      <c r="J5627" t="s" s="11">
        <v>28306</v>
      </c>
      <c r="K5627" t="s" s="11">
        <v>30</v>
      </c>
      <c r="L5627" s="17">
        <f>HYPERLINK("http://www.loaneco.net", "www.loaneco.net")</f>
      </c>
      <c r="M5627" s="17">
        <f>HYPERLINK("https://my.pitchbook.com?c=227667-88", "View Company Online")</f>
      </c>
    </row>
    <row r="5628">
      <c r="A5628" t="s" s="10">
        <v>28308</v>
      </c>
      <c r="B5628" t="s" s="10">
        <v>28309</v>
      </c>
      <c r="C5628" t="s" s="10">
        <v>114</v>
      </c>
      <c r="D5628" t="s" s="10">
        <v>1386</v>
      </c>
      <c r="E5628" t="s" s="10">
        <v>137</v>
      </c>
      <c r="F5628" s="27">
        <v>46082</v>
      </c>
      <c r="G5628" t="s" s="10">
        <v>146</v>
      </c>
      <c r="H5628" t="s" s="42">
        <v>30</v>
      </c>
      <c r="I5628" t="s" s="42">
        <v>30</v>
      </c>
      <c r="J5628" t="s" s="10">
        <v>28310</v>
      </c>
      <c r="K5628" t="s" s="10">
        <v>28311</v>
      </c>
      <c r="L5628" s="16">
        <f>HYPERLINK("http://www.loanengine.co", "www.loanengine.co")</f>
      </c>
      <c r="M5628" s="16">
        <f>HYPERLINK("https://my.pitchbook.com?c=1325112-13", "View Company Online")</f>
      </c>
    </row>
    <row r="5629">
      <c r="A5629" t="s" s="11">
        <v>28313</v>
      </c>
      <c r="B5629" t="s" s="11">
        <v>28314</v>
      </c>
      <c r="C5629" t="s" s="11">
        <v>114</v>
      </c>
      <c r="D5629" t="s" s="11">
        <v>115</v>
      </c>
      <c r="E5629" t="s" s="11">
        <v>137</v>
      </c>
      <c r="F5629" s="28">
        <v>45527</v>
      </c>
      <c r="G5629" t="s" s="11">
        <v>40</v>
      </c>
      <c r="H5629" s="43">
        <v>3.5</v>
      </c>
      <c r="I5629" t="s" s="43">
        <v>30</v>
      </c>
      <c r="J5629" t="s" s="11">
        <v>28315</v>
      </c>
      <c r="K5629" t="s" s="11">
        <v>28316</v>
      </c>
      <c r="L5629" s="17">
        <f>HYPERLINK("http://www.loankuber.com", "www.loankuber.com")</f>
      </c>
      <c r="M5629" s="17">
        <f>HYPERLINK("https://my.pitchbook.com?c=442960-57", "View Company Online")</f>
      </c>
    </row>
    <row r="5630">
      <c r="A5630" t="s" s="10">
        <v>28318</v>
      </c>
      <c r="B5630" t="s" s="10">
        <v>28319</v>
      </c>
      <c r="C5630" t="s" s="10">
        <v>114</v>
      </c>
      <c r="D5630" t="s" s="10">
        <v>136</v>
      </c>
      <c r="E5630" t="s" s="10">
        <v>193</v>
      </c>
      <c r="F5630" s="27">
        <v>45125</v>
      </c>
      <c r="G5630" t="s" s="10">
        <v>138</v>
      </c>
      <c r="H5630" t="s" s="42">
        <v>30</v>
      </c>
      <c r="I5630" t="s" s="42">
        <v>30</v>
      </c>
      <c r="J5630" t="s" s="10">
        <v>28320</v>
      </c>
      <c r="K5630" t="s" s="10">
        <v>28321</v>
      </c>
      <c r="L5630" s="16">
        <f>HYPERLINK("http://www.loanchamp.ph", "www.loanchamp.ph")</f>
      </c>
      <c r="M5630" s="16">
        <f>HYPERLINK("https://my.pitchbook.com?c=531130-15", "View Company Online")</f>
      </c>
    </row>
    <row r="5631">
      <c r="A5631" t="s" s="11">
        <v>28323</v>
      </c>
      <c r="B5631" t="s" s="11">
        <v>28324</v>
      </c>
      <c r="C5631" t="s" s="11">
        <v>164</v>
      </c>
      <c r="D5631" t="s" s="11">
        <v>165</v>
      </c>
      <c r="E5631" t="s" s="11">
        <v>137</v>
      </c>
      <c r="F5631" s="28">
        <v>44572</v>
      </c>
      <c r="G5631" t="s" s="11">
        <v>146</v>
      </c>
      <c r="H5631" t="s" s="43">
        <v>30</v>
      </c>
      <c r="I5631" t="s" s="43">
        <v>30</v>
      </c>
      <c r="J5631" t="s" s="11">
        <v>28325</v>
      </c>
      <c r="K5631" t="s" s="11">
        <v>1825</v>
      </c>
      <c r="L5631" s="17">
        <f>HYPERLINK("http://www.loancloud.cn", "www.loancloud.cn")</f>
      </c>
      <c r="M5631" s="17">
        <f>HYPERLINK("https://my.pitchbook.com?c=459116-92", "View Company Online")</f>
      </c>
    </row>
    <row r="5632">
      <c r="A5632" t="s" s="10">
        <v>28327</v>
      </c>
      <c r="B5632" t="s" s="10">
        <v>28328</v>
      </c>
      <c r="C5632" t="s" s="10">
        <v>114</v>
      </c>
      <c r="D5632" t="s" s="10">
        <v>136</v>
      </c>
      <c r="E5632" t="s" s="10">
        <v>253</v>
      </c>
      <c r="F5632" s="27">
        <v>45323</v>
      </c>
      <c r="G5632" t="s" s="10">
        <v>40</v>
      </c>
      <c r="H5632" t="s" s="42">
        <v>30</v>
      </c>
      <c r="I5632" t="s" s="42">
        <v>30</v>
      </c>
      <c r="J5632" t="s" s="10">
        <v>28329</v>
      </c>
      <c r="K5632" t="s" s="10">
        <v>28330</v>
      </c>
      <c r="L5632" s="16">
        <f>HYPERLINK("http://www.myloansense.com", "www.myloansense.com")</f>
      </c>
      <c r="M5632" s="16">
        <f>HYPERLINK("https://my.pitchbook.com?c=469973-44", "View Company Online")</f>
      </c>
    </row>
    <row r="5633">
      <c r="A5633" t="s" s="11">
        <v>28332</v>
      </c>
      <c r="B5633" t="s" s="11">
        <v>28333</v>
      </c>
      <c r="C5633" t="s" s="11">
        <v>164</v>
      </c>
      <c r="D5633" t="s" s="11">
        <v>165</v>
      </c>
      <c r="E5633" t="s" s="11">
        <v>185</v>
      </c>
      <c r="F5633" s="28">
        <v>45583</v>
      </c>
      <c r="G5633" t="s" s="11">
        <v>40</v>
      </c>
      <c r="H5633" t="s" s="43">
        <v>30</v>
      </c>
      <c r="I5633" t="s" s="43">
        <v>30</v>
      </c>
      <c r="J5633" t="s" s="11">
        <v>28334</v>
      </c>
      <c r="K5633" t="s" s="11">
        <v>28335</v>
      </c>
      <c r="L5633" s="17">
        <f>HYPERLINK("http://www.loanwell.com", "www.loanwell.com")</f>
      </c>
      <c r="M5633" s="17">
        <f>HYPERLINK("https://my.pitchbook.com?c=226632-16", "View Company Online")</f>
      </c>
    </row>
    <row r="5634">
      <c r="A5634" t="s" s="10">
        <v>28337</v>
      </c>
      <c r="B5634" t="s" s="10">
        <v>28338</v>
      </c>
      <c r="C5634" t="s" s="10">
        <v>114</v>
      </c>
      <c r="D5634" t="s" s="10">
        <v>136</v>
      </c>
      <c r="E5634" t="s" s="10">
        <v>137</v>
      </c>
      <c r="F5634" s="27">
        <v>43794</v>
      </c>
      <c r="G5634" t="s" s="10">
        <v>146</v>
      </c>
      <c r="H5634" s="42">
        <v>3</v>
      </c>
      <c r="I5634" t="s" s="42">
        <v>30</v>
      </c>
      <c r="J5634" t="s" s="10">
        <v>28339</v>
      </c>
      <c r="K5634" t="s" s="10">
        <v>28340</v>
      </c>
      <c r="L5634" s="16">
        <f>HYPERLINK("http://www.loanzen.in", "www.loanzen.in")</f>
      </c>
      <c r="M5634" s="16">
        <f>HYPERLINK("https://my.pitchbook.com?c=154367-29", "View Company Online")</f>
      </c>
    </row>
    <row r="5635">
      <c r="A5635" t="s" s="11">
        <v>28342</v>
      </c>
      <c r="B5635" t="s" s="11">
        <v>28343</v>
      </c>
      <c r="C5635" t="s" s="11">
        <v>114</v>
      </c>
      <c r="D5635" t="s" s="11">
        <v>136</v>
      </c>
      <c r="E5635" t="s" s="11">
        <v>634</v>
      </c>
      <c r="F5635" s="28">
        <v>44624</v>
      </c>
      <c r="G5635" t="s" s="11">
        <v>40</v>
      </c>
      <c r="H5635" s="43">
        <v>1.6</v>
      </c>
      <c r="I5635" t="s" s="43">
        <v>30</v>
      </c>
      <c r="J5635" t="s" s="11">
        <v>28344</v>
      </c>
      <c r="K5635" t="s" s="11">
        <v>28345</v>
      </c>
      <c r="L5635" s="17">
        <f>HYPERLINK("http://www.localvest.com", "www.localvest.com")</f>
      </c>
      <c r="M5635" s="17">
        <f>HYPERLINK("https://my.pitchbook.com?c=471100-33", "View Company Online")</f>
      </c>
    </row>
    <row r="5636">
      <c r="A5636" t="s" s="10">
        <v>28347</v>
      </c>
      <c r="B5636" t="s" s="10">
        <v>28348</v>
      </c>
      <c r="C5636" t="s" s="10">
        <v>60</v>
      </c>
      <c r="D5636" t="s" s="10">
        <v>192</v>
      </c>
      <c r="E5636" t="s" s="10">
        <v>995</v>
      </c>
      <c r="F5636" s="27">
        <v>45202</v>
      </c>
      <c r="G5636" t="s" s="10">
        <v>4267</v>
      </c>
      <c r="H5636" s="42">
        <v>2.36</v>
      </c>
      <c r="I5636" t="s" s="42">
        <v>30</v>
      </c>
      <c r="J5636" t="s" s="10">
        <v>28349</v>
      </c>
      <c r="K5636" t="s" s="10">
        <v>28350</v>
      </c>
      <c r="L5636" s="16">
        <f>HYPERLINK("http://www.lockon.finance", "www.lockon.finance")</f>
      </c>
      <c r="M5636" s="16">
        <f>HYPERLINK("https://my.pitchbook.com?c=537422-23", "View Company Online")</f>
      </c>
    </row>
    <row r="5637">
      <c r="A5637" t="s" s="11">
        <v>28352</v>
      </c>
      <c r="B5637" t="s" s="11">
        <v>28353</v>
      </c>
      <c r="C5637" t="s" s="11">
        <v>27</v>
      </c>
      <c r="D5637" t="s" s="11">
        <v>70</v>
      </c>
      <c r="E5637" t="s" s="11">
        <v>373</v>
      </c>
      <c r="F5637" t="s" s="28">
        <v>30</v>
      </c>
      <c r="G5637" t="s" s="11">
        <v>146</v>
      </c>
      <c r="H5637" t="s" s="43">
        <v>30</v>
      </c>
      <c r="I5637" t="s" s="43">
        <v>30</v>
      </c>
      <c r="J5637" t="s" s="11">
        <v>28354</v>
      </c>
      <c r="K5637" t="s" s="11">
        <v>28355</v>
      </c>
      <c r="L5637" s="17">
        <f>HYPERLINK("http://paywithlocus.com", "paywithlocus.com")</f>
      </c>
      <c r="M5637" s="17">
        <f>HYPERLINK("https://my.pitchbook.com?c=1159318-18", "View Company Online")</f>
      </c>
    </row>
    <row r="5638">
      <c r="A5638" t="s" s="10">
        <v>28357</v>
      </c>
      <c r="B5638" t="s" s="10">
        <v>28358</v>
      </c>
      <c r="C5638" t="s" s="10">
        <v>164</v>
      </c>
      <c r="D5638" t="s" s="10">
        <v>206</v>
      </c>
      <c r="E5638" t="s" s="10">
        <v>137</v>
      </c>
      <c r="F5638" s="27">
        <v>44050</v>
      </c>
      <c r="G5638" t="s" s="10">
        <v>391</v>
      </c>
      <c r="H5638" t="s" s="42">
        <v>30</v>
      </c>
      <c r="I5638" t="s" s="42">
        <v>30</v>
      </c>
      <c r="J5638" t="s" s="10">
        <v>28359</v>
      </c>
      <c r="K5638" t="s" s="10">
        <v>30</v>
      </c>
      <c r="L5638" s="16">
        <f>HYPERLINK("http://www.logbank.com.br", "www.logbank.com.br")</f>
      </c>
      <c r="M5638" s="16">
        <f>HYPERLINK("https://my.pitchbook.com?c=437932-36", "View Company Online")</f>
      </c>
    </row>
    <row r="5639">
      <c r="A5639" t="s" s="11">
        <v>28361</v>
      </c>
      <c r="B5639" t="s" s="11">
        <v>28362</v>
      </c>
      <c r="C5639" t="s" s="11">
        <v>114</v>
      </c>
      <c r="D5639" t="s" s="11">
        <v>1386</v>
      </c>
      <c r="E5639" t="s" s="11">
        <v>3997</v>
      </c>
      <c r="F5639" s="28">
        <v>46082</v>
      </c>
      <c r="G5639" t="s" s="11">
        <v>146</v>
      </c>
      <c r="H5639" t="s" s="43">
        <v>30</v>
      </c>
      <c r="I5639" t="s" s="43">
        <v>30</v>
      </c>
      <c r="J5639" t="s" s="11">
        <v>28363</v>
      </c>
      <c r="K5639" t="s" s="11">
        <v>28364</v>
      </c>
      <c r="L5639" s="17">
        <f>HYPERLINK("http://lonavsolutions.com", "lonavsolutions.com")</f>
      </c>
      <c r="M5639" s="17">
        <f>HYPERLINK("https://my.pitchbook.com?c=1365919-48", "View Company Online")</f>
      </c>
    </row>
    <row r="5640">
      <c r="A5640" t="s" s="10">
        <v>28366</v>
      </c>
      <c r="B5640" t="s" s="10">
        <v>28367</v>
      </c>
      <c r="C5640" t="s" s="10">
        <v>60</v>
      </c>
      <c r="D5640" t="s" s="10">
        <v>192</v>
      </c>
      <c r="E5640" t="s" s="10">
        <v>137</v>
      </c>
      <c r="F5640" s="27">
        <v>45471</v>
      </c>
      <c r="G5640" t="s" s="10">
        <v>40</v>
      </c>
      <c r="H5640" s="42">
        <v>100</v>
      </c>
      <c r="I5640" t="s" s="42">
        <v>30</v>
      </c>
      <c r="J5640" t="s" s="10">
        <v>28368</v>
      </c>
      <c r="K5640" t="s" s="10">
        <v>28369</v>
      </c>
      <c r="L5640" s="16">
        <f>HYPERLINK("http://www.longportapp.com", "www.longportapp.com")</f>
      </c>
      <c r="M5640" s="16">
        <f>HYPERLINK("https://my.pitchbook.com?c=442887-22", "View Company Online")</f>
      </c>
    </row>
    <row r="5641">
      <c r="A5641" t="s" s="11">
        <v>28371</v>
      </c>
      <c r="B5641" t="s" s="11">
        <v>28372</v>
      </c>
      <c r="C5641" t="s" s="11">
        <v>27</v>
      </c>
      <c r="D5641" t="s" s="11">
        <v>28</v>
      </c>
      <c r="E5641" t="s" s="11">
        <v>158</v>
      </c>
      <c r="F5641" s="28">
        <v>44032</v>
      </c>
      <c r="G5641" t="s" s="11">
        <v>146</v>
      </c>
      <c r="H5641" s="43">
        <v>1.42</v>
      </c>
      <c r="I5641" t="s" s="43">
        <v>30</v>
      </c>
      <c r="J5641" t="s" s="11">
        <v>28373</v>
      </c>
      <c r="K5641" t="s" s="11">
        <v>28374</v>
      </c>
      <c r="L5641" s="17">
        <f>HYPERLINK("http://www.jlmss.com", "www.jlmss.com")</f>
      </c>
      <c r="M5641" s="17">
        <f>HYPERLINK("https://my.pitchbook.com?c=437264-11", "View Company Online")</f>
      </c>
    </row>
    <row r="5642">
      <c r="A5642" t="s" s="10">
        <v>28376</v>
      </c>
      <c r="B5642" t="s" s="10">
        <v>28377</v>
      </c>
      <c r="C5642" t="s" s="10">
        <v>27</v>
      </c>
      <c r="D5642" t="s" s="10">
        <v>70</v>
      </c>
      <c r="E5642" t="s" s="10">
        <v>859</v>
      </c>
      <c r="F5642" s="27">
        <v>45957</v>
      </c>
      <c r="G5642" t="s" s="10">
        <v>4267</v>
      </c>
      <c r="H5642" s="42">
        <v>2.14</v>
      </c>
      <c r="I5642" t="s" s="42">
        <v>30</v>
      </c>
      <c r="J5642" t="s" s="10">
        <v>28378</v>
      </c>
      <c r="K5642" t="s" s="10">
        <v>28379</v>
      </c>
      <c r="L5642" s="16">
        <f>HYPERLINK("http://www.loon.finance", "www.loon.finance")</f>
      </c>
      <c r="M5642" s="16">
        <f>HYPERLINK("https://my.pitchbook.com?c=1156365-19", "View Company Online")</f>
      </c>
    </row>
    <row r="5643">
      <c r="A5643" t="s" s="11">
        <v>28381</v>
      </c>
      <c r="B5643" t="s" s="11">
        <v>28382</v>
      </c>
      <c r="C5643" t="s" s="11">
        <v>144</v>
      </c>
      <c r="D5643" t="s" s="11">
        <v>297</v>
      </c>
      <c r="E5643" t="s" s="11">
        <v>253</v>
      </c>
      <c r="F5643" t="s" s="28">
        <v>30</v>
      </c>
      <c r="G5643" t="s" s="11">
        <v>48</v>
      </c>
      <c r="H5643" t="s" s="43">
        <v>30</v>
      </c>
      <c r="I5643" t="s" s="43">
        <v>30</v>
      </c>
      <c r="J5643" t="s" s="11">
        <v>28383</v>
      </c>
      <c r="K5643" t="s" s="11">
        <v>28384</v>
      </c>
      <c r="L5643" s="17">
        <f>HYPERLINK("http://www.loopay.com", "www.loopay.com")</f>
      </c>
      <c r="M5643" s="17">
        <f>HYPERLINK("https://my.pitchbook.com?c=499927-24", "View Company Online")</f>
      </c>
    </row>
    <row r="5644">
      <c r="A5644" t="s" s="10">
        <v>28386</v>
      </c>
      <c r="B5644" t="s" s="10">
        <v>28387</v>
      </c>
      <c r="C5644" t="s" s="10">
        <v>27</v>
      </c>
      <c r="D5644" t="s" s="10">
        <v>70</v>
      </c>
      <c r="E5644" t="s" s="10">
        <v>1859</v>
      </c>
      <c r="F5644" s="27">
        <v>45084</v>
      </c>
      <c r="G5644" t="s" s="10">
        <v>4267</v>
      </c>
      <c r="H5644" s="42">
        <v>2.16</v>
      </c>
      <c r="I5644" t="s" s="42">
        <v>30</v>
      </c>
      <c r="J5644" t="s" s="10">
        <v>28388</v>
      </c>
      <c r="K5644" t="s" s="10">
        <v>28389</v>
      </c>
      <c r="L5644" s="16">
        <f>HYPERLINK("http://www.loopingone.com", "www.loopingone.com")</f>
      </c>
      <c r="M5644" s="16">
        <f>HYPERLINK("https://my.pitchbook.com?c=498094-30", "View Company Online")</f>
      </c>
    </row>
    <row r="5645">
      <c r="A5645" t="s" s="11">
        <v>28391</v>
      </c>
      <c r="B5645" t="s" s="11">
        <v>28392</v>
      </c>
      <c r="C5645" t="s" s="11">
        <v>27</v>
      </c>
      <c r="D5645" t="s" s="11">
        <v>28</v>
      </c>
      <c r="E5645" t="s" s="11">
        <v>253</v>
      </c>
      <c r="F5645" s="28">
        <v>45457</v>
      </c>
      <c r="G5645" t="s" s="11">
        <v>146</v>
      </c>
      <c r="H5645" t="s" s="43">
        <v>30</v>
      </c>
      <c r="I5645" t="s" s="43">
        <v>30</v>
      </c>
      <c r="J5645" t="s" s="11">
        <v>28393</v>
      </c>
      <c r="K5645" t="s" s="11">
        <v>28394</v>
      </c>
      <c r="L5645" s="17">
        <f>HYPERLINK("http://www.lopay.com", "www.lopay.com")</f>
      </c>
      <c r="M5645" s="17">
        <f>HYPERLINK("https://my.pitchbook.com?c=518961-97", "View Company Online")</f>
      </c>
    </row>
    <row r="5646">
      <c r="A5646" t="s" s="10">
        <v>28396</v>
      </c>
      <c r="B5646" t="s" s="10">
        <v>28397</v>
      </c>
      <c r="C5646" t="s" s="10">
        <v>46</v>
      </c>
      <c r="D5646" t="s" s="10">
        <v>47</v>
      </c>
      <c r="E5646" t="s" s="10">
        <v>373</v>
      </c>
      <c r="F5646" s="27">
        <v>45901</v>
      </c>
      <c r="G5646" t="s" s="10">
        <v>4267</v>
      </c>
      <c r="H5646" s="42">
        <v>1</v>
      </c>
      <c r="I5646" t="s" s="42">
        <v>30</v>
      </c>
      <c r="J5646" t="s" s="10">
        <v>28398</v>
      </c>
      <c r="K5646" t="s" s="10">
        <v>28399</v>
      </c>
      <c r="L5646" s="16">
        <f>HYPERLINK("http://lotolatam.com", "lotolatam.com")</f>
      </c>
      <c r="M5646" s="16">
        <f>HYPERLINK("https://my.pitchbook.com?c=742455-82", "View Company Online")</f>
      </c>
    </row>
    <row r="5647">
      <c r="A5647" t="s" s="11">
        <v>28401</v>
      </c>
      <c r="B5647" t="s" s="11">
        <v>28402</v>
      </c>
      <c r="C5647" t="s" s="11">
        <v>60</v>
      </c>
      <c r="D5647" t="s" s="11">
        <v>246</v>
      </c>
      <c r="E5647" t="s" s="11">
        <v>158</v>
      </c>
      <c r="F5647" s="28">
        <v>44641</v>
      </c>
      <c r="G5647" t="s" s="11">
        <v>146</v>
      </c>
      <c r="H5647" s="43">
        <v>2.43</v>
      </c>
      <c r="I5647" t="s" s="43">
        <v>30</v>
      </c>
      <c r="J5647" t="s" s="11">
        <v>28403</v>
      </c>
      <c r="K5647" t="s" s="11">
        <v>28404</v>
      </c>
      <c r="L5647" s="17">
        <f>HYPERLINK("http://www.withlotus.com", "www.withlotus.com")</f>
      </c>
      <c r="M5647" s="17">
        <f>HYPERLINK("https://my.pitchbook.com?c=469596-70", "View Company Online")</f>
      </c>
    </row>
    <row r="5648">
      <c r="A5648" t="s" s="10">
        <v>28406</v>
      </c>
      <c r="B5648" t="s" s="10">
        <v>28407</v>
      </c>
      <c r="C5648" t="s" s="10">
        <v>114</v>
      </c>
      <c r="D5648" t="s" s="10">
        <v>115</v>
      </c>
      <c r="E5648" t="s" s="10">
        <v>30</v>
      </c>
      <c r="F5648" s="27">
        <v>45798</v>
      </c>
      <c r="G5648" t="s" s="10">
        <v>40</v>
      </c>
      <c r="H5648" s="42">
        <v>6.21</v>
      </c>
      <c r="I5648" t="s" s="42">
        <v>30</v>
      </c>
      <c r="J5648" t="s" s="10">
        <v>28408</v>
      </c>
      <c r="K5648" t="s" s="10">
        <v>30</v>
      </c>
      <c r="L5648" s="16">
        <f>HYPERLINK("http://www.lowtidelending.com", "www.lowtidelending.com")</f>
      </c>
      <c r="M5648" s="16">
        <f>HYPERLINK("https://my.pitchbook.com?c=470031-04", "View Company Online")</f>
      </c>
    </row>
    <row r="5649">
      <c r="A5649" t="s" s="11">
        <v>28410</v>
      </c>
      <c r="B5649" t="s" s="11">
        <v>28411</v>
      </c>
      <c r="C5649" t="s" s="11">
        <v>114</v>
      </c>
      <c r="D5649" t="s" s="11">
        <v>115</v>
      </c>
      <c r="E5649" t="s" s="11">
        <v>137</v>
      </c>
      <c r="F5649" s="28">
        <v>44923</v>
      </c>
      <c r="G5649" t="s" s="11">
        <v>2174</v>
      </c>
      <c r="H5649" s="43">
        <v>2.24</v>
      </c>
      <c r="I5649" t="s" s="43">
        <v>30</v>
      </c>
      <c r="J5649" t="s" s="11">
        <v>28412</v>
      </c>
      <c r="K5649" t="s" s="11">
        <v>28413</v>
      </c>
      <c r="L5649" s="17">
        <f>HYPERLINK("http://www.lower.com", "www.lower.com")</f>
      </c>
      <c r="M5649" s="17">
        <f>HYPERLINK("https://my.pitchbook.com?c=243311-32", "View Company Online")</f>
      </c>
    </row>
    <row r="5650">
      <c r="A5650" t="s" s="10">
        <v>28415</v>
      </c>
      <c r="B5650" t="s" s="10">
        <v>28416</v>
      </c>
      <c r="C5650" t="s" s="10">
        <v>27</v>
      </c>
      <c r="D5650" t="s" s="10">
        <v>70</v>
      </c>
      <c r="E5650" t="s" s="10">
        <v>373</v>
      </c>
      <c r="F5650" s="27">
        <v>45747</v>
      </c>
      <c r="G5650" t="s" s="10">
        <v>40</v>
      </c>
      <c r="H5650" t="s" s="42">
        <v>30</v>
      </c>
      <c r="I5650" t="s" s="42">
        <v>30</v>
      </c>
      <c r="J5650" t="s" s="10">
        <v>28417</v>
      </c>
      <c r="K5650" t="s" s="10">
        <v>28418</v>
      </c>
      <c r="L5650" s="16">
        <f>HYPERLINK("http://www.loyyo.com", "www.loyyo.com")</f>
      </c>
      <c r="M5650" s="16">
        <f>HYPERLINK("https://my.pitchbook.com?c=551185-84", "View Company Online")</f>
      </c>
    </row>
    <row r="5651">
      <c r="A5651" t="s" s="11">
        <v>28420</v>
      </c>
      <c r="B5651" t="s" s="11">
        <v>28421</v>
      </c>
      <c r="C5651" t="s" s="11">
        <v>114</v>
      </c>
      <c r="D5651" t="s" s="11">
        <v>852</v>
      </c>
      <c r="E5651" t="s" s="11">
        <v>137</v>
      </c>
      <c r="F5651" s="28">
        <v>43932</v>
      </c>
      <c r="G5651" t="s" s="11">
        <v>5311</v>
      </c>
      <c r="H5651" t="s" s="43">
        <v>30</v>
      </c>
      <c r="I5651" t="s" s="43">
        <v>30</v>
      </c>
      <c r="J5651" t="s" s="11">
        <v>28422</v>
      </c>
      <c r="K5651" t="s" s="11">
        <v>28423</v>
      </c>
      <c r="L5651" s="17">
        <f>HYPERLINK("http://www.lqdfinance.com", "www.lqdfinance.com")</f>
      </c>
      <c r="M5651" s="17">
        <f>HYPERLINK("https://my.pitchbook.com?c=133112-26", "View Company Online")</f>
      </c>
    </row>
    <row r="5652">
      <c r="A5652" t="s" s="10">
        <v>28425</v>
      </c>
      <c r="B5652" t="s" s="10">
        <v>28426</v>
      </c>
      <c r="C5652" t="s" s="10">
        <v>114</v>
      </c>
      <c r="D5652" t="s" s="10">
        <v>115</v>
      </c>
      <c r="E5652" t="s" s="10">
        <v>1032</v>
      </c>
      <c r="F5652" s="27">
        <v>45972</v>
      </c>
      <c r="G5652" t="s" s="10">
        <v>40</v>
      </c>
      <c r="H5652" s="42">
        <v>12</v>
      </c>
      <c r="I5652" t="s" s="42">
        <v>30</v>
      </c>
      <c r="J5652" t="s" s="10">
        <v>28427</v>
      </c>
      <c r="K5652" t="s" s="10">
        <v>28428</v>
      </c>
      <c r="L5652" s="16">
        <f>HYPERLINK("http://www.loquenecesito.co", "www.loquenecesito.co")</f>
      </c>
      <c r="M5652" s="16">
        <f>HYPERLINK("https://my.pitchbook.com?c=232097-14", "View Company Online")</f>
      </c>
    </row>
    <row r="5653">
      <c r="A5653" t="s" s="11">
        <v>28430</v>
      </c>
      <c r="B5653" t="s" s="11">
        <v>28431</v>
      </c>
      <c r="C5653" t="s" s="11">
        <v>60</v>
      </c>
      <c r="D5653" t="s" s="11">
        <v>727</v>
      </c>
      <c r="E5653" t="s" s="11">
        <v>25757</v>
      </c>
      <c r="F5653" s="28">
        <v>45252</v>
      </c>
      <c r="G5653" t="s" s="11">
        <v>40</v>
      </c>
      <c r="H5653" s="43">
        <v>11.33</v>
      </c>
      <c r="I5653" t="s" s="43">
        <v>30</v>
      </c>
      <c r="J5653" t="s" s="11">
        <v>28432</v>
      </c>
      <c r="K5653" t="s" s="11">
        <v>28433</v>
      </c>
      <c r="L5653" s="17">
        <f>HYPERLINK("http://www.sou.place", "www.sou.place")</f>
      </c>
      <c r="M5653" s="17">
        <f>HYPERLINK("https://my.pitchbook.com?c=493553-80", "View Company Online")</f>
      </c>
    </row>
    <row r="5654">
      <c r="A5654" t="s" s="10">
        <v>28435</v>
      </c>
      <c r="B5654" t="s" s="10">
        <v>28436</v>
      </c>
      <c r="C5654" t="s" s="10">
        <v>222</v>
      </c>
      <c r="D5654" t="s" s="10">
        <v>223</v>
      </c>
      <c r="E5654" t="s" s="10">
        <v>3661</v>
      </c>
      <c r="F5654" s="27">
        <v>45292</v>
      </c>
      <c r="G5654" t="s" s="10">
        <v>146</v>
      </c>
      <c r="H5654" t="s" s="42">
        <v>30</v>
      </c>
      <c r="I5654" t="s" s="42">
        <v>30</v>
      </c>
      <c r="J5654" t="s" s="10">
        <v>28437</v>
      </c>
      <c r="K5654" t="s" s="10">
        <v>28438</v>
      </c>
      <c r="L5654" s="16">
        <f>HYPERLINK("http://www.lucite.ai", "www.lucite.ai")</f>
      </c>
      <c r="M5654" s="16">
        <f>HYPERLINK("https://my.pitchbook.com?c=552642-22", "View Company Online")</f>
      </c>
    </row>
    <row r="5655">
      <c r="A5655" t="s" s="11">
        <v>28440</v>
      </c>
      <c r="B5655" t="s" s="11">
        <v>28441</v>
      </c>
      <c r="C5655" t="s" s="11">
        <v>37</v>
      </c>
      <c r="D5655" t="s" s="11">
        <v>304</v>
      </c>
      <c r="E5655" t="s" s="11">
        <v>270</v>
      </c>
      <c r="F5655" s="28">
        <v>46119</v>
      </c>
      <c r="G5655" t="s" s="11">
        <v>40</v>
      </c>
      <c r="H5655" s="43">
        <v>23</v>
      </c>
      <c r="I5655" t="s" s="43">
        <v>30</v>
      </c>
      <c r="J5655" t="s" s="11">
        <v>28442</v>
      </c>
      <c r="K5655" t="s" s="11">
        <v>28443</v>
      </c>
      <c r="L5655" s="17">
        <f>HYPERLINK("http://thelucky.app", "thelucky.app")</f>
      </c>
      <c r="M5655" s="17">
        <f>HYPERLINK("https://my.pitchbook.com?c=458670-97", "View Company Online")</f>
      </c>
    </row>
    <row r="5656">
      <c r="A5656" t="s" s="10">
        <v>28445</v>
      </c>
      <c r="B5656" t="s" s="10">
        <v>28446</v>
      </c>
      <c r="C5656" t="s" s="10">
        <v>144</v>
      </c>
      <c r="D5656" t="s" s="10">
        <v>38</v>
      </c>
      <c r="E5656" t="s" s="10">
        <v>759</v>
      </c>
      <c r="F5656" s="27">
        <v>46056</v>
      </c>
      <c r="G5656" t="s" s="10">
        <v>31</v>
      </c>
      <c r="H5656" s="42">
        <v>20.9</v>
      </c>
      <c r="I5656" t="s" s="42">
        <v>30</v>
      </c>
      <c r="J5656" t="s" s="10">
        <v>28447</v>
      </c>
      <c r="K5656" t="s" s="10">
        <v>28448</v>
      </c>
      <c r="L5656" s="16">
        <f>HYPERLINK("http://www.lula.co.za", "www.lula.co.za")</f>
      </c>
      <c r="M5656" s="16">
        <f>HYPERLINK("https://my.pitchbook.com?c=117744-58", "View Company Online")</f>
      </c>
    </row>
    <row r="5657">
      <c r="A5657" t="s" s="11">
        <v>28450</v>
      </c>
      <c r="B5657" t="s" s="11">
        <v>28451</v>
      </c>
      <c r="C5657" t="s" s="11">
        <v>222</v>
      </c>
      <c r="D5657" t="s" s="11">
        <v>223</v>
      </c>
      <c r="E5657" t="s" s="11">
        <v>2824</v>
      </c>
      <c r="F5657" s="28">
        <v>45763</v>
      </c>
      <c r="G5657" t="s" s="11">
        <v>40</v>
      </c>
      <c r="H5657" s="43">
        <v>63</v>
      </c>
      <c r="I5657" t="s" s="43">
        <v>30</v>
      </c>
      <c r="J5657" t="s" s="11">
        <v>28452</v>
      </c>
      <c r="K5657" t="s" s="11">
        <v>28453</v>
      </c>
      <c r="L5657" s="17">
        <f>HYPERLINK("http://www.lumafintech.com", "www.lumafintech.com")</f>
      </c>
      <c r="M5657" s="17">
        <f>HYPERLINK("https://my.pitchbook.com?c=232381-54", "View Company Online")</f>
      </c>
    </row>
    <row r="5658">
      <c r="A5658" t="s" s="10">
        <v>28455</v>
      </c>
      <c r="B5658" t="s" s="10">
        <v>28456</v>
      </c>
      <c r="C5658" t="s" s="10">
        <v>114</v>
      </c>
      <c r="D5658" t="s" s="10">
        <v>870</v>
      </c>
      <c r="E5658" t="s" s="10">
        <v>137</v>
      </c>
      <c r="F5658" t="s" s="27">
        <v>30</v>
      </c>
      <c r="G5658" t="s" s="10">
        <v>31</v>
      </c>
      <c r="H5658" t="s" s="42">
        <v>30</v>
      </c>
      <c r="I5658" t="s" s="42">
        <v>30</v>
      </c>
      <c r="J5658" t="s" s="10">
        <v>28457</v>
      </c>
      <c r="K5658" t="s" s="10">
        <v>28458</v>
      </c>
      <c r="L5658" s="16">
        <f>HYPERLINK("http://www.lumi.com.au", "www.lumi.com.au")</f>
      </c>
      <c r="M5658" s="16">
        <f>HYPERLINK("https://my.pitchbook.com?c=437274-82", "View Company Online")</f>
      </c>
    </row>
    <row r="5659">
      <c r="A5659" t="s" s="11">
        <v>28460</v>
      </c>
      <c r="B5659" t="s" s="11">
        <v>28461</v>
      </c>
      <c r="C5659" t="s" s="11">
        <v>172</v>
      </c>
      <c r="D5659" t="s" s="11">
        <v>1454</v>
      </c>
      <c r="E5659" t="s" s="11">
        <v>373</v>
      </c>
      <c r="F5659" s="28">
        <v>45706</v>
      </c>
      <c r="G5659" t="s" s="11">
        <v>40</v>
      </c>
      <c r="H5659" s="43">
        <v>6.48</v>
      </c>
      <c r="I5659" t="s" s="43">
        <v>30</v>
      </c>
      <c r="J5659" t="s" s="11">
        <v>28462</v>
      </c>
      <c r="K5659" t="s" s="11">
        <v>28463</v>
      </c>
      <c r="L5659" s="17">
        <f>HYPERLINK("http://lumiosolutions.io", "lumiosolutions.io")</f>
      </c>
      <c r="M5659" s="17">
        <f>HYPERLINK("https://my.pitchbook.com?c=145184-32", "View Company Online")</f>
      </c>
    </row>
    <row r="5660">
      <c r="A5660" t="s" s="10">
        <v>28465</v>
      </c>
      <c r="B5660" t="s" s="10">
        <v>28466</v>
      </c>
      <c r="C5660" t="s" s="10">
        <v>46</v>
      </c>
      <c r="D5660" t="s" s="10">
        <v>397</v>
      </c>
      <c r="E5660" t="s" s="10">
        <v>193</v>
      </c>
      <c r="F5660" s="27">
        <v>45211</v>
      </c>
      <c r="G5660" t="s" s="10">
        <v>40</v>
      </c>
      <c r="H5660" t="s" s="42">
        <v>30</v>
      </c>
      <c r="I5660" t="s" s="42">
        <v>30</v>
      </c>
      <c r="J5660" t="s" s="10">
        <v>28467</v>
      </c>
      <c r="K5660" t="s" s="10">
        <v>28468</v>
      </c>
      <c r="L5660" s="16">
        <f>HYPERLINK("http://lunapos.id", "lunapos.id")</f>
      </c>
      <c r="M5660" s="16">
        <f>HYPERLINK("https://my.pitchbook.com?c=435361-78", "View Company Online")</f>
      </c>
    </row>
    <row r="5661">
      <c r="A5661" t="s" s="11">
        <v>28470</v>
      </c>
      <c r="B5661" t="s" s="11">
        <v>28471</v>
      </c>
      <c r="C5661" t="s" s="11">
        <v>164</v>
      </c>
      <c r="D5661" t="s" s="11">
        <v>165</v>
      </c>
      <c r="E5661" t="s" s="11">
        <v>373</v>
      </c>
      <c r="F5661" s="28">
        <v>45534</v>
      </c>
      <c r="G5661" t="s" s="11">
        <v>607</v>
      </c>
      <c r="H5661" t="s" s="43">
        <v>30</v>
      </c>
      <c r="I5661" t="s" s="43">
        <v>30</v>
      </c>
      <c r="J5661" t="s" s="11">
        <v>28472</v>
      </c>
      <c r="K5661" t="s" s="11">
        <v>28473</v>
      </c>
      <c r="L5661" s="17">
        <f>HYPERLINK("http://www.lunash.id", "www.lunash.id")</f>
      </c>
      <c r="M5661" s="17">
        <f>HYPERLINK("https://my.pitchbook.com?c=589734-01", "View Company Online")</f>
      </c>
    </row>
    <row r="5662">
      <c r="A5662" t="s" s="10">
        <v>28475</v>
      </c>
      <c r="B5662" t="s" s="10">
        <v>28476</v>
      </c>
      <c r="C5662" t="s" s="10">
        <v>164</v>
      </c>
      <c r="D5662" t="s" s="10">
        <v>206</v>
      </c>
      <c r="E5662" t="s" s="10">
        <v>29</v>
      </c>
      <c r="F5662" t="s" s="27">
        <v>30</v>
      </c>
      <c r="G5662" t="s" s="10">
        <v>48</v>
      </c>
      <c r="H5662" t="s" s="42">
        <v>30</v>
      </c>
      <c r="I5662" t="s" s="42">
        <v>30</v>
      </c>
      <c r="J5662" t="s" s="10">
        <v>28477</v>
      </c>
      <c r="K5662" t="s" s="10">
        <v>28478</v>
      </c>
      <c r="L5662" s="16">
        <f>HYPERLINK("http://www.lunedata.io", "www.lunedata.io")</f>
      </c>
      <c r="M5662" s="16">
        <f>HYPERLINK("https://my.pitchbook.com?c=442184-14", "View Company Online")</f>
      </c>
    </row>
    <row r="5663">
      <c r="A5663" t="s" s="11">
        <v>28480</v>
      </c>
      <c r="B5663" t="s" s="11">
        <v>28481</v>
      </c>
      <c r="C5663" t="s" s="11">
        <v>46</v>
      </c>
      <c r="D5663" t="s" s="11">
        <v>47</v>
      </c>
      <c r="E5663" t="s" s="11">
        <v>108</v>
      </c>
      <c r="F5663" s="28">
        <v>45930</v>
      </c>
      <c r="G5663" t="s" s="11">
        <v>4267</v>
      </c>
      <c r="H5663" s="43">
        <v>5</v>
      </c>
      <c r="I5663" t="s" s="43">
        <v>30</v>
      </c>
      <c r="J5663" t="s" s="11">
        <v>28482</v>
      </c>
      <c r="K5663" t="s" s="11">
        <v>28483</v>
      </c>
      <c r="L5663" s="17">
        <f>HYPERLINK("http://www.lunos.ai", "www.lunos.ai")</f>
      </c>
      <c r="M5663" s="17">
        <f>HYPERLINK("https://my.pitchbook.com?c=1083651-67", "View Company Online")</f>
      </c>
    </row>
    <row r="5664">
      <c r="A5664" t="s" s="10">
        <v>28485</v>
      </c>
      <c r="B5664" t="s" s="10">
        <v>28486</v>
      </c>
      <c r="C5664" t="s" s="10">
        <v>144</v>
      </c>
      <c r="D5664" t="s" s="10">
        <v>297</v>
      </c>
      <c r="E5664" t="s" s="10">
        <v>253</v>
      </c>
      <c r="F5664" s="27">
        <v>45929</v>
      </c>
      <c r="G5664" t="s" s="10">
        <v>40</v>
      </c>
      <c r="H5664" s="42">
        <v>14.58</v>
      </c>
      <c r="I5664" t="s" s="42">
        <v>30</v>
      </c>
      <c r="J5664" t="s" s="10">
        <v>28487</v>
      </c>
      <c r="K5664" t="s" s="10">
        <v>28488</v>
      </c>
      <c r="L5664" s="16">
        <f>HYPERLINK("http://www.lunrcapital.com", "www.lunrcapital.com")</f>
      </c>
      <c r="M5664" s="16">
        <f>HYPERLINK("https://my.pitchbook.com?c=518233-33", "View Company Online")</f>
      </c>
    </row>
    <row r="5665">
      <c r="A5665" t="s" s="11">
        <v>28490</v>
      </c>
      <c r="B5665" t="s" s="11">
        <v>28491</v>
      </c>
      <c r="C5665" t="s" s="11">
        <v>27</v>
      </c>
      <c r="D5665" t="s" s="11">
        <v>122</v>
      </c>
      <c r="E5665" t="s" s="11">
        <v>137</v>
      </c>
      <c r="F5665" s="28">
        <v>45597</v>
      </c>
      <c r="G5665" t="s" s="11">
        <v>146</v>
      </c>
      <c r="H5665" t="s" s="43">
        <v>30</v>
      </c>
      <c r="I5665" t="s" s="43">
        <v>30</v>
      </c>
      <c r="J5665" t="s" s="11">
        <v>28492</v>
      </c>
      <c r="K5665" t="s" s="11">
        <v>28493</v>
      </c>
      <c r="L5665" s="17">
        <f>HYPERLINK("http://www.luopay.co", "www.luopay.co")</f>
      </c>
      <c r="M5665" s="17">
        <f>HYPERLINK("https://my.pitchbook.com?c=711462-07", "View Company Online")</f>
      </c>
    </row>
    <row r="5666">
      <c r="A5666" t="s" s="10">
        <v>28495</v>
      </c>
      <c r="B5666" t="s" s="10">
        <v>28496</v>
      </c>
      <c r="C5666" t="s" s="10">
        <v>222</v>
      </c>
      <c r="D5666" t="s" s="10">
        <v>235</v>
      </c>
      <c r="E5666" t="s" s="10">
        <v>253</v>
      </c>
      <c r="F5666" s="27">
        <v>42857</v>
      </c>
      <c r="G5666" t="s" s="10">
        <v>146</v>
      </c>
      <c r="H5666" s="42">
        <v>7.26</v>
      </c>
      <c r="I5666" t="s" s="42">
        <v>30</v>
      </c>
      <c r="J5666" t="s" s="10">
        <v>28497</v>
      </c>
      <c r="K5666" t="s" s="10">
        <v>28498</v>
      </c>
      <c r="L5666" s="16">
        <f>HYPERLINK("http://www.ldtrader.com", "www.ldtrader.com")</f>
      </c>
      <c r="M5666" s="16">
        <f>HYPERLINK("https://my.pitchbook.com?c=182873-35", "View Company Online")</f>
      </c>
    </row>
    <row r="5667">
      <c r="A5667" t="s" s="11">
        <v>28500</v>
      </c>
      <c r="B5667" t="s" s="11">
        <v>28501</v>
      </c>
      <c r="C5667" t="s" s="11">
        <v>60</v>
      </c>
      <c r="D5667" t="s" s="11">
        <v>192</v>
      </c>
      <c r="E5667" t="s" s="11">
        <v>137</v>
      </c>
      <c r="F5667" s="28">
        <v>43525</v>
      </c>
      <c r="G5667" t="s" s="11">
        <v>146</v>
      </c>
      <c r="H5667" s="43">
        <v>44.6</v>
      </c>
      <c r="I5667" t="s" s="43">
        <v>30</v>
      </c>
      <c r="J5667" t="s" s="11">
        <v>28502</v>
      </c>
      <c r="K5667" t="s" s="11">
        <v>28503</v>
      </c>
      <c r="L5667" s="17">
        <f>HYPERLINK("http://www.lupuamc.com", "www.lupuamc.com")</f>
      </c>
      <c r="M5667" s="17">
        <f>HYPERLINK("https://my.pitchbook.com?c=233359-75", "View Company Online")</f>
      </c>
    </row>
    <row r="5668">
      <c r="A5668" t="s" s="10">
        <v>28505</v>
      </c>
      <c r="B5668" t="s" s="10">
        <v>28506</v>
      </c>
      <c r="C5668" t="s" s="10">
        <v>60</v>
      </c>
      <c r="D5668" t="s" s="10">
        <v>192</v>
      </c>
      <c r="E5668" t="s" s="10">
        <v>137</v>
      </c>
      <c r="F5668" s="27">
        <v>45468</v>
      </c>
      <c r="G5668" t="s" s="10">
        <v>4267</v>
      </c>
      <c r="H5668" s="42">
        <v>1.2</v>
      </c>
      <c r="I5668" t="s" s="42">
        <v>30</v>
      </c>
      <c r="J5668" t="s" s="10">
        <v>28507</v>
      </c>
      <c r="K5668" t="s" s="10">
        <v>28508</v>
      </c>
      <c r="L5668" s="16">
        <f>HYPERLINK("http://www.lxme.in", "www.lxme.in")</f>
      </c>
      <c r="M5668" s="16">
        <f>HYPERLINK("https://my.pitchbook.com?c=606990-70", "View Company Online")</f>
      </c>
    </row>
    <row r="5669">
      <c r="A5669" t="s" s="11">
        <v>28510</v>
      </c>
      <c r="B5669" t="s" s="11">
        <v>28511</v>
      </c>
      <c r="C5669" t="s" s="11">
        <v>222</v>
      </c>
      <c r="D5669" t="s" s="11">
        <v>252</v>
      </c>
      <c r="E5669" t="s" s="11">
        <v>137</v>
      </c>
      <c r="F5669" s="28">
        <v>45942</v>
      </c>
      <c r="G5669" t="s" s="11">
        <v>4267</v>
      </c>
      <c r="H5669" t="s" s="43">
        <v>30</v>
      </c>
      <c r="I5669" t="s" s="43">
        <v>30</v>
      </c>
      <c r="J5669" t="s" s="11">
        <v>28512</v>
      </c>
      <c r="K5669" t="s" s="11">
        <v>28513</v>
      </c>
      <c r="L5669" s="17">
        <f>HYPERLINK("http://www.lynkcm.com", "www.lynkcm.com")</f>
      </c>
      <c r="M5669" s="17">
        <f>HYPERLINK("https://my.pitchbook.com?c=494296-12", "View Company Online")</f>
      </c>
    </row>
    <row r="5670">
      <c r="A5670" t="s" s="10">
        <v>28515</v>
      </c>
      <c r="B5670" t="s" s="10">
        <v>28516</v>
      </c>
      <c r="C5670" t="s" s="10">
        <v>172</v>
      </c>
      <c r="D5670" t="s" s="10">
        <v>173</v>
      </c>
      <c r="E5670" t="s" s="10">
        <v>465</v>
      </c>
      <c r="F5670" s="27">
        <v>45246</v>
      </c>
      <c r="G5670" t="s" s="10">
        <v>40</v>
      </c>
      <c r="H5670" s="42">
        <v>18</v>
      </c>
      <c r="I5670" t="s" s="42">
        <v>30</v>
      </c>
      <c r="J5670" t="s" s="10">
        <v>28517</v>
      </c>
      <c r="K5670" t="s" s="10">
        <v>28518</v>
      </c>
      <c r="L5670" s="16">
        <f>HYPERLINK("http://www.lynxtech.com", "www.lynxtech.com")</f>
      </c>
      <c r="M5670" s="16">
        <f>HYPERLINK("https://my.pitchbook.com?c=539756-20", "View Company Online")</f>
      </c>
    </row>
    <row r="5671">
      <c r="A5671" t="s" s="11">
        <v>28520</v>
      </c>
      <c r="B5671" t="s" s="11">
        <v>28521</v>
      </c>
      <c r="C5671" t="s" s="11">
        <v>27</v>
      </c>
      <c r="D5671" t="s" s="11">
        <v>70</v>
      </c>
      <c r="E5671" t="s" s="11">
        <v>859</v>
      </c>
      <c r="F5671" s="28">
        <v>45755</v>
      </c>
      <c r="G5671" t="s" s="11">
        <v>4267</v>
      </c>
      <c r="H5671" s="43">
        <v>1.42</v>
      </c>
      <c r="I5671" t="s" s="43">
        <v>30</v>
      </c>
      <c r="J5671" t="s" s="11">
        <v>28522</v>
      </c>
      <c r="K5671" t="s" s="11">
        <v>28523</v>
      </c>
      <c r="L5671" s="17">
        <f>HYPERLINK("http://www.lyzi.io", "www.lyzi.io")</f>
      </c>
      <c r="M5671" s="17">
        <f>HYPERLINK("https://my.pitchbook.com?c=515615-77", "View Company Online")</f>
      </c>
    </row>
    <row r="5672">
      <c r="A5672" t="s" s="10">
        <v>28525</v>
      </c>
      <c r="B5672" t="s" s="10">
        <v>28526</v>
      </c>
      <c r="C5672" t="s" s="10">
        <v>222</v>
      </c>
      <c r="D5672" t="s" s="10">
        <v>252</v>
      </c>
      <c r="E5672" t="s" s="10">
        <v>859</v>
      </c>
      <c r="F5672" s="27">
        <v>46209</v>
      </c>
      <c r="G5672" t="s" s="10">
        <v>4267</v>
      </c>
      <c r="H5672" s="42">
        <v>5.5</v>
      </c>
      <c r="I5672" t="s" s="42">
        <v>30</v>
      </c>
      <c r="J5672" t="s" s="10">
        <v>28527</v>
      </c>
      <c r="K5672" t="s" s="10">
        <v>28528</v>
      </c>
      <c r="L5672" s="16">
        <f>HYPERLINK("http://www.m1xglobal.com", "www.m1xglobal.com")</f>
      </c>
      <c r="M5672" s="16">
        <f>HYPERLINK("https://my.pitchbook.com?c=1366154-83", "View Company Online")</f>
      </c>
    </row>
    <row r="5673">
      <c r="A5673" t="s" s="11">
        <v>28530</v>
      </c>
      <c r="B5673" t="s" s="11">
        <v>28531</v>
      </c>
      <c r="C5673" t="s" s="11">
        <v>222</v>
      </c>
      <c r="D5673" t="s" s="11">
        <v>252</v>
      </c>
      <c r="E5673" t="s" s="11">
        <v>373</v>
      </c>
      <c r="F5673" s="28">
        <v>45992</v>
      </c>
      <c r="G5673" t="s" s="11">
        <v>4267</v>
      </c>
      <c r="H5673" s="43">
        <v>0.9</v>
      </c>
      <c r="I5673" t="s" s="43">
        <v>30</v>
      </c>
      <c r="J5673" t="s" s="11">
        <v>28532</v>
      </c>
      <c r="K5673" t="s" s="11">
        <v>30</v>
      </c>
      <c r="L5673" s="17">
        <f>HYPERLINK("http://www.m2mcapital.com", "www.m2mcapital.com")</f>
      </c>
      <c r="M5673" s="17">
        <f>HYPERLINK("https://my.pitchbook.com?c=538242-67", "View Company Online")</f>
      </c>
    </row>
    <row r="5674">
      <c r="A5674" t="s" s="10">
        <v>28534</v>
      </c>
      <c r="B5674" t="s" s="10">
        <v>28535</v>
      </c>
      <c r="C5674" t="s" s="10">
        <v>27</v>
      </c>
      <c r="D5674" t="s" s="10">
        <v>70</v>
      </c>
      <c r="E5674" t="s" s="10">
        <v>2788</v>
      </c>
      <c r="F5674" s="27">
        <v>45962</v>
      </c>
      <c r="G5674" t="s" s="10">
        <v>146</v>
      </c>
      <c r="H5674" t="s" s="42">
        <v>30</v>
      </c>
      <c r="I5674" t="s" s="42">
        <v>30</v>
      </c>
      <c r="J5674" t="s" s="10">
        <v>28536</v>
      </c>
      <c r="K5674" t="s" s="10">
        <v>28537</v>
      </c>
      <c r="L5674" s="16">
        <f>HYPERLINK("http://www.m2square.xyz", "www.m2square.xyz")</f>
      </c>
      <c r="M5674" s="16">
        <f>HYPERLINK("https://my.pitchbook.com?c=1161173-98", "View Company Online")</f>
      </c>
    </row>
    <row r="5675">
      <c r="A5675" t="s" s="11">
        <v>28539</v>
      </c>
      <c r="B5675" t="s" s="11">
        <v>28540</v>
      </c>
      <c r="C5675" t="s" s="11">
        <v>222</v>
      </c>
      <c r="D5675" t="s" s="11">
        <v>235</v>
      </c>
      <c r="E5675" t="s" s="11">
        <v>137</v>
      </c>
      <c r="F5675" s="28">
        <v>46224</v>
      </c>
      <c r="G5675" t="s" s="11">
        <v>2051</v>
      </c>
      <c r="H5675" t="s" s="43">
        <v>30</v>
      </c>
      <c r="I5675" t="s" s="43">
        <v>30</v>
      </c>
      <c r="J5675" t="s" s="11">
        <v>28541</v>
      </c>
      <c r="K5675" t="s" s="11">
        <v>30</v>
      </c>
      <c r="L5675" s="17">
        <f>HYPERLINK("http://www.m3lending.com.br", "www.m3lending.com.br")</f>
      </c>
      <c r="M5675" s="17">
        <f>HYPERLINK("https://my.pitchbook.com?c=565634-62", "View Company Online")</f>
      </c>
    </row>
    <row r="5676">
      <c r="A5676" t="s" s="10">
        <v>28543</v>
      </c>
      <c r="B5676" t="s" s="10">
        <v>28544</v>
      </c>
      <c r="C5676" t="s" s="10">
        <v>60</v>
      </c>
      <c r="D5676" t="s" s="10">
        <v>727</v>
      </c>
      <c r="E5676" t="s" s="10">
        <v>137</v>
      </c>
      <c r="F5676" s="27">
        <v>44652</v>
      </c>
      <c r="G5676" t="s" s="10">
        <v>4267</v>
      </c>
      <c r="H5676" s="42">
        <v>1.96</v>
      </c>
      <c r="I5676" t="s" s="42">
        <v>30</v>
      </c>
      <c r="J5676" t="s" s="10">
        <v>28545</v>
      </c>
      <c r="K5676" t="s" s="10">
        <v>28546</v>
      </c>
      <c r="L5676" s="16">
        <f>HYPERLINK("http://www.33fg.com", "www.33fg.com")</f>
      </c>
      <c r="M5676" s="16">
        <f>HYPERLINK("https://my.pitchbook.com?c=462315-34", "View Company Online")</f>
      </c>
    </row>
    <row r="5677">
      <c r="A5677" t="s" s="11">
        <v>28548</v>
      </c>
      <c r="B5677" t="s" s="11">
        <v>28549</v>
      </c>
      <c r="C5677" t="s" s="11">
        <v>60</v>
      </c>
      <c r="D5677" t="s" s="11">
        <v>192</v>
      </c>
      <c r="E5677" t="s" s="11">
        <v>373</v>
      </c>
      <c r="F5677" s="28">
        <v>45741</v>
      </c>
      <c r="G5677" t="s" s="11">
        <v>146</v>
      </c>
      <c r="H5677" s="43">
        <v>0.1</v>
      </c>
      <c r="I5677" t="s" s="43">
        <v>30</v>
      </c>
      <c r="J5677" t="s" s="11">
        <v>28550</v>
      </c>
      <c r="K5677" t="s" s="11">
        <v>30</v>
      </c>
      <c r="L5677" s="17">
        <f>HYPERLINK("http://www.machinetrader.io", "www.machinetrader.io")</f>
      </c>
      <c r="M5677" s="17">
        <f>HYPERLINK("https://my.pitchbook.com?c=553098-16", "View Company Online")</f>
      </c>
    </row>
    <row r="5678">
      <c r="A5678" t="s" s="10">
        <v>28552</v>
      </c>
      <c r="B5678" t="s" s="10">
        <v>28553</v>
      </c>
      <c r="C5678" t="s" s="10">
        <v>222</v>
      </c>
      <c r="D5678" t="s" s="10">
        <v>223</v>
      </c>
      <c r="E5678" t="s" s="10">
        <v>414</v>
      </c>
      <c r="F5678" s="27">
        <v>46021</v>
      </c>
      <c r="G5678" t="s" s="10">
        <v>146</v>
      </c>
      <c r="H5678" s="42">
        <v>2.62</v>
      </c>
      <c r="I5678" t="s" s="42">
        <v>30</v>
      </c>
      <c r="J5678" t="s" s="10">
        <v>28554</v>
      </c>
      <c r="K5678" t="s" s="10">
        <v>28555</v>
      </c>
      <c r="L5678" s="16">
        <f>HYPERLINK("http://www.macrocosm.group", "www.macrocosm.group")</f>
      </c>
      <c r="M5678" s="16">
        <f>HYPERLINK("https://my.pitchbook.com?c=1234148-86", "View Company Online")</f>
      </c>
    </row>
    <row r="5679">
      <c r="A5679" t="s" s="11">
        <v>28557</v>
      </c>
      <c r="B5679" t="s" s="11">
        <v>28558</v>
      </c>
      <c r="C5679" t="s" s="11">
        <v>27</v>
      </c>
      <c r="D5679" t="s" s="11">
        <v>70</v>
      </c>
      <c r="E5679" t="s" s="11">
        <v>859</v>
      </c>
      <c r="F5679" s="28">
        <v>46090</v>
      </c>
      <c r="G5679" t="s" s="11">
        <v>146</v>
      </c>
      <c r="H5679" t="s" s="43">
        <v>30</v>
      </c>
      <c r="I5679" t="s" s="43">
        <v>30</v>
      </c>
      <c r="J5679" t="s" s="11">
        <v>28559</v>
      </c>
      <c r="K5679" t="s" s="11">
        <v>28560</v>
      </c>
      <c r="L5679" s="17">
        <f>HYPERLINK("http://www.macropod.com", "www.macropod.com")</f>
      </c>
      <c r="M5679" s="17">
        <f>HYPERLINK("https://my.pitchbook.com?c=1325861-65", "View Company Online")</f>
      </c>
    </row>
    <row r="5680">
      <c r="A5680" t="s" s="10">
        <v>28562</v>
      </c>
      <c r="B5680" t="s" s="10">
        <v>28563</v>
      </c>
      <c r="C5680" t="s" s="10">
        <v>128</v>
      </c>
      <c r="D5680" t="s" s="10">
        <v>129</v>
      </c>
      <c r="E5680" t="s" s="10">
        <v>253</v>
      </c>
      <c r="F5680" s="27">
        <v>45292</v>
      </c>
      <c r="G5680" t="s" s="10">
        <v>146</v>
      </c>
      <c r="H5680" t="s" s="42">
        <v>30</v>
      </c>
      <c r="I5680" t="s" s="42">
        <v>30</v>
      </c>
      <c r="J5680" t="s" s="10">
        <v>28564</v>
      </c>
      <c r="K5680" t="s" s="10">
        <v>28565</v>
      </c>
      <c r="L5680" s="16">
        <f>HYPERLINK("http://www.madrewards.com", "www.madrewards.com")</f>
      </c>
      <c r="M5680" s="16">
        <f>HYPERLINK("https://my.pitchbook.com?c=550943-83", "View Company Online")</f>
      </c>
    </row>
    <row r="5681">
      <c r="A5681" t="s" s="11">
        <v>28567</v>
      </c>
      <c r="B5681" t="s" s="11">
        <v>28568</v>
      </c>
      <c r="C5681" t="s" s="11">
        <v>37</v>
      </c>
      <c r="D5681" t="s" s="11">
        <v>304</v>
      </c>
      <c r="E5681" t="s" s="11">
        <v>137</v>
      </c>
      <c r="F5681" s="28">
        <v>45925</v>
      </c>
      <c r="G5681" t="s" s="11">
        <v>4267</v>
      </c>
      <c r="H5681" s="43">
        <v>1.55</v>
      </c>
      <c r="I5681" t="s" s="43">
        <v>30</v>
      </c>
      <c r="J5681" t="s" s="11">
        <v>28569</v>
      </c>
      <c r="K5681" t="s" s="11">
        <v>28570</v>
      </c>
      <c r="L5681" s="17">
        <f>HYPERLINK("http://mada-bnpl.com/en", "mada-bnpl.com/en")</f>
      </c>
      <c r="M5681" s="17">
        <f>HYPERLINK("https://my.pitchbook.com?c=1081565-02", "View Company Online")</f>
      </c>
    </row>
    <row r="5682">
      <c r="A5682" t="s" s="10">
        <v>28572</v>
      </c>
      <c r="B5682" t="s" s="10">
        <v>28573</v>
      </c>
      <c r="C5682" t="s" s="10">
        <v>114</v>
      </c>
      <c r="D5682" t="s" s="10">
        <v>870</v>
      </c>
      <c r="E5682" t="s" s="10">
        <v>137</v>
      </c>
      <c r="F5682" s="27">
        <v>45861</v>
      </c>
      <c r="G5682" t="s" s="10">
        <v>607</v>
      </c>
      <c r="H5682" t="s" s="42">
        <v>30</v>
      </c>
      <c r="I5682" t="s" s="42">
        <v>30</v>
      </c>
      <c r="J5682" t="s" s="10">
        <v>28574</v>
      </c>
      <c r="K5682" t="s" s="10">
        <v>28575</v>
      </c>
      <c r="L5682" s="16">
        <f>HYPERLINK("http://www.getmadcash.com", "www.getmadcash.com")</f>
      </c>
      <c r="M5682" s="16">
        <f>HYPERLINK("https://my.pitchbook.com?c=521719-93", "View Company Online")</f>
      </c>
    </row>
    <row r="5683">
      <c r="A5683" t="s" s="11">
        <v>28577</v>
      </c>
      <c r="B5683" t="s" s="11">
        <v>28578</v>
      </c>
      <c r="C5683" t="s" s="11">
        <v>128</v>
      </c>
      <c r="D5683" t="s" s="11">
        <v>129</v>
      </c>
      <c r="E5683" t="s" s="11">
        <v>130</v>
      </c>
      <c r="F5683" s="28">
        <v>45981</v>
      </c>
      <c r="G5683" t="s" s="11">
        <v>4267</v>
      </c>
      <c r="H5683" s="43">
        <v>8</v>
      </c>
      <c r="I5683" t="s" s="43">
        <v>30</v>
      </c>
      <c r="J5683" t="s" s="11">
        <v>28579</v>
      </c>
      <c r="K5683" t="s" s="11">
        <v>28580</v>
      </c>
      <c r="L5683" s="17">
        <f>HYPERLINK("http://www.madecard.com", "www.madecard.com")</f>
      </c>
      <c r="M5683" s="17">
        <f>HYPERLINK("https://my.pitchbook.com?c=625944-52", "View Company Online")</f>
      </c>
    </row>
    <row r="5684">
      <c r="A5684" t="s" s="10">
        <v>28582</v>
      </c>
      <c r="B5684" t="s" s="10">
        <v>28583</v>
      </c>
      <c r="C5684" t="s" s="10">
        <v>37</v>
      </c>
      <c r="D5684" t="s" s="10">
        <v>304</v>
      </c>
      <c r="E5684" t="s" s="10">
        <v>270</v>
      </c>
      <c r="F5684" s="27">
        <v>46068</v>
      </c>
      <c r="G5684" t="s" s="10">
        <v>146</v>
      </c>
      <c r="H5684" s="42">
        <v>25.32</v>
      </c>
      <c r="I5684" t="s" s="42">
        <v>30</v>
      </c>
      <c r="J5684" t="s" s="10">
        <v>28584</v>
      </c>
      <c r="K5684" t="s" s="10">
        <v>28585</v>
      </c>
      <c r="L5684" s="16">
        <f>HYPERLINK("http://www.madfu.com.sa", "www.madfu.com.sa")</f>
      </c>
      <c r="M5684" s="16">
        <f>HYPERLINK("https://my.pitchbook.com?c=528587-74", "View Company Online")</f>
      </c>
    </row>
    <row r="5685">
      <c r="A5685" t="s" s="11">
        <v>28587</v>
      </c>
      <c r="B5685" t="s" s="11">
        <v>28588</v>
      </c>
      <c r="C5685" t="s" s="11">
        <v>60</v>
      </c>
      <c r="D5685" t="s" s="11">
        <v>61</v>
      </c>
      <c r="E5685" t="s" s="11">
        <v>253</v>
      </c>
      <c r="F5685" s="28">
        <v>45701</v>
      </c>
      <c r="G5685" t="s" s="11">
        <v>4267</v>
      </c>
      <c r="H5685" s="43">
        <v>2.2</v>
      </c>
      <c r="I5685" t="s" s="43">
        <v>30</v>
      </c>
      <c r="J5685" t="s" s="11">
        <v>28589</v>
      </c>
      <c r="K5685" t="s" s="11">
        <v>28590</v>
      </c>
      <c r="L5685" s="17">
        <f>HYPERLINK("http://www.madkhol.com", "www.madkhol.com")</f>
      </c>
      <c r="M5685" s="17">
        <f>HYPERLINK("https://my.pitchbook.com?c=615395-80", "View Company Online")</f>
      </c>
    </row>
    <row r="5686">
      <c r="A5686" t="s" s="10">
        <v>28592</v>
      </c>
      <c r="B5686" t="s" s="10">
        <v>28593</v>
      </c>
      <c r="C5686" t="s" s="10">
        <v>60</v>
      </c>
      <c r="D5686" t="s" s="10">
        <v>246</v>
      </c>
      <c r="E5686" t="s" s="10">
        <v>414</v>
      </c>
      <c r="F5686" s="27">
        <v>46154</v>
      </c>
      <c r="G5686" t="s" s="10">
        <v>2051</v>
      </c>
      <c r="H5686" t="s" s="42">
        <v>30</v>
      </c>
      <c r="I5686" t="s" s="42">
        <v>30</v>
      </c>
      <c r="J5686" t="s" s="10">
        <v>28594</v>
      </c>
      <c r="K5686" t="s" s="10">
        <v>30</v>
      </c>
      <c r="L5686" s="16">
        <f>HYPERLINK("http://www.mafhoom.app", "www.mafhoom.app")</f>
      </c>
      <c r="M5686" s="16">
        <f>HYPERLINK("https://my.pitchbook.com?c=539923-42", "View Company Online")</f>
      </c>
    </row>
    <row r="5687">
      <c r="A5687" t="s" s="11">
        <v>28596</v>
      </c>
      <c r="B5687" t="s" s="11">
        <v>28597</v>
      </c>
      <c r="C5687" t="s" s="11">
        <v>128</v>
      </c>
      <c r="D5687" t="s" s="11">
        <v>129</v>
      </c>
      <c r="E5687" t="s" s="11">
        <v>259</v>
      </c>
      <c r="F5687" s="28">
        <v>45461</v>
      </c>
      <c r="G5687" t="s" s="11">
        <v>4267</v>
      </c>
      <c r="H5687" t="s" s="43">
        <v>30</v>
      </c>
      <c r="I5687" t="s" s="43">
        <v>30</v>
      </c>
      <c r="J5687" t="s" s="11">
        <v>28598</v>
      </c>
      <c r="K5687" t="s" s="11">
        <v>28599</v>
      </c>
      <c r="L5687" s="17">
        <f>HYPERLINK("http://www.joinmagic.com", "www.joinmagic.com")</f>
      </c>
      <c r="M5687" s="17">
        <f>HYPERLINK("https://my.pitchbook.com?c=530632-27", "View Company Online")</f>
      </c>
    </row>
    <row r="5688">
      <c r="A5688" t="s" s="10">
        <v>28601</v>
      </c>
      <c r="B5688" t="s" s="10">
        <v>28602</v>
      </c>
      <c r="C5688" t="s" s="10">
        <v>222</v>
      </c>
      <c r="D5688" t="s" s="10">
        <v>252</v>
      </c>
      <c r="E5688" t="s" s="10">
        <v>137</v>
      </c>
      <c r="F5688" s="27">
        <v>45901</v>
      </c>
      <c r="G5688" t="s" s="10">
        <v>40</v>
      </c>
      <c r="H5688" t="s" s="42">
        <v>30</v>
      </c>
      <c r="I5688" t="s" s="42">
        <v>30</v>
      </c>
      <c r="J5688" t="s" s="10">
        <v>28603</v>
      </c>
      <c r="K5688" t="s" s="10">
        <v>28604</v>
      </c>
      <c r="L5688" s="16">
        <f>HYPERLINK("http://www.magic.exchange", "www.magic.exchange")</f>
      </c>
      <c r="M5688" s="16">
        <f>HYPERLINK("https://my.pitchbook.com?c=803017-54", "View Company Online")</f>
      </c>
    </row>
    <row r="5689">
      <c r="A5689" t="s" s="11">
        <v>28606</v>
      </c>
      <c r="B5689" t="s" s="11">
        <v>28607</v>
      </c>
      <c r="C5689" t="s" s="11">
        <v>172</v>
      </c>
      <c r="D5689" t="s" s="11">
        <v>1454</v>
      </c>
      <c r="E5689" t="s" s="11">
        <v>414</v>
      </c>
      <c r="F5689" s="28">
        <v>44965</v>
      </c>
      <c r="G5689" t="s" s="11">
        <v>40</v>
      </c>
      <c r="H5689" s="43">
        <v>1.48</v>
      </c>
      <c r="I5689" t="s" s="43">
        <v>30</v>
      </c>
      <c r="J5689" t="s" s="11">
        <v>28608</v>
      </c>
      <c r="K5689" t="s" s="11">
        <v>28609</v>
      </c>
      <c r="L5689" s="17">
        <f>HYPERLINK("http://www.magicengine.com.cn", "www.magicengine.com.cn")</f>
      </c>
      <c r="M5689" s="17">
        <f>HYPERLINK("https://my.pitchbook.com?c=519718-78", "View Company Online")</f>
      </c>
    </row>
    <row r="5690">
      <c r="A5690" t="s" s="10">
        <v>28611</v>
      </c>
      <c r="B5690" t="s" s="10">
        <v>28612</v>
      </c>
      <c r="C5690" t="s" s="10">
        <v>27</v>
      </c>
      <c r="D5690" t="s" s="10">
        <v>70</v>
      </c>
      <c r="E5690" t="s" s="10">
        <v>640</v>
      </c>
      <c r="F5690" s="27">
        <v>45898</v>
      </c>
      <c r="G5690" t="s" s="10">
        <v>146</v>
      </c>
      <c r="H5690" t="s" s="42">
        <v>30</v>
      </c>
      <c r="I5690" t="s" s="42">
        <v>30</v>
      </c>
      <c r="J5690" t="s" s="10">
        <v>28613</v>
      </c>
      <c r="K5690" t="s" s="10">
        <v>28614</v>
      </c>
      <c r="L5690" s="16">
        <f>HYPERLINK("http://www.magicpay.ai", "www.magicpay.ai")</f>
      </c>
      <c r="M5690" s="16">
        <f>HYPERLINK("https://my.pitchbook.com?c=791875-45", "View Company Online")</f>
      </c>
    </row>
    <row r="5691">
      <c r="A5691" t="s" s="11">
        <v>28616</v>
      </c>
      <c r="B5691" t="s" s="11">
        <v>28617</v>
      </c>
      <c r="C5691" t="s" s="11">
        <v>128</v>
      </c>
      <c r="D5691" t="s" s="11">
        <v>276</v>
      </c>
      <c r="E5691" t="s" s="11">
        <v>29</v>
      </c>
      <c r="F5691" s="28">
        <v>46036</v>
      </c>
      <c r="G5691" t="s" s="11">
        <v>146</v>
      </c>
      <c r="H5691" s="43">
        <v>5</v>
      </c>
      <c r="I5691" t="s" s="43">
        <v>30</v>
      </c>
      <c r="J5691" t="s" s="11">
        <v>28618</v>
      </c>
      <c r="K5691" t="s" s="11">
        <v>28619</v>
      </c>
      <c r="L5691" s="17">
        <f>HYPERLINK("http://www.magie.com.br", "www.magie.com.br")</f>
      </c>
      <c r="M5691" s="17">
        <f>HYPERLINK("https://my.pitchbook.com?c=597022-30", "View Company Online")</f>
      </c>
    </row>
    <row r="5692">
      <c r="A5692" t="s" s="10">
        <v>28621</v>
      </c>
      <c r="B5692" t="s" s="10">
        <v>28622</v>
      </c>
      <c r="C5692" t="s" s="10">
        <v>114</v>
      </c>
      <c r="D5692" t="s" s="10">
        <v>870</v>
      </c>
      <c r="E5692" t="s" s="10">
        <v>20359</v>
      </c>
      <c r="F5692" s="27">
        <v>43397</v>
      </c>
      <c r="G5692" t="s" s="10">
        <v>146</v>
      </c>
      <c r="H5692" s="42">
        <v>23.21</v>
      </c>
      <c r="I5692" t="s" s="42">
        <v>30</v>
      </c>
      <c r="J5692" t="s" s="10">
        <v>28623</v>
      </c>
      <c r="K5692" t="s" s="10">
        <v>28624</v>
      </c>
      <c r="L5692" s="16">
        <f>HYPERLINK("http://www.magfin.cn", "www.magfin.cn")</f>
      </c>
      <c r="M5692" s="16">
        <f>HYPERLINK("https://my.pitchbook.com?c=167287-60", "View Company Online")</f>
      </c>
    </row>
    <row r="5693">
      <c r="A5693" t="s" s="11">
        <v>28626</v>
      </c>
      <c r="B5693" t="s" s="11">
        <v>28627</v>
      </c>
      <c r="C5693" t="s" s="11">
        <v>222</v>
      </c>
      <c r="D5693" t="s" s="11">
        <v>223</v>
      </c>
      <c r="E5693" t="s" s="11">
        <v>1964</v>
      </c>
      <c r="F5693" t="s" s="28">
        <v>30</v>
      </c>
      <c r="G5693" t="s" s="11">
        <v>48</v>
      </c>
      <c r="H5693" t="s" s="43">
        <v>30</v>
      </c>
      <c r="I5693" t="s" s="43">
        <v>30</v>
      </c>
      <c r="J5693" t="s" s="11">
        <v>28628</v>
      </c>
      <c r="K5693" t="s" s="11">
        <v>28629</v>
      </c>
      <c r="L5693" s="17">
        <f>HYPERLINK("http://magnitt.com", "magnitt.com")</f>
      </c>
      <c r="M5693" s="17">
        <f>HYPERLINK("https://my.pitchbook.com?c=172883-35", "View Company Online")</f>
      </c>
    </row>
    <row r="5694">
      <c r="A5694" t="s" s="10">
        <v>28631</v>
      </c>
      <c r="B5694" t="s" s="10">
        <v>28632</v>
      </c>
      <c r="C5694" t="s" s="10">
        <v>60</v>
      </c>
      <c r="D5694" t="s" s="10">
        <v>246</v>
      </c>
      <c r="E5694" t="s" s="10">
        <v>373</v>
      </c>
      <c r="F5694" s="27">
        <v>46023</v>
      </c>
      <c r="G5694" t="s" s="10">
        <v>607</v>
      </c>
      <c r="H5694" t="s" s="42">
        <v>30</v>
      </c>
      <c r="I5694" t="s" s="42">
        <v>30</v>
      </c>
      <c r="J5694" t="s" s="10">
        <v>28633</v>
      </c>
      <c r="K5694" t="s" s="10">
        <v>28634</v>
      </c>
      <c r="L5694" s="16">
        <f>HYPERLINK("http://getmagnus.com", "getmagnus.com")</f>
      </c>
      <c r="M5694" s="16">
        <f>HYPERLINK("https://my.pitchbook.com?c=469736-02", "View Company Online")</f>
      </c>
    </row>
    <row r="5695">
      <c r="A5695" t="s" s="11">
        <v>28636</v>
      </c>
      <c r="B5695" t="s" s="11">
        <v>28637</v>
      </c>
      <c r="C5695" t="s" s="11">
        <v>60</v>
      </c>
      <c r="D5695" t="s" s="11">
        <v>246</v>
      </c>
      <c r="E5695" t="s" s="11">
        <v>137</v>
      </c>
      <c r="F5695" s="28">
        <v>44794</v>
      </c>
      <c r="G5695" t="s" s="11">
        <v>4267</v>
      </c>
      <c r="H5695" s="43">
        <v>2.1</v>
      </c>
      <c r="I5695" t="s" s="43">
        <v>30</v>
      </c>
      <c r="J5695" t="s" s="11">
        <v>28638</v>
      </c>
      <c r="K5695" t="s" s="11">
        <v>28639</v>
      </c>
      <c r="L5695" s="17">
        <f>HYPERLINK("http://www.mahaana.com", "www.mahaana.com")</f>
      </c>
      <c r="M5695" s="17">
        <f>HYPERLINK("https://my.pitchbook.com?c=503920-72", "View Company Online")</f>
      </c>
    </row>
    <row r="5696">
      <c r="A5696" t="s" s="10">
        <v>28641</v>
      </c>
      <c r="B5696" t="s" s="10">
        <v>28642</v>
      </c>
      <c r="C5696" t="s" s="10">
        <v>128</v>
      </c>
      <c r="D5696" t="s" s="10">
        <v>129</v>
      </c>
      <c r="E5696" t="s" s="10">
        <v>28643</v>
      </c>
      <c r="F5696" s="27">
        <v>45040</v>
      </c>
      <c r="G5696" t="s" s="10">
        <v>4267</v>
      </c>
      <c r="H5696" s="42">
        <v>1.5</v>
      </c>
      <c r="I5696" t="s" s="42">
        <v>30</v>
      </c>
      <c r="J5696" t="s" s="10">
        <v>28644</v>
      </c>
      <c r="K5696" t="s" s="10">
        <v>28645</v>
      </c>
      <c r="L5696" s="16">
        <f>HYPERLINK("http://www.maholla.com", "www.maholla.com")</f>
      </c>
      <c r="M5696" s="16">
        <f>HYPERLINK("https://my.pitchbook.com?c=525408-40", "View Company Online")</f>
      </c>
    </row>
    <row r="5697">
      <c r="A5697" t="s" s="11">
        <v>28647</v>
      </c>
      <c r="B5697" t="s" s="11">
        <v>28648</v>
      </c>
      <c r="C5697" t="s" s="11">
        <v>27</v>
      </c>
      <c r="D5697" t="s" s="11">
        <v>70</v>
      </c>
      <c r="E5697" t="s" s="11">
        <v>2788</v>
      </c>
      <c r="F5697" s="28">
        <v>45992</v>
      </c>
      <c r="G5697" t="s" s="11">
        <v>146</v>
      </c>
      <c r="H5697" t="s" s="43">
        <v>30</v>
      </c>
      <c r="I5697" t="s" s="43">
        <v>30</v>
      </c>
      <c r="J5697" t="s" s="11">
        <v>28649</v>
      </c>
      <c r="K5697" t="s" s="11">
        <v>28650</v>
      </c>
      <c r="L5697" s="17">
        <f>HYPERLINK("http://mainhedge.com", "mainhedge.com")</f>
      </c>
      <c r="M5697" s="17">
        <f>HYPERLINK("https://my.pitchbook.com?c=1233854-11", "View Company Online")</f>
      </c>
    </row>
    <row r="5698">
      <c r="A5698" t="s" s="10">
        <v>28652</v>
      </c>
      <c r="B5698" t="s" s="10">
        <v>28653</v>
      </c>
      <c r="C5698" t="s" s="10">
        <v>27</v>
      </c>
      <c r="D5698" t="s" s="10">
        <v>70</v>
      </c>
      <c r="E5698" t="s" s="10">
        <v>859</v>
      </c>
      <c r="F5698" s="27">
        <v>45754</v>
      </c>
      <c r="G5698" t="s" s="10">
        <v>40</v>
      </c>
      <c r="H5698" t="s" s="42">
        <v>30</v>
      </c>
      <c r="I5698" t="s" s="42">
        <v>30</v>
      </c>
      <c r="J5698" t="s" s="10">
        <v>28654</v>
      </c>
      <c r="K5698" t="s" s="10">
        <v>28655</v>
      </c>
      <c r="L5698" s="16">
        <f>HYPERLINK("http://www.mymakecents.com", "www.mymakecents.com")</f>
      </c>
      <c r="M5698" s="16">
        <f>HYPERLINK("https://my.pitchbook.com?c=221826-16", "View Company Online")</f>
      </c>
    </row>
    <row r="5699">
      <c r="A5699" t="s" s="11">
        <v>28657</v>
      </c>
      <c r="B5699" t="s" s="11">
        <v>28658</v>
      </c>
      <c r="C5699" t="s" s="11">
        <v>46</v>
      </c>
      <c r="D5699" t="s" s="11">
        <v>915</v>
      </c>
      <c r="E5699" t="s" s="11">
        <v>28659</v>
      </c>
      <c r="F5699" s="28">
        <v>45030</v>
      </c>
      <c r="G5699" t="s" s="11">
        <v>40</v>
      </c>
      <c r="H5699" t="s" s="43">
        <v>30</v>
      </c>
      <c r="I5699" t="s" s="43">
        <v>30</v>
      </c>
      <c r="J5699" t="s" s="11">
        <v>28660</v>
      </c>
      <c r="K5699" t="s" s="11">
        <v>28661</v>
      </c>
      <c r="L5699" s="17">
        <f>HYPERLINK("http://www.makila.ai", "www.makila.ai")</f>
      </c>
      <c r="M5699" s="17">
        <f>HYPERLINK("https://my.pitchbook.com?c=458041-87", "View Company Online")</f>
      </c>
    </row>
    <row r="5700">
      <c r="A5700" t="s" s="10">
        <v>28663</v>
      </c>
      <c r="B5700" t="s" s="10">
        <v>28664</v>
      </c>
      <c r="C5700" t="s" s="10">
        <v>60</v>
      </c>
      <c r="D5700" t="s" s="10">
        <v>432</v>
      </c>
      <c r="E5700" t="s" s="10">
        <v>253</v>
      </c>
      <c r="F5700" s="27">
        <v>44411</v>
      </c>
      <c r="G5700" t="s" s="10">
        <v>4267</v>
      </c>
      <c r="H5700" s="42">
        <v>2</v>
      </c>
      <c r="I5700" t="s" s="42">
        <v>30</v>
      </c>
      <c r="J5700" t="s" s="10">
        <v>28665</v>
      </c>
      <c r="K5700" t="s" s="10">
        <v>28666</v>
      </c>
      <c r="L5700" s="16">
        <f>HYPERLINK("http://www.makofintech.com", "www.makofintech.com")</f>
      </c>
      <c r="M5700" s="16">
        <f>HYPERLINK("https://my.pitchbook.com?c=452712-16", "View Company Online")</f>
      </c>
    </row>
    <row r="5701">
      <c r="A5701" t="s" s="11">
        <v>28668</v>
      </c>
      <c r="B5701" t="s" s="11">
        <v>28669</v>
      </c>
      <c r="C5701" t="s" s="11">
        <v>37</v>
      </c>
      <c r="D5701" t="s" s="11">
        <v>38</v>
      </c>
      <c r="E5701" t="s" s="11">
        <v>414</v>
      </c>
      <c r="F5701" s="28">
        <v>46035</v>
      </c>
      <c r="G5701" t="s" s="11">
        <v>4267</v>
      </c>
      <c r="H5701" s="43">
        <v>230</v>
      </c>
      <c r="I5701" t="s" s="43">
        <v>30</v>
      </c>
      <c r="J5701" t="s" s="11">
        <v>28670</v>
      </c>
      <c r="K5701" t="s" s="11">
        <v>28671</v>
      </c>
      <c r="L5701" s="17">
        <f>HYPERLINK("http://www.mal.ai", "www.mal.ai")</f>
      </c>
      <c r="M5701" s="17">
        <f>HYPERLINK("https://my.pitchbook.com?c=1241113-24", "View Company Online")</f>
      </c>
    </row>
    <row r="5702">
      <c r="A5702" t="s" s="10">
        <v>28673</v>
      </c>
      <c r="B5702" t="s" s="10">
        <v>28674</v>
      </c>
      <c r="C5702" t="s" s="10">
        <v>144</v>
      </c>
      <c r="D5702" t="s" s="10">
        <v>297</v>
      </c>
      <c r="E5702" t="s" s="10">
        <v>2411</v>
      </c>
      <c r="F5702" s="27">
        <v>45585</v>
      </c>
      <c r="G5702" t="s" s="10">
        <v>4267</v>
      </c>
      <c r="H5702" s="42">
        <v>7</v>
      </c>
      <c r="I5702" t="s" s="42">
        <v>30</v>
      </c>
      <c r="J5702" t="s" s="10">
        <v>28675</v>
      </c>
      <c r="K5702" t="s" s="10">
        <v>28676</v>
      </c>
      <c r="L5702" s="16">
        <f>HYPERLINK("http://www.trymala.com", "www.trymala.com")</f>
      </c>
      <c r="M5702" s="16">
        <f>HYPERLINK("https://my.pitchbook.com?c=697027-24", "View Company Online")</f>
      </c>
    </row>
    <row r="5703">
      <c r="A5703" t="s" s="11">
        <v>28678</v>
      </c>
      <c r="B5703" t="s" s="11">
        <v>28679</v>
      </c>
      <c r="C5703" t="s" s="11">
        <v>60</v>
      </c>
      <c r="D5703" t="s" s="11">
        <v>246</v>
      </c>
      <c r="E5703" t="s" s="11">
        <v>116</v>
      </c>
      <c r="F5703" t="s" s="28">
        <v>30</v>
      </c>
      <c r="G5703" t="s" s="11">
        <v>48</v>
      </c>
      <c r="H5703" t="s" s="43">
        <v>30</v>
      </c>
      <c r="I5703" t="s" s="43">
        <v>30</v>
      </c>
      <c r="J5703" t="s" s="11">
        <v>28680</v>
      </c>
      <c r="K5703" t="s" s="11">
        <v>28681</v>
      </c>
      <c r="L5703" s="17">
        <f>HYPERLINK("http://www.malaa.tech", "www.malaa.tech")</f>
      </c>
      <c r="M5703" s="17">
        <f>HYPERLINK("https://my.pitchbook.com?c=482516-29", "View Company Online")</f>
      </c>
    </row>
    <row r="5704">
      <c r="A5704" t="s" s="10">
        <v>28683</v>
      </c>
      <c r="B5704" t="s" s="10">
        <v>28684</v>
      </c>
      <c r="C5704" t="s" s="10">
        <v>144</v>
      </c>
      <c r="D5704" t="s" s="10">
        <v>297</v>
      </c>
      <c r="E5704" t="s" s="10">
        <v>137</v>
      </c>
      <c r="F5704" t="s" s="27">
        <v>30</v>
      </c>
      <c r="G5704" t="s" s="10">
        <v>48</v>
      </c>
      <c r="H5704" t="s" s="42">
        <v>30</v>
      </c>
      <c r="I5704" t="s" s="42">
        <v>30</v>
      </c>
      <c r="J5704" t="s" s="10">
        <v>28685</v>
      </c>
      <c r="K5704" t="s" s="10">
        <v>28686</v>
      </c>
      <c r="L5704" s="16">
        <f>HYPERLINK("http://www.malcomfinance.com", "www.malcomfinance.com")</f>
      </c>
      <c r="M5704" s="16">
        <f>HYPERLINK("https://my.pitchbook.com?c=482178-52", "View Company Online")</f>
      </c>
    </row>
    <row r="5705">
      <c r="A5705" t="s" s="11">
        <v>28688</v>
      </c>
      <c r="B5705" t="s" s="11">
        <v>28689</v>
      </c>
      <c r="C5705" t="s" s="11">
        <v>164</v>
      </c>
      <c r="D5705" t="s" s="11">
        <v>165</v>
      </c>
      <c r="E5705" t="s" s="11">
        <v>1652</v>
      </c>
      <c r="F5705" s="28">
        <v>45658</v>
      </c>
      <c r="G5705" t="s" s="11">
        <v>607</v>
      </c>
      <c r="H5705" t="s" s="43">
        <v>30</v>
      </c>
      <c r="I5705" t="s" s="43">
        <v>30</v>
      </c>
      <c r="J5705" t="s" s="11">
        <v>28690</v>
      </c>
      <c r="K5705" t="s" s="11">
        <v>28691</v>
      </c>
      <c r="L5705" s="17">
        <f>HYPERLINK("http://www.malliq.com", "www.malliq.com")</f>
      </c>
      <c r="M5705" s="17">
        <f>HYPERLINK("https://my.pitchbook.com?c=222924-70", "View Company Online")</f>
      </c>
    </row>
    <row r="5706">
      <c r="A5706" t="s" s="10">
        <v>28693</v>
      </c>
      <c r="B5706" t="s" s="10">
        <v>28694</v>
      </c>
      <c r="C5706" t="s" s="10">
        <v>60</v>
      </c>
      <c r="D5706" t="s" s="10">
        <v>192</v>
      </c>
      <c r="E5706" t="s" s="10">
        <v>253</v>
      </c>
      <c r="F5706" s="27">
        <v>45717</v>
      </c>
      <c r="G5706" t="s" s="10">
        <v>146</v>
      </c>
      <c r="H5706" t="s" s="42">
        <v>30</v>
      </c>
      <c r="I5706" t="s" s="42">
        <v>30</v>
      </c>
      <c r="J5706" t="s" s="10">
        <v>28695</v>
      </c>
      <c r="K5706" t="s" s="10">
        <v>28696</v>
      </c>
      <c r="L5706" s="16">
        <f>HYPERLINK("http://www.maloca.com.co", "www.maloca.com.co")</f>
      </c>
      <c r="M5706" s="16">
        <f>HYPERLINK("https://my.pitchbook.com?c=762594-40", "View Company Online")</f>
      </c>
    </row>
    <row r="5707">
      <c r="A5707" t="s" s="11">
        <v>28698</v>
      </c>
      <c r="B5707" t="s" s="11">
        <v>28699</v>
      </c>
      <c r="C5707" t="s" s="11">
        <v>60</v>
      </c>
      <c r="D5707" t="s" s="11">
        <v>192</v>
      </c>
      <c r="E5707" t="s" s="11">
        <v>116</v>
      </c>
      <c r="F5707" s="28">
        <v>45380</v>
      </c>
      <c r="G5707" t="s" s="11">
        <v>4267</v>
      </c>
      <c r="H5707" s="43">
        <v>5</v>
      </c>
      <c r="I5707" t="s" s="43">
        <v>30</v>
      </c>
      <c r="J5707" t="s" s="11">
        <v>28700</v>
      </c>
      <c r="K5707" t="s" s="11">
        <v>30</v>
      </c>
      <c r="L5707" s="17">
        <f>HYPERLINK("http://www.maly.ai", "www.maly.ai")</f>
      </c>
      <c r="M5707" s="17">
        <f>HYPERLINK("https://my.pitchbook.com?c=534699-46", "View Company Online")</f>
      </c>
    </row>
    <row r="5708">
      <c r="A5708" t="s" s="10">
        <v>28702</v>
      </c>
      <c r="B5708" t="s" s="10">
        <v>28703</v>
      </c>
      <c r="C5708" t="s" s="10">
        <v>222</v>
      </c>
      <c r="D5708" t="s" s="10">
        <v>223</v>
      </c>
      <c r="E5708" t="s" s="10">
        <v>634</v>
      </c>
      <c r="F5708" s="27">
        <v>45566</v>
      </c>
      <c r="G5708" t="s" s="10">
        <v>607</v>
      </c>
      <c r="H5708" t="s" s="42">
        <v>30</v>
      </c>
      <c r="I5708" t="s" s="42">
        <v>30</v>
      </c>
      <c r="J5708" t="s" s="10">
        <v>28704</v>
      </c>
      <c r="K5708" t="s" s="10">
        <v>28705</v>
      </c>
      <c r="L5708" s="16">
        <f>HYPERLINK("http://www.mammothtechnology.com", "www.mammothtechnology.com")</f>
      </c>
      <c r="M5708" s="16">
        <f>HYPERLINK("https://my.pitchbook.com?c=533267-47", "View Company Online")</f>
      </c>
    </row>
    <row r="5709">
      <c r="A5709" t="s" s="11">
        <v>28707</v>
      </c>
      <c r="B5709" t="s" s="11">
        <v>28708</v>
      </c>
      <c r="C5709" t="s" s="11">
        <v>222</v>
      </c>
      <c r="D5709" t="s" s="11">
        <v>235</v>
      </c>
      <c r="E5709" t="s" s="11">
        <v>137</v>
      </c>
      <c r="F5709" t="s" s="28">
        <v>30</v>
      </c>
      <c r="G5709" t="s" s="11">
        <v>48</v>
      </c>
      <c r="H5709" t="s" s="43">
        <v>30</v>
      </c>
      <c r="I5709" t="s" s="43">
        <v>30</v>
      </c>
      <c r="J5709" t="s" s="11">
        <v>28709</v>
      </c>
      <c r="K5709" t="s" s="11">
        <v>28710</v>
      </c>
      <c r="L5709" s="17">
        <f>HYPERLINK("http://manafa.sa", "manafa.sa")</f>
      </c>
      <c r="M5709" s="17">
        <f>HYPERLINK("https://my.pitchbook.com?c=229431-25", "View Company Online")</f>
      </c>
    </row>
    <row r="5710">
      <c r="A5710" t="s" s="10">
        <v>28712</v>
      </c>
      <c r="B5710" t="s" s="10">
        <v>28713</v>
      </c>
      <c r="C5710" t="s" s="10">
        <v>164</v>
      </c>
      <c r="D5710" t="s" s="10">
        <v>206</v>
      </c>
      <c r="E5710" t="s" s="10">
        <v>493</v>
      </c>
      <c r="F5710" s="27">
        <v>46097</v>
      </c>
      <c r="G5710" t="s" s="10">
        <v>4267</v>
      </c>
      <c r="H5710" s="42">
        <v>4.21</v>
      </c>
      <c r="I5710" t="s" s="42">
        <v>30</v>
      </c>
      <c r="J5710" t="s" s="10">
        <v>28714</v>
      </c>
      <c r="K5710" t="s" s="10">
        <v>28715</v>
      </c>
      <c r="L5710" s="16">
        <f>HYPERLINK("http://www.mandel.ai", "www.mandel.ai")</f>
      </c>
      <c r="M5710" s="16">
        <f>HYPERLINK("https://my.pitchbook.com?c=534580-21", "View Company Online")</f>
      </c>
    </row>
    <row r="5711">
      <c r="A5711" t="s" s="11">
        <v>28717</v>
      </c>
      <c r="B5711" t="s" s="11">
        <v>28718</v>
      </c>
      <c r="C5711" t="s" s="11">
        <v>114</v>
      </c>
      <c r="D5711" t="s" s="11">
        <v>136</v>
      </c>
      <c r="E5711" t="s" s="11">
        <v>759</v>
      </c>
      <c r="F5711" t="s" s="28">
        <v>30</v>
      </c>
      <c r="G5711" t="s" s="11">
        <v>48</v>
      </c>
      <c r="H5711" t="s" s="43">
        <v>30</v>
      </c>
      <c r="I5711" t="s" s="43">
        <v>30</v>
      </c>
      <c r="J5711" t="s" s="11">
        <v>28719</v>
      </c>
      <c r="K5711" t="s" s="11">
        <v>28720</v>
      </c>
      <c r="L5711" s="17">
        <f>HYPERLINK("http://www.maneo.jp", "www.maneo.jp")</f>
      </c>
      <c r="M5711" s="17">
        <f>HYPERLINK("https://my.pitchbook.com?c=226307-17", "View Company Online")</f>
      </c>
    </row>
    <row r="5712">
      <c r="A5712" t="s" s="10">
        <v>28722</v>
      </c>
      <c r="B5712" t="s" s="10">
        <v>28723</v>
      </c>
      <c r="C5712" t="s" s="10">
        <v>164</v>
      </c>
      <c r="D5712" t="s" s="10">
        <v>1678</v>
      </c>
      <c r="E5712" t="s" s="10">
        <v>137</v>
      </c>
      <c r="F5712" s="27">
        <v>46082</v>
      </c>
      <c r="G5712" t="s" s="10">
        <v>146</v>
      </c>
      <c r="H5712" t="s" s="42">
        <v>30</v>
      </c>
      <c r="I5712" t="s" s="42">
        <v>30</v>
      </c>
      <c r="J5712" t="s" s="10">
        <v>28724</v>
      </c>
      <c r="K5712" t="s" s="10">
        <v>28725</v>
      </c>
      <c r="L5712" s="16">
        <f>HYPERLINK("http://www.manif.ai", "www.manif.ai")</f>
      </c>
      <c r="M5712" s="16">
        <f>HYPERLINK("https://my.pitchbook.com?c=1324816-12", "View Company Online")</f>
      </c>
    </row>
    <row r="5713">
      <c r="A5713" t="s" s="11">
        <v>28727</v>
      </c>
      <c r="B5713" t="s" s="11">
        <v>28728</v>
      </c>
      <c r="C5713" t="s" s="11">
        <v>60</v>
      </c>
      <c r="D5713" t="s" s="11">
        <v>420</v>
      </c>
      <c r="E5713" t="s" s="11">
        <v>137</v>
      </c>
      <c r="F5713" s="28">
        <v>45391</v>
      </c>
      <c r="G5713" t="s" s="11">
        <v>607</v>
      </c>
      <c r="H5713" t="s" s="43">
        <v>30</v>
      </c>
      <c r="I5713" t="s" s="43">
        <v>30</v>
      </c>
      <c r="J5713" t="s" s="11">
        <v>28729</v>
      </c>
      <c r="K5713" t="s" s="11">
        <v>28730</v>
      </c>
      <c r="L5713" s="17">
        <f>HYPERLINK("http://www.usemanifest.com", "www.usemanifest.com")</f>
      </c>
      <c r="M5713" s="17">
        <f>HYPERLINK("https://my.pitchbook.com?c=264823-39", "View Company Online")</f>
      </c>
    </row>
    <row r="5714">
      <c r="A5714" t="s" s="10">
        <v>28732</v>
      </c>
      <c r="B5714" t="s" s="10">
        <v>28733</v>
      </c>
      <c r="C5714" t="s" s="10">
        <v>114</v>
      </c>
      <c r="D5714" t="s" s="10">
        <v>136</v>
      </c>
      <c r="E5714" t="s" s="10">
        <v>137</v>
      </c>
      <c r="F5714" s="27">
        <v>45728</v>
      </c>
      <c r="G5714" t="s" s="10">
        <v>4267</v>
      </c>
      <c r="H5714" s="42">
        <v>2.01</v>
      </c>
      <c r="I5714" t="s" s="42">
        <v>30</v>
      </c>
      <c r="J5714" t="s" s="10">
        <v>28734</v>
      </c>
      <c r="K5714" t="s" s="10">
        <v>28735</v>
      </c>
      <c r="L5714" s="16">
        <f>HYPERLINK("http://www.mannjal.com", "www.mannjal.com")</f>
      </c>
      <c r="M5714" s="16">
        <f>HYPERLINK("https://my.pitchbook.com?c=528617-98", "View Company Online")</f>
      </c>
    </row>
    <row r="5715">
      <c r="A5715" t="s" s="11">
        <v>28737</v>
      </c>
      <c r="B5715" t="s" s="11">
        <v>28738</v>
      </c>
      <c r="C5715" t="s" s="11">
        <v>114</v>
      </c>
      <c r="D5715" t="s" s="11">
        <v>852</v>
      </c>
      <c r="E5715" t="s" s="11">
        <v>137</v>
      </c>
      <c r="F5715" s="28">
        <v>44358</v>
      </c>
      <c r="G5715" t="s" s="11">
        <v>146</v>
      </c>
      <c r="H5715" t="s" s="43">
        <v>30</v>
      </c>
      <c r="I5715" t="s" s="43">
        <v>30</v>
      </c>
      <c r="J5715" t="s" s="11">
        <v>28739</v>
      </c>
      <c r="K5715" t="s" s="11">
        <v>28740</v>
      </c>
      <c r="L5715" s="17">
        <f>HYPERLINK("http://www.getmansa.com", "www.getmansa.com")</f>
      </c>
      <c r="M5715" s="17">
        <f>HYPERLINK("https://my.pitchbook.com?c=416681-92", "View Company Online")</f>
      </c>
    </row>
    <row r="5716">
      <c r="A5716" t="s" s="10">
        <v>28742</v>
      </c>
      <c r="B5716" t="s" s="10">
        <v>28743</v>
      </c>
      <c r="C5716" t="s" s="10">
        <v>60</v>
      </c>
      <c r="D5716" t="s" s="10">
        <v>61</v>
      </c>
      <c r="E5716" t="s" s="10">
        <v>270</v>
      </c>
      <c r="F5716" s="27">
        <v>45992</v>
      </c>
      <c r="G5716" t="s" s="10">
        <v>146</v>
      </c>
      <c r="H5716" t="s" s="42">
        <v>30</v>
      </c>
      <c r="I5716" t="s" s="42">
        <v>30</v>
      </c>
      <c r="J5716" t="s" s="10">
        <v>28744</v>
      </c>
      <c r="K5716" t="s" s="10">
        <v>28745</v>
      </c>
      <c r="L5716" s="16">
        <f>HYPERLINK("http://www.manybond.com", "www.manybond.com")</f>
      </c>
      <c r="M5716" s="16">
        <f>HYPERLINK("https://my.pitchbook.com?c=702644-05", "View Company Online")</f>
      </c>
    </row>
    <row r="5717">
      <c r="A5717" t="s" s="11">
        <v>28747</v>
      </c>
      <c r="B5717" t="s" s="11">
        <v>28748</v>
      </c>
      <c r="C5717" t="s" s="11">
        <v>222</v>
      </c>
      <c r="D5717" t="s" s="11">
        <v>223</v>
      </c>
      <c r="E5717" t="s" s="11">
        <v>634</v>
      </c>
      <c r="F5717" s="28">
        <v>44774</v>
      </c>
      <c r="G5717" t="s" s="11">
        <v>607</v>
      </c>
      <c r="H5717" s="43">
        <v>0.1</v>
      </c>
      <c r="I5717" t="s" s="43">
        <v>30</v>
      </c>
      <c r="J5717" t="s" s="11">
        <v>28749</v>
      </c>
      <c r="K5717" t="s" s="11">
        <v>28750</v>
      </c>
      <c r="L5717" s="17">
        <f>HYPERLINK("http://www.marklabs.co", "www.marklabs.co")</f>
      </c>
      <c r="M5717" s="17">
        <f>HYPERLINK("https://my.pitchbook.com?c=161888-05", "View Company Online")</f>
      </c>
    </row>
    <row r="5718">
      <c r="A5718" t="s" s="10">
        <v>28752</v>
      </c>
      <c r="B5718" t="s" s="10">
        <v>28753</v>
      </c>
      <c r="C5718" t="s" s="10">
        <v>172</v>
      </c>
      <c r="D5718" t="s" s="10">
        <v>338</v>
      </c>
      <c r="E5718" t="s" s="10">
        <v>373</v>
      </c>
      <c r="F5718" s="27">
        <v>43833</v>
      </c>
      <c r="G5718" t="s" s="10">
        <v>146</v>
      </c>
      <c r="H5718" s="42">
        <v>0.22</v>
      </c>
      <c r="I5718" t="s" s="42">
        <v>30</v>
      </c>
      <c r="J5718" t="s" s="10">
        <v>28754</v>
      </c>
      <c r="K5718" t="s" s="10">
        <v>28755</v>
      </c>
      <c r="L5718" s="16">
        <f>HYPERLINK("http://www.marksign.eu", "www.marksign.eu")</f>
      </c>
      <c r="M5718" s="16">
        <f>HYPERLINK("https://my.pitchbook.com?c=433173-52", "View Company Online")</f>
      </c>
    </row>
    <row r="5719">
      <c r="A5719" t="s" s="11">
        <v>28757</v>
      </c>
      <c r="B5719" t="s" s="11">
        <v>28758</v>
      </c>
      <c r="C5719" t="s" s="11">
        <v>60</v>
      </c>
      <c r="D5719" t="s" s="11">
        <v>192</v>
      </c>
      <c r="E5719" t="s" s="11">
        <v>414</v>
      </c>
      <c r="F5719" s="28">
        <v>46085</v>
      </c>
      <c r="G5719" t="s" s="11">
        <v>40</v>
      </c>
      <c r="H5719" s="43">
        <v>0.45</v>
      </c>
      <c r="I5719" t="s" s="43">
        <v>30</v>
      </c>
      <c r="J5719" t="s" s="11">
        <v>28759</v>
      </c>
      <c r="K5719" t="s" s="11">
        <v>28760</v>
      </c>
      <c r="L5719" s="17">
        <f>HYPERLINK("http://www.market-cipher.com", "www.market-cipher.com")</f>
      </c>
      <c r="M5719" s="17">
        <f>HYPERLINK("https://my.pitchbook.com?c=268478-47", "View Company Online")</f>
      </c>
    </row>
    <row r="5720">
      <c r="A5720" t="s" s="10">
        <v>28762</v>
      </c>
      <c r="B5720" t="s" s="10">
        <v>28763</v>
      </c>
      <c r="C5720" t="s" s="10">
        <v>114</v>
      </c>
      <c r="D5720" t="s" s="10">
        <v>852</v>
      </c>
      <c r="E5720" t="s" s="10">
        <v>623</v>
      </c>
      <c r="F5720" s="27">
        <v>45427</v>
      </c>
      <c r="G5720" t="s" s="10">
        <v>40</v>
      </c>
      <c r="H5720" s="42">
        <v>10</v>
      </c>
      <c r="I5720" t="s" s="42">
        <v>30</v>
      </c>
      <c r="J5720" t="s" s="10">
        <v>28764</v>
      </c>
      <c r="K5720" t="s" s="10">
        <v>28765</v>
      </c>
      <c r="L5720" s="16">
        <f>HYPERLINK("http://www.marketlend.com.au", "www.marketlend.com.au")</f>
      </c>
      <c r="M5720" s="16">
        <f>HYPERLINK("https://my.pitchbook.com?c=161169-13", "View Company Online")</f>
      </c>
    </row>
    <row r="5721">
      <c r="A5721" t="s" s="11">
        <v>28767</v>
      </c>
      <c r="B5721" t="s" s="11">
        <v>28768</v>
      </c>
      <c r="C5721" t="s" s="11">
        <v>222</v>
      </c>
      <c r="D5721" t="s" s="11">
        <v>223</v>
      </c>
      <c r="E5721" t="s" s="11">
        <v>373</v>
      </c>
      <c r="F5721" s="28">
        <v>45505</v>
      </c>
      <c r="G5721" t="s" s="11">
        <v>146</v>
      </c>
      <c r="H5721" t="s" s="43">
        <v>30</v>
      </c>
      <c r="I5721" t="s" s="43">
        <v>30</v>
      </c>
      <c r="J5721" t="s" s="11">
        <v>28769</v>
      </c>
      <c r="K5721" t="s" s="11">
        <v>28770</v>
      </c>
      <c r="L5721" s="17">
        <f>HYPERLINK("http://www.marketreader.com", "www.marketreader.com")</f>
      </c>
      <c r="M5721" s="17">
        <f>HYPERLINK("https://my.pitchbook.com?c=501881-59", "View Company Online")</f>
      </c>
    </row>
    <row r="5722">
      <c r="A5722" t="s" s="10">
        <v>28772</v>
      </c>
      <c r="B5722" t="s" s="10">
        <v>28773</v>
      </c>
      <c r="C5722" t="s" s="10">
        <v>60</v>
      </c>
      <c r="D5722" t="s" s="10">
        <v>61</v>
      </c>
      <c r="E5722" t="s" s="10">
        <v>137</v>
      </c>
      <c r="F5722" s="27">
        <v>45212</v>
      </c>
      <c r="G5722" t="s" s="10">
        <v>48</v>
      </c>
      <c r="H5722" t="s" s="42">
        <v>30</v>
      </c>
      <c r="I5722" t="s" s="42">
        <v>30</v>
      </c>
      <c r="J5722" t="s" s="10">
        <v>28774</v>
      </c>
      <c r="K5722" t="s" s="10">
        <v>28775</v>
      </c>
      <c r="L5722" s="16">
        <f>HYPERLINK("http://www.marketwolf.com", "www.marketwolf.com")</f>
      </c>
      <c r="M5722" s="16">
        <f>HYPERLINK("https://my.pitchbook.com?c=435025-18", "View Company Online")</f>
      </c>
    </row>
    <row r="5723">
      <c r="A5723" t="s" s="11">
        <v>28777</v>
      </c>
      <c r="B5723" t="s" s="11">
        <v>28778</v>
      </c>
      <c r="C5723" t="s" s="11">
        <v>60</v>
      </c>
      <c r="D5723" t="s" s="11">
        <v>61</v>
      </c>
      <c r="E5723" t="s" s="11">
        <v>759</v>
      </c>
      <c r="F5723" t="s" s="28">
        <v>30</v>
      </c>
      <c r="G5723" t="s" s="11">
        <v>48</v>
      </c>
      <c r="H5723" t="s" s="43">
        <v>30</v>
      </c>
      <c r="I5723" t="s" s="43">
        <v>30</v>
      </c>
      <c r="J5723" t="s" s="11">
        <v>28779</v>
      </c>
      <c r="K5723" t="s" s="11">
        <v>28780</v>
      </c>
      <c r="L5723" s="17">
        <f>HYPERLINK("http://www.marketxventures.com", "www.marketxventures.com")</f>
      </c>
      <c r="M5723" s="17">
        <f>HYPERLINK("https://my.pitchbook.com?c=117658-18", "View Company Online")</f>
      </c>
    </row>
    <row r="5724">
      <c r="A5724" t="s" s="10">
        <v>28782</v>
      </c>
      <c r="B5724" t="s" s="10">
        <v>28783</v>
      </c>
      <c r="C5724" t="s" s="10">
        <v>222</v>
      </c>
      <c r="D5724" t="s" s="10">
        <v>223</v>
      </c>
      <c r="E5724" t="s" s="10">
        <v>253</v>
      </c>
      <c r="F5724" s="27">
        <v>44782</v>
      </c>
      <c r="G5724" t="s" s="10">
        <v>40</v>
      </c>
      <c r="H5724" t="s" s="42">
        <v>30</v>
      </c>
      <c r="I5724" t="s" s="42">
        <v>30</v>
      </c>
      <c r="J5724" t="s" s="10">
        <v>28784</v>
      </c>
      <c r="K5724" t="s" s="10">
        <v>28785</v>
      </c>
      <c r="L5724" s="16">
        <f>HYPERLINK("http://www.marketxls.com", "www.marketxls.com")</f>
      </c>
      <c r="M5724" s="16">
        <f>HYPERLINK("https://my.pitchbook.com?c=482307-04", "View Company Online")</f>
      </c>
    </row>
    <row r="5725">
      <c r="A5725" t="s" s="11">
        <v>28787</v>
      </c>
      <c r="B5725" t="s" s="11">
        <v>28788</v>
      </c>
      <c r="C5725" t="s" s="11">
        <v>46</v>
      </c>
      <c r="D5725" t="s" s="11">
        <v>47</v>
      </c>
      <c r="E5725" t="s" s="11">
        <v>259</v>
      </c>
      <c r="F5725" s="28">
        <v>45370</v>
      </c>
      <c r="G5725" t="s" s="11">
        <v>146</v>
      </c>
      <c r="H5725" s="43">
        <v>10.49</v>
      </c>
      <c r="I5725" t="s" s="43">
        <v>30</v>
      </c>
      <c r="J5725" t="s" s="11">
        <v>28789</v>
      </c>
      <c r="K5725" t="s" s="11">
        <v>28790</v>
      </c>
      <c r="L5725" s="17">
        <f>HYPERLINK("http://www.marmalade.com.au", "www.marmalade.com.au")</f>
      </c>
      <c r="M5725" s="17">
        <f>HYPERLINK("https://my.pitchbook.com?c=467242-12", "View Company Online")</f>
      </c>
    </row>
    <row r="5726">
      <c r="A5726" t="s" s="10">
        <v>28792</v>
      </c>
      <c r="B5726" t="s" s="10">
        <v>28793</v>
      </c>
      <c r="C5726" t="s" s="10">
        <v>114</v>
      </c>
      <c r="D5726" t="s" s="10">
        <v>136</v>
      </c>
      <c r="E5726" t="s" s="10">
        <v>137</v>
      </c>
      <c r="F5726" s="27">
        <v>43217</v>
      </c>
      <c r="G5726" t="s" s="10">
        <v>40</v>
      </c>
      <c r="H5726" s="42">
        <v>99.9</v>
      </c>
      <c r="I5726" t="s" s="42">
        <v>30</v>
      </c>
      <c r="J5726" t="s" s="10">
        <v>28794</v>
      </c>
      <c r="K5726" t="s" s="10">
        <v>28795</v>
      </c>
      <c r="L5726" s="16">
        <f>HYPERLINK("http://www.msxf.com", "www.msxf.com")</f>
      </c>
      <c r="M5726" s="16">
        <f>HYPERLINK("https://my.pitchbook.com?c=230749-84", "View Company Online")</f>
      </c>
    </row>
    <row r="5727">
      <c r="A5727" t="s" s="11">
        <v>28797</v>
      </c>
      <c r="B5727" t="s" s="11">
        <v>28798</v>
      </c>
      <c r="C5727" t="s" s="11">
        <v>128</v>
      </c>
      <c r="D5727" t="s" s="11">
        <v>276</v>
      </c>
      <c r="E5727" t="s" s="11">
        <v>270</v>
      </c>
      <c r="F5727" s="28">
        <v>45839</v>
      </c>
      <c r="G5727" t="s" s="11">
        <v>4267</v>
      </c>
      <c r="H5727" s="43">
        <v>0.1</v>
      </c>
      <c r="I5727" t="s" s="43">
        <v>30</v>
      </c>
      <c r="J5727" t="s" s="11">
        <v>28799</v>
      </c>
      <c r="K5727" t="s" s="11">
        <v>28800</v>
      </c>
      <c r="L5727" s="17">
        <f>HYPERLINK("http://www.masroofi.net", "www.masroofi.net")</f>
      </c>
      <c r="M5727" s="17">
        <f>HYPERLINK("https://my.pitchbook.com?c=530464-78", "View Company Online")</f>
      </c>
    </row>
    <row r="5728">
      <c r="A5728" t="s" s="10">
        <v>28802</v>
      </c>
      <c r="B5728" t="s" s="10">
        <v>28803</v>
      </c>
      <c r="C5728" t="s" s="10">
        <v>164</v>
      </c>
      <c r="D5728" t="s" s="10">
        <v>1678</v>
      </c>
      <c r="E5728" t="s" s="10">
        <v>2695</v>
      </c>
      <c r="F5728" s="27">
        <v>46133</v>
      </c>
      <c r="G5728" t="s" s="10">
        <v>607</v>
      </c>
      <c r="H5728" t="s" s="42">
        <v>30</v>
      </c>
      <c r="I5728" t="s" s="42">
        <v>30</v>
      </c>
      <c r="J5728" t="s" s="10">
        <v>28804</v>
      </c>
      <c r="K5728" t="s" s="10">
        <v>28805</v>
      </c>
      <c r="L5728" s="16">
        <f>HYPERLINK("http://masteryhive.ai", "masteryhive.ai")</f>
      </c>
      <c r="M5728" s="16">
        <f>HYPERLINK("https://my.pitchbook.com?c=718721-92", "View Company Online")</f>
      </c>
    </row>
    <row r="5729">
      <c r="A5729" t="s" s="11">
        <v>28807</v>
      </c>
      <c r="B5729" t="s" s="11">
        <v>28808</v>
      </c>
      <c r="C5729" t="s" s="11">
        <v>222</v>
      </c>
      <c r="D5729" t="s" s="11">
        <v>252</v>
      </c>
      <c r="E5729" t="s" s="11">
        <v>137</v>
      </c>
      <c r="F5729" s="28">
        <v>44804</v>
      </c>
      <c r="G5729" t="s" s="11">
        <v>4267</v>
      </c>
      <c r="H5729" s="43">
        <v>3.92</v>
      </c>
      <c r="I5729" t="s" s="43">
        <v>30</v>
      </c>
      <c r="J5729" t="s" s="11">
        <v>28809</v>
      </c>
      <c r="K5729" t="s" s="11">
        <v>30</v>
      </c>
      <c r="L5729" s="17">
        <f>HYPERLINK("http://www.matrixexecutions.com", "www.matrixexecutions.com")</f>
      </c>
      <c r="M5729" s="17">
        <f>HYPERLINK("https://my.pitchbook.com?c=324035-20", "View Company Online")</f>
      </c>
    </row>
    <row r="5730">
      <c r="A5730" t="s" s="10">
        <v>28811</v>
      </c>
      <c r="B5730" t="s" s="10">
        <v>28812</v>
      </c>
      <c r="C5730" t="s" s="10">
        <v>164</v>
      </c>
      <c r="D5730" t="s" s="10">
        <v>1678</v>
      </c>
      <c r="E5730" t="s" s="10">
        <v>414</v>
      </c>
      <c r="F5730" s="27">
        <v>46054</v>
      </c>
      <c r="G5730" t="s" s="10">
        <v>146</v>
      </c>
      <c r="H5730" t="s" s="42">
        <v>30</v>
      </c>
      <c r="I5730" t="s" s="42">
        <v>30</v>
      </c>
      <c r="J5730" t="s" s="10">
        <v>28813</v>
      </c>
      <c r="K5730" t="s" s="10">
        <v>28814</v>
      </c>
      <c r="L5730" s="16">
        <f>HYPERLINK("http://www.trymavenai.com", "www.trymavenai.com")</f>
      </c>
      <c r="M5730" s="16">
        <f>HYPERLINK("https://my.pitchbook.com?c=1319324-32", "View Company Online")</f>
      </c>
    </row>
    <row r="5731">
      <c r="A5731" t="s" s="11">
        <v>28816</v>
      </c>
      <c r="B5731" t="s" s="11">
        <v>28817</v>
      </c>
      <c r="C5731" t="s" s="11">
        <v>27</v>
      </c>
      <c r="D5731" t="s" s="11">
        <v>28</v>
      </c>
      <c r="E5731" t="s" s="11">
        <v>4372</v>
      </c>
      <c r="F5731" s="28">
        <v>44327</v>
      </c>
      <c r="G5731" t="s" s="11">
        <v>4267</v>
      </c>
      <c r="H5731" s="43">
        <v>3</v>
      </c>
      <c r="I5731" t="s" s="43">
        <v>30</v>
      </c>
      <c r="J5731" t="s" s="11">
        <v>28818</v>
      </c>
      <c r="K5731" t="s" s="11">
        <v>28819</v>
      </c>
      <c r="L5731" s="17">
        <f>HYPERLINK("http://www.maviance.com", "www.maviance.com")</f>
      </c>
      <c r="M5731" s="17">
        <f>HYPERLINK("https://my.pitchbook.com?c=466068-34", "View Company Online")</f>
      </c>
    </row>
    <row r="5732">
      <c r="A5732" t="s" s="10">
        <v>28821</v>
      </c>
      <c r="B5732" t="s" s="10">
        <v>28822</v>
      </c>
      <c r="C5732" t="s" s="10">
        <v>60</v>
      </c>
      <c r="D5732" t="s" s="10">
        <v>246</v>
      </c>
      <c r="E5732" t="s" s="10">
        <v>253</v>
      </c>
      <c r="F5732" s="27">
        <v>43831</v>
      </c>
      <c r="G5732" t="s" s="10">
        <v>40</v>
      </c>
      <c r="H5732" t="s" s="42">
        <v>30</v>
      </c>
      <c r="I5732" t="s" s="42">
        <v>30</v>
      </c>
      <c r="J5732" t="s" s="10">
        <v>28823</v>
      </c>
      <c r="K5732" t="s" s="10">
        <v>28824</v>
      </c>
      <c r="L5732" s="16">
        <f>HYPERLINK("http://www.maxmyinterest.com", "www.maxmyinterest.com")</f>
      </c>
      <c r="M5732" s="16">
        <f>HYPERLINK("https://my.pitchbook.com?c=60684-67", "View Company Online")</f>
      </c>
    </row>
    <row r="5733">
      <c r="A5733" t="s" s="11">
        <v>28826</v>
      </c>
      <c r="B5733" t="s" s="11">
        <v>28827</v>
      </c>
      <c r="C5733" t="s" s="11">
        <v>164</v>
      </c>
      <c r="D5733" t="s" s="11">
        <v>165</v>
      </c>
      <c r="E5733" t="s" s="11">
        <v>634</v>
      </c>
      <c r="F5733" s="28">
        <v>46111</v>
      </c>
      <c r="G5733" t="s" s="11">
        <v>607</v>
      </c>
      <c r="H5733" t="s" s="43">
        <v>30</v>
      </c>
      <c r="I5733" t="s" s="43">
        <v>30</v>
      </c>
      <c r="J5733" t="s" s="11">
        <v>28828</v>
      </c>
      <c r="K5733" t="s" s="11">
        <v>28829</v>
      </c>
      <c r="L5733" s="17">
        <f>HYPERLINK("http://www.maxa.ai", "www.maxa.ai")</f>
      </c>
      <c r="M5733" s="17">
        <f>HYPERLINK("https://my.pitchbook.com?c=436059-64", "View Company Online")</f>
      </c>
    </row>
    <row r="5734">
      <c r="A5734" t="s" s="10">
        <v>28831</v>
      </c>
      <c r="B5734" t="s" s="10">
        <v>28832</v>
      </c>
      <c r="C5734" t="s" s="10">
        <v>114</v>
      </c>
      <c r="D5734" t="s" s="10">
        <v>870</v>
      </c>
      <c r="E5734" t="s" s="10">
        <v>373</v>
      </c>
      <c r="F5734" s="27">
        <v>45973</v>
      </c>
      <c r="G5734" t="s" s="10">
        <v>4267</v>
      </c>
      <c r="H5734" s="42">
        <v>2.35</v>
      </c>
      <c r="I5734" t="s" s="42">
        <v>30</v>
      </c>
      <c r="J5734" t="s" s="10">
        <v>28833</v>
      </c>
      <c r="K5734" t="s" s="10">
        <v>30</v>
      </c>
      <c r="L5734" s="16">
        <f>HYPERLINK("http://www.maxbalo.com", "www.maxbalo.com")</f>
      </c>
      <c r="M5734" s="16">
        <f>HYPERLINK("https://my.pitchbook.com?c=1161839-44", "View Company Online")</f>
      </c>
    </row>
    <row r="5735">
      <c r="A5735" t="s" s="11">
        <v>28835</v>
      </c>
      <c r="B5735" t="s" s="11">
        <v>28836</v>
      </c>
      <c r="C5735" t="s" s="11">
        <v>222</v>
      </c>
      <c r="D5735" t="s" s="11">
        <v>537</v>
      </c>
      <c r="E5735" t="s" s="11">
        <v>3087</v>
      </c>
      <c r="F5735" s="28">
        <v>46056</v>
      </c>
      <c r="G5735" t="s" s="11">
        <v>40</v>
      </c>
      <c r="H5735" t="s" s="43">
        <v>30</v>
      </c>
      <c r="I5735" t="s" s="43">
        <v>30</v>
      </c>
      <c r="J5735" t="s" s="11">
        <v>28837</v>
      </c>
      <c r="K5735" t="s" s="11">
        <v>28838</v>
      </c>
      <c r="L5735" s="17">
        <f>HYPERLINK("http://www.maxex.com", "www.maxex.com")</f>
      </c>
      <c r="M5735" s="17">
        <f>HYPERLINK("https://my.pitchbook.com?c=114407-38", "View Company Online")</f>
      </c>
    </row>
    <row r="5736">
      <c r="A5736" t="s" s="10">
        <v>28840</v>
      </c>
      <c r="B5736" t="s" s="10">
        <v>28841</v>
      </c>
      <c r="C5736" t="s" s="10">
        <v>37</v>
      </c>
      <c r="D5736" t="s" s="10">
        <v>38</v>
      </c>
      <c r="E5736" t="s" s="10">
        <v>270</v>
      </c>
      <c r="F5736" s="27">
        <v>44249</v>
      </c>
      <c r="G5736" t="s" s="10">
        <v>4267</v>
      </c>
      <c r="H5736" s="42">
        <v>0.25</v>
      </c>
      <c r="I5736" t="s" s="42">
        <v>30</v>
      </c>
      <c r="J5736" t="s" s="10">
        <v>28842</v>
      </c>
      <c r="K5736" t="s" s="10">
        <v>28843</v>
      </c>
      <c r="L5736" s="16">
        <f>HYPERLINK("http://www.maximo.pe", "www.maximo.pe")</f>
      </c>
      <c r="M5736" s="16">
        <f>HYPERLINK("https://my.pitchbook.com?c=465164-47", "View Company Online")</f>
      </c>
    </row>
    <row r="5737">
      <c r="A5737" t="s" s="11">
        <v>28845</v>
      </c>
      <c r="B5737" t="s" s="11">
        <v>28846</v>
      </c>
      <c r="C5737" t="s" s="11">
        <v>222</v>
      </c>
      <c r="D5737" t="s" s="11">
        <v>235</v>
      </c>
      <c r="E5737" t="s" s="11">
        <v>414</v>
      </c>
      <c r="F5737" s="28">
        <v>45118</v>
      </c>
      <c r="G5737" t="s" s="11">
        <v>607</v>
      </c>
      <c r="H5737" s="43">
        <v>0.03</v>
      </c>
      <c r="I5737" t="s" s="43">
        <v>30</v>
      </c>
      <c r="J5737" t="s" s="11">
        <v>28847</v>
      </c>
      <c r="K5737" t="s" s="11">
        <v>28848</v>
      </c>
      <c r="L5737" s="17">
        <f>HYPERLINK("http://www.maya-climate.com", "www.maya-climate.com")</f>
      </c>
      <c r="M5737" s="17">
        <f>HYPERLINK("https://my.pitchbook.com?c=515330-74", "View Company Online")</f>
      </c>
    </row>
    <row r="5738">
      <c r="A5738" t="s" s="10">
        <v>28850</v>
      </c>
      <c r="B5738" t="s" s="10">
        <v>28851</v>
      </c>
      <c r="C5738" t="s" s="10">
        <v>60</v>
      </c>
      <c r="D5738" t="s" s="10">
        <v>192</v>
      </c>
      <c r="E5738" t="s" s="10">
        <v>253</v>
      </c>
      <c r="F5738" s="27">
        <v>44918</v>
      </c>
      <c r="G5738" t="s" s="10">
        <v>271</v>
      </c>
      <c r="H5738" s="42">
        <v>1.28</v>
      </c>
      <c r="I5738" t="s" s="42">
        <v>30</v>
      </c>
      <c r="J5738" t="s" s="10">
        <v>28852</v>
      </c>
      <c r="K5738" t="s" s="10">
        <v>28853</v>
      </c>
      <c r="L5738" s="16">
        <f>HYPERLINK("http://maybe.co", "maybe.co")</f>
      </c>
      <c r="M5738" s="16">
        <f>HYPERLINK("https://my.pitchbook.com?c=466811-11", "View Company Online")</f>
      </c>
    </row>
    <row r="5739">
      <c r="A5739" t="s" s="11">
        <v>28855</v>
      </c>
      <c r="B5739" t="s" s="11">
        <v>28856</v>
      </c>
      <c r="C5739" t="s" s="11">
        <v>27</v>
      </c>
      <c r="D5739" t="s" s="11">
        <v>70</v>
      </c>
      <c r="E5739" t="s" s="11">
        <v>253</v>
      </c>
      <c r="F5739" s="28">
        <v>45644</v>
      </c>
      <c r="G5739" t="s" s="11">
        <v>40</v>
      </c>
      <c r="H5739" t="s" s="43">
        <v>30</v>
      </c>
      <c r="I5739" t="s" s="43">
        <v>30</v>
      </c>
      <c r="J5739" t="s" s="11">
        <v>28857</v>
      </c>
      <c r="K5739" t="s" s="11">
        <v>28858</v>
      </c>
      <c r="L5739" s="17">
        <f>HYPERLINK("http://www.maycur.com", "www.maycur.com")</f>
      </c>
      <c r="M5739" s="17">
        <f>HYPERLINK("https://my.pitchbook.com?c=343215-10", "View Company Online")</f>
      </c>
    </row>
    <row r="5740">
      <c r="A5740" t="s" s="10">
        <v>28860</v>
      </c>
      <c r="B5740" t="s" s="10">
        <v>28861</v>
      </c>
      <c r="C5740" t="s" s="10">
        <v>46</v>
      </c>
      <c r="D5740" t="s" s="10">
        <v>397</v>
      </c>
      <c r="E5740" t="s" s="10">
        <v>253</v>
      </c>
      <c r="F5740" s="27">
        <v>43832</v>
      </c>
      <c r="G5740" t="s" s="10">
        <v>4267</v>
      </c>
      <c r="H5740" s="42">
        <v>3</v>
      </c>
      <c r="I5740" t="s" s="42">
        <v>30</v>
      </c>
      <c r="J5740" t="s" s="10">
        <v>28862</v>
      </c>
      <c r="K5740" t="s" s="10">
        <v>30</v>
      </c>
      <c r="L5740" s="16">
        <f>HYPERLINK("http://www.mazeed.com", "www.mazeed.com")</f>
      </c>
      <c r="M5740" s="16">
        <f>HYPERLINK("https://my.pitchbook.com?c=494645-05", "View Company Online")</f>
      </c>
    </row>
    <row r="5741">
      <c r="A5741" t="s" s="11">
        <v>28864</v>
      </c>
      <c r="B5741" t="s" s="11">
        <v>28865</v>
      </c>
      <c r="C5741" t="s" s="11">
        <v>27</v>
      </c>
      <c r="D5741" t="s" s="11">
        <v>122</v>
      </c>
      <c r="E5741" t="s" s="11">
        <v>12122</v>
      </c>
      <c r="F5741" s="28">
        <v>45092</v>
      </c>
      <c r="G5741" t="s" s="11">
        <v>4267</v>
      </c>
      <c r="H5741" t="s" s="43">
        <v>30</v>
      </c>
      <c r="I5741" t="s" s="43">
        <v>30</v>
      </c>
      <c r="J5741" t="s" s="11">
        <v>28866</v>
      </c>
      <c r="K5741" t="s" s="11">
        <v>28867</v>
      </c>
      <c r="L5741" s="17">
        <f>HYPERLINK("http://www.mazzuma.com", "www.mazzuma.com")</f>
      </c>
      <c r="M5741" s="17">
        <f>HYPERLINK("https://my.pitchbook.com?c=497260-18", "View Company Online")</f>
      </c>
    </row>
    <row r="5742">
      <c r="A5742" t="s" s="10">
        <v>28869</v>
      </c>
      <c r="B5742" t="s" s="10">
        <v>28870</v>
      </c>
      <c r="C5742" t="s" s="10">
        <v>164</v>
      </c>
      <c r="D5742" t="s" s="10">
        <v>206</v>
      </c>
      <c r="E5742" t="s" s="10">
        <v>253</v>
      </c>
      <c r="F5742" s="27">
        <v>46227</v>
      </c>
      <c r="G5742" t="s" s="10">
        <v>31</v>
      </c>
      <c r="H5742" t="s" s="42">
        <v>30</v>
      </c>
      <c r="I5742" t="s" s="42">
        <v>30</v>
      </c>
      <c r="J5742" t="s" s="10">
        <v>28871</v>
      </c>
      <c r="K5742" t="s" s="10">
        <v>28872</v>
      </c>
      <c r="L5742" s="16">
        <f>HYPERLINK("http://www.mbanq.com", "www.mbanq.com")</f>
      </c>
      <c r="M5742" s="16">
        <f>HYPERLINK("https://my.pitchbook.com?c=232305-13", "View Company Online")</f>
      </c>
    </row>
    <row r="5743">
      <c r="A5743" t="s" s="11">
        <v>28874</v>
      </c>
      <c r="B5743" t="s" s="11">
        <v>28875</v>
      </c>
      <c r="C5743" t="s" s="11">
        <v>60</v>
      </c>
      <c r="D5743" t="s" s="11">
        <v>192</v>
      </c>
      <c r="E5743" t="s" s="11">
        <v>367</v>
      </c>
      <c r="F5743" s="28">
        <v>46203</v>
      </c>
      <c r="G5743" t="s" s="11">
        <v>40</v>
      </c>
      <c r="H5743" s="43">
        <v>27</v>
      </c>
      <c r="I5743" t="s" s="43">
        <v>30</v>
      </c>
      <c r="J5743" t="s" s="11">
        <v>28876</v>
      </c>
      <c r="K5743" t="s" s="11">
        <v>28877</v>
      </c>
      <c r="L5743" s="17">
        <f>HYPERLINK("http://www.mdotm.ai", "www.mdotm.ai")</f>
      </c>
      <c r="M5743" s="17">
        <f>HYPERLINK("https://my.pitchbook.com?c=230097-52", "View Company Online")</f>
      </c>
    </row>
    <row r="5744">
      <c r="A5744" t="s" s="10">
        <v>28879</v>
      </c>
      <c r="B5744" t="s" s="10">
        <v>28880</v>
      </c>
      <c r="C5744" t="s" s="10">
        <v>114</v>
      </c>
      <c r="D5744" t="s" s="10">
        <v>870</v>
      </c>
      <c r="E5744" t="s" s="10">
        <v>270</v>
      </c>
      <c r="F5744" s="27">
        <v>45931</v>
      </c>
      <c r="G5744" t="s" s="10">
        <v>146</v>
      </c>
      <c r="H5744" t="s" s="42">
        <v>30</v>
      </c>
      <c r="I5744" t="s" s="42">
        <v>30</v>
      </c>
      <c r="J5744" t="s" s="10">
        <v>28881</v>
      </c>
      <c r="K5744" t="s" s="10">
        <v>28882</v>
      </c>
      <c r="L5744" s="16">
        <f>HYPERLINK("http://www.mediacredit.com.br", "www.mediacredit.com.br")</f>
      </c>
      <c r="M5744" s="16">
        <f>HYPERLINK("https://my.pitchbook.com?c=748004-05", "View Company Online")</f>
      </c>
    </row>
    <row r="5745">
      <c r="A5745" t="s" s="11">
        <v>28884</v>
      </c>
      <c r="B5745" t="s" s="11">
        <v>28885</v>
      </c>
      <c r="C5745" t="s" s="11">
        <v>164</v>
      </c>
      <c r="D5745" t="s" s="11">
        <v>165</v>
      </c>
      <c r="E5745" t="s" s="11">
        <v>253</v>
      </c>
      <c r="F5745" s="28">
        <v>44666</v>
      </c>
      <c r="G5745" t="s" s="11">
        <v>40</v>
      </c>
      <c r="H5745" s="43">
        <v>5</v>
      </c>
      <c r="I5745" t="s" s="43">
        <v>30</v>
      </c>
      <c r="J5745" t="s" s="11">
        <v>28886</v>
      </c>
      <c r="K5745" t="s" s="11">
        <v>28887</v>
      </c>
      <c r="L5745" s="17">
        <f>HYPERLINK("http://www.medicibank.us", "www.medicibank.us")</f>
      </c>
      <c r="M5745" s="17">
        <f>HYPERLINK("https://my.pitchbook.com?c=489553-93", "View Company Online")</f>
      </c>
    </row>
    <row r="5746">
      <c r="A5746" t="s" s="10">
        <v>28889</v>
      </c>
      <c r="B5746" t="s" s="10">
        <v>28890</v>
      </c>
      <c r="C5746" t="s" s="10">
        <v>46</v>
      </c>
      <c r="D5746" t="s" s="10">
        <v>47</v>
      </c>
      <c r="E5746" t="s" s="10">
        <v>1859</v>
      </c>
      <c r="F5746" s="27">
        <v>45904</v>
      </c>
      <c r="G5746" t="s" s="10">
        <v>4267</v>
      </c>
      <c r="H5746" s="42">
        <v>2</v>
      </c>
      <c r="I5746" t="s" s="42">
        <v>30</v>
      </c>
      <c r="J5746" t="s" s="10">
        <v>28891</v>
      </c>
      <c r="K5746" t="s" s="10">
        <v>28892</v>
      </c>
      <c r="L5746" s="16">
        <f>HYPERLINK("http://www.mega.ai", "www.mega.ai")</f>
      </c>
      <c r="M5746" s="16">
        <f>HYPERLINK("https://my.pitchbook.com?c=633853-99", "View Company Online")</f>
      </c>
    </row>
    <row r="5747">
      <c r="A5747" t="s" s="11">
        <v>28894</v>
      </c>
      <c r="B5747" t="s" s="11">
        <v>28895</v>
      </c>
      <c r="C5747" t="s" s="11">
        <v>60</v>
      </c>
      <c r="D5747" t="s" s="11">
        <v>192</v>
      </c>
      <c r="E5747" t="s" s="11">
        <v>193</v>
      </c>
      <c r="F5747" s="28">
        <v>44398</v>
      </c>
      <c r="G5747" t="s" s="11">
        <v>40</v>
      </c>
      <c r="H5747" s="43">
        <v>15.44</v>
      </c>
      <c r="I5747" t="s" s="43">
        <v>30</v>
      </c>
      <c r="J5747" t="s" s="11">
        <v>28896</v>
      </c>
      <c r="K5747" t="s" s="11">
        <v>28897</v>
      </c>
      <c r="L5747" s="17">
        <f>HYPERLINK("http://www.meix.com", "www.meix.com")</f>
      </c>
      <c r="M5747" s="17">
        <f>HYPERLINK("https://my.pitchbook.com?c=436512-61", "View Company Online")</f>
      </c>
    </row>
    <row r="5748">
      <c r="A5748" t="s" s="10">
        <v>28899</v>
      </c>
      <c r="B5748" t="s" s="10">
        <v>28900</v>
      </c>
      <c r="C5748" t="s" s="10">
        <v>46</v>
      </c>
      <c r="D5748" t="s" s="10">
        <v>397</v>
      </c>
      <c r="E5748" t="s" s="10">
        <v>152</v>
      </c>
      <c r="F5748" s="27">
        <v>44694</v>
      </c>
      <c r="G5748" t="s" s="10">
        <v>40</v>
      </c>
      <c r="H5748" s="42">
        <v>50</v>
      </c>
      <c r="I5748" t="s" s="42">
        <v>30</v>
      </c>
      <c r="J5748" t="s" s="10">
        <v>28901</v>
      </c>
      <c r="K5748" t="s" s="10">
        <v>28902</v>
      </c>
      <c r="L5748" s="16">
        <f>HYPERLINK("http://www.mekari.com", "www.mekari.com")</f>
      </c>
      <c r="M5748" s="16">
        <f>HYPERLINK("https://my.pitchbook.com?c=279282-07", "View Company Online")</f>
      </c>
    </row>
    <row r="5749">
      <c r="A5749" t="s" s="11">
        <v>28904</v>
      </c>
      <c r="B5749" t="s" s="11">
        <v>28905</v>
      </c>
      <c r="C5749" t="s" s="11">
        <v>27</v>
      </c>
      <c r="D5749" t="s" s="11">
        <v>28</v>
      </c>
      <c r="E5749" t="s" s="11">
        <v>28906</v>
      </c>
      <c r="F5749" s="28">
        <v>43522</v>
      </c>
      <c r="G5749" t="s" s="11">
        <v>4267</v>
      </c>
      <c r="H5749" s="43">
        <v>1.48</v>
      </c>
      <c r="I5749" t="s" s="43">
        <v>30</v>
      </c>
      <c r="J5749" t="s" s="11">
        <v>28907</v>
      </c>
      <c r="K5749" t="s" s="11">
        <v>30</v>
      </c>
      <c r="L5749" s="17">
        <f>HYPERLINK("http://www.meke-shanghai.com", "www.meke-shanghai.com")</f>
      </c>
      <c r="M5749" s="17">
        <f>HYPERLINK("https://my.pitchbook.com?c=339858-91", "View Company Online")</f>
      </c>
    </row>
    <row r="5750">
      <c r="A5750" t="s" s="10">
        <v>28909</v>
      </c>
      <c r="B5750" t="s" s="10">
        <v>28910</v>
      </c>
      <c r="C5750" t="s" s="10">
        <v>114</v>
      </c>
      <c r="D5750" t="s" s="10">
        <v>136</v>
      </c>
      <c r="E5750" t="s" s="10">
        <v>28911</v>
      </c>
      <c r="F5750" s="27">
        <v>45589</v>
      </c>
      <c r="G5750" t="s" s="10">
        <v>607</v>
      </c>
      <c r="H5750" s="42">
        <v>0.01</v>
      </c>
      <c r="I5750" t="s" s="42">
        <v>30</v>
      </c>
      <c r="J5750" t="s" s="10">
        <v>28912</v>
      </c>
      <c r="K5750" t="s" s="10">
        <v>28913</v>
      </c>
      <c r="L5750" s="16">
        <f>HYPERLINK("http://www.melaninkapital.com", "www.melaninkapital.com")</f>
      </c>
      <c r="M5750" s="16">
        <f>HYPERLINK("https://my.pitchbook.com?c=494987-05", "View Company Online")</f>
      </c>
    </row>
    <row r="5751">
      <c r="A5751" t="s" s="11">
        <v>28915</v>
      </c>
      <c r="B5751" t="s" s="11">
        <v>28916</v>
      </c>
      <c r="C5751" t="s" s="11">
        <v>164</v>
      </c>
      <c r="D5751" t="s" s="11">
        <v>206</v>
      </c>
      <c r="E5751" t="s" s="11">
        <v>253</v>
      </c>
      <c r="F5751" s="28">
        <v>46199</v>
      </c>
      <c r="G5751" t="s" s="11">
        <v>2051</v>
      </c>
      <c r="H5751" t="s" s="43">
        <v>30</v>
      </c>
      <c r="I5751" t="s" s="43">
        <v>30</v>
      </c>
      <c r="J5751" t="s" s="11">
        <v>28917</v>
      </c>
      <c r="K5751" t="s" s="11">
        <v>30</v>
      </c>
      <c r="L5751" s="17">
        <f>HYPERLINK("http://www.mementopayments.com", "www.mementopayments.com")</f>
      </c>
      <c r="M5751" s="17">
        <f>HYPERLINK("https://my.pitchbook.com?c=171016-93", "View Company Online")</f>
      </c>
    </row>
    <row r="5752">
      <c r="A5752" t="s" s="10">
        <v>28919</v>
      </c>
      <c r="B5752" t="s" s="10">
        <v>28920</v>
      </c>
      <c r="C5752" t="s" s="10">
        <v>37</v>
      </c>
      <c r="D5752" t="s" s="10">
        <v>304</v>
      </c>
      <c r="E5752" t="s" s="10">
        <v>3352</v>
      </c>
      <c r="F5752" s="27">
        <v>46023</v>
      </c>
      <c r="G5752" t="s" s="10">
        <v>146</v>
      </c>
      <c r="H5752" t="s" s="42">
        <v>30</v>
      </c>
      <c r="I5752" t="s" s="42">
        <v>30</v>
      </c>
      <c r="J5752" t="s" s="10">
        <v>28921</v>
      </c>
      <c r="K5752" t="s" s="10">
        <v>28922</v>
      </c>
      <c r="L5752" s="16">
        <f>HYPERLINK("http://www.mend.com.mx", "www.mend.com.mx")</f>
      </c>
      <c r="M5752" s="16">
        <f>HYPERLINK("https://my.pitchbook.com?c=521679-70", "View Company Online")</f>
      </c>
    </row>
    <row r="5753">
      <c r="A5753" t="s" s="11">
        <v>28924</v>
      </c>
      <c r="B5753" t="s" s="11">
        <v>28925</v>
      </c>
      <c r="C5753" t="s" s="11">
        <v>27</v>
      </c>
      <c r="D5753" t="s" s="11">
        <v>70</v>
      </c>
      <c r="E5753" t="s" s="11">
        <v>2788</v>
      </c>
      <c r="F5753" s="28">
        <v>45902</v>
      </c>
      <c r="G5753" t="s" s="11">
        <v>607</v>
      </c>
      <c r="H5753" s="43">
        <v>0.07</v>
      </c>
      <c r="I5753" t="s" s="43">
        <v>30</v>
      </c>
      <c r="J5753" t="s" s="11">
        <v>28926</v>
      </c>
      <c r="K5753" t="s" s="11">
        <v>28927</v>
      </c>
      <c r="L5753" s="17">
        <f>HYPERLINK("http://mansa.xyz", "mansa.xyz")</f>
      </c>
      <c r="M5753" s="17">
        <f>HYPERLINK("https://my.pitchbook.com?c=720865-18", "View Company Online")</f>
      </c>
    </row>
    <row r="5754">
      <c r="A5754" t="s" s="10">
        <v>28929</v>
      </c>
      <c r="B5754" t="s" s="10">
        <v>28930</v>
      </c>
      <c r="C5754" t="s" s="10">
        <v>27</v>
      </c>
      <c r="D5754" t="s" s="10">
        <v>28</v>
      </c>
      <c r="E5754" t="s" s="10">
        <v>973</v>
      </c>
      <c r="F5754" s="27">
        <v>45047</v>
      </c>
      <c r="G5754" t="s" s="10">
        <v>4267</v>
      </c>
      <c r="H5754" t="s" s="42">
        <v>30</v>
      </c>
      <c r="I5754" t="s" s="42">
        <v>30</v>
      </c>
      <c r="J5754" t="s" s="10">
        <v>28931</v>
      </c>
      <c r="K5754" t="s" s="10">
        <v>28932</v>
      </c>
      <c r="L5754" s="16">
        <f>HYPERLINK("http://www.menta.global", "www.menta.global")</f>
      </c>
      <c r="M5754" s="16">
        <f>HYPERLINK("https://my.pitchbook.com?c=497902-60", "View Company Online")</f>
      </c>
    </row>
    <row r="5755">
      <c r="A5755" t="s" s="11">
        <v>28934</v>
      </c>
      <c r="B5755" t="s" s="11">
        <v>28935</v>
      </c>
      <c r="C5755" t="s" s="11">
        <v>60</v>
      </c>
      <c r="D5755" t="s" s="11">
        <v>192</v>
      </c>
      <c r="E5755" t="s" s="11">
        <v>270</v>
      </c>
      <c r="F5755" s="28">
        <v>45117</v>
      </c>
      <c r="G5755" t="s" s="11">
        <v>4267</v>
      </c>
      <c r="H5755" t="s" s="43">
        <v>30</v>
      </c>
      <c r="I5755" t="s" s="43">
        <v>30</v>
      </c>
      <c r="J5755" t="s" s="11">
        <v>28936</v>
      </c>
      <c r="K5755" t="s" s="11">
        <v>28937</v>
      </c>
      <c r="L5755" s="17">
        <f>HYPERLINK("http://www.menthum.com", "www.menthum.com")</f>
      </c>
      <c r="M5755" s="17">
        <f>HYPERLINK("https://my.pitchbook.com?c=530656-03", "View Company Online")</f>
      </c>
    </row>
    <row r="5756">
      <c r="A5756" t="s" s="10">
        <v>28939</v>
      </c>
      <c r="B5756" t="s" s="10">
        <v>28940</v>
      </c>
      <c r="C5756" t="s" s="10">
        <v>222</v>
      </c>
      <c r="D5756" t="s" s="10">
        <v>223</v>
      </c>
      <c r="E5756" t="s" s="10">
        <v>137</v>
      </c>
      <c r="F5756" s="27">
        <v>45778</v>
      </c>
      <c r="G5756" t="s" s="10">
        <v>146</v>
      </c>
      <c r="H5756" t="s" s="42">
        <v>30</v>
      </c>
      <c r="I5756" t="s" s="42">
        <v>30</v>
      </c>
      <c r="J5756" t="s" s="10">
        <v>28941</v>
      </c>
      <c r="K5756" t="s" s="10">
        <v>28942</v>
      </c>
      <c r="L5756" s="16">
        <f>HYPERLINK("http://mercataintel.com", "mercataintel.com")</f>
      </c>
      <c r="M5756" s="16">
        <f>HYPERLINK("https://my.pitchbook.com?c=844638-40", "View Company Online")</f>
      </c>
    </row>
    <row r="5757">
      <c r="A5757" t="s" s="11">
        <v>28944</v>
      </c>
      <c r="B5757" t="s" s="11">
        <v>28945</v>
      </c>
      <c r="C5757" t="s" s="11">
        <v>46</v>
      </c>
      <c r="D5757" t="s" s="11">
        <v>47</v>
      </c>
      <c r="E5757" t="s" s="11">
        <v>4219</v>
      </c>
      <c r="F5757" t="s" s="28">
        <v>30</v>
      </c>
      <c r="G5757" t="s" s="11">
        <v>146</v>
      </c>
      <c r="H5757" t="s" s="43">
        <v>30</v>
      </c>
      <c r="I5757" t="s" s="43">
        <v>30</v>
      </c>
      <c r="J5757" t="s" s="11">
        <v>28946</v>
      </c>
      <c r="K5757" t="s" s="11">
        <v>28947</v>
      </c>
      <c r="L5757" s="17">
        <f>HYPERLINK("http://www.mercoa.com", "www.mercoa.com")</f>
      </c>
      <c r="M5757" s="17">
        <f>HYPERLINK("https://my.pitchbook.com?c=521496-91", "View Company Online")</f>
      </c>
    </row>
    <row r="5758">
      <c r="A5758" t="s" s="10">
        <v>28949</v>
      </c>
      <c r="B5758" t="s" s="10">
        <v>28950</v>
      </c>
      <c r="C5758" t="s" s="10">
        <v>222</v>
      </c>
      <c r="D5758" t="s" s="10">
        <v>223</v>
      </c>
      <c r="E5758" t="s" s="10">
        <v>414</v>
      </c>
      <c r="F5758" s="27">
        <v>45828</v>
      </c>
      <c r="G5758" t="s" s="10">
        <v>4267</v>
      </c>
      <c r="H5758" s="42">
        <v>7</v>
      </c>
      <c r="I5758" t="s" s="42">
        <v>30</v>
      </c>
      <c r="J5758" t="s" s="10">
        <v>28951</v>
      </c>
      <c r="K5758" t="s" s="10">
        <v>28952</v>
      </c>
      <c r="L5758" s="16">
        <f>HYPERLINK("http://www.meridian-ai.com", "www.meridian-ai.com")</f>
      </c>
      <c r="M5758" s="16">
        <f>HYPERLINK("https://my.pitchbook.com?c=589065-58", "View Company Online")</f>
      </c>
    </row>
    <row r="5759">
      <c r="A5759" t="s" s="11">
        <v>28954</v>
      </c>
      <c r="B5759" t="s" s="11">
        <v>28955</v>
      </c>
      <c r="C5759" t="s" s="11">
        <v>164</v>
      </c>
      <c r="D5759" t="s" s="11">
        <v>206</v>
      </c>
      <c r="E5759" t="s" s="11">
        <v>28956</v>
      </c>
      <c r="F5759" s="28">
        <v>45870</v>
      </c>
      <c r="G5759" t="s" s="11">
        <v>4267</v>
      </c>
      <c r="H5759" s="43">
        <v>3</v>
      </c>
      <c r="I5759" t="s" s="43">
        <v>30</v>
      </c>
      <c r="J5759" t="s" s="11">
        <v>28957</v>
      </c>
      <c r="K5759" t="s" s="11">
        <v>30</v>
      </c>
      <c r="L5759" s="17">
        <f>HYPERLINK("http://www.merso.io", "www.merso.io")</f>
      </c>
      <c r="M5759" s="17">
        <f>HYPERLINK("https://my.pitchbook.com?c=664519-69", "View Company Online")</f>
      </c>
    </row>
    <row r="5760">
      <c r="A5760" t="s" s="10">
        <v>28959</v>
      </c>
      <c r="B5760" t="s" s="10">
        <v>28960</v>
      </c>
      <c r="C5760" t="s" s="10">
        <v>222</v>
      </c>
      <c r="D5760" t="s" s="10">
        <v>235</v>
      </c>
      <c r="E5760" t="s" s="10">
        <v>253</v>
      </c>
      <c r="F5760" s="27">
        <v>43556</v>
      </c>
      <c r="G5760" t="s" s="10">
        <v>40</v>
      </c>
      <c r="H5760" t="s" s="42">
        <v>30</v>
      </c>
      <c r="I5760" t="s" s="42">
        <v>30</v>
      </c>
      <c r="J5760" t="s" s="10">
        <v>28961</v>
      </c>
      <c r="K5760" t="s" s="10">
        <v>28962</v>
      </c>
      <c r="L5760" s="16">
        <f>HYPERLINK("http://www.mesfix.com", "www.mesfix.com")</f>
      </c>
      <c r="M5760" s="16">
        <f>HYPERLINK("https://my.pitchbook.com?c=492829-39", "View Company Online")</f>
      </c>
    </row>
    <row r="5761">
      <c r="A5761" t="s" s="11">
        <v>28964</v>
      </c>
      <c r="B5761" t="s" s="11">
        <v>28965</v>
      </c>
      <c r="C5761" t="s" s="11">
        <v>27</v>
      </c>
      <c r="D5761" t="s" s="11">
        <v>70</v>
      </c>
      <c r="E5761" t="s" s="11">
        <v>5051</v>
      </c>
      <c r="F5761" s="28">
        <v>44931</v>
      </c>
      <c r="G5761" t="s" s="11">
        <v>48</v>
      </c>
      <c r="H5761" t="s" s="43">
        <v>30</v>
      </c>
      <c r="I5761" t="s" s="43">
        <v>30</v>
      </c>
      <c r="J5761" t="s" s="11">
        <v>28966</v>
      </c>
      <c r="K5761" t="s" s="11">
        <v>28967</v>
      </c>
      <c r="L5761" s="17">
        <f>HYPERLINK("http://www.meshpayments.com", "www.meshpayments.com")</f>
      </c>
      <c r="M5761" s="17">
        <f>HYPERLINK("https://my.pitchbook.com?c=264871-72", "View Company Online")</f>
      </c>
    </row>
    <row r="5762">
      <c r="A5762" t="s" s="10">
        <v>28969</v>
      </c>
      <c r="B5762" t="s" s="10">
        <v>28970</v>
      </c>
      <c r="C5762" t="s" s="10">
        <v>27</v>
      </c>
      <c r="D5762" t="s" s="10">
        <v>70</v>
      </c>
      <c r="E5762" t="s" s="10">
        <v>629</v>
      </c>
      <c r="F5762" s="27">
        <v>46023</v>
      </c>
      <c r="G5762" t="s" s="10">
        <v>31</v>
      </c>
      <c r="H5762" s="42">
        <v>0.38</v>
      </c>
      <c r="I5762" t="s" s="42">
        <v>30</v>
      </c>
      <c r="J5762" t="s" s="10">
        <v>28971</v>
      </c>
      <c r="K5762" t="s" s="10">
        <v>28972</v>
      </c>
      <c r="L5762" s="16">
        <f>HYPERLINK("http://www.mesta.xyz", "www.mesta.xyz")</f>
      </c>
      <c r="M5762" s="16">
        <f>HYPERLINK("https://my.pitchbook.com?c=615959-02", "View Company Online")</f>
      </c>
    </row>
    <row r="5763">
      <c r="A5763" t="s" s="11">
        <v>28974</v>
      </c>
      <c r="B5763" t="s" s="11">
        <v>28975</v>
      </c>
      <c r="C5763" t="s" s="11">
        <v>27</v>
      </c>
      <c r="D5763" t="s" s="11">
        <v>122</v>
      </c>
      <c r="E5763" t="s" s="11">
        <v>137</v>
      </c>
      <c r="F5763" s="28">
        <v>46092</v>
      </c>
      <c r="G5763" t="s" s="11">
        <v>40</v>
      </c>
      <c r="H5763" s="43">
        <v>13</v>
      </c>
      <c r="I5763" t="s" s="43">
        <v>30</v>
      </c>
      <c r="J5763" t="s" s="11">
        <v>28976</v>
      </c>
      <c r="K5763" t="s" s="11">
        <v>28977</v>
      </c>
      <c r="L5763" s="17">
        <f>HYPERLINK("http://www.mce.sg", "www.mce.sg")</f>
      </c>
      <c r="M5763" s="17">
        <f>HYPERLINK("https://my.pitchbook.com?c=566889-94", "View Company Online")</f>
      </c>
    </row>
    <row r="5764">
      <c r="A5764" t="s" s="10">
        <v>28979</v>
      </c>
      <c r="B5764" t="s" s="10">
        <v>28980</v>
      </c>
      <c r="C5764" t="s" s="10">
        <v>222</v>
      </c>
      <c r="D5764" t="s" s="10">
        <v>252</v>
      </c>
      <c r="E5764" t="s" s="10">
        <v>311</v>
      </c>
      <c r="F5764" s="27">
        <v>45894</v>
      </c>
      <c r="G5764" t="s" s="10">
        <v>146</v>
      </c>
      <c r="H5764" s="42">
        <v>5.5</v>
      </c>
      <c r="I5764" t="s" s="42">
        <v>30</v>
      </c>
      <c r="J5764" t="s" s="10">
        <v>28981</v>
      </c>
      <c r="K5764" t="s" s="10">
        <v>28982</v>
      </c>
      <c r="L5764" s="16">
        <f>HYPERLINK("http://www.metafyed.com", "www.metafyed.com")</f>
      </c>
      <c r="M5764" s="16">
        <f>HYPERLINK("https://my.pitchbook.com?c=663758-92", "View Company Online")</f>
      </c>
    </row>
    <row r="5765">
      <c r="A5765" t="s" s="11">
        <v>28984</v>
      </c>
      <c r="B5765" t="s" s="11">
        <v>28985</v>
      </c>
      <c r="C5765" t="s" s="11">
        <v>60</v>
      </c>
      <c r="D5765" t="s" s="11">
        <v>192</v>
      </c>
      <c r="E5765" t="s" s="11">
        <v>253</v>
      </c>
      <c r="F5765" s="28">
        <v>45748</v>
      </c>
      <c r="G5765" t="s" s="11">
        <v>607</v>
      </c>
      <c r="H5765" t="s" s="43">
        <v>30</v>
      </c>
      <c r="I5765" t="s" s="43">
        <v>30</v>
      </c>
      <c r="J5765" t="s" s="11">
        <v>28986</v>
      </c>
      <c r="K5765" t="s" s="11">
        <v>28987</v>
      </c>
      <c r="L5765" s="17">
        <f>HYPERLINK("http://www.metalogos.ai", "www.metalogos.ai")</f>
      </c>
      <c r="M5765" s="17">
        <f>HYPERLINK("https://my.pitchbook.com?c=528958-81", "View Company Online")</f>
      </c>
    </row>
    <row r="5766">
      <c r="A5766" t="s" s="10">
        <v>28989</v>
      </c>
      <c r="B5766" t="s" s="10">
        <v>28990</v>
      </c>
      <c r="C5766" t="s" s="10">
        <v>60</v>
      </c>
      <c r="D5766" t="s" s="10">
        <v>246</v>
      </c>
      <c r="E5766" t="s" s="10">
        <v>759</v>
      </c>
      <c r="F5766" s="27">
        <v>43838</v>
      </c>
      <c r="G5766" t="s" s="10">
        <v>146</v>
      </c>
      <c r="H5766" s="42">
        <v>6.02</v>
      </c>
      <c r="I5766" t="s" s="42">
        <v>30</v>
      </c>
      <c r="J5766" t="s" s="10">
        <v>28991</v>
      </c>
      <c r="K5766" t="s" s="10">
        <v>30</v>
      </c>
      <c r="L5766" s="16">
        <f>HYPERLINK("http://www.metaurus.com", "www.metaurus.com")</f>
      </c>
      <c r="M5766" s="16">
        <f>HYPERLINK("https://my.pitchbook.com?c=184916-62", "View Company Online")</f>
      </c>
    </row>
    <row r="5767">
      <c r="A5767" t="s" s="11">
        <v>28993</v>
      </c>
      <c r="B5767" t="s" s="11">
        <v>28994</v>
      </c>
      <c r="C5767" t="s" s="11">
        <v>46</v>
      </c>
      <c r="D5767" t="s" s="11">
        <v>397</v>
      </c>
      <c r="E5767" t="s" s="11">
        <v>29</v>
      </c>
      <c r="F5767" s="28">
        <v>45745</v>
      </c>
      <c r="G5767" t="s" s="11">
        <v>4267</v>
      </c>
      <c r="H5767" s="43">
        <v>1.5</v>
      </c>
      <c r="I5767" t="s" s="43">
        <v>30</v>
      </c>
      <c r="J5767" t="s" s="11">
        <v>28995</v>
      </c>
      <c r="K5767" t="s" s="11">
        <v>28996</v>
      </c>
      <c r="L5767" s="17">
        <f>HYPERLINK("http://www.metricapp.co", "www.metricapp.co")</f>
      </c>
      <c r="M5767" s="17">
        <f>HYPERLINK("https://my.pitchbook.com?c=493830-19", "View Company Online")</f>
      </c>
    </row>
    <row r="5768">
      <c r="A5768" t="s" s="10">
        <v>28998</v>
      </c>
      <c r="B5768" t="s" s="10">
        <v>28999</v>
      </c>
      <c r="C5768" t="s" s="10">
        <v>46</v>
      </c>
      <c r="D5768" t="s" s="10">
        <v>47</v>
      </c>
      <c r="E5768" t="s" s="10">
        <v>253</v>
      </c>
      <c r="F5768" s="27">
        <v>44896</v>
      </c>
      <c r="G5768" t="s" s="10">
        <v>40</v>
      </c>
      <c r="H5768" t="s" s="42">
        <v>30</v>
      </c>
      <c r="I5768" t="s" s="42">
        <v>30</v>
      </c>
      <c r="J5768" t="s" s="10">
        <v>29000</v>
      </c>
      <c r="K5768" t="s" s="10">
        <v>29001</v>
      </c>
      <c r="L5768" s="16">
        <f>HYPERLINK("http://www.meusimples.com.br", "www.meusimples.com.br")</f>
      </c>
      <c r="M5768" s="16">
        <f>HYPERLINK("https://my.pitchbook.com?c=516973-51", "View Company Online")</f>
      </c>
    </row>
    <row r="5769">
      <c r="A5769" t="s" s="11">
        <v>29003</v>
      </c>
      <c r="B5769" t="s" s="11">
        <v>2174</v>
      </c>
      <c r="C5769" t="s" s="11">
        <v>27</v>
      </c>
      <c r="D5769" t="s" s="11">
        <v>70</v>
      </c>
      <c r="E5769" t="s" s="11">
        <v>311</v>
      </c>
      <c r="F5769" s="28">
        <v>45992</v>
      </c>
      <c r="G5769" t="s" s="11">
        <v>146</v>
      </c>
      <c r="H5769" t="s" s="43">
        <v>30</v>
      </c>
      <c r="I5769" t="s" s="43">
        <v>30</v>
      </c>
      <c r="J5769" t="s" s="11">
        <v>29004</v>
      </c>
      <c r="K5769" t="s" s="11">
        <v>29005</v>
      </c>
      <c r="L5769" s="17">
        <f>HYPERLINK("http://www.mezz.finance", "www.mezz.finance")</f>
      </c>
      <c r="M5769" s="17">
        <f>HYPERLINK("https://my.pitchbook.com?c=1172088-55", "View Company Online")</f>
      </c>
    </row>
    <row r="5770">
      <c r="A5770" t="s" s="10">
        <v>29007</v>
      </c>
      <c r="B5770" t="s" s="10">
        <v>29008</v>
      </c>
      <c r="C5770" t="s" s="10">
        <v>164</v>
      </c>
      <c r="D5770" t="s" s="10">
        <v>206</v>
      </c>
      <c r="E5770" t="s" s="10">
        <v>270</v>
      </c>
      <c r="F5770" s="27">
        <v>45604</v>
      </c>
      <c r="G5770" t="s" s="10">
        <v>40</v>
      </c>
      <c r="H5770" s="42">
        <v>15</v>
      </c>
      <c r="I5770" t="s" s="42">
        <v>30</v>
      </c>
      <c r="J5770" t="s" s="10">
        <v>29009</v>
      </c>
      <c r="K5770" t="s" s="10">
        <v>29010</v>
      </c>
      <c r="L5770" s="16">
        <f>HYPERLINK("http://www.mfast.vn", "www.mfast.vn")</f>
      </c>
      <c r="M5770" s="16">
        <f>HYPERLINK("https://my.pitchbook.com?c=468903-61", "View Company Online")</f>
      </c>
    </row>
    <row r="5771">
      <c r="A5771" t="s" s="11">
        <v>29012</v>
      </c>
      <c r="B5771" t="s" s="11">
        <v>29013</v>
      </c>
      <c r="C5771" t="s" s="11">
        <v>27</v>
      </c>
      <c r="D5771" t="s" s="11">
        <v>28</v>
      </c>
      <c r="E5771" t="s" s="11">
        <v>137</v>
      </c>
      <c r="F5771" s="28">
        <v>45833</v>
      </c>
      <c r="G5771" t="s" s="11">
        <v>40</v>
      </c>
      <c r="H5771" s="43">
        <v>5.78</v>
      </c>
      <c r="I5771" t="s" s="43">
        <v>30</v>
      </c>
      <c r="J5771" t="s" s="11">
        <v>29014</v>
      </c>
      <c r="K5771" t="s" s="11">
        <v>29015</v>
      </c>
      <c r="L5771" s="17">
        <f>HYPERLINK("http://www.micamp.com", "www.micamp.com")</f>
      </c>
      <c r="M5771" s="17">
        <f>HYPERLINK("https://my.pitchbook.com?c=96395-59", "View Company Online")</f>
      </c>
    </row>
    <row r="5772">
      <c r="A5772" t="s" s="10">
        <v>29017</v>
      </c>
      <c r="B5772" t="s" s="10">
        <v>29018</v>
      </c>
      <c r="C5772" t="s" s="10">
        <v>60</v>
      </c>
      <c r="D5772" t="s" s="10">
        <v>246</v>
      </c>
      <c r="E5772" t="s" s="10">
        <v>137</v>
      </c>
      <c r="F5772" s="27">
        <v>43617</v>
      </c>
      <c r="G5772" t="s" s="10">
        <v>146</v>
      </c>
      <c r="H5772" s="42">
        <v>0.84</v>
      </c>
      <c r="I5772" t="s" s="42">
        <v>30</v>
      </c>
      <c r="J5772" t="s" s="10">
        <v>29019</v>
      </c>
      <c r="K5772" t="s" s="10">
        <v>29020</v>
      </c>
      <c r="L5772" s="16">
        <f>HYPERLINK("http://www.micappital.com", "www.micappital.com")</f>
      </c>
      <c r="M5772" s="16">
        <f>HYPERLINK("https://my.pitchbook.com?c=234181-45", "View Company Online")</f>
      </c>
    </row>
    <row r="5773">
      <c r="A5773" t="s" s="11">
        <v>29022</v>
      </c>
      <c r="B5773" t="s" s="11">
        <v>29023</v>
      </c>
      <c r="C5773" t="s" s="11">
        <v>222</v>
      </c>
      <c r="D5773" t="s" s="11">
        <v>537</v>
      </c>
      <c r="E5773" t="s" s="11">
        <v>859</v>
      </c>
      <c r="F5773" s="28">
        <v>45323</v>
      </c>
      <c r="G5773" t="s" s="11">
        <v>40</v>
      </c>
      <c r="H5773" t="s" s="43">
        <v>30</v>
      </c>
      <c r="I5773" t="s" s="43">
        <v>30</v>
      </c>
      <c r="J5773" t="s" s="11">
        <v>29024</v>
      </c>
      <c r="K5773" t="s" s="11">
        <v>29025</v>
      </c>
      <c r="L5773" s="17">
        <f>HYPERLINK("http://www.microtick.com", "www.microtick.com")</f>
      </c>
      <c r="M5773" s="17">
        <f>HYPERLINK("https://my.pitchbook.com?c=300756-70", "View Company Online")</f>
      </c>
    </row>
    <row r="5774">
      <c r="A5774" t="s" s="10">
        <v>29027</v>
      </c>
      <c r="B5774" t="s" s="10">
        <v>29028</v>
      </c>
      <c r="C5774" t="s" s="10">
        <v>128</v>
      </c>
      <c r="D5774" t="s" s="10">
        <v>129</v>
      </c>
      <c r="E5774" t="s" s="10">
        <v>253</v>
      </c>
      <c r="F5774" s="27">
        <v>45147</v>
      </c>
      <c r="G5774" t="s" s="10">
        <v>146</v>
      </c>
      <c r="H5774" s="42">
        <v>1.13</v>
      </c>
      <c r="I5774" t="s" s="42">
        <v>30</v>
      </c>
      <c r="J5774" t="s" s="10">
        <v>29029</v>
      </c>
      <c r="K5774" t="s" s="10">
        <v>29030</v>
      </c>
      <c r="L5774" s="16">
        <f>HYPERLINK("http://www.midascash.app", "www.midascash.app")</f>
      </c>
      <c r="M5774" s="16">
        <f>HYPERLINK("https://my.pitchbook.com?c=503696-53", "View Company Online")</f>
      </c>
    </row>
    <row r="5775">
      <c r="A5775" t="s" s="11">
        <v>29032</v>
      </c>
      <c r="B5775" t="s" s="11">
        <v>29033</v>
      </c>
      <c r="C5775" t="s" s="11">
        <v>60</v>
      </c>
      <c r="D5775" t="s" s="11">
        <v>61</v>
      </c>
      <c r="E5775" t="s" s="11">
        <v>270</v>
      </c>
      <c r="F5775" s="28">
        <v>45888</v>
      </c>
      <c r="G5775" t="s" s="11">
        <v>146</v>
      </c>
      <c r="H5775" s="43">
        <v>80</v>
      </c>
      <c r="I5775" t="s" s="43">
        <v>30</v>
      </c>
      <c r="J5775" t="s" s="11">
        <v>29034</v>
      </c>
      <c r="K5775" t="s" s="11">
        <v>29035</v>
      </c>
      <c r="L5775" s="17">
        <f>HYPERLINK("http://www.getmidas.com", "www.getmidas.com")</f>
      </c>
      <c r="M5775" s="17">
        <f>HYPERLINK("https://my.pitchbook.com?c=465327-10", "View Company Online")</f>
      </c>
    </row>
    <row r="5776">
      <c r="A5776" t="s" s="10">
        <v>29037</v>
      </c>
      <c r="B5776" t="s" s="10">
        <v>29038</v>
      </c>
      <c r="C5776" t="s" s="10">
        <v>222</v>
      </c>
      <c r="D5776" t="s" s="10">
        <v>252</v>
      </c>
      <c r="E5776" t="s" s="10">
        <v>629</v>
      </c>
      <c r="F5776" s="27">
        <v>46111</v>
      </c>
      <c r="G5776" t="s" s="10">
        <v>146</v>
      </c>
      <c r="H5776" s="42">
        <v>57.87</v>
      </c>
      <c r="I5776" t="s" s="42">
        <v>30</v>
      </c>
      <c r="J5776" t="s" s="10">
        <v>29039</v>
      </c>
      <c r="K5776" t="s" s="10">
        <v>29040</v>
      </c>
      <c r="L5776" s="16">
        <f>HYPERLINK("http://www.midas.app", "www.midas.app")</f>
      </c>
      <c r="M5776" s="16">
        <f>HYPERLINK("https://my.pitchbook.com?c=544819-24", "View Company Online")</f>
      </c>
    </row>
    <row r="5777">
      <c r="A5777" t="s" s="11">
        <v>29042</v>
      </c>
      <c r="B5777" t="s" s="11">
        <v>29043</v>
      </c>
      <c r="C5777" t="s" s="11">
        <v>164</v>
      </c>
      <c r="D5777" t="s" s="11">
        <v>165</v>
      </c>
      <c r="E5777" t="s" s="11">
        <v>373</v>
      </c>
      <c r="F5777" s="28">
        <v>44927</v>
      </c>
      <c r="G5777" t="s" s="11">
        <v>40</v>
      </c>
      <c r="H5777" t="s" s="43">
        <v>30</v>
      </c>
      <c r="I5777" t="s" s="43">
        <v>30</v>
      </c>
      <c r="J5777" t="s" s="11">
        <v>29044</v>
      </c>
      <c r="K5777" t="s" s="11">
        <v>29045</v>
      </c>
      <c r="L5777" s="17">
        <f>HYPERLINK("http://www.midaxo.com", "www.midaxo.com")</f>
      </c>
      <c r="M5777" s="17">
        <f>HYPERLINK("https://my.pitchbook.com?c=94078-72", "View Company Online")</f>
      </c>
    </row>
    <row r="5778">
      <c r="A5778" t="s" s="10">
        <v>29047</v>
      </c>
      <c r="B5778" t="s" s="10">
        <v>29048</v>
      </c>
      <c r="C5778" t="s" s="10">
        <v>114</v>
      </c>
      <c r="D5778" t="s" s="10">
        <v>115</v>
      </c>
      <c r="E5778" t="s" s="10">
        <v>2782</v>
      </c>
      <c r="F5778" s="27">
        <v>46008</v>
      </c>
      <c r="G5778" t="s" s="10">
        <v>31</v>
      </c>
      <c r="H5778" s="42">
        <v>100</v>
      </c>
      <c r="I5778" t="s" s="42">
        <v>30</v>
      </c>
      <c r="J5778" t="s" s="10">
        <v>29049</v>
      </c>
      <c r="K5778" t="s" s="10">
        <v>30</v>
      </c>
      <c r="L5778" s="16">
        <f>HYPERLINK("http://www.midkey.com.au", "www.midkey.com.au")</f>
      </c>
      <c r="M5778" s="16">
        <f>HYPERLINK("https://my.pitchbook.com?c=537902-92", "View Company Online")</f>
      </c>
    </row>
    <row r="5779">
      <c r="A5779" t="s" s="11">
        <v>29051</v>
      </c>
      <c r="B5779" t="s" s="11">
        <v>29052</v>
      </c>
      <c r="C5779" t="s" s="11">
        <v>46</v>
      </c>
      <c r="D5779" t="s" s="11">
        <v>397</v>
      </c>
      <c r="E5779" t="s" s="11">
        <v>493</v>
      </c>
      <c r="F5779" s="28">
        <v>46148</v>
      </c>
      <c r="G5779" t="s" s="11">
        <v>138</v>
      </c>
      <c r="H5779" t="s" s="43">
        <v>30</v>
      </c>
      <c r="I5779" t="s" s="43">
        <v>30</v>
      </c>
      <c r="J5779" t="s" s="11">
        <v>29053</v>
      </c>
      <c r="K5779" t="s" s="11">
        <v>30</v>
      </c>
      <c r="L5779" s="17">
        <f>HYPERLINK("http://www.midship.ai", "www.midship.ai")</f>
      </c>
      <c r="M5779" s="17">
        <f>HYPERLINK("https://my.pitchbook.com?c=616471-21", "View Company Online")</f>
      </c>
    </row>
    <row r="5780">
      <c r="A5780" t="s" s="10">
        <v>29055</v>
      </c>
      <c r="B5780" t="s" s="10">
        <v>29056</v>
      </c>
      <c r="C5780" t="s" s="10">
        <v>114</v>
      </c>
      <c r="D5780" t="s" s="10">
        <v>136</v>
      </c>
      <c r="E5780" t="s" s="10">
        <v>193</v>
      </c>
      <c r="F5780" s="27">
        <v>45292</v>
      </c>
      <c r="G5780" t="s" s="10">
        <v>146</v>
      </c>
      <c r="H5780" t="s" s="42">
        <v>30</v>
      </c>
      <c r="I5780" t="s" s="42">
        <v>30</v>
      </c>
      <c r="J5780" t="s" s="10">
        <v>29057</v>
      </c>
      <c r="K5780" t="s" s="10">
        <v>29058</v>
      </c>
      <c r="L5780" s="16">
        <f>HYPERLINK("http://www.miempeno.com", "www.miempeno.com")</f>
      </c>
      <c r="M5780" s="16">
        <f>HYPERLINK("https://my.pitchbook.com?c=551768-41", "View Company Online")</f>
      </c>
    </row>
    <row r="5781">
      <c r="A5781" t="s" s="11">
        <v>29060</v>
      </c>
      <c r="B5781" t="s" s="11">
        <v>29061</v>
      </c>
      <c r="C5781" t="s" s="11">
        <v>128</v>
      </c>
      <c r="D5781" t="s" s="11">
        <v>199</v>
      </c>
      <c r="E5781" t="s" s="11">
        <v>414</v>
      </c>
      <c r="F5781" s="28">
        <v>46023</v>
      </c>
      <c r="G5781" t="s" s="11">
        <v>607</v>
      </c>
      <c r="H5781" t="s" s="43">
        <v>30</v>
      </c>
      <c r="I5781" t="s" s="43">
        <v>30</v>
      </c>
      <c r="J5781" t="s" s="11">
        <v>29062</v>
      </c>
      <c r="K5781" t="s" s="11">
        <v>29063</v>
      </c>
      <c r="L5781" s="17">
        <f>HYPERLINK("http://www.mifundo.com", "www.mifundo.com")</f>
      </c>
      <c r="M5781" s="17">
        <f>HYPERLINK("https://my.pitchbook.com?c=513365-05", "View Company Online")</f>
      </c>
    </row>
    <row r="5782">
      <c r="A5782" t="s" s="10">
        <v>29065</v>
      </c>
      <c r="B5782" t="s" s="10">
        <v>29066</v>
      </c>
      <c r="C5782" t="s" s="10">
        <v>114</v>
      </c>
      <c r="D5782" t="s" s="10">
        <v>870</v>
      </c>
      <c r="E5782" t="s" s="10">
        <v>137</v>
      </c>
      <c r="F5782" s="27">
        <v>46204</v>
      </c>
      <c r="G5782" t="s" s="10">
        <v>40</v>
      </c>
      <c r="H5782" t="s" s="42">
        <v>30</v>
      </c>
      <c r="I5782" t="s" s="42">
        <v>30</v>
      </c>
      <c r="J5782" t="s" s="10">
        <v>29067</v>
      </c>
      <c r="K5782" t="s" s="10">
        <v>29068</v>
      </c>
      <c r="L5782" s="16">
        <f>HYPERLINK("http://website.mightyfinance.co.zm", "website.mightyfinance.co.zm")</f>
      </c>
      <c r="M5782" s="16">
        <f>HYPERLINK("https://my.pitchbook.com?c=503541-37", "View Company Online")</f>
      </c>
    </row>
    <row r="5783">
      <c r="A5783" t="s" s="11">
        <v>29070</v>
      </c>
      <c r="B5783" t="s" s="11">
        <v>29071</v>
      </c>
      <c r="C5783" t="s" s="11">
        <v>37</v>
      </c>
      <c r="D5783" t="s" s="11">
        <v>38</v>
      </c>
      <c r="E5783" t="s" s="11">
        <v>270</v>
      </c>
      <c r="F5783" s="28">
        <v>43101</v>
      </c>
      <c r="G5783" t="s" s="11">
        <v>4267</v>
      </c>
      <c r="H5783" s="43">
        <v>0.06</v>
      </c>
      <c r="I5783" t="s" s="43">
        <v>30</v>
      </c>
      <c r="J5783" t="s" s="11">
        <v>29072</v>
      </c>
      <c r="K5783" t="s" s="11">
        <v>29073</v>
      </c>
      <c r="L5783" s="17">
        <f>HYPERLINK("http://www.miio.com.mx", "www.miio.com.mx")</f>
      </c>
      <c r="M5783" s="17">
        <f>HYPERLINK("https://my.pitchbook.com?c=433299-61", "View Company Online")</f>
      </c>
    </row>
    <row r="5784">
      <c r="A5784" t="s" s="10">
        <v>29075</v>
      </c>
      <c r="B5784" t="s" s="10">
        <v>29076</v>
      </c>
      <c r="C5784" t="s" s="10">
        <v>46</v>
      </c>
      <c r="D5784" t="s" s="10">
        <v>397</v>
      </c>
      <c r="E5784" t="s" s="10">
        <v>414</v>
      </c>
      <c r="F5784" s="27">
        <v>45658</v>
      </c>
      <c r="G5784" t="s" s="10">
        <v>607</v>
      </c>
      <c r="H5784" t="s" s="42">
        <v>30</v>
      </c>
      <c r="I5784" t="s" s="42">
        <v>30</v>
      </c>
      <c r="J5784" t="s" s="10">
        <v>29077</v>
      </c>
      <c r="K5784" t="s" s="10">
        <v>29078</v>
      </c>
      <c r="L5784" s="16">
        <f>HYPERLINK("http://www.getmika.de", "www.getmika.de")</f>
      </c>
      <c r="M5784" s="16">
        <f>HYPERLINK("https://my.pitchbook.com?c=541194-49", "View Company Online")</f>
      </c>
    </row>
    <row r="5785">
      <c r="A5785" t="s" s="11">
        <v>29080</v>
      </c>
      <c r="B5785" t="s" s="11">
        <v>29081</v>
      </c>
      <c r="C5785" t="s" s="11">
        <v>128</v>
      </c>
      <c r="D5785" t="s" s="11">
        <v>276</v>
      </c>
      <c r="E5785" t="s" s="11">
        <v>270</v>
      </c>
      <c r="F5785" s="28">
        <v>45215</v>
      </c>
      <c r="G5785" t="s" s="11">
        <v>271</v>
      </c>
      <c r="H5785" t="s" s="43">
        <v>30</v>
      </c>
      <c r="I5785" t="s" s="43">
        <v>30</v>
      </c>
      <c r="J5785" t="s" s="11">
        <v>29082</v>
      </c>
      <c r="K5785" t="s" s="11">
        <v>29083</v>
      </c>
      <c r="L5785" s="17">
        <f>HYPERLINK("http://www.mikashboks.com", "www.mikashboks.com")</f>
      </c>
      <c r="M5785" s="17">
        <f>HYPERLINK("https://my.pitchbook.com?c=533429-38", "View Company Online")</f>
      </c>
    </row>
    <row r="5786">
      <c r="A5786" t="s" s="10">
        <v>29085</v>
      </c>
      <c r="B5786" t="s" s="10">
        <v>29086</v>
      </c>
      <c r="C5786" t="s" s="10">
        <v>114</v>
      </c>
      <c r="D5786" t="s" s="10">
        <v>115</v>
      </c>
      <c r="E5786" t="s" s="10">
        <v>414</v>
      </c>
      <c r="F5786" s="27">
        <v>45689</v>
      </c>
      <c r="G5786" t="s" s="10">
        <v>4267</v>
      </c>
      <c r="H5786" s="42">
        <v>2</v>
      </c>
      <c r="I5786" t="s" s="42">
        <v>30</v>
      </c>
      <c r="J5786" t="s" s="10">
        <v>29087</v>
      </c>
      <c r="K5786" t="s" s="10">
        <v>29088</v>
      </c>
      <c r="L5786" s="16">
        <f>HYPERLINK("http://www.milikirumah.com", "www.milikirumah.com")</f>
      </c>
      <c r="M5786" s="16">
        <f>HYPERLINK("https://my.pitchbook.com?c=708051-88", "View Company Online")</f>
      </c>
    </row>
    <row r="5787">
      <c r="A5787" t="s" s="11">
        <v>29090</v>
      </c>
      <c r="B5787" t="s" s="11">
        <v>29091</v>
      </c>
      <c r="C5787" t="s" s="11">
        <v>46</v>
      </c>
      <c r="D5787" t="s" s="11">
        <v>47</v>
      </c>
      <c r="E5787" t="s" s="11">
        <v>137</v>
      </c>
      <c r="F5787" s="28">
        <v>45017</v>
      </c>
      <c r="G5787" t="s" s="11">
        <v>146</v>
      </c>
      <c r="H5787" t="s" s="43">
        <v>30</v>
      </c>
      <c r="I5787" t="s" s="43">
        <v>30</v>
      </c>
      <c r="J5787" t="s" s="11">
        <v>29092</v>
      </c>
      <c r="K5787" t="s" s="11">
        <v>29093</v>
      </c>
      <c r="L5787" s="17">
        <f>HYPERLINK("http://www.milio.com.co", "www.milio.com.co")</f>
      </c>
      <c r="M5787" s="17">
        <f>HYPERLINK("https://my.pitchbook.com?c=518815-27", "View Company Online")</f>
      </c>
    </row>
    <row r="5788">
      <c r="A5788" t="s" s="10">
        <v>29095</v>
      </c>
      <c r="B5788" t="s" s="10">
        <v>29096</v>
      </c>
      <c r="C5788" t="s" s="10">
        <v>46</v>
      </c>
      <c r="D5788" t="s" s="10">
        <v>397</v>
      </c>
      <c r="E5788" t="s" s="10">
        <v>3138</v>
      </c>
      <c r="F5788" s="27">
        <v>45985</v>
      </c>
      <c r="G5788" t="s" s="10">
        <v>607</v>
      </c>
      <c r="H5788" t="s" s="42">
        <v>30</v>
      </c>
      <c r="I5788" t="s" s="42">
        <v>30</v>
      </c>
      <c r="J5788" t="s" s="10">
        <v>29097</v>
      </c>
      <c r="K5788" t="s" s="10">
        <v>29098</v>
      </c>
      <c r="L5788" s="16">
        <f>HYPERLINK("http://www.millentic.com", "www.millentic.com")</f>
      </c>
      <c r="M5788" s="16">
        <f>HYPERLINK("https://my.pitchbook.com?c=700124-95", "View Company Online")</f>
      </c>
    </row>
    <row r="5789">
      <c r="A5789" t="s" s="11">
        <v>29100</v>
      </c>
      <c r="B5789" t="s" s="11">
        <v>29101</v>
      </c>
      <c r="C5789" t="s" s="11">
        <v>128</v>
      </c>
      <c r="D5789" t="s" s="11">
        <v>129</v>
      </c>
      <c r="E5789" t="s" s="11">
        <v>193</v>
      </c>
      <c r="F5789" s="28">
        <v>46023</v>
      </c>
      <c r="G5789" t="s" s="11">
        <v>146</v>
      </c>
      <c r="H5789" t="s" s="43">
        <v>30</v>
      </c>
      <c r="I5789" t="s" s="43">
        <v>30</v>
      </c>
      <c r="J5789" t="s" s="11">
        <v>29102</v>
      </c>
      <c r="K5789" t="s" s="11">
        <v>29103</v>
      </c>
      <c r="L5789" s="17">
        <f>HYPERLINK("http://www.mimojo.io", "www.mimojo.io")</f>
      </c>
      <c r="M5789" s="17">
        <f>HYPERLINK("https://my.pitchbook.com?c=597764-80", "View Company Online")</f>
      </c>
    </row>
    <row r="5790">
      <c r="A5790" t="s" s="10">
        <v>29105</v>
      </c>
      <c r="B5790" t="s" s="10">
        <v>29106</v>
      </c>
      <c r="C5790" t="s" s="10">
        <v>60</v>
      </c>
      <c r="D5790" t="s" s="10">
        <v>246</v>
      </c>
      <c r="E5790" t="s" s="10">
        <v>311</v>
      </c>
      <c r="F5790" s="27">
        <v>45870</v>
      </c>
      <c r="G5790" t="s" s="10">
        <v>146</v>
      </c>
      <c r="H5790" t="s" s="42">
        <v>30</v>
      </c>
      <c r="I5790" t="s" s="42">
        <v>30</v>
      </c>
      <c r="J5790" t="s" s="10">
        <v>29107</v>
      </c>
      <c r="K5790" t="s" s="10">
        <v>29108</v>
      </c>
      <c r="L5790" s="16">
        <f>HYPERLINK("http://minara.ai", "minara.ai")</f>
      </c>
      <c r="M5790" s="16">
        <f>HYPERLINK("https://my.pitchbook.com?c=919676-44", "View Company Online")</f>
      </c>
    </row>
    <row r="5791">
      <c r="A5791" t="s" s="11">
        <v>29110</v>
      </c>
      <c r="B5791" t="s" s="11">
        <v>29111</v>
      </c>
      <c r="C5791" t="s" s="11">
        <v>172</v>
      </c>
      <c r="D5791" t="s" s="11">
        <v>173</v>
      </c>
      <c r="E5791" t="s" s="11">
        <v>23985</v>
      </c>
      <c r="F5791" s="28">
        <v>45630</v>
      </c>
      <c r="G5791" t="s" s="11">
        <v>4267</v>
      </c>
      <c r="H5791" s="43">
        <v>0.26</v>
      </c>
      <c r="I5791" t="s" s="43">
        <v>30</v>
      </c>
      <c r="J5791" t="s" s="11">
        <v>29112</v>
      </c>
      <c r="K5791" t="s" s="11">
        <v>29113</v>
      </c>
      <c r="L5791" s="17">
        <f>HYPERLINK("http://www.minds.digital", "www.minds.digital")</f>
      </c>
      <c r="M5791" s="17">
        <f>HYPERLINK("https://my.pitchbook.com?c=498091-24", "View Company Online")</f>
      </c>
    </row>
    <row r="5792">
      <c r="A5792" t="s" s="10">
        <v>29115</v>
      </c>
      <c r="B5792" t="s" s="10">
        <v>29116</v>
      </c>
      <c r="C5792" t="s" s="10">
        <v>164</v>
      </c>
      <c r="D5792" t="s" s="10">
        <v>165</v>
      </c>
      <c r="E5792" t="s" s="10">
        <v>253</v>
      </c>
      <c r="F5792" s="27">
        <v>44926</v>
      </c>
      <c r="G5792" t="s" s="10">
        <v>146</v>
      </c>
      <c r="H5792" s="42">
        <v>7.16</v>
      </c>
      <c r="I5792" t="s" s="42">
        <v>30</v>
      </c>
      <c r="J5792" t="s" s="10">
        <v>29117</v>
      </c>
      <c r="K5792" t="s" s="10">
        <v>29118</v>
      </c>
      <c r="L5792" s="16">
        <f>HYPERLINK("http://mintechai.com", "mintechai.com")</f>
      </c>
      <c r="M5792" s="16">
        <f>HYPERLINK("https://my.pitchbook.com?c=491748-40", "View Company Online")</f>
      </c>
    </row>
    <row r="5793">
      <c r="A5793" t="s" s="11">
        <v>29120</v>
      </c>
      <c r="B5793" t="s" s="11">
        <v>29121</v>
      </c>
      <c r="C5793" t="s" s="11">
        <v>37</v>
      </c>
      <c r="D5793" t="s" s="11">
        <v>304</v>
      </c>
      <c r="E5793" t="s" s="11">
        <v>193</v>
      </c>
      <c r="F5793" s="28">
        <v>45250</v>
      </c>
      <c r="G5793" t="s" s="11">
        <v>607</v>
      </c>
      <c r="H5793" t="s" s="43">
        <v>30</v>
      </c>
      <c r="I5793" t="s" s="43">
        <v>30</v>
      </c>
      <c r="J5793" t="s" s="11">
        <v>29122</v>
      </c>
      <c r="K5793" t="s" s="11">
        <v>29123</v>
      </c>
      <c r="L5793" s="17">
        <f>HYPERLINK("http://www.mintpay.lk", "www.mintpay.lk")</f>
      </c>
      <c r="M5793" s="17">
        <f>HYPERLINK("https://my.pitchbook.com?c=491416-66", "View Company Online")</f>
      </c>
    </row>
    <row r="5794">
      <c r="A5794" t="s" s="10">
        <v>29125</v>
      </c>
      <c r="B5794" t="s" s="10">
        <v>29126</v>
      </c>
      <c r="C5794" t="s" s="10">
        <v>27</v>
      </c>
      <c r="D5794" t="s" s="10">
        <v>70</v>
      </c>
      <c r="E5794" t="s" s="10">
        <v>62</v>
      </c>
      <c r="F5794" s="27">
        <v>45836</v>
      </c>
      <c r="G5794" t="s" s="10">
        <v>4267</v>
      </c>
      <c r="H5794" t="s" s="42">
        <v>30</v>
      </c>
      <c r="I5794" t="s" s="42">
        <v>30</v>
      </c>
      <c r="J5794" t="s" s="10">
        <v>29127</v>
      </c>
      <c r="K5794" t="s" s="10">
        <v>29128</v>
      </c>
      <c r="L5794" s="16">
        <f>HYPERLINK("http://www.mion.group", "www.mion.group")</f>
      </c>
      <c r="M5794" s="16">
        <f>HYPERLINK("https://my.pitchbook.com?c=731660-68", "View Company Online")</f>
      </c>
    </row>
    <row r="5795">
      <c r="A5795" t="s" s="11">
        <v>29130</v>
      </c>
      <c r="B5795" t="s" s="11">
        <v>29131</v>
      </c>
      <c r="C5795" t="s" s="11">
        <v>46</v>
      </c>
      <c r="D5795" t="s" s="11">
        <v>78</v>
      </c>
      <c r="E5795" t="s" s="11">
        <v>270</v>
      </c>
      <c r="F5795" s="28">
        <v>45819</v>
      </c>
      <c r="G5795" t="s" s="11">
        <v>607</v>
      </c>
      <c r="H5795" t="s" s="43">
        <v>30</v>
      </c>
      <c r="I5795" t="s" s="43">
        <v>30</v>
      </c>
      <c r="J5795" t="s" s="11">
        <v>29132</v>
      </c>
      <c r="K5795" t="s" s="11">
        <v>29133</v>
      </c>
      <c r="L5795" s="17">
        <f>HYPERLINK("http://www.miplata.com", "www.miplata.com")</f>
      </c>
      <c r="M5795" s="17">
        <f>HYPERLINK("https://my.pitchbook.com?c=590579-20", "View Company Online")</f>
      </c>
    </row>
    <row r="5796">
      <c r="A5796" t="s" s="10">
        <v>29135</v>
      </c>
      <c r="B5796" t="s" s="10">
        <v>29136</v>
      </c>
      <c r="C5796" t="s" s="10">
        <v>114</v>
      </c>
      <c r="D5796" t="s" s="10">
        <v>115</v>
      </c>
      <c r="E5796" t="s" s="10">
        <v>137</v>
      </c>
      <c r="F5796" t="s" s="27">
        <v>30</v>
      </c>
      <c r="G5796" t="s" s="10">
        <v>40</v>
      </c>
      <c r="H5796" t="s" s="42">
        <v>30</v>
      </c>
      <c r="I5796" t="s" s="42">
        <v>30</v>
      </c>
      <c r="J5796" t="s" s="10">
        <v>29137</v>
      </c>
      <c r="K5796" t="s" s="10">
        <v>29138</v>
      </c>
      <c r="L5796" s="16">
        <f>HYPERLINK("http://www.mirabelle.fr", "www.mirabelle.fr")</f>
      </c>
      <c r="M5796" s="16">
        <f>HYPERLINK("https://my.pitchbook.com?c=718322-14", "View Company Online")</f>
      </c>
    </row>
    <row r="5797">
      <c r="A5797" t="s" s="11">
        <v>29140</v>
      </c>
      <c r="B5797" t="s" s="11">
        <v>29141</v>
      </c>
      <c r="C5797" t="s" s="11">
        <v>37</v>
      </c>
      <c r="D5797" t="s" s="11">
        <v>38</v>
      </c>
      <c r="E5797" t="s" s="11">
        <v>270</v>
      </c>
      <c r="F5797" s="28">
        <v>45274</v>
      </c>
      <c r="G5797" t="s" s="11">
        <v>4267</v>
      </c>
      <c r="H5797" s="43">
        <v>1.6</v>
      </c>
      <c r="I5797" t="s" s="43">
        <v>30</v>
      </c>
      <c r="J5797" t="s" s="11">
        <v>29142</v>
      </c>
      <c r="K5797" t="s" s="11">
        <v>29143</v>
      </c>
      <c r="L5797" s="17">
        <f>HYPERLINK("http://www.gomist.co", "www.gomist.co")</f>
      </c>
      <c r="M5797" s="17">
        <f>HYPERLINK("https://my.pitchbook.com?c=522661-33", "View Company Online")</f>
      </c>
    </row>
    <row r="5798">
      <c r="A5798" t="s" s="10">
        <v>29145</v>
      </c>
      <c r="B5798" t="s" s="10">
        <v>29146</v>
      </c>
      <c r="C5798" t="s" s="10">
        <v>60</v>
      </c>
      <c r="D5798" t="s" s="10">
        <v>192</v>
      </c>
      <c r="E5798" t="s" s="10">
        <v>3320</v>
      </c>
      <c r="F5798" t="s" s="27">
        <v>30</v>
      </c>
      <c r="G5798" t="s" s="10">
        <v>48</v>
      </c>
      <c r="H5798" t="s" s="42">
        <v>30</v>
      </c>
      <c r="I5798" t="s" s="42">
        <v>30</v>
      </c>
      <c r="J5798" t="s" s="10">
        <v>29147</v>
      </c>
      <c r="K5798" t="s" s="10">
        <v>29148</v>
      </c>
      <c r="L5798" s="16">
        <f>HYPERLINK("http://www.mitfokus.com.br", "www.mitfokus.com.br")</f>
      </c>
      <c r="M5798" s="16">
        <f>HYPERLINK("https://my.pitchbook.com?c=520508-26", "View Company Online")</f>
      </c>
    </row>
    <row r="5799">
      <c r="A5799" t="s" s="11">
        <v>29150</v>
      </c>
      <c r="B5799" t="s" s="11">
        <v>29151</v>
      </c>
      <c r="C5799" t="s" s="11">
        <v>114</v>
      </c>
      <c r="D5799" t="s" s="11">
        <v>870</v>
      </c>
      <c r="E5799" t="s" s="11">
        <v>137</v>
      </c>
      <c r="F5799" s="28">
        <v>45809</v>
      </c>
      <c r="G5799" t="s" s="11">
        <v>40</v>
      </c>
      <c r="H5799" t="s" s="43">
        <v>30</v>
      </c>
      <c r="I5799" t="s" s="43">
        <v>30</v>
      </c>
      <c r="J5799" t="s" s="11">
        <v>29152</v>
      </c>
      <c r="K5799" t="s" s="11">
        <v>29153</v>
      </c>
      <c r="L5799" s="17">
        <f>HYPERLINK("http://www.lider.ba", "www.lider.ba")</f>
      </c>
      <c r="M5799" s="17">
        <f>HYPERLINK("https://my.pitchbook.com?c=866093-59", "View Company Online")</f>
      </c>
    </row>
    <row r="5800">
      <c r="A5800" t="s" s="10">
        <v>29155</v>
      </c>
      <c r="B5800" t="s" s="10">
        <v>29156</v>
      </c>
      <c r="C5800" t="s" s="10">
        <v>164</v>
      </c>
      <c r="D5800" t="s" s="10">
        <v>206</v>
      </c>
      <c r="E5800" t="s" s="10">
        <v>367</v>
      </c>
      <c r="F5800" s="27">
        <v>44473</v>
      </c>
      <c r="G5800" t="s" s="10">
        <v>607</v>
      </c>
      <c r="H5800" t="s" s="42">
        <v>30</v>
      </c>
      <c r="I5800" t="s" s="42">
        <v>30</v>
      </c>
      <c r="J5800" t="s" s="10">
        <v>29157</v>
      </c>
      <c r="K5800" t="s" s="10">
        <v>29158</v>
      </c>
      <c r="L5800" s="16">
        <f>HYPERLINK("http://www.wearemo.com", "www.wearemo.com")</f>
      </c>
      <c r="M5800" s="16">
        <f>HYPERLINK("https://my.pitchbook.com?c=467742-97", "View Company Online")</f>
      </c>
    </row>
    <row r="5801">
      <c r="A5801" t="s" s="11">
        <v>29160</v>
      </c>
      <c r="B5801" t="s" s="11">
        <v>29161</v>
      </c>
      <c r="C5801" t="s" s="11">
        <v>60</v>
      </c>
      <c r="D5801" t="s" s="11">
        <v>246</v>
      </c>
      <c r="E5801" t="s" s="11">
        <v>137</v>
      </c>
      <c r="F5801" t="s" s="28">
        <v>30</v>
      </c>
      <c r="G5801" t="s" s="11">
        <v>607</v>
      </c>
      <c r="H5801" t="s" s="43">
        <v>30</v>
      </c>
      <c r="I5801" t="s" s="43">
        <v>30</v>
      </c>
      <c r="J5801" t="s" s="11">
        <v>29162</v>
      </c>
      <c r="K5801" t="s" s="11">
        <v>29163</v>
      </c>
      <c r="L5801" s="17">
        <f>HYPERLINK("http://www.moatai.io", "www.moatai.io")</f>
      </c>
      <c r="M5801" s="17">
        <f>HYPERLINK("https://my.pitchbook.com?c=266074-48", "View Company Online")</f>
      </c>
    </row>
    <row r="5802">
      <c r="A5802" t="s" s="10">
        <v>29165</v>
      </c>
      <c r="B5802" t="s" s="10">
        <v>29166</v>
      </c>
      <c r="C5802" t="s" s="10">
        <v>27</v>
      </c>
      <c r="D5802" t="s" s="10">
        <v>28</v>
      </c>
      <c r="E5802" t="s" s="10">
        <v>1800</v>
      </c>
      <c r="F5802" s="27">
        <v>43602</v>
      </c>
      <c r="G5802" t="s" s="10">
        <v>607</v>
      </c>
      <c r="H5802" s="42">
        <v>0.04</v>
      </c>
      <c r="I5802" t="s" s="42">
        <v>30</v>
      </c>
      <c r="J5802" t="s" s="10">
        <v>29167</v>
      </c>
      <c r="K5802" t="s" s="10">
        <v>29168</v>
      </c>
      <c r="L5802" s="16">
        <f>HYPERLINK("http://www.mobbex.com", "www.mobbex.com")</f>
      </c>
      <c r="M5802" s="16">
        <f>HYPERLINK("https://my.pitchbook.com?c=339840-55", "View Company Online")</f>
      </c>
    </row>
    <row r="5803">
      <c r="A5803" t="s" s="11">
        <v>29170</v>
      </c>
      <c r="B5803" t="s" s="11">
        <v>29171</v>
      </c>
      <c r="C5803" t="s" s="11">
        <v>114</v>
      </c>
      <c r="D5803" t="s" s="11">
        <v>136</v>
      </c>
      <c r="E5803" t="s" s="11">
        <v>137</v>
      </c>
      <c r="F5803" s="28">
        <v>45852</v>
      </c>
      <c r="G5803" t="s" s="11">
        <v>4267</v>
      </c>
      <c r="H5803" s="43">
        <v>1</v>
      </c>
      <c r="I5803" t="s" s="43">
        <v>30</v>
      </c>
      <c r="J5803" t="s" s="11">
        <v>29172</v>
      </c>
      <c r="K5803" t="s" s="11">
        <v>30</v>
      </c>
      <c r="L5803" s="17">
        <f>HYPERLINK("http://mobilitytrust.com", "mobilitytrust.com")</f>
      </c>
      <c r="M5803" s="17">
        <f>HYPERLINK("https://my.pitchbook.com?c=506828-44", "View Company Online")</f>
      </c>
    </row>
    <row r="5804">
      <c r="A5804" t="s" s="10">
        <v>29174</v>
      </c>
      <c r="B5804" t="s" s="10">
        <v>29175</v>
      </c>
      <c r="C5804" t="s" s="10">
        <v>27</v>
      </c>
      <c r="D5804" t="s" s="10">
        <v>28</v>
      </c>
      <c r="E5804" t="s" s="10">
        <v>137</v>
      </c>
      <c r="F5804" s="27">
        <v>44316</v>
      </c>
      <c r="G5804" t="s" s="10">
        <v>146</v>
      </c>
      <c r="H5804" s="42">
        <v>6</v>
      </c>
      <c r="I5804" t="s" s="42">
        <v>30</v>
      </c>
      <c r="J5804" t="s" s="10">
        <v>29176</v>
      </c>
      <c r="K5804" t="s" s="10">
        <v>29177</v>
      </c>
      <c r="L5804" s="16">
        <f>HYPERLINK("http://www.mocapay.com", "www.mocapay.com")</f>
      </c>
      <c r="M5804" s="16">
        <f>HYPERLINK("https://my.pitchbook.com?c=442546-66", "View Company Online")</f>
      </c>
    </row>
    <row r="5805">
      <c r="A5805" t="s" s="11">
        <v>29179</v>
      </c>
      <c r="B5805" t="s" s="11">
        <v>29180</v>
      </c>
      <c r="C5805" t="s" s="11">
        <v>27</v>
      </c>
      <c r="D5805" t="s" s="11">
        <v>28</v>
      </c>
      <c r="E5805" t="s" s="11">
        <v>4273</v>
      </c>
      <c r="F5805" s="28">
        <v>45292</v>
      </c>
      <c r="G5805" t="s" s="11">
        <v>607</v>
      </c>
      <c r="H5805" t="s" s="43">
        <v>30</v>
      </c>
      <c r="I5805" t="s" s="43">
        <v>30</v>
      </c>
      <c r="J5805" t="s" s="11">
        <v>29181</v>
      </c>
      <c r="K5805" t="s" s="11">
        <v>29182</v>
      </c>
      <c r="L5805" s="17">
        <f>HYPERLINK("http://www.modopayments.com", "www.modopayments.com")</f>
      </c>
      <c r="M5805" s="17">
        <f>HYPERLINK("https://my.pitchbook.com?c=64958-86", "View Company Online")</f>
      </c>
    </row>
    <row r="5806">
      <c r="A5806" t="s" s="10">
        <v>29184</v>
      </c>
      <c r="B5806" t="s" s="10">
        <v>29185</v>
      </c>
      <c r="C5806" t="s" s="10">
        <v>60</v>
      </c>
      <c r="D5806" t="s" s="10">
        <v>192</v>
      </c>
      <c r="E5806" t="s" s="10">
        <v>116</v>
      </c>
      <c r="F5806" t="s" s="27">
        <v>30</v>
      </c>
      <c r="G5806" t="s" s="10">
        <v>48</v>
      </c>
      <c r="H5806" t="s" s="42">
        <v>30</v>
      </c>
      <c r="I5806" t="s" s="42">
        <v>30</v>
      </c>
      <c r="J5806" t="s" s="10">
        <v>29186</v>
      </c>
      <c r="K5806" t="s" s="10">
        <v>29187</v>
      </c>
      <c r="L5806" s="16">
        <f>HYPERLINK("http://www.moduit.id", "www.moduit.id")</f>
      </c>
      <c r="M5806" s="16">
        <f>HYPERLINK("https://my.pitchbook.com?c=483636-16", "View Company Online")</f>
      </c>
    </row>
    <row r="5807">
      <c r="A5807" t="s" s="11">
        <v>29189</v>
      </c>
      <c r="B5807" t="s" s="11">
        <v>29190</v>
      </c>
      <c r="C5807" t="s" s="11">
        <v>60</v>
      </c>
      <c r="D5807" t="s" s="11">
        <v>192</v>
      </c>
      <c r="E5807" t="s" s="11">
        <v>253</v>
      </c>
      <c r="F5807" s="28">
        <v>45268</v>
      </c>
      <c r="G5807" t="s" s="11">
        <v>40</v>
      </c>
      <c r="H5807" t="s" s="43">
        <v>30</v>
      </c>
      <c r="I5807" t="s" s="43">
        <v>30</v>
      </c>
      <c r="J5807" t="s" s="11">
        <v>29191</v>
      </c>
      <c r="K5807" t="s" s="11">
        <v>29192</v>
      </c>
      <c r="L5807" s="17">
        <f>HYPERLINK("http://www.modularfinance.com", "www.modularfinance.com")</f>
      </c>
      <c r="M5807" s="17">
        <f>HYPERLINK("https://my.pitchbook.com?c=121369-06", "View Company Online")</f>
      </c>
    </row>
    <row r="5808">
      <c r="A5808" t="s" s="10">
        <v>29194</v>
      </c>
      <c r="B5808" t="s" s="10">
        <v>29195</v>
      </c>
      <c r="C5808" t="s" s="10">
        <v>164</v>
      </c>
      <c r="D5808" t="s" s="10">
        <v>165</v>
      </c>
      <c r="E5808" t="s" s="10">
        <v>137</v>
      </c>
      <c r="F5808" s="27">
        <v>45328</v>
      </c>
      <c r="G5808" t="s" s="10">
        <v>40</v>
      </c>
      <c r="H5808" s="42">
        <v>27.2</v>
      </c>
      <c r="I5808" t="s" s="42">
        <v>30</v>
      </c>
      <c r="J5808" t="s" s="10">
        <v>29196</v>
      </c>
      <c r="K5808" t="s" s="10">
        <v>29197</v>
      </c>
      <c r="L5808" s="16">
        <f>HYPERLINK("http://www.tuum.com", "www.tuum.com")</f>
      </c>
      <c r="M5808" s="16">
        <f>HYPERLINK("https://my.pitchbook.com?c=294469-66", "View Company Online")</f>
      </c>
    </row>
    <row r="5809">
      <c r="A5809" t="s" s="11">
        <v>29199</v>
      </c>
      <c r="B5809" t="s" s="11">
        <v>29200</v>
      </c>
      <c r="C5809" t="s" s="11">
        <v>27</v>
      </c>
      <c r="D5809" t="s" s="11">
        <v>70</v>
      </c>
      <c r="E5809" t="s" s="11">
        <v>137</v>
      </c>
      <c r="F5809" s="28">
        <v>45931</v>
      </c>
      <c r="G5809" t="s" s="11">
        <v>146</v>
      </c>
      <c r="H5809" t="s" s="43">
        <v>30</v>
      </c>
      <c r="I5809" t="s" s="43">
        <v>30</v>
      </c>
      <c r="J5809" t="s" s="11">
        <v>29201</v>
      </c>
      <c r="K5809" t="s" s="11">
        <v>29202</v>
      </c>
      <c r="L5809" s="17">
        <f>HYPERLINK("http://www.moduluslabs.io", "www.moduluslabs.io")</f>
      </c>
      <c r="M5809" s="17">
        <f>HYPERLINK("https://my.pitchbook.com?c=1158132-25", "View Company Online")</f>
      </c>
    </row>
    <row r="5810">
      <c r="A5810" t="s" s="10">
        <v>29204</v>
      </c>
      <c r="B5810" t="s" s="10">
        <v>29205</v>
      </c>
      <c r="C5810" t="s" s="10">
        <v>46</v>
      </c>
      <c r="D5810" t="s" s="10">
        <v>397</v>
      </c>
      <c r="E5810" t="s" s="10">
        <v>253</v>
      </c>
      <c r="F5810" t="s" s="27">
        <v>30</v>
      </c>
      <c r="G5810" t="s" s="10">
        <v>48</v>
      </c>
      <c r="H5810" t="s" s="42">
        <v>30</v>
      </c>
      <c r="I5810" t="s" s="42">
        <v>30</v>
      </c>
      <c r="J5810" t="s" s="10">
        <v>29206</v>
      </c>
      <c r="K5810" t="s" s="10">
        <v>29207</v>
      </c>
      <c r="L5810" s="16">
        <f>HYPERLINK("http://moneypin.biz", "moneypin.biz")</f>
      </c>
      <c r="M5810" s="16">
        <f>HYPERLINK("https://my.pitchbook.com?c=502876-27", "View Company Online")</f>
      </c>
    </row>
    <row r="5811">
      <c r="A5811" t="s" s="11">
        <v>29209</v>
      </c>
      <c r="B5811" t="s" s="11">
        <v>29210</v>
      </c>
      <c r="C5811" t="s" s="11">
        <v>60</v>
      </c>
      <c r="D5811" t="s" s="11">
        <v>727</v>
      </c>
      <c r="E5811" t="s" s="11">
        <v>6595</v>
      </c>
      <c r="F5811" s="28">
        <v>45658</v>
      </c>
      <c r="G5811" t="s" s="11">
        <v>4267</v>
      </c>
      <c r="H5811" s="43">
        <v>8</v>
      </c>
      <c r="I5811" t="s" s="43">
        <v>30</v>
      </c>
      <c r="J5811" t="s" s="11">
        <v>29211</v>
      </c>
      <c r="K5811" t="s" s="11">
        <v>29212</v>
      </c>
      <c r="L5811" s="17">
        <f>HYPERLINK("http://www.mogul.club", "www.mogul.club")</f>
      </c>
      <c r="M5811" s="17">
        <f>HYPERLINK("https://my.pitchbook.com?c=512285-23", "View Company Online")</f>
      </c>
    </row>
    <row r="5812">
      <c r="A5812" t="s" s="10">
        <v>29214</v>
      </c>
      <c r="B5812" t="s" s="10">
        <v>29215</v>
      </c>
      <c r="C5812" t="s" s="10">
        <v>114</v>
      </c>
      <c r="D5812" t="s" s="10">
        <v>852</v>
      </c>
      <c r="E5812" t="s" s="10">
        <v>137</v>
      </c>
      <c r="F5812" s="27">
        <v>45992</v>
      </c>
      <c r="G5812" t="s" s="10">
        <v>40</v>
      </c>
      <c r="H5812" t="s" s="42">
        <v>30</v>
      </c>
      <c r="I5812" t="s" s="42">
        <v>30</v>
      </c>
      <c r="J5812" t="s" s="10">
        <v>29216</v>
      </c>
      <c r="K5812" t="s" s="10">
        <v>29217</v>
      </c>
      <c r="L5812" s="16">
        <f>HYPERLINK("http://www.momentum-fg.co.uk", "www.momentum-fg.co.uk")</f>
      </c>
      <c r="M5812" s="16">
        <f>HYPERLINK("https://my.pitchbook.com?c=1238923-18", "View Company Online")</f>
      </c>
    </row>
    <row r="5813">
      <c r="A5813" t="s" s="11">
        <v>29219</v>
      </c>
      <c r="B5813" t="s" s="11">
        <v>29220</v>
      </c>
      <c r="C5813" t="s" s="11">
        <v>128</v>
      </c>
      <c r="D5813" t="s" s="11">
        <v>276</v>
      </c>
      <c r="E5813" t="s" s="11">
        <v>158</v>
      </c>
      <c r="F5813" s="28">
        <v>46082</v>
      </c>
      <c r="G5813" t="s" s="11">
        <v>48</v>
      </c>
      <c r="H5813" t="s" s="43">
        <v>30</v>
      </c>
      <c r="I5813" t="s" s="43">
        <v>30</v>
      </c>
      <c r="J5813" t="s" s="11">
        <v>29221</v>
      </c>
      <c r="K5813" t="s" s="11">
        <v>30</v>
      </c>
      <c r="L5813" s="17">
        <f>HYPERLINK("http://momo.global", "momo.global")</f>
      </c>
      <c r="M5813" s="17">
        <f>HYPERLINK("https://my.pitchbook.com?c=111254-23", "View Company Online")</f>
      </c>
    </row>
    <row r="5814">
      <c r="A5814" t="s" s="10">
        <v>29223</v>
      </c>
      <c r="B5814" t="s" s="10">
        <v>29224</v>
      </c>
      <c r="C5814" t="s" s="10">
        <v>27</v>
      </c>
      <c r="D5814" t="s" s="10">
        <v>28</v>
      </c>
      <c r="E5814" t="s" s="10">
        <v>7068</v>
      </c>
      <c r="F5814" s="27">
        <v>45323</v>
      </c>
      <c r="G5814" t="s" s="10">
        <v>146</v>
      </c>
      <c r="H5814" t="s" s="42">
        <v>30</v>
      </c>
      <c r="I5814" t="s" s="42">
        <v>30</v>
      </c>
      <c r="J5814" t="s" s="10">
        <v>29225</v>
      </c>
      <c r="K5814" t="s" s="10">
        <v>29226</v>
      </c>
      <c r="L5814" s="16">
        <f>HYPERLINK("http://mona.ng", "mona.ng")</f>
      </c>
      <c r="M5814" s="16">
        <f>HYPERLINK("https://my.pitchbook.com?c=589084-93", "View Company Online")</f>
      </c>
    </row>
    <row r="5815">
      <c r="A5815" t="s" s="11">
        <v>29228</v>
      </c>
      <c r="B5815" t="s" s="11">
        <v>29229</v>
      </c>
      <c r="C5815" t="s" s="11">
        <v>27</v>
      </c>
      <c r="D5815" t="s" s="11">
        <v>70</v>
      </c>
      <c r="E5815" t="s" s="11">
        <v>29230</v>
      </c>
      <c r="F5815" s="28">
        <v>46143</v>
      </c>
      <c r="G5815" t="s" s="11">
        <v>391</v>
      </c>
      <c r="H5815" t="s" s="43">
        <v>30</v>
      </c>
      <c r="I5815" t="s" s="43">
        <v>30</v>
      </c>
      <c r="J5815" t="s" s="11">
        <v>29231</v>
      </c>
      <c r="K5815" t="s" s="11">
        <v>30</v>
      </c>
      <c r="L5815" s="17">
        <f>HYPERLINK("http://www.monavate.com", "www.monavate.com")</f>
      </c>
      <c r="M5815" s="17">
        <f>HYPERLINK("https://my.pitchbook.com?c=463567-69", "View Company Online")</f>
      </c>
    </row>
    <row r="5816">
      <c r="A5816" t="s" s="10">
        <v>29233</v>
      </c>
      <c r="B5816" t="s" s="10">
        <v>29234</v>
      </c>
      <c r="C5816" t="s" s="10">
        <v>60</v>
      </c>
      <c r="D5816" t="s" s="10">
        <v>246</v>
      </c>
      <c r="E5816" t="s" s="10">
        <v>29</v>
      </c>
      <c r="F5816" s="27">
        <v>45517</v>
      </c>
      <c r="G5816" t="s" s="10">
        <v>146</v>
      </c>
      <c r="H5816" t="s" s="42">
        <v>30</v>
      </c>
      <c r="I5816" t="s" s="42">
        <v>30</v>
      </c>
      <c r="J5816" t="s" s="10">
        <v>29235</v>
      </c>
      <c r="K5816" t="s" s="10">
        <v>29236</v>
      </c>
      <c r="L5816" s="16">
        <f>HYPERLINK("http://www.monay.com.tr", "www.monay.com.tr")</f>
      </c>
      <c r="M5816" s="16">
        <f>HYPERLINK("https://my.pitchbook.com?c=522678-43", "View Company Online")</f>
      </c>
    </row>
    <row r="5817">
      <c r="A5817" t="s" s="11">
        <v>29238</v>
      </c>
      <c r="B5817" t="s" s="11">
        <v>29239</v>
      </c>
      <c r="C5817" t="s" s="11">
        <v>60</v>
      </c>
      <c r="D5817" t="s" s="11">
        <v>246</v>
      </c>
      <c r="E5817" t="s" s="11">
        <v>2210</v>
      </c>
      <c r="F5817" s="28">
        <v>46142</v>
      </c>
      <c r="G5817" t="s" s="11">
        <v>2051</v>
      </c>
      <c r="H5817" t="s" s="43">
        <v>30</v>
      </c>
      <c r="I5817" t="s" s="43">
        <v>30</v>
      </c>
      <c r="J5817" t="s" s="11">
        <v>29240</v>
      </c>
      <c r="K5817" t="s" s="11">
        <v>30</v>
      </c>
      <c r="L5817" s="17">
        <f>HYPERLINK("http://www.moneeapp.com", "www.moneeapp.com")</f>
      </c>
      <c r="M5817" s="17">
        <f>HYPERLINK("https://my.pitchbook.com?c=497778-85", "View Company Online")</f>
      </c>
    </row>
    <row r="5818">
      <c r="A5818" t="s" s="10">
        <v>29242</v>
      </c>
      <c r="B5818" t="s" s="10">
        <v>29243</v>
      </c>
      <c r="C5818" t="s" s="10">
        <v>144</v>
      </c>
      <c r="D5818" t="s" s="10">
        <v>297</v>
      </c>
      <c r="E5818" t="s" s="10">
        <v>108</v>
      </c>
      <c r="F5818" s="27">
        <v>45922</v>
      </c>
      <c r="G5818" t="s" s="10">
        <v>4267</v>
      </c>
      <c r="H5818" s="42">
        <v>22.98</v>
      </c>
      <c r="I5818" t="s" s="42">
        <v>30</v>
      </c>
      <c r="J5818" t="s" s="10">
        <v>29244</v>
      </c>
      <c r="K5818" t="s" s="10">
        <v>29245</v>
      </c>
      <c r="L5818" s="16">
        <f>HYPERLINK("http://www.monet.money", "www.monet.money")</f>
      </c>
      <c r="M5818" s="16">
        <f>HYPERLINK("https://my.pitchbook.com?c=490089-07", "View Company Online")</f>
      </c>
    </row>
    <row r="5819">
      <c r="A5819" t="s" s="11">
        <v>29247</v>
      </c>
      <c r="B5819" t="s" s="11">
        <v>29248</v>
      </c>
      <c r="C5819" t="s" s="11">
        <v>60</v>
      </c>
      <c r="D5819" t="s" s="11">
        <v>246</v>
      </c>
      <c r="E5819" t="s" s="11">
        <v>193</v>
      </c>
      <c r="F5819" s="28">
        <v>45508</v>
      </c>
      <c r="G5819" t="s" s="11">
        <v>607</v>
      </c>
      <c r="H5819" t="s" s="43">
        <v>30</v>
      </c>
      <c r="I5819" t="s" s="43">
        <v>30</v>
      </c>
      <c r="J5819" t="s" s="11">
        <v>29249</v>
      </c>
      <c r="K5819" t="s" s="11">
        <v>29250</v>
      </c>
      <c r="L5819" s="17">
        <f>HYPERLINK("http://www.moneten.app", "www.moneten.app")</f>
      </c>
      <c r="M5819" s="17">
        <f>HYPERLINK("https://my.pitchbook.com?c=589304-08", "View Company Online")</f>
      </c>
    </row>
    <row r="5820">
      <c r="A5820" t="s" s="10">
        <v>29252</v>
      </c>
      <c r="B5820" t="s" s="10">
        <v>29253</v>
      </c>
      <c r="C5820" t="s" s="10">
        <v>128</v>
      </c>
      <c r="D5820" t="s" s="10">
        <v>129</v>
      </c>
      <c r="E5820" t="s" s="10">
        <v>29254</v>
      </c>
      <c r="F5820" s="27">
        <v>44621</v>
      </c>
      <c r="G5820" t="s" s="10">
        <v>607</v>
      </c>
      <c r="H5820" t="s" s="42">
        <v>30</v>
      </c>
      <c r="I5820" t="s" s="42">
        <v>30</v>
      </c>
      <c r="J5820" t="s" s="10">
        <v>29255</v>
      </c>
      <c r="K5820" t="s" s="10">
        <v>29256</v>
      </c>
      <c r="L5820" s="16">
        <f>HYPERLINK("http://www.monetha.io", "www.monetha.io")</f>
      </c>
      <c r="M5820" s="16">
        <f>HYPERLINK("https://my.pitchbook.com?c=186511-78", "View Company Online")</f>
      </c>
    </row>
    <row r="5821">
      <c r="A5821" t="s" s="11">
        <v>29258</v>
      </c>
      <c r="B5821" t="s" s="11">
        <v>29259</v>
      </c>
      <c r="C5821" t="s" s="11">
        <v>144</v>
      </c>
      <c r="D5821" t="s" s="11">
        <v>297</v>
      </c>
      <c r="E5821" t="s" s="11">
        <v>253</v>
      </c>
      <c r="F5821" s="28">
        <v>44986</v>
      </c>
      <c r="G5821" t="s" s="11">
        <v>146</v>
      </c>
      <c r="H5821" t="s" s="43">
        <v>30</v>
      </c>
      <c r="I5821" t="s" s="43">
        <v>30</v>
      </c>
      <c r="J5821" t="s" s="11">
        <v>29260</v>
      </c>
      <c r="K5821" t="s" s="11">
        <v>29261</v>
      </c>
      <c r="L5821" s="17">
        <f>HYPERLINK("http://www.monetse.com", "www.monetse.com")</f>
      </c>
      <c r="M5821" s="17">
        <f>HYPERLINK("https://my.pitchbook.com?c=521421-04", "View Company Online")</f>
      </c>
    </row>
    <row r="5822">
      <c r="A5822" t="s" s="10">
        <v>29263</v>
      </c>
      <c r="B5822" t="s" s="10">
        <v>29264</v>
      </c>
      <c r="C5822" t="s" s="10">
        <v>60</v>
      </c>
      <c r="D5822" t="s" s="10">
        <v>727</v>
      </c>
      <c r="E5822" t="s" s="10">
        <v>859</v>
      </c>
      <c r="F5822" s="27">
        <v>45965</v>
      </c>
      <c r="G5822" t="s" s="10">
        <v>146</v>
      </c>
      <c r="H5822" s="42">
        <v>1.71</v>
      </c>
      <c r="I5822" t="s" s="42">
        <v>30</v>
      </c>
      <c r="J5822" t="s" s="10">
        <v>29265</v>
      </c>
      <c r="K5822" t="s" s="10">
        <v>29266</v>
      </c>
      <c r="L5822" s="16">
        <f>HYPERLINK("http://www.moneyfarm.jp", "www.moneyfarm.jp")</f>
      </c>
      <c r="M5822" s="16">
        <f>HYPERLINK("https://my.pitchbook.com?c=589583-44", "View Company Online")</f>
      </c>
    </row>
    <row r="5823">
      <c r="A5823" t="s" s="11">
        <v>29268</v>
      </c>
      <c r="B5823" t="s" s="11">
        <v>29269</v>
      </c>
      <c r="C5823" t="s" s="11">
        <v>60</v>
      </c>
      <c r="D5823" t="s" s="11">
        <v>246</v>
      </c>
      <c r="E5823" t="s" s="11">
        <v>270</v>
      </c>
      <c r="F5823" s="28">
        <v>45782</v>
      </c>
      <c r="G5823" t="s" s="11">
        <v>40</v>
      </c>
      <c r="H5823" s="43">
        <v>13</v>
      </c>
      <c r="I5823" t="s" s="43">
        <v>30</v>
      </c>
      <c r="J5823" t="s" s="11">
        <v>29270</v>
      </c>
      <c r="K5823" t="s" s="11">
        <v>29271</v>
      </c>
      <c r="L5823" s="17">
        <f>HYPERLINK("http://moneyfellows.com", "moneyfellows.com")</f>
      </c>
      <c r="M5823" s="17">
        <f>HYPERLINK("https://my.pitchbook.com?c=118422-82", "View Company Online")</f>
      </c>
    </row>
    <row r="5824">
      <c r="A5824" t="s" s="10">
        <v>29273</v>
      </c>
      <c r="B5824" t="s" s="10">
        <v>29274</v>
      </c>
      <c r="C5824" t="s" s="10">
        <v>27</v>
      </c>
      <c r="D5824" t="s" s="10">
        <v>122</v>
      </c>
      <c r="E5824" t="s" s="10">
        <v>137</v>
      </c>
      <c r="F5824" s="27">
        <v>45287</v>
      </c>
      <c r="G5824" t="s" s="10">
        <v>146</v>
      </c>
      <c r="H5824" s="42">
        <v>1.5</v>
      </c>
      <c r="I5824" t="s" s="42">
        <v>30</v>
      </c>
      <c r="J5824" t="s" s="10">
        <v>29275</v>
      </c>
      <c r="K5824" t="s" s="10">
        <v>29276</v>
      </c>
      <c r="L5824" s="16">
        <f>HYPERLINK("http://www.money.industries", "www.money.industries")</f>
      </c>
      <c r="M5824" s="16">
        <f>HYPERLINK("https://my.pitchbook.com?c=547971-94", "View Company Online")</f>
      </c>
    </row>
    <row r="5825">
      <c r="A5825" t="s" s="11">
        <v>29278</v>
      </c>
      <c r="B5825" t="s" s="11">
        <v>29279</v>
      </c>
      <c r="C5825" t="s" s="11">
        <v>128</v>
      </c>
      <c r="D5825" t="s" s="11">
        <v>276</v>
      </c>
      <c r="E5825" t="s" s="11">
        <v>270</v>
      </c>
      <c r="F5825" s="28">
        <v>45175</v>
      </c>
      <c r="G5825" t="s" s="11">
        <v>40</v>
      </c>
      <c r="H5825" t="s" s="43">
        <v>30</v>
      </c>
      <c r="I5825" t="s" s="43">
        <v>30</v>
      </c>
      <c r="J5825" t="s" s="11">
        <v>29280</v>
      </c>
      <c r="K5825" t="s" s="11">
        <v>20064</v>
      </c>
      <c r="L5825" s="17">
        <f>HYPERLINK("http://moneyjar.world", "moneyjar.world")</f>
      </c>
      <c r="M5825" s="17">
        <f>HYPERLINK("https://my.pitchbook.com?c=433346-86", "View Company Online")</f>
      </c>
    </row>
    <row r="5826">
      <c r="A5826" t="s" s="10">
        <v>29282</v>
      </c>
      <c r="B5826" t="s" s="10">
        <v>29283</v>
      </c>
      <c r="C5826" t="s" s="10">
        <v>114</v>
      </c>
      <c r="D5826" t="s" s="10">
        <v>136</v>
      </c>
      <c r="E5826" t="s" s="10">
        <v>253</v>
      </c>
      <c r="F5826" s="27">
        <v>45770</v>
      </c>
      <c r="G5826" t="s" s="10">
        <v>391</v>
      </c>
      <c r="H5826" t="s" s="42">
        <v>30</v>
      </c>
      <c r="I5826" t="s" s="42">
        <v>30</v>
      </c>
      <c r="J5826" t="s" s="10">
        <v>29284</v>
      </c>
      <c r="K5826" t="s" s="10">
        <v>29285</v>
      </c>
      <c r="L5826" s="16">
        <f>HYPERLINK("http://www.moneymoneyinvest.com.br", "www.moneymoneyinvest.com.br")</f>
      </c>
      <c r="M5826" s="16">
        <f>HYPERLINK("https://my.pitchbook.com?c=520678-00", "View Company Online")</f>
      </c>
    </row>
    <row r="5827">
      <c r="A5827" t="s" s="11">
        <v>29287</v>
      </c>
      <c r="B5827" t="s" s="11">
        <v>29288</v>
      </c>
      <c r="C5827" t="s" s="11">
        <v>128</v>
      </c>
      <c r="D5827" t="s" s="11">
        <v>199</v>
      </c>
      <c r="E5827" t="s" s="11">
        <v>270</v>
      </c>
      <c r="F5827" s="28">
        <v>44834</v>
      </c>
      <c r="G5827" t="s" s="11">
        <v>146</v>
      </c>
      <c r="H5827" s="43">
        <v>1.3</v>
      </c>
      <c r="I5827" t="s" s="43">
        <v>30</v>
      </c>
      <c r="J5827" t="s" s="11">
        <v>29289</v>
      </c>
      <c r="K5827" t="s" s="11">
        <v>29290</v>
      </c>
      <c r="L5827" s="17">
        <f>HYPERLINK("http://www.money254.co.ke", "www.money254.co.ke")</f>
      </c>
      <c r="M5827" s="17">
        <f>HYPERLINK("https://my.pitchbook.com?c=469617-13", "View Company Online")</f>
      </c>
    </row>
    <row r="5828">
      <c r="A5828" t="s" s="10">
        <v>29292</v>
      </c>
      <c r="B5828" t="s" s="10">
        <v>29293</v>
      </c>
      <c r="C5828" t="s" s="10">
        <v>128</v>
      </c>
      <c r="D5828" t="s" s="10">
        <v>276</v>
      </c>
      <c r="E5828" t="s" s="10">
        <v>859</v>
      </c>
      <c r="F5828" s="27">
        <v>45853</v>
      </c>
      <c r="G5828" t="s" s="10">
        <v>4267</v>
      </c>
      <c r="H5828" s="42">
        <v>0.4</v>
      </c>
      <c r="I5828" t="s" s="42">
        <v>30</v>
      </c>
      <c r="J5828" t="s" s="10">
        <v>29294</v>
      </c>
      <c r="K5828" t="s" s="10">
        <v>29295</v>
      </c>
      <c r="L5828" s="16">
        <f>HYPERLINK("http://www.moneybadger.co.za", "www.moneybadger.co.za")</f>
      </c>
      <c r="M5828" s="16">
        <f>HYPERLINK("https://my.pitchbook.com?c=895421-71", "View Company Online")</f>
      </c>
    </row>
    <row r="5829">
      <c r="A5829" t="s" s="11">
        <v>29297</v>
      </c>
      <c r="B5829" t="s" s="11">
        <v>29298</v>
      </c>
      <c r="C5829" t="s" s="11">
        <v>164</v>
      </c>
      <c r="D5829" t="s" s="11">
        <v>206</v>
      </c>
      <c r="E5829" t="s" s="11">
        <v>145</v>
      </c>
      <c r="F5829" s="28">
        <v>45853</v>
      </c>
      <c r="G5829" t="s" s="11">
        <v>40</v>
      </c>
      <c r="H5829" s="43">
        <v>0.98</v>
      </c>
      <c r="I5829" t="s" s="43">
        <v>30</v>
      </c>
      <c r="J5829" t="s" s="11">
        <v>29299</v>
      </c>
      <c r="K5829" t="s" s="11">
        <v>29300</v>
      </c>
      <c r="L5829" s="17">
        <f>HYPERLINK("http://www.moneycatcha.com", "www.moneycatcha.com")</f>
      </c>
      <c r="M5829" s="17">
        <f>HYPERLINK("https://my.pitchbook.com?c=519770-26", "View Company Online")</f>
      </c>
    </row>
    <row r="5830">
      <c r="A5830" t="s" s="10">
        <v>29302</v>
      </c>
      <c r="B5830" t="s" s="10">
        <v>29303</v>
      </c>
      <c r="C5830" t="s" s="10">
        <v>27</v>
      </c>
      <c r="D5830" t="s" s="10">
        <v>70</v>
      </c>
      <c r="E5830" t="s" s="10">
        <v>629</v>
      </c>
      <c r="F5830" s="27">
        <v>46023</v>
      </c>
      <c r="G5830" t="s" s="10">
        <v>146</v>
      </c>
      <c r="H5830" t="s" s="42">
        <v>30</v>
      </c>
      <c r="I5830" t="s" s="42">
        <v>30</v>
      </c>
      <c r="J5830" t="s" s="10">
        <v>29304</v>
      </c>
      <c r="K5830" t="s" s="10">
        <v>29305</v>
      </c>
      <c r="L5830" s="16">
        <f>HYPERLINK("http://moneydevkit.com", "moneydevkit.com")</f>
      </c>
      <c r="M5830" s="16">
        <f>HYPERLINK("https://my.pitchbook.com?c=1240705-81", "View Company Online")</f>
      </c>
    </row>
    <row r="5831">
      <c r="A5831" t="s" s="11">
        <v>29307</v>
      </c>
      <c r="B5831" t="s" s="11">
        <v>29308</v>
      </c>
      <c r="C5831" t="s" s="11">
        <v>60</v>
      </c>
      <c r="D5831" t="s" s="11">
        <v>246</v>
      </c>
      <c r="E5831" t="s" s="11">
        <v>2824</v>
      </c>
      <c r="F5831" s="28">
        <v>44362</v>
      </c>
      <c r="G5831" t="s" s="11">
        <v>271</v>
      </c>
      <c r="H5831" t="s" s="43">
        <v>30</v>
      </c>
      <c r="I5831" t="s" s="43">
        <v>30</v>
      </c>
      <c r="J5831" t="s" s="11">
        <v>29309</v>
      </c>
      <c r="K5831" t="s" s="11">
        <v>29310</v>
      </c>
      <c r="L5831" s="17">
        <f>HYPERLINK("http://www.moneyexpert.com", "www.moneyexpert.com")</f>
      </c>
      <c r="M5831" s="17">
        <f>HYPERLINK("https://my.pitchbook.com?c=43095-70", "View Company Online")</f>
      </c>
    </row>
    <row r="5832">
      <c r="A5832" t="s" s="10">
        <v>29312</v>
      </c>
      <c r="B5832" t="s" s="10">
        <v>29313</v>
      </c>
      <c r="C5832" t="s" s="10">
        <v>60</v>
      </c>
      <c r="D5832" t="s" s="10">
        <v>246</v>
      </c>
      <c r="E5832" t="s" s="10">
        <v>137</v>
      </c>
      <c r="F5832" s="27">
        <v>46217</v>
      </c>
      <c r="G5832" t="s" s="10">
        <v>391</v>
      </c>
      <c r="H5832" t="s" s="42">
        <v>30</v>
      </c>
      <c r="I5832" t="s" s="42">
        <v>30</v>
      </c>
      <c r="J5832" t="s" s="10">
        <v>29314</v>
      </c>
      <c r="K5832" t="s" s="10">
        <v>30</v>
      </c>
      <c r="L5832" s="16">
        <f>HYPERLINK("http://www.moneygeek.com", "www.moneygeek.com")</f>
      </c>
      <c r="M5832" s="16">
        <f>HYPERLINK("https://my.pitchbook.com?c=523251-19", "View Company Online")</f>
      </c>
    </row>
    <row r="5833">
      <c r="A5833" t="s" s="11">
        <v>29316</v>
      </c>
      <c r="B5833" t="s" s="11">
        <v>29317</v>
      </c>
      <c r="C5833" t="s" s="11">
        <v>114</v>
      </c>
      <c r="D5833" t="s" s="11">
        <v>136</v>
      </c>
      <c r="E5833" t="s" s="11">
        <v>345</v>
      </c>
      <c r="F5833" s="28">
        <v>45841</v>
      </c>
      <c r="G5833" t="s" s="11">
        <v>146</v>
      </c>
      <c r="H5833" s="43">
        <v>3</v>
      </c>
      <c r="I5833" t="s" s="43">
        <v>30</v>
      </c>
      <c r="J5833" t="s" s="11">
        <v>29318</v>
      </c>
      <c r="K5833" t="s" s="11">
        <v>29319</v>
      </c>
      <c r="L5833" s="17">
        <f>HYPERLINK("http://moneymoon.sa", "moneymoon.sa")</f>
      </c>
      <c r="M5833" s="17">
        <f>HYPERLINK("https://my.pitchbook.com?c=538901-47", "View Company Online")</f>
      </c>
    </row>
    <row r="5834">
      <c r="A5834" t="s" s="10">
        <v>29321</v>
      </c>
      <c r="B5834" t="s" s="10">
        <v>29322</v>
      </c>
      <c r="C5834" t="s" s="10">
        <v>27</v>
      </c>
      <c r="D5834" t="s" s="10">
        <v>28</v>
      </c>
      <c r="E5834" t="s" s="10">
        <v>1800</v>
      </c>
      <c r="F5834" s="27">
        <v>45292</v>
      </c>
      <c r="G5834" t="s" s="10">
        <v>40</v>
      </c>
      <c r="H5834" t="s" s="42">
        <v>30</v>
      </c>
      <c r="I5834" t="s" s="42">
        <v>30</v>
      </c>
      <c r="J5834" t="s" s="10">
        <v>29323</v>
      </c>
      <c r="K5834" t="s" s="10">
        <v>29324</v>
      </c>
      <c r="L5834" s="16">
        <f>HYPERLINK("http://www.moneymoov.com", "www.moneymoov.com")</f>
      </c>
      <c r="M5834" s="16">
        <f>HYPERLINK("https://my.pitchbook.com?c=550848-07", "View Company Online")</f>
      </c>
    </row>
    <row r="5835">
      <c r="A5835" t="s" s="11">
        <v>29326</v>
      </c>
      <c r="B5835" t="s" s="11">
        <v>29327</v>
      </c>
      <c r="C5835" t="s" s="11">
        <v>27</v>
      </c>
      <c r="D5835" t="s" s="11">
        <v>28</v>
      </c>
      <c r="E5835" t="s" s="11">
        <v>270</v>
      </c>
      <c r="F5835" s="28">
        <v>45582</v>
      </c>
      <c r="G5835" t="s" s="11">
        <v>607</v>
      </c>
      <c r="H5835" t="s" s="43">
        <v>30</v>
      </c>
      <c r="I5835" t="s" s="43">
        <v>30</v>
      </c>
      <c r="J5835" t="s" s="11">
        <v>29328</v>
      </c>
      <c r="K5835" t="s" s="11">
        <v>29329</v>
      </c>
      <c r="L5835" s="17">
        <f>HYPERLINK("http://www.moneyplex.net", "www.moneyplex.net")</f>
      </c>
      <c r="M5835" s="17">
        <f>HYPERLINK("https://my.pitchbook.com?c=530468-02", "View Company Online")</f>
      </c>
    </row>
    <row r="5836">
      <c r="A5836" t="s" s="10">
        <v>29331</v>
      </c>
      <c r="B5836" t="s" s="10">
        <v>29332</v>
      </c>
      <c r="C5836" t="s" s="10">
        <v>46</v>
      </c>
      <c r="D5836" t="s" s="10">
        <v>78</v>
      </c>
      <c r="E5836" t="s" s="10">
        <v>1826</v>
      </c>
      <c r="F5836" t="s" s="27">
        <v>30</v>
      </c>
      <c r="G5836" t="s" s="10">
        <v>48</v>
      </c>
      <c r="H5836" t="s" s="42">
        <v>30</v>
      </c>
      <c r="I5836" t="s" s="42">
        <v>30</v>
      </c>
      <c r="J5836" t="s" s="10">
        <v>29333</v>
      </c>
      <c r="K5836" t="s" s="10">
        <v>29334</v>
      </c>
      <c r="L5836" s="16">
        <f>HYPERLINK("http://www.moneytable.com", "www.moneytable.com")</f>
      </c>
      <c r="M5836" s="16">
        <f>HYPERLINK("https://my.pitchbook.com?c=170752-06", "View Company Online")</f>
      </c>
    </row>
    <row r="5837">
      <c r="A5837" t="s" s="11">
        <v>29336</v>
      </c>
      <c r="B5837" t="s" s="11">
        <v>29337</v>
      </c>
      <c r="C5837" t="s" s="11">
        <v>114</v>
      </c>
      <c r="D5837" t="s" s="11">
        <v>136</v>
      </c>
      <c r="E5837" t="s" s="11">
        <v>270</v>
      </c>
      <c r="F5837" s="28">
        <v>44984</v>
      </c>
      <c r="G5837" t="s" s="11">
        <v>40</v>
      </c>
      <c r="H5837" s="43">
        <v>1.6</v>
      </c>
      <c r="I5837" t="s" s="43">
        <v>30</v>
      </c>
      <c r="J5837" t="s" s="11">
        <v>29338</v>
      </c>
      <c r="K5837" t="s" s="11">
        <v>29339</v>
      </c>
      <c r="L5837" s="17">
        <f>HYPERLINK("http://www.moni.com.ar", "www.moni.com.ar")</f>
      </c>
      <c r="M5837" s="17">
        <f>HYPERLINK("https://my.pitchbook.com?c=104344-57", "View Company Online")</f>
      </c>
    </row>
    <row r="5838">
      <c r="A5838" t="s" s="10">
        <v>29341</v>
      </c>
      <c r="B5838" t="s" s="10">
        <v>29342</v>
      </c>
      <c r="C5838" t="s" s="10">
        <v>27</v>
      </c>
      <c r="D5838" t="s" s="10">
        <v>28</v>
      </c>
      <c r="E5838" t="s" s="10">
        <v>253</v>
      </c>
      <c r="F5838" t="s" s="27">
        <v>30</v>
      </c>
      <c r="G5838" t="s" s="10">
        <v>146</v>
      </c>
      <c r="H5838" t="s" s="42">
        <v>30</v>
      </c>
      <c r="I5838" t="s" s="42">
        <v>30</v>
      </c>
      <c r="J5838" t="s" s="10">
        <v>29343</v>
      </c>
      <c r="K5838" t="s" s="10">
        <v>29344</v>
      </c>
      <c r="L5838" s="16">
        <f>HYPERLINK("http://www.moniic.io", "www.moniic.io")</f>
      </c>
      <c r="M5838" s="16">
        <f>HYPERLINK("https://my.pitchbook.com?c=384716-89", "View Company Online")</f>
      </c>
    </row>
    <row r="5839">
      <c r="A5839" t="s" s="11">
        <v>29346</v>
      </c>
      <c r="B5839" t="s" s="11">
        <v>29347</v>
      </c>
      <c r="C5839" t="s" s="11">
        <v>164</v>
      </c>
      <c r="D5839" t="s" s="11">
        <v>206</v>
      </c>
      <c r="E5839" t="s" s="11">
        <v>193</v>
      </c>
      <c r="F5839" s="28">
        <v>45017</v>
      </c>
      <c r="G5839" t="s" s="11">
        <v>40</v>
      </c>
      <c r="H5839" t="s" s="43">
        <v>30</v>
      </c>
      <c r="I5839" t="s" s="43">
        <v>30</v>
      </c>
      <c r="J5839" t="s" s="11">
        <v>29348</v>
      </c>
      <c r="K5839" t="s" s="11">
        <v>29349</v>
      </c>
      <c r="L5839" s="17">
        <f>HYPERLINK("http://www.monimove.com", "www.monimove.com")</f>
      </c>
      <c r="M5839" s="17">
        <f>HYPERLINK("https://my.pitchbook.com?c=470051-92", "View Company Online")</f>
      </c>
    </row>
    <row r="5840">
      <c r="A5840" t="s" s="10">
        <v>29351</v>
      </c>
      <c r="B5840" t="s" s="10">
        <v>29352</v>
      </c>
      <c r="C5840" t="s" s="10">
        <v>46</v>
      </c>
      <c r="D5840" t="s" s="10">
        <v>915</v>
      </c>
      <c r="E5840" t="s" s="10">
        <v>259</v>
      </c>
      <c r="F5840" s="27">
        <v>45839</v>
      </c>
      <c r="G5840" t="s" s="10">
        <v>146</v>
      </c>
      <c r="H5840" s="42">
        <v>2.5</v>
      </c>
      <c r="I5840" t="s" s="42">
        <v>30</v>
      </c>
      <c r="J5840" t="s" s="10">
        <v>29353</v>
      </c>
      <c r="K5840" t="s" s="10">
        <v>29354</v>
      </c>
      <c r="L5840" s="16">
        <f>HYPERLINK("http://www.monitpay.com", "www.monitpay.com")</f>
      </c>
      <c r="M5840" s="16">
        <f>HYPERLINK("https://my.pitchbook.com?c=492644-98", "View Company Online")</f>
      </c>
    </row>
    <row r="5841">
      <c r="A5841" t="s" s="11">
        <v>29356</v>
      </c>
      <c r="B5841" t="s" s="11">
        <v>29357</v>
      </c>
      <c r="C5841" t="s" s="11">
        <v>164</v>
      </c>
      <c r="D5841" t="s" s="11">
        <v>165</v>
      </c>
      <c r="E5841" t="s" s="11">
        <v>270</v>
      </c>
      <c r="F5841" s="28">
        <v>45551</v>
      </c>
      <c r="G5841" t="s" s="11">
        <v>40</v>
      </c>
      <c r="H5841" s="43">
        <v>3.59</v>
      </c>
      <c r="I5841" t="s" s="43">
        <v>30</v>
      </c>
      <c r="J5841" t="s" s="11">
        <v>29358</v>
      </c>
      <c r="K5841" t="s" s="11">
        <v>29359</v>
      </c>
      <c r="L5841" s="17">
        <f>HYPERLINK("http://www.monitapp.io", "www.monitapp.io")</f>
      </c>
      <c r="M5841" s="17">
        <f>HYPERLINK("https://my.pitchbook.com?c=432560-53", "View Company Online")</f>
      </c>
    </row>
    <row r="5842">
      <c r="A5842" t="s" s="10">
        <v>29361</v>
      </c>
      <c r="B5842" t="s" s="10">
        <v>29362</v>
      </c>
      <c r="C5842" t="s" s="10">
        <v>46</v>
      </c>
      <c r="D5842" t="s" s="10">
        <v>47</v>
      </c>
      <c r="E5842" t="s" s="10">
        <v>29363</v>
      </c>
      <c r="F5842" s="27">
        <v>46023</v>
      </c>
      <c r="G5842" t="s" s="10">
        <v>48</v>
      </c>
      <c r="H5842" t="s" s="42">
        <v>30</v>
      </c>
      <c r="I5842" t="s" s="42">
        <v>30</v>
      </c>
      <c r="J5842" t="s" s="10">
        <v>29364</v>
      </c>
      <c r="K5842" t="s" s="10">
        <v>29365</v>
      </c>
      <c r="L5842" s="16">
        <f>HYPERLINK("http://www.monkey.tech", "www.monkey.tech")</f>
      </c>
      <c r="M5842" s="16">
        <f>HYPERLINK("https://my.pitchbook.com?c=230422-60", "View Company Online")</f>
      </c>
    </row>
    <row r="5843">
      <c r="A5843" t="s" s="11">
        <v>29367</v>
      </c>
      <c r="B5843" t="s" s="11">
        <v>29368</v>
      </c>
      <c r="C5843" t="s" s="11">
        <v>128</v>
      </c>
      <c r="D5843" t="s" s="11">
        <v>276</v>
      </c>
      <c r="E5843" t="s" s="11">
        <v>270</v>
      </c>
      <c r="F5843" s="28">
        <v>45797</v>
      </c>
      <c r="G5843" t="s" s="11">
        <v>146</v>
      </c>
      <c r="H5843" t="s" s="43">
        <v>30</v>
      </c>
      <c r="I5843" t="s" s="43">
        <v>30</v>
      </c>
      <c r="J5843" t="s" s="11">
        <v>29369</v>
      </c>
      <c r="K5843" t="s" s="11">
        <v>25447</v>
      </c>
      <c r="L5843" s="17">
        <f>HYPERLINK("http://www.monkeymoneyapp.com", "www.monkeymoneyapp.com")</f>
      </c>
      <c r="M5843" s="17">
        <f>HYPERLINK("https://my.pitchbook.com?c=866123-47", "View Company Online")</f>
      </c>
    </row>
    <row r="5844">
      <c r="A5844" t="s" s="10">
        <v>29371</v>
      </c>
      <c r="B5844" t="s" s="10">
        <v>29372</v>
      </c>
      <c r="C5844" t="s" s="10">
        <v>60</v>
      </c>
      <c r="D5844" t="s" s="10">
        <v>246</v>
      </c>
      <c r="E5844" t="s" s="10">
        <v>116</v>
      </c>
      <c r="F5844" s="27">
        <v>45785</v>
      </c>
      <c r="G5844" t="s" s="10">
        <v>4267</v>
      </c>
      <c r="H5844" s="42">
        <v>0.51</v>
      </c>
      <c r="I5844" t="s" s="42">
        <v>30</v>
      </c>
      <c r="J5844" t="s" s="10">
        <v>29373</v>
      </c>
      <c r="K5844" t="s" s="10">
        <v>29374</v>
      </c>
      <c r="L5844" s="16">
        <f>HYPERLINK("http://www.getmonny.com", "www.getmonny.com")</f>
      </c>
      <c r="M5844" s="16">
        <f>HYPERLINK("https://my.pitchbook.com?c=886035-79", "View Company Online")</f>
      </c>
    </row>
    <row r="5845">
      <c r="A5845" t="s" s="11">
        <v>29376</v>
      </c>
      <c r="B5845" t="s" s="11">
        <v>29377</v>
      </c>
      <c r="C5845" t="s" s="11">
        <v>37</v>
      </c>
      <c r="D5845" t="s" s="11">
        <v>38</v>
      </c>
      <c r="E5845" t="s" s="11">
        <v>1964</v>
      </c>
      <c r="F5845" t="s" s="28">
        <v>30</v>
      </c>
      <c r="G5845" t="s" s="11">
        <v>48</v>
      </c>
      <c r="H5845" t="s" s="43">
        <v>30</v>
      </c>
      <c r="I5845" t="s" s="43">
        <v>30</v>
      </c>
      <c r="J5845" t="s" s="11">
        <v>29378</v>
      </c>
      <c r="K5845" t="s" s="11">
        <v>29379</v>
      </c>
      <c r="L5845" s="17">
        <f>HYPERLINK("http://www.mono.la", "www.mono.la")</f>
      </c>
      <c r="M5845" s="17">
        <f>HYPERLINK("https://my.pitchbook.com?c=465987-61", "View Company Online")</f>
      </c>
    </row>
    <row r="5846">
      <c r="A5846" t="s" s="10">
        <v>29381</v>
      </c>
      <c r="B5846" t="s" s="10">
        <v>29382</v>
      </c>
      <c r="C5846" t="s" s="10">
        <v>27</v>
      </c>
      <c r="D5846" t="s" s="10">
        <v>28</v>
      </c>
      <c r="E5846" t="s" s="10">
        <v>193</v>
      </c>
      <c r="F5846" s="27">
        <v>46008</v>
      </c>
      <c r="G5846" t="s" s="10">
        <v>40</v>
      </c>
      <c r="H5846" s="42">
        <v>2.32</v>
      </c>
      <c r="I5846" t="s" s="42">
        <v>30</v>
      </c>
      <c r="J5846" t="s" s="10">
        <v>29383</v>
      </c>
      <c r="K5846" t="s" s="10">
        <v>29384</v>
      </c>
      <c r="L5846" s="16">
        <f>HYPERLINK("http://www.montonio.com", "www.montonio.com")</f>
      </c>
      <c r="M5846" s="16">
        <f>HYPERLINK("https://my.pitchbook.com?c=268576-84", "View Company Online")</f>
      </c>
    </row>
    <row r="5847">
      <c r="A5847" t="s" s="11">
        <v>29386</v>
      </c>
      <c r="B5847" t="s" s="11">
        <v>29387</v>
      </c>
      <c r="C5847" t="s" s="11">
        <v>164</v>
      </c>
      <c r="D5847" t="s" s="11">
        <v>165</v>
      </c>
      <c r="E5847" t="s" s="11">
        <v>253</v>
      </c>
      <c r="F5847" s="28">
        <v>45962</v>
      </c>
      <c r="G5847" t="s" s="11">
        <v>48</v>
      </c>
      <c r="H5847" t="s" s="43">
        <v>30</v>
      </c>
      <c r="I5847" t="s" s="43">
        <v>30</v>
      </c>
      <c r="J5847" t="s" s="11">
        <v>29388</v>
      </c>
      <c r="K5847" t="s" s="11">
        <v>29389</v>
      </c>
      <c r="L5847" s="17">
        <f>HYPERLINK("http://www.morakot.it", "www.morakot.it")</f>
      </c>
      <c r="M5847" s="17">
        <f>HYPERLINK("https://my.pitchbook.com?c=183028-06", "View Company Online")</f>
      </c>
    </row>
    <row r="5848">
      <c r="A5848" t="s" s="10">
        <v>29391</v>
      </c>
      <c r="B5848" t="s" s="10">
        <v>29392</v>
      </c>
      <c r="C5848" t="s" s="10">
        <v>60</v>
      </c>
      <c r="D5848" t="s" s="10">
        <v>246</v>
      </c>
      <c r="E5848" t="s" s="10">
        <v>253</v>
      </c>
      <c r="F5848" s="27">
        <v>45292</v>
      </c>
      <c r="G5848" t="s" s="10">
        <v>40</v>
      </c>
      <c r="H5848" t="s" s="42">
        <v>30</v>
      </c>
      <c r="I5848" t="s" s="42">
        <v>30</v>
      </c>
      <c r="J5848" t="s" s="10">
        <v>29393</v>
      </c>
      <c r="K5848" t="s" s="10">
        <v>29394</v>
      </c>
      <c r="L5848" s="16">
        <f>HYPERLINK("http://www.mortgagemarket.co.za", "www.mortgagemarket.co.za")</f>
      </c>
      <c r="M5848" s="16">
        <f>HYPERLINK("https://my.pitchbook.com?c=460065-88", "View Company Online")</f>
      </c>
    </row>
    <row r="5849">
      <c r="A5849" t="s" s="11">
        <v>29396</v>
      </c>
      <c r="B5849" t="s" s="11">
        <v>29397</v>
      </c>
      <c r="C5849" t="s" s="11">
        <v>128</v>
      </c>
      <c r="D5849" t="s" s="11">
        <v>276</v>
      </c>
      <c r="E5849" t="s" s="11">
        <v>30</v>
      </c>
      <c r="F5849" s="28">
        <v>45127</v>
      </c>
      <c r="G5849" t="s" s="11">
        <v>4267</v>
      </c>
      <c r="H5849" s="43">
        <v>2.5</v>
      </c>
      <c r="I5849" t="s" s="43">
        <v>30</v>
      </c>
      <c r="J5849" t="s" s="11">
        <v>29398</v>
      </c>
      <c r="K5849" t="s" s="11">
        <v>29399</v>
      </c>
      <c r="L5849" s="17">
        <f>HYPERLINK("http://moseamarketing.com", "moseamarketing.com")</f>
      </c>
      <c r="M5849" s="17">
        <f>HYPERLINK("https://my.pitchbook.com?c=437427-37", "View Company Online")</f>
      </c>
    </row>
    <row r="5850">
      <c r="A5850" t="s" s="10">
        <v>29401</v>
      </c>
      <c r="B5850" t="s" s="10">
        <v>29402</v>
      </c>
      <c r="C5850" t="s" s="10">
        <v>37</v>
      </c>
      <c r="D5850" t="s" s="10">
        <v>304</v>
      </c>
      <c r="E5850" t="s" s="10">
        <v>145</v>
      </c>
      <c r="F5850" s="27">
        <v>46008</v>
      </c>
      <c r="G5850" t="s" s="10">
        <v>4267</v>
      </c>
      <c r="H5850" s="42">
        <v>1.8</v>
      </c>
      <c r="I5850" t="s" s="42">
        <v>30</v>
      </c>
      <c r="J5850" t="s" s="10">
        <v>29403</v>
      </c>
      <c r="K5850" t="s" s="10">
        <v>29404</v>
      </c>
      <c r="L5850" s="16">
        <f>HYPERLINK("http://www.moto-card.com", "www.moto-card.com")</f>
      </c>
      <c r="M5850" s="16">
        <f>HYPERLINK("https://my.pitchbook.com?c=1232313-94", "View Company Online")</f>
      </c>
    </row>
    <row r="5851">
      <c r="A5851" t="s" s="11">
        <v>29406</v>
      </c>
      <c r="B5851" t="s" s="11">
        <v>29407</v>
      </c>
      <c r="C5851" t="s" s="11">
        <v>46</v>
      </c>
      <c r="D5851" t="s" s="11">
        <v>47</v>
      </c>
      <c r="E5851" t="s" s="11">
        <v>29</v>
      </c>
      <c r="F5851" s="28">
        <v>45717</v>
      </c>
      <c r="G5851" t="s" s="11">
        <v>146</v>
      </c>
      <c r="H5851" t="s" s="43">
        <v>30</v>
      </c>
      <c r="I5851" t="s" s="43">
        <v>30</v>
      </c>
      <c r="J5851" t="s" s="11">
        <v>29408</v>
      </c>
      <c r="K5851" t="s" s="11">
        <v>29409</v>
      </c>
      <c r="L5851" s="17">
        <f>HYPERLINK("http://www.movens.com.br", "www.movens.com.br")</f>
      </c>
      <c r="M5851" s="17">
        <f>HYPERLINK("https://my.pitchbook.com?c=756710-20", "View Company Online")</f>
      </c>
    </row>
    <row r="5852">
      <c r="A5852" t="s" s="10">
        <v>29411</v>
      </c>
      <c r="B5852" t="s" s="10">
        <v>29412</v>
      </c>
      <c r="C5852" t="s" s="10">
        <v>128</v>
      </c>
      <c r="D5852" t="s" s="10">
        <v>276</v>
      </c>
      <c r="E5852" t="s" s="10">
        <v>973</v>
      </c>
      <c r="F5852" s="27">
        <v>44602</v>
      </c>
      <c r="G5852" t="s" s="10">
        <v>40</v>
      </c>
      <c r="H5852" s="42">
        <v>17</v>
      </c>
      <c r="I5852" t="s" s="42">
        <v>30</v>
      </c>
      <c r="J5852" t="s" s="10">
        <v>29413</v>
      </c>
      <c r="K5852" t="s" s="10">
        <v>29414</v>
      </c>
      <c r="L5852" s="16">
        <f>HYPERLINK("http://www.movii.com.co", "www.movii.com.co")</f>
      </c>
      <c r="M5852" s="16">
        <f>HYPERLINK("https://my.pitchbook.com?c=340755-58", "View Company Online")</f>
      </c>
    </row>
    <row r="5853">
      <c r="A5853" t="s" s="11">
        <v>29416</v>
      </c>
      <c r="B5853" t="s" s="11">
        <v>29417</v>
      </c>
      <c r="C5853" t="s" s="11">
        <v>114</v>
      </c>
      <c r="D5853" t="s" s="11">
        <v>115</v>
      </c>
      <c r="E5853" t="s" s="11">
        <v>5117</v>
      </c>
      <c r="F5853" s="28">
        <v>46044</v>
      </c>
      <c r="G5853" t="s" s="11">
        <v>607</v>
      </c>
      <c r="H5853" t="s" s="43">
        <v>30</v>
      </c>
      <c r="I5853" t="s" s="43">
        <v>30</v>
      </c>
      <c r="J5853" t="s" s="11">
        <v>29418</v>
      </c>
      <c r="K5853" t="s" s="11">
        <v>29419</v>
      </c>
      <c r="L5853" s="17">
        <f>HYPERLINK("http://www.moxim.co.uk", "www.moxim.co.uk")</f>
      </c>
      <c r="M5853" s="17">
        <f>HYPERLINK("https://my.pitchbook.com?c=1262743-03", "View Company Online")</f>
      </c>
    </row>
    <row r="5854">
      <c r="A5854" t="s" s="10">
        <v>29421</v>
      </c>
      <c r="B5854" t="s" s="10">
        <v>29422</v>
      </c>
      <c r="C5854" t="s" s="10">
        <v>27</v>
      </c>
      <c r="D5854" t="s" s="10">
        <v>28</v>
      </c>
      <c r="E5854" t="s" s="10">
        <v>3138</v>
      </c>
      <c r="F5854" s="27">
        <v>45357</v>
      </c>
      <c r="G5854" t="s" s="10">
        <v>4267</v>
      </c>
      <c r="H5854" s="42">
        <v>21</v>
      </c>
      <c r="I5854" t="s" s="42">
        <v>30</v>
      </c>
      <c r="J5854" t="s" s="10">
        <v>29423</v>
      </c>
      <c r="K5854" t="s" s="10">
        <v>29424</v>
      </c>
      <c r="L5854" s="16">
        <f>HYPERLINK("http://www.moyasar.com", "www.moyasar.com")</f>
      </c>
      <c r="M5854" s="16">
        <f>HYPERLINK("https://my.pitchbook.com?c=432467-56", "View Company Online")</f>
      </c>
    </row>
    <row r="5855">
      <c r="A5855" t="s" s="11">
        <v>29426</v>
      </c>
      <c r="B5855" t="s" s="11">
        <v>29427</v>
      </c>
      <c r="C5855" t="s" s="11">
        <v>37</v>
      </c>
      <c r="D5855" t="s" s="11">
        <v>304</v>
      </c>
      <c r="E5855" t="s" s="11">
        <v>1859</v>
      </c>
      <c r="F5855" s="28">
        <v>46014</v>
      </c>
      <c r="G5855" t="s" s="11">
        <v>146</v>
      </c>
      <c r="H5855" s="43">
        <v>3</v>
      </c>
      <c r="I5855" t="s" s="43">
        <v>30</v>
      </c>
      <c r="J5855" t="s" s="11">
        <v>29428</v>
      </c>
      <c r="K5855" t="s" s="11">
        <v>29429</v>
      </c>
      <c r="L5855" s="17">
        <f>HYPERLINK("http://www.mpay.cards", "www.mpay.cards")</f>
      </c>
      <c r="M5855" s="17">
        <f>HYPERLINK("https://my.pitchbook.com?c=1234118-17", "View Company Online")</f>
      </c>
    </row>
    <row r="5856">
      <c r="A5856" t="s" s="10">
        <v>29431</v>
      </c>
      <c r="B5856" t="s" s="10">
        <v>29432</v>
      </c>
      <c r="C5856" t="s" s="10">
        <v>144</v>
      </c>
      <c r="D5856" t="s" s="10">
        <v>38</v>
      </c>
      <c r="E5856" t="s" s="10">
        <v>270</v>
      </c>
      <c r="F5856" s="27">
        <v>45747</v>
      </c>
      <c r="G5856" t="s" s="10">
        <v>146</v>
      </c>
      <c r="H5856" s="42">
        <v>5</v>
      </c>
      <c r="I5856" t="s" s="42">
        <v>30</v>
      </c>
      <c r="J5856" t="s" s="10">
        <v>29433</v>
      </c>
      <c r="K5856" t="s" s="10">
        <v>29434</v>
      </c>
      <c r="L5856" s="16">
        <f>HYPERLINK("http://www.mtpagamentos.com.br", "www.mtpagamentos.com.br")</f>
      </c>
      <c r="M5856" s="16">
        <f>HYPERLINK("https://my.pitchbook.com?c=769984-12", "View Company Online")</f>
      </c>
    </row>
    <row r="5857">
      <c r="A5857" t="s" s="11">
        <v>29436</v>
      </c>
      <c r="B5857" t="s" s="11">
        <v>29437</v>
      </c>
      <c r="C5857" t="s" s="11">
        <v>60</v>
      </c>
      <c r="D5857" t="s" s="11">
        <v>246</v>
      </c>
      <c r="E5857" t="s" s="11">
        <v>253</v>
      </c>
      <c r="F5857" s="28">
        <v>45140</v>
      </c>
      <c r="G5857" t="s" s="11">
        <v>4267</v>
      </c>
      <c r="H5857" s="43">
        <v>1.6</v>
      </c>
      <c r="I5857" t="s" s="43">
        <v>30</v>
      </c>
      <c r="J5857" t="s" s="11">
        <v>29438</v>
      </c>
      <c r="K5857" t="s" s="11">
        <v>29439</v>
      </c>
      <c r="L5857" s="17">
        <f>HYPERLINK("http://www.mthmr.com", "www.mthmr.com")</f>
      </c>
      <c r="M5857" s="17">
        <f>HYPERLINK("https://my.pitchbook.com?c=507074-59", "View Company Online")</f>
      </c>
    </row>
    <row r="5858">
      <c r="A5858" t="s" s="10">
        <v>29441</v>
      </c>
      <c r="B5858" t="s" s="10">
        <v>29442</v>
      </c>
      <c r="C5858" t="s" s="10">
        <v>114</v>
      </c>
      <c r="D5858" t="s" s="10">
        <v>870</v>
      </c>
      <c r="E5858" t="s" s="10">
        <v>137</v>
      </c>
      <c r="F5858" s="27">
        <v>46090</v>
      </c>
      <c r="G5858" t="s" s="10">
        <v>4267</v>
      </c>
      <c r="H5858" s="42">
        <v>7.53</v>
      </c>
      <c r="I5858" t="s" s="42">
        <v>30</v>
      </c>
      <c r="J5858" t="s" s="10">
        <v>29443</v>
      </c>
      <c r="K5858" t="s" s="10">
        <v>29444</v>
      </c>
      <c r="L5858" s="16">
        <f>HYPERLINK("http://muhlah.sa", "muhlah.sa")</f>
      </c>
      <c r="M5858" s="16">
        <f>HYPERLINK("https://my.pitchbook.com?c=969092-92", "View Company Online")</f>
      </c>
    </row>
    <row r="5859">
      <c r="A5859" t="s" s="11">
        <v>29446</v>
      </c>
      <c r="B5859" t="s" s="11">
        <v>29447</v>
      </c>
      <c r="C5859" t="s" s="11">
        <v>114</v>
      </c>
      <c r="D5859" t="s" s="11">
        <v>852</v>
      </c>
      <c r="E5859" t="s" s="11">
        <v>137</v>
      </c>
      <c r="F5859" s="28">
        <v>45050</v>
      </c>
      <c r="G5859" t="s" s="11">
        <v>40</v>
      </c>
      <c r="H5859" s="43">
        <v>5</v>
      </c>
      <c r="I5859" t="s" s="43">
        <v>30</v>
      </c>
      <c r="J5859" t="s" s="11">
        <v>29448</v>
      </c>
      <c r="K5859" t="s" s="11">
        <v>30</v>
      </c>
      <c r="L5859" s="17">
        <f>HYPERLINK("http://www.mulliganfunding.com", "www.mulliganfunding.com")</f>
      </c>
      <c r="M5859" s="17">
        <f>HYPERLINK("https://my.pitchbook.com?c=147271-78", "View Company Online")</f>
      </c>
    </row>
    <row r="5860">
      <c r="A5860" t="s" s="10">
        <v>29450</v>
      </c>
      <c r="B5860" t="s" s="10">
        <v>29451</v>
      </c>
      <c r="C5860" t="s" s="10">
        <v>222</v>
      </c>
      <c r="D5860" t="s" s="10">
        <v>537</v>
      </c>
      <c r="E5860" t="s" s="10">
        <v>253</v>
      </c>
      <c r="F5860" s="27">
        <v>44993</v>
      </c>
      <c r="G5860" t="s" s="10">
        <v>40</v>
      </c>
      <c r="H5860" t="s" s="42">
        <v>30</v>
      </c>
      <c r="I5860" t="s" s="42">
        <v>30</v>
      </c>
      <c r="J5860" t="s" s="10">
        <v>29452</v>
      </c>
      <c r="K5860" t="s" s="10">
        <v>29453</v>
      </c>
      <c r="L5860" s="16">
        <f>HYPERLINK("http://www.multilynq.com", "www.multilynq.com")</f>
      </c>
      <c r="M5860" s="16">
        <f>HYPERLINK("https://my.pitchbook.com?c=521330-77", "View Company Online")</f>
      </c>
    </row>
    <row r="5861">
      <c r="A5861" t="s" s="11">
        <v>29455</v>
      </c>
      <c r="B5861" t="s" s="11">
        <v>29456</v>
      </c>
      <c r="C5861" t="s" s="11">
        <v>60</v>
      </c>
      <c r="D5861" t="s" s="11">
        <v>192</v>
      </c>
      <c r="E5861" t="s" s="11">
        <v>414</v>
      </c>
      <c r="F5861" s="28">
        <v>45573</v>
      </c>
      <c r="G5861" t="s" s="11">
        <v>146</v>
      </c>
      <c r="H5861" s="43">
        <v>1.05</v>
      </c>
      <c r="I5861" t="s" s="43">
        <v>30</v>
      </c>
      <c r="J5861" t="s" s="11">
        <v>29457</v>
      </c>
      <c r="K5861" t="s" s="11">
        <v>29458</v>
      </c>
      <c r="L5861" s="17">
        <f>HYPERLINK("http://www.multiplocapital.com", "www.multiplocapital.com")</f>
      </c>
      <c r="M5861" s="17">
        <f>HYPERLINK("https://my.pitchbook.com?c=686872-90", "View Company Online")</f>
      </c>
    </row>
    <row r="5862">
      <c r="A5862" t="s" s="10">
        <v>29460</v>
      </c>
      <c r="B5862" t="s" s="10">
        <v>29461</v>
      </c>
      <c r="C5862" t="s" s="10">
        <v>114</v>
      </c>
      <c r="D5862" t="s" s="10">
        <v>115</v>
      </c>
      <c r="E5862" t="s" s="10">
        <v>29462</v>
      </c>
      <c r="F5862" s="27">
        <v>45735</v>
      </c>
      <c r="G5862" t="s" s="10">
        <v>146</v>
      </c>
      <c r="H5862" s="42">
        <v>23.5</v>
      </c>
      <c r="I5862" t="s" s="42">
        <v>30</v>
      </c>
      <c r="J5862" t="s" s="10">
        <v>29463</v>
      </c>
      <c r="K5862" t="s" s="10">
        <v>29464</v>
      </c>
      <c r="L5862" s="16">
        <f>HYPERLINK("http://www.multiplymortgage.com", "www.multiplymortgage.com")</f>
      </c>
      <c r="M5862" s="16">
        <f>HYPERLINK("https://my.pitchbook.com?c=504164-17", "View Company Online")</f>
      </c>
    </row>
    <row r="5863">
      <c r="A5863" t="s" s="11">
        <v>29466</v>
      </c>
      <c r="B5863" t="s" s="11">
        <v>29467</v>
      </c>
      <c r="C5863" t="s" s="11">
        <v>60</v>
      </c>
      <c r="D5863" t="s" s="11">
        <v>192</v>
      </c>
      <c r="E5863" t="s" s="11">
        <v>270</v>
      </c>
      <c r="F5863" s="28">
        <v>45700</v>
      </c>
      <c r="G5863" t="s" s="11">
        <v>4267</v>
      </c>
      <c r="H5863" s="43">
        <v>2.5</v>
      </c>
      <c r="I5863" t="s" s="43">
        <v>30</v>
      </c>
      <c r="J5863" t="s" s="11">
        <v>29468</v>
      </c>
      <c r="K5863" t="s" s="11">
        <v>29469</v>
      </c>
      <c r="L5863" s="17">
        <f>HYPERLINK("http://www.getmundi.app", "www.getmundi.app")</f>
      </c>
      <c r="M5863" s="17">
        <f>HYPERLINK("https://my.pitchbook.com?c=749180-17", "View Company Online")</f>
      </c>
    </row>
    <row r="5864">
      <c r="A5864" t="s" s="10">
        <v>29471</v>
      </c>
      <c r="B5864" t="s" s="10">
        <v>29472</v>
      </c>
      <c r="C5864" t="s" s="10">
        <v>128</v>
      </c>
      <c r="D5864" t="s" s="10">
        <v>276</v>
      </c>
      <c r="E5864" t="s" s="10">
        <v>137</v>
      </c>
      <c r="F5864" s="27">
        <v>45832</v>
      </c>
      <c r="G5864" t="s" s="10">
        <v>4267</v>
      </c>
      <c r="H5864" s="42">
        <v>6</v>
      </c>
      <c r="I5864" t="s" s="42">
        <v>30</v>
      </c>
      <c r="J5864" t="s" s="10">
        <v>29473</v>
      </c>
      <c r="K5864" t="s" s="10">
        <v>29474</v>
      </c>
      <c r="L5864" s="16">
        <f>HYPERLINK("http://www.munify.ai", "www.munify.ai")</f>
      </c>
      <c r="M5864" s="16">
        <f>HYPERLINK("https://my.pitchbook.com?c=960862-42", "View Company Online")</f>
      </c>
    </row>
    <row r="5865">
      <c r="A5865" t="s" s="11">
        <v>29476</v>
      </c>
      <c r="B5865" t="s" s="11">
        <v>29477</v>
      </c>
      <c r="C5865" t="s" s="11">
        <v>114</v>
      </c>
      <c r="D5865" t="s" s="11">
        <v>1386</v>
      </c>
      <c r="E5865" t="s" s="11">
        <v>373</v>
      </c>
      <c r="F5865" s="28">
        <v>45825</v>
      </c>
      <c r="G5865" t="s" s="11">
        <v>4267</v>
      </c>
      <c r="H5865" s="43">
        <v>14.8</v>
      </c>
      <c r="I5865" t="s" s="43">
        <v>30</v>
      </c>
      <c r="J5865" t="s" s="11">
        <v>29478</v>
      </c>
      <c r="K5865" t="s" s="11">
        <v>29479</v>
      </c>
      <c r="L5865" s="17">
        <f>HYPERLINK("http://www.getmurphy.ai", "www.getmurphy.ai")</f>
      </c>
      <c r="M5865" s="17">
        <f>HYPERLINK("https://my.pitchbook.com?c=763048-72", "View Company Online")</f>
      </c>
    </row>
    <row r="5866">
      <c r="A5866" t="s" s="10">
        <v>29481</v>
      </c>
      <c r="B5866" t="s" s="10">
        <v>29482</v>
      </c>
      <c r="C5866" t="s" s="10">
        <v>114</v>
      </c>
      <c r="D5866" t="s" s="10">
        <v>136</v>
      </c>
      <c r="E5866" t="s" s="10">
        <v>137</v>
      </c>
      <c r="F5866" t="s" s="27">
        <v>30</v>
      </c>
      <c r="G5866" t="s" s="10">
        <v>48</v>
      </c>
      <c r="H5866" t="s" s="42">
        <v>30</v>
      </c>
      <c r="I5866" t="s" s="42">
        <v>30</v>
      </c>
      <c r="J5866" t="s" s="10">
        <v>29483</v>
      </c>
      <c r="K5866" t="s" s="10">
        <v>29484</v>
      </c>
      <c r="L5866" s="16">
        <f>HYPERLINK("http://www.mutual.club", "www.mutual.club")</f>
      </c>
      <c r="M5866" s="16">
        <f>HYPERLINK("https://my.pitchbook.com?c=268612-12", "View Company Online")</f>
      </c>
    </row>
    <row r="5867">
      <c r="A5867" t="s" s="11">
        <v>29486</v>
      </c>
      <c r="B5867" t="s" s="11">
        <v>29487</v>
      </c>
      <c r="C5867" t="s" s="11">
        <v>60</v>
      </c>
      <c r="D5867" t="s" s="11">
        <v>432</v>
      </c>
      <c r="E5867" t="s" s="11">
        <v>270</v>
      </c>
      <c r="F5867" s="28">
        <v>46138</v>
      </c>
      <c r="G5867" t="s" s="11">
        <v>2051</v>
      </c>
      <c r="H5867" t="s" s="43">
        <v>30</v>
      </c>
      <c r="I5867" t="s" s="43">
        <v>30</v>
      </c>
      <c r="J5867" t="s" s="11">
        <v>29488</v>
      </c>
      <c r="K5867" t="s" s="11">
        <v>30</v>
      </c>
      <c r="L5867" s="17">
        <f>HYPERLINK("http://www.mutuofinanciera.com", "www.mutuofinanciera.com")</f>
      </c>
      <c r="M5867" s="17">
        <f>HYPERLINK("https://my.pitchbook.com?c=223548-49", "View Company Online")</f>
      </c>
    </row>
    <row r="5868">
      <c r="A5868" t="s" s="10">
        <v>29490</v>
      </c>
      <c r="B5868" t="s" s="10">
        <v>29491</v>
      </c>
      <c r="C5868" t="s" s="10">
        <v>27</v>
      </c>
      <c r="D5868" t="s" s="10">
        <v>28</v>
      </c>
      <c r="E5868" t="s" s="10">
        <v>253</v>
      </c>
      <c r="F5868" s="27">
        <v>46054</v>
      </c>
      <c r="G5868" t="s" s="10">
        <v>146</v>
      </c>
      <c r="H5868" t="s" s="42">
        <v>30</v>
      </c>
      <c r="I5868" t="s" s="42">
        <v>30</v>
      </c>
      <c r="J5868" t="s" s="10">
        <v>29492</v>
      </c>
      <c r="K5868" t="s" s="10">
        <v>29493</v>
      </c>
      <c r="L5868" s="16">
        <f>HYPERLINK("http://www.muwe.mx", "www.muwe.mx")</f>
      </c>
      <c r="M5868" s="16">
        <f>HYPERLINK("https://my.pitchbook.com?c=1308629-26", "View Company Online")</f>
      </c>
    </row>
    <row r="5869">
      <c r="A5869" t="s" s="11">
        <v>29495</v>
      </c>
      <c r="B5869" t="s" s="11">
        <v>29496</v>
      </c>
      <c r="C5869" t="s" s="11">
        <v>27</v>
      </c>
      <c r="D5869" t="s" s="11">
        <v>122</v>
      </c>
      <c r="E5869" t="s" s="11">
        <v>1207</v>
      </c>
      <c r="F5869" t="s" s="28">
        <v>30</v>
      </c>
      <c r="G5869" t="s" s="11">
        <v>607</v>
      </c>
      <c r="H5869" t="s" s="43">
        <v>30</v>
      </c>
      <c r="I5869" t="s" s="43">
        <v>30</v>
      </c>
      <c r="J5869" t="s" s="11">
        <v>29497</v>
      </c>
      <c r="K5869" t="s" s="11">
        <v>29498</v>
      </c>
      <c r="L5869" s="17">
        <f>HYPERLINK("http://www.mybambu.com", "www.mybambu.com")</f>
      </c>
      <c r="M5869" s="17">
        <f>HYPERLINK("https://my.pitchbook.com?c=161107-57", "View Company Online")</f>
      </c>
    </row>
    <row r="5870">
      <c r="A5870" t="s" s="10">
        <v>29500</v>
      </c>
      <c r="B5870" t="s" s="10">
        <v>29501</v>
      </c>
      <c r="C5870" t="s" s="10">
        <v>114</v>
      </c>
      <c r="D5870" t="s" s="10">
        <v>852</v>
      </c>
      <c r="E5870" t="s" s="10">
        <v>29502</v>
      </c>
      <c r="F5870" s="27">
        <v>46185</v>
      </c>
      <c r="G5870" t="s" s="10">
        <v>40</v>
      </c>
      <c r="H5870" t="s" s="42">
        <v>30</v>
      </c>
      <c r="I5870" t="s" s="42">
        <v>30</v>
      </c>
      <c r="J5870" t="s" s="10">
        <v>29503</v>
      </c>
      <c r="K5870" t="s" s="10">
        <v>29504</v>
      </c>
      <c r="L5870" s="16">
        <f>HYPERLINK("http://www.mbyst.com", "www.mbyst.com")</f>
      </c>
      <c r="M5870" s="16">
        <f>HYPERLINK("https://my.pitchbook.com?c=553193-65", "View Company Online")</f>
      </c>
    </row>
    <row r="5871">
      <c r="A5871" t="s" s="11">
        <v>29506</v>
      </c>
      <c r="B5871" t="s" s="11">
        <v>29507</v>
      </c>
      <c r="C5871" t="s" s="11">
        <v>60</v>
      </c>
      <c r="D5871" t="s" s="11">
        <v>246</v>
      </c>
      <c r="E5871" t="s" s="11">
        <v>270</v>
      </c>
      <c r="F5871" s="28">
        <v>45870</v>
      </c>
      <c r="G5871" t="s" s="11">
        <v>40</v>
      </c>
      <c r="H5871" t="s" s="43">
        <v>30</v>
      </c>
      <c r="I5871" t="s" s="43">
        <v>30</v>
      </c>
      <c r="J5871" t="s" s="11">
        <v>29508</v>
      </c>
      <c r="K5871" t="s" s="11">
        <v>29509</v>
      </c>
      <c r="L5871" s="17">
        <f>HYPERLINK("http://www.mydoh.ca", "www.mydoh.ca")</f>
      </c>
      <c r="M5871" s="17">
        <f>HYPERLINK("https://my.pitchbook.com?c=898770-70", "View Company Online")</f>
      </c>
    </row>
    <row r="5872">
      <c r="A5872" t="s" s="10">
        <v>29511</v>
      </c>
      <c r="B5872" t="s" s="10">
        <v>29512</v>
      </c>
      <c r="C5872" t="s" s="10">
        <v>46</v>
      </c>
      <c r="D5872" t="s" s="10">
        <v>397</v>
      </c>
      <c r="E5872" t="s" s="10">
        <v>253</v>
      </c>
      <c r="F5872" s="27">
        <v>45687</v>
      </c>
      <c r="G5872" t="s" s="10">
        <v>4267</v>
      </c>
      <c r="H5872" s="42">
        <v>1.1</v>
      </c>
      <c r="I5872" t="s" s="42">
        <v>30</v>
      </c>
      <c r="J5872" t="s" s="10">
        <v>29513</v>
      </c>
      <c r="K5872" t="s" s="10">
        <v>29514</v>
      </c>
      <c r="L5872" s="16">
        <f>HYPERLINK("http://www.mygigsters.com.au", "www.mygigsters.com.au")</f>
      </c>
      <c r="M5872" s="16">
        <f>HYPERLINK("https://my.pitchbook.com?c=493811-47", "View Company Online")</f>
      </c>
    </row>
    <row r="5873">
      <c r="A5873" t="s" s="11">
        <v>29516</v>
      </c>
      <c r="B5873" t="s" s="11">
        <v>29517</v>
      </c>
      <c r="C5873" t="s" s="11">
        <v>60</v>
      </c>
      <c r="D5873" t="s" s="11">
        <v>246</v>
      </c>
      <c r="E5873" t="s" s="11">
        <v>311</v>
      </c>
      <c r="F5873" s="28">
        <v>45691</v>
      </c>
      <c r="G5873" t="s" s="11">
        <v>4267</v>
      </c>
      <c r="H5873" s="43">
        <v>2</v>
      </c>
      <c r="I5873" t="s" s="43">
        <v>30</v>
      </c>
      <c r="J5873" t="s" s="11">
        <v>29518</v>
      </c>
      <c r="K5873" t="s" s="11">
        <v>29519</v>
      </c>
      <c r="L5873" s="17">
        <f>HYPERLINK("http://www.joinmyne.com", "www.joinmyne.com")</f>
      </c>
      <c r="M5873" s="17">
        <f>HYPERLINK("https://my.pitchbook.com?c=722744-47", "View Company Online")</f>
      </c>
    </row>
    <row r="5874">
      <c r="A5874" t="s" s="10">
        <v>29521</v>
      </c>
      <c r="B5874" t="s" s="10">
        <v>29522</v>
      </c>
      <c r="C5874" t="s" s="10">
        <v>60</v>
      </c>
      <c r="D5874" t="s" s="10">
        <v>61</v>
      </c>
      <c r="E5874" t="s" s="10">
        <v>311</v>
      </c>
      <c r="F5874" s="27">
        <v>46100</v>
      </c>
      <c r="G5874" t="s" s="10">
        <v>4267</v>
      </c>
      <c r="H5874" t="s" s="42">
        <v>30</v>
      </c>
      <c r="I5874" t="s" s="42">
        <v>30</v>
      </c>
      <c r="J5874" t="s" s="10">
        <v>29523</v>
      </c>
      <c r="K5874" t="s" s="10">
        <v>29524</v>
      </c>
      <c r="L5874" s="16">
        <f>HYPERLINK("http://www.myriad.markets", "www.myriad.markets")</f>
      </c>
      <c r="M5874" s="16">
        <f>HYPERLINK("https://my.pitchbook.com?c=802858-15", "View Company Online")</f>
      </c>
    </row>
    <row r="5875">
      <c r="A5875" t="s" s="11">
        <v>29526</v>
      </c>
      <c r="B5875" t="s" s="11">
        <v>29527</v>
      </c>
      <c r="C5875" t="s" s="11">
        <v>114</v>
      </c>
      <c r="D5875" t="s" s="11">
        <v>1386</v>
      </c>
      <c r="E5875" t="s" s="11">
        <v>373</v>
      </c>
      <c r="F5875" s="28">
        <v>45841</v>
      </c>
      <c r="G5875" t="s" s="11">
        <v>4267</v>
      </c>
      <c r="H5875" s="43">
        <v>3.47</v>
      </c>
      <c r="I5875" t="s" s="43">
        <v>30</v>
      </c>
      <c r="J5875" t="s" s="11">
        <v>29528</v>
      </c>
      <c r="K5875" t="s" s="11">
        <v>30</v>
      </c>
      <c r="L5875" s="17">
        <f>HYPERLINK("http://www.mysherpas.ai", "www.mysherpas.ai")</f>
      </c>
      <c r="M5875" s="17">
        <f>HYPERLINK("https://my.pitchbook.com?c=631536-22", "View Company Online")</f>
      </c>
    </row>
    <row r="5876">
      <c r="A5876" t="s" s="10">
        <v>29530</v>
      </c>
      <c r="B5876" t="s" s="10">
        <v>29531</v>
      </c>
      <c r="C5876" t="s" s="10">
        <v>27</v>
      </c>
      <c r="D5876" t="s" s="10">
        <v>28</v>
      </c>
      <c r="E5876" t="s" s="10">
        <v>253</v>
      </c>
      <c r="F5876" s="27">
        <v>45292</v>
      </c>
      <c r="G5876" t="s" s="10">
        <v>607</v>
      </c>
      <c r="H5876" t="s" s="42">
        <v>30</v>
      </c>
      <c r="I5876" t="s" s="42">
        <v>30</v>
      </c>
      <c r="J5876" t="s" s="10">
        <v>29532</v>
      </c>
      <c r="K5876" t="s" s="10">
        <v>29533</v>
      </c>
      <c r="L5876" s="16">
        <f>HYPERLINK("http://www.mytm.co", "www.mytm.co")</f>
      </c>
      <c r="M5876" s="16">
        <f>HYPERLINK("https://my.pitchbook.com?c=493138-00", "View Company Online")</f>
      </c>
    </row>
    <row r="5877">
      <c r="A5877" t="s" s="11">
        <v>29535</v>
      </c>
      <c r="B5877" t="s" s="11">
        <v>29536</v>
      </c>
      <c r="C5877" t="s" s="11">
        <v>46</v>
      </c>
      <c r="D5877" t="s" s="11">
        <v>78</v>
      </c>
      <c r="E5877" t="s" s="11">
        <v>973</v>
      </c>
      <c r="F5877" s="28">
        <v>45173</v>
      </c>
      <c r="G5877" t="s" s="11">
        <v>146</v>
      </c>
      <c r="H5877" s="43">
        <v>14</v>
      </c>
      <c r="I5877" t="s" s="43">
        <v>30</v>
      </c>
      <c r="J5877" t="s" s="11">
        <v>29537</v>
      </c>
      <c r="K5877" t="s" s="11">
        <v>29538</v>
      </c>
      <c r="L5877" s="17">
        <f>HYPERLINK("http://www.myzoi.com", "www.myzoi.com")</f>
      </c>
      <c r="M5877" s="17">
        <f>HYPERLINK("https://my.pitchbook.com?c=535055-23", "View Company Online")</f>
      </c>
    </row>
    <row r="5878">
      <c r="A5878" t="s" s="10">
        <v>29540</v>
      </c>
      <c r="B5878" t="s" s="10">
        <v>29541</v>
      </c>
      <c r="C5878" t="s" s="10">
        <v>27</v>
      </c>
      <c r="D5878" t="s" s="10">
        <v>28</v>
      </c>
      <c r="E5878" t="s" s="10">
        <v>2575</v>
      </c>
      <c r="F5878" s="27">
        <v>44873</v>
      </c>
      <c r="G5878" t="s" s="10">
        <v>4267</v>
      </c>
      <c r="H5878" s="42">
        <v>19</v>
      </c>
      <c r="I5878" t="s" s="42">
        <v>30</v>
      </c>
      <c r="J5878" t="s" s="10">
        <v>29542</v>
      </c>
      <c r="K5878" t="s" s="10">
        <v>30</v>
      </c>
      <c r="L5878" s="16">
        <f>HYPERLINK("http://www.n1co.com", "www.n1co.com")</f>
      </c>
      <c r="M5878" s="16">
        <f>HYPERLINK("https://my.pitchbook.com?c=501275-89", "View Company Online")</f>
      </c>
    </row>
    <row r="5879">
      <c r="A5879" t="s" s="11">
        <v>29544</v>
      </c>
      <c r="B5879" t="s" s="11">
        <v>29545</v>
      </c>
      <c r="C5879" t="s" s="11">
        <v>164</v>
      </c>
      <c r="D5879" t="s" s="11">
        <v>206</v>
      </c>
      <c r="E5879" t="s" s="11">
        <v>11491</v>
      </c>
      <c r="F5879" s="28">
        <v>45698</v>
      </c>
      <c r="G5879" t="s" s="11">
        <v>40</v>
      </c>
      <c r="H5879" s="43">
        <v>20</v>
      </c>
      <c r="I5879" t="s" s="43">
        <v>30</v>
      </c>
      <c r="J5879" t="s" s="11">
        <v>29546</v>
      </c>
      <c r="K5879" t="s" s="11">
        <v>29547</v>
      </c>
      <c r="L5879" s="17">
        <f>HYPERLINK("http://www.n5now.com", "www.n5now.com")</f>
      </c>
      <c r="M5879" s="17">
        <f>HYPERLINK("https://my.pitchbook.com?c=433089-19", "View Company Online")</f>
      </c>
    </row>
    <row r="5880">
      <c r="A5880" t="s" s="10">
        <v>29549</v>
      </c>
      <c r="B5880" t="s" s="10">
        <v>29550</v>
      </c>
      <c r="C5880" t="s" s="10">
        <v>46</v>
      </c>
      <c r="D5880" t="s" s="10">
        <v>47</v>
      </c>
      <c r="E5880" t="s" s="10">
        <v>629</v>
      </c>
      <c r="F5880" s="27">
        <v>44713</v>
      </c>
      <c r="G5880" t="s" s="10">
        <v>4267</v>
      </c>
      <c r="H5880" s="42">
        <v>7</v>
      </c>
      <c r="I5880" t="s" s="42">
        <v>30</v>
      </c>
      <c r="J5880" t="s" s="10">
        <v>29551</v>
      </c>
      <c r="K5880" t="s" s="10">
        <v>29552</v>
      </c>
      <c r="L5880" s="16">
        <f>HYPERLINK("http://www.nakad.co", "www.nakad.co")</f>
      </c>
      <c r="M5880" s="16">
        <f>HYPERLINK("https://my.pitchbook.com?c=497326-33", "View Company Online")</f>
      </c>
    </row>
    <row r="5881">
      <c r="A5881" t="s" s="11">
        <v>29554</v>
      </c>
      <c r="B5881" t="s" s="11">
        <v>29555</v>
      </c>
      <c r="C5881" t="s" s="11">
        <v>114</v>
      </c>
      <c r="D5881" t="s" s="11">
        <v>1386</v>
      </c>
      <c r="E5881" t="s" s="11">
        <v>2581</v>
      </c>
      <c r="F5881" s="28">
        <v>44496</v>
      </c>
      <c r="G5881" t="s" s="11">
        <v>40</v>
      </c>
      <c r="H5881" s="43">
        <v>1.15</v>
      </c>
      <c r="I5881" t="s" s="43">
        <v>30</v>
      </c>
      <c r="J5881" t="s" s="11">
        <v>29556</v>
      </c>
      <c r="K5881" t="s" s="11">
        <v>29557</v>
      </c>
      <c r="L5881" s="17">
        <f>HYPERLINK("http://www.naktergal.tech", "www.naktergal.tech")</f>
      </c>
      <c r="M5881" s="17">
        <f>HYPERLINK("https://my.pitchbook.com?c=268579-54", "View Company Online")</f>
      </c>
    </row>
    <row r="5882">
      <c r="A5882" t="s" s="10">
        <v>29559</v>
      </c>
      <c r="B5882" t="s" s="10">
        <v>29560</v>
      </c>
      <c r="C5882" t="s" s="10">
        <v>128</v>
      </c>
      <c r="D5882" t="s" s="10">
        <v>276</v>
      </c>
      <c r="E5882" t="s" s="10">
        <v>270</v>
      </c>
      <c r="F5882" s="27">
        <v>46170</v>
      </c>
      <c r="G5882" t="s" s="10">
        <v>72</v>
      </c>
      <c r="H5882" s="42">
        <v>50</v>
      </c>
      <c r="I5882" t="s" s="42">
        <v>30</v>
      </c>
      <c r="J5882" t="s" s="10">
        <v>29561</v>
      </c>
      <c r="K5882" t="s" s="10">
        <v>29562</v>
      </c>
      <c r="L5882" s="16">
        <f>HYPERLINK("http://www.nala.com", "www.nala.com")</f>
      </c>
      <c r="M5882" s="16">
        <f>HYPERLINK("https://my.pitchbook.com?c=226198-36", "View Company Online")</f>
      </c>
    </row>
    <row r="5883">
      <c r="A5883" t="s" s="11">
        <v>29564</v>
      </c>
      <c r="B5883" t="s" s="11">
        <v>29565</v>
      </c>
      <c r="C5883" t="s" s="11">
        <v>114</v>
      </c>
      <c r="D5883" t="s" s="11">
        <v>115</v>
      </c>
      <c r="E5883" t="s" s="11">
        <v>1625</v>
      </c>
      <c r="F5883" s="28">
        <v>44776</v>
      </c>
      <c r="G5883" t="s" s="11">
        <v>146</v>
      </c>
      <c r="H5883" s="43">
        <v>75</v>
      </c>
      <c r="I5883" t="s" s="43">
        <v>30</v>
      </c>
      <c r="J5883" t="s" s="11">
        <v>29566</v>
      </c>
      <c r="K5883" t="s" s="11">
        <v>29567</v>
      </c>
      <c r="L5883" s="17">
        <f>HYPERLINK("http://www.nanoplatform.com", "www.nanoplatform.com")</f>
      </c>
      <c r="M5883" s="17">
        <f>HYPERLINK("https://my.pitchbook.com?c=435119-41", "View Company Online")</f>
      </c>
    </row>
    <row r="5884">
      <c r="A5884" t="s" s="10">
        <v>29569</v>
      </c>
      <c r="B5884" t="s" s="10">
        <v>29570</v>
      </c>
      <c r="C5884" t="s" s="10">
        <v>60</v>
      </c>
      <c r="D5884" t="s" s="10">
        <v>192</v>
      </c>
      <c r="E5884" t="s" s="10">
        <v>270</v>
      </c>
      <c r="F5884" t="s" s="27">
        <v>30</v>
      </c>
      <c r="G5884" t="s" s="10">
        <v>607</v>
      </c>
      <c r="H5884" t="s" s="42">
        <v>30</v>
      </c>
      <c r="I5884" t="s" s="42">
        <v>30</v>
      </c>
      <c r="J5884" t="s" s="10">
        <v>29571</v>
      </c>
      <c r="K5884" t="s" s="10">
        <v>29572</v>
      </c>
      <c r="L5884" s="16">
        <f>HYPERLINK("http://www.investnao.com", "www.investnao.com")</f>
      </c>
      <c r="M5884" s="16">
        <f>HYPERLINK("https://my.pitchbook.com?c=519653-35", "View Company Online")</f>
      </c>
    </row>
    <row r="5885">
      <c r="A5885" t="s" s="11">
        <v>29574</v>
      </c>
      <c r="B5885" t="s" s="11">
        <v>29575</v>
      </c>
      <c r="C5885" t="s" s="11">
        <v>222</v>
      </c>
      <c r="D5885" t="s" s="11">
        <v>537</v>
      </c>
      <c r="E5885" t="s" s="11">
        <v>859</v>
      </c>
      <c r="F5885" s="28">
        <v>45243</v>
      </c>
      <c r="G5885" t="s" s="11">
        <v>4267</v>
      </c>
      <c r="H5885" s="43">
        <v>1</v>
      </c>
      <c r="I5885" t="s" s="43">
        <v>30</v>
      </c>
      <c r="J5885" t="s" s="11">
        <v>29576</v>
      </c>
      <c r="K5885" t="s" s="11">
        <v>29577</v>
      </c>
      <c r="L5885" s="17">
        <f>HYPERLINK("http://www.napier.finance", "www.napier.finance")</f>
      </c>
      <c r="M5885" s="17">
        <f>HYPERLINK("https://my.pitchbook.com?c=539788-33", "View Company Online")</f>
      </c>
    </row>
    <row r="5886">
      <c r="A5886" t="s" s="10">
        <v>29579</v>
      </c>
      <c r="B5886" t="s" s="10">
        <v>29580</v>
      </c>
      <c r="C5886" t="s" s="10">
        <v>164</v>
      </c>
      <c r="D5886" t="s" s="10">
        <v>206</v>
      </c>
      <c r="E5886" t="s" s="10">
        <v>270</v>
      </c>
      <c r="F5886" s="27">
        <v>46174</v>
      </c>
      <c r="G5886" t="s" s="10">
        <v>607</v>
      </c>
      <c r="H5886" t="s" s="42">
        <v>30</v>
      </c>
      <c r="I5886" t="s" s="42">
        <v>30</v>
      </c>
      <c r="J5886" t="s" s="10">
        <v>29581</v>
      </c>
      <c r="K5886" t="s" s="10">
        <v>29582</v>
      </c>
      <c r="L5886" s="16">
        <f>HYPERLINK("http://www.naroiq.com", "www.naroiq.com")</f>
      </c>
      <c r="M5886" s="16">
        <f>HYPERLINK("https://my.pitchbook.com?c=535716-64", "View Company Online")</f>
      </c>
    </row>
    <row r="5887">
      <c r="A5887" t="s" s="11">
        <v>29584</v>
      </c>
      <c r="B5887" t="s" s="11">
        <v>29585</v>
      </c>
      <c r="C5887" t="s" s="11">
        <v>164</v>
      </c>
      <c r="D5887" t="s" s="11">
        <v>206</v>
      </c>
      <c r="E5887" t="s" s="11">
        <v>137</v>
      </c>
      <c r="F5887" t="s" s="28">
        <v>30</v>
      </c>
      <c r="G5887" t="s" s="11">
        <v>4267</v>
      </c>
      <c r="H5887" s="43">
        <v>2.49</v>
      </c>
      <c r="I5887" t="s" s="43">
        <v>30</v>
      </c>
      <c r="J5887" t="s" s="11">
        <v>29586</v>
      </c>
      <c r="K5887" t="s" s="11">
        <v>29587</v>
      </c>
      <c r="L5887" s="17">
        <f>HYPERLINK("http://www.narrativebanking.com", "www.narrativebanking.com")</f>
      </c>
      <c r="M5887" s="17">
        <f>HYPERLINK("https://my.pitchbook.com?c=820640-71", "View Company Online")</f>
      </c>
    </row>
    <row r="5888">
      <c r="A5888" t="s" s="10">
        <v>29589</v>
      </c>
      <c r="B5888" t="s" s="10">
        <v>29590</v>
      </c>
      <c r="C5888" t="s" s="10">
        <v>222</v>
      </c>
      <c r="D5888" t="s" s="10">
        <v>537</v>
      </c>
      <c r="E5888" t="s" s="10">
        <v>137</v>
      </c>
      <c r="F5888" s="27">
        <v>45994</v>
      </c>
      <c r="G5888" t="s" s="10">
        <v>40</v>
      </c>
      <c r="H5888" s="42">
        <v>22.5</v>
      </c>
      <c r="I5888" t="s" s="42">
        <v>30</v>
      </c>
      <c r="J5888" t="s" s="10">
        <v>29591</v>
      </c>
      <c r="K5888" t="s" s="10">
        <v>29592</v>
      </c>
      <c r="L5888" s="16">
        <f>HYPERLINK("http://www.nasdaqprivatemarket.com", "www.nasdaqprivatemarket.com")</f>
      </c>
      <c r="M5888" s="16">
        <f>HYPERLINK("https://my.pitchbook.com?c=87355-72", "View Company Online")</f>
      </c>
    </row>
    <row r="5889">
      <c r="A5889" t="s" s="11">
        <v>29594</v>
      </c>
      <c r="B5889" t="s" s="11">
        <v>29595</v>
      </c>
      <c r="C5889" t="s" s="11">
        <v>164</v>
      </c>
      <c r="D5889" t="s" s="11">
        <v>206</v>
      </c>
      <c r="E5889" t="s" s="11">
        <v>137</v>
      </c>
      <c r="F5889" s="28">
        <v>45735</v>
      </c>
      <c r="G5889" t="s" s="11">
        <v>40</v>
      </c>
      <c r="H5889" s="43">
        <v>12.8</v>
      </c>
      <c r="I5889" t="s" s="43">
        <v>30</v>
      </c>
      <c r="J5889" t="s" s="11">
        <v>29596</v>
      </c>
      <c r="K5889" t="s" s="11">
        <v>29597</v>
      </c>
      <c r="L5889" s="17">
        <f>HYPERLINK("http://www.navadhan.com", "www.navadhan.com")</f>
      </c>
      <c r="M5889" s="17">
        <f>HYPERLINK("https://my.pitchbook.com?c=519839-20", "View Company Online")</f>
      </c>
    </row>
    <row r="5890">
      <c r="A5890" t="s" s="10">
        <v>29599</v>
      </c>
      <c r="B5890" t="s" s="10">
        <v>29600</v>
      </c>
      <c r="C5890" t="s" s="10">
        <v>60</v>
      </c>
      <c r="D5890" t="s" s="10">
        <v>727</v>
      </c>
      <c r="E5890" t="s" s="10">
        <v>137</v>
      </c>
      <c r="F5890" s="27">
        <v>43843</v>
      </c>
      <c r="G5890" t="s" s="10">
        <v>40</v>
      </c>
      <c r="H5890" s="42">
        <v>1.8</v>
      </c>
      <c r="I5890" t="s" s="42">
        <v>30</v>
      </c>
      <c r="J5890" t="s" s="10">
        <v>29601</v>
      </c>
      <c r="K5890" t="s" s="10">
        <v>30</v>
      </c>
      <c r="L5890" s="16">
        <f>HYPERLINK("http://www.naviancapital.com", "www.naviancapital.com")</f>
      </c>
      <c r="M5890" s="16">
        <f>HYPERLINK("https://my.pitchbook.com?c=143390-44", "View Company Online")</f>
      </c>
    </row>
    <row r="5891">
      <c r="A5891" t="s" s="11">
        <v>29603</v>
      </c>
      <c r="B5891" t="s" s="11">
        <v>29604</v>
      </c>
      <c r="C5891" t="s" s="11">
        <v>128</v>
      </c>
      <c r="D5891" t="s" s="11">
        <v>199</v>
      </c>
      <c r="E5891" t="s" s="11">
        <v>1065</v>
      </c>
      <c r="F5891" s="28">
        <v>44615</v>
      </c>
      <c r="G5891" t="s" s="11">
        <v>4267</v>
      </c>
      <c r="H5891" s="43">
        <v>13</v>
      </c>
      <c r="I5891" t="s" s="43">
        <v>30</v>
      </c>
      <c r="J5891" t="s" s="11">
        <v>29605</v>
      </c>
      <c r="K5891" t="s" s="11">
        <v>29606</v>
      </c>
      <c r="L5891" s="17">
        <f>HYPERLINK("http://www.nayapay.com", "www.nayapay.com")</f>
      </c>
      <c r="M5891" s="17">
        <f>HYPERLINK("https://my.pitchbook.com?c=467940-34", "View Company Online")</f>
      </c>
    </row>
    <row r="5892">
      <c r="A5892" t="s" s="10">
        <v>29608</v>
      </c>
      <c r="B5892" t="s" s="10">
        <v>29609</v>
      </c>
      <c r="C5892" t="s" s="10">
        <v>114</v>
      </c>
      <c r="D5892" t="s" s="10">
        <v>852</v>
      </c>
      <c r="E5892" t="s" s="10">
        <v>253</v>
      </c>
      <c r="F5892" s="27">
        <v>45739</v>
      </c>
      <c r="G5892" t="s" s="10">
        <v>4267</v>
      </c>
      <c r="H5892" s="42">
        <v>4</v>
      </c>
      <c r="I5892" t="s" s="42">
        <v>30</v>
      </c>
      <c r="J5892" t="s" s="10">
        <v>29610</v>
      </c>
      <c r="K5892" t="s" s="10">
        <v>29611</v>
      </c>
      <c r="L5892" s="16">
        <f>HYPERLINK("http://www.naylafinance.com", "www.naylafinance.com")</f>
      </c>
      <c r="M5892" s="16">
        <f>HYPERLINK("https://my.pitchbook.com?c=769358-53", "View Company Online")</f>
      </c>
    </row>
    <row r="5893">
      <c r="A5893" t="s" s="11">
        <v>29613</v>
      </c>
      <c r="B5893" t="s" s="11">
        <v>29614</v>
      </c>
      <c r="C5893" t="s" s="11">
        <v>164</v>
      </c>
      <c r="D5893" t="s" s="11">
        <v>206</v>
      </c>
      <c r="E5893" t="s" s="11">
        <v>270</v>
      </c>
      <c r="F5893" s="28">
        <v>45414</v>
      </c>
      <c r="G5893" t="s" s="11">
        <v>607</v>
      </c>
      <c r="H5893" t="s" s="43">
        <v>30</v>
      </c>
      <c r="I5893" t="s" s="43">
        <v>30</v>
      </c>
      <c r="J5893" t="s" s="11">
        <v>29615</v>
      </c>
      <c r="K5893" t="s" s="11">
        <v>29616</v>
      </c>
      <c r="L5893" s="17">
        <f>HYPERLINK("http://www.nearpay.io", "www.nearpay.io")</f>
      </c>
      <c r="M5893" s="17">
        <f>HYPERLINK("https://my.pitchbook.com?c=458338-33", "View Company Online")</f>
      </c>
    </row>
    <row r="5894">
      <c r="A5894" t="s" s="10">
        <v>29618</v>
      </c>
      <c r="B5894" t="s" s="10">
        <v>29619</v>
      </c>
      <c r="C5894" t="s" s="10">
        <v>164</v>
      </c>
      <c r="D5894" t="s" s="10">
        <v>206</v>
      </c>
      <c r="E5894" t="s" s="10">
        <v>253</v>
      </c>
      <c r="F5894" s="27">
        <v>44788</v>
      </c>
      <c r="G5894" t="s" s="10">
        <v>4267</v>
      </c>
      <c r="H5894" s="42">
        <v>0.6</v>
      </c>
      <c r="I5894" t="s" s="42">
        <v>30</v>
      </c>
      <c r="J5894" t="s" s="10">
        <v>29620</v>
      </c>
      <c r="K5894" t="s" s="10">
        <v>29621</v>
      </c>
      <c r="L5894" s="16">
        <f>HYPERLINK("http://www.nectarinecredit.com", "www.nectarinecredit.com")</f>
      </c>
      <c r="M5894" s="16">
        <f>HYPERLINK("https://my.pitchbook.com?c=502757-20", "View Company Online")</f>
      </c>
    </row>
    <row r="5895">
      <c r="A5895" t="s" s="11">
        <v>29623</v>
      </c>
      <c r="B5895" t="s" s="11">
        <v>29624</v>
      </c>
      <c r="C5895" t="s" s="11">
        <v>164</v>
      </c>
      <c r="D5895" t="s" s="11">
        <v>206</v>
      </c>
      <c r="E5895" t="s" s="11">
        <v>137</v>
      </c>
      <c r="F5895" s="28">
        <v>45992</v>
      </c>
      <c r="G5895" t="s" s="11">
        <v>146</v>
      </c>
      <c r="H5895" t="s" s="43">
        <v>30</v>
      </c>
      <c r="I5895" t="s" s="43">
        <v>30</v>
      </c>
      <c r="J5895" t="s" s="11">
        <v>29625</v>
      </c>
      <c r="K5895" t="s" s="11">
        <v>29626</v>
      </c>
      <c r="L5895" s="17">
        <f>HYPERLINK("http://www.neem.io", "www.neem.io")</f>
      </c>
      <c r="M5895" s="17">
        <f>HYPERLINK("https://my.pitchbook.com?c=482668-48", "View Company Online")</f>
      </c>
    </row>
    <row r="5896">
      <c r="A5896" t="s" s="10">
        <v>29628</v>
      </c>
      <c r="B5896" t="s" s="10">
        <v>29629</v>
      </c>
      <c r="C5896" t="s" s="10">
        <v>46</v>
      </c>
      <c r="D5896" t="s" s="10">
        <v>47</v>
      </c>
      <c r="E5896" t="s" s="10">
        <v>1032</v>
      </c>
      <c r="F5896" s="27">
        <v>45750</v>
      </c>
      <c r="G5896" t="s" s="10">
        <v>607</v>
      </c>
      <c r="H5896" t="s" s="42">
        <v>30</v>
      </c>
      <c r="I5896" t="s" s="42">
        <v>30</v>
      </c>
      <c r="J5896" t="s" s="10">
        <v>29630</v>
      </c>
      <c r="K5896" t="s" s="10">
        <v>29631</v>
      </c>
      <c r="L5896" s="16">
        <f>HYPERLINK("http://www.neivor.com", "www.neivor.com")</f>
      </c>
      <c r="M5896" s="16">
        <f>HYPERLINK("https://my.pitchbook.com?c=461870-83", "View Company Online")</f>
      </c>
    </row>
    <row r="5897">
      <c r="A5897" t="s" s="11">
        <v>29633</v>
      </c>
      <c r="B5897" t="s" s="11">
        <v>29634</v>
      </c>
      <c r="C5897" t="s" s="11">
        <v>27</v>
      </c>
      <c r="D5897" t="s" s="11">
        <v>70</v>
      </c>
      <c r="E5897" t="s" s="11">
        <v>373</v>
      </c>
      <c r="F5897" s="28">
        <v>45791</v>
      </c>
      <c r="G5897" t="s" s="11">
        <v>146</v>
      </c>
      <c r="H5897" s="43">
        <v>5</v>
      </c>
      <c r="I5897" t="s" s="43">
        <v>30</v>
      </c>
      <c r="J5897" t="s" s="11">
        <v>29635</v>
      </c>
      <c r="K5897" t="s" s="11">
        <v>29636</v>
      </c>
      <c r="L5897" s="17">
        <f>HYPERLINK("http://www.nekuda.ai", "www.nekuda.ai")</f>
      </c>
      <c r="M5897" s="17">
        <f>HYPERLINK("https://my.pitchbook.com?c=819971-11", "View Company Online")</f>
      </c>
    </row>
    <row r="5898">
      <c r="A5898" t="s" s="10">
        <v>29638</v>
      </c>
      <c r="B5898" t="s" s="10">
        <v>29639</v>
      </c>
      <c r="C5898" t="s" s="10">
        <v>37</v>
      </c>
      <c r="D5898" t="s" s="10">
        <v>304</v>
      </c>
      <c r="E5898" t="s" s="10">
        <v>5072</v>
      </c>
      <c r="F5898" s="27">
        <v>45350</v>
      </c>
      <c r="G5898" t="s" s="10">
        <v>40</v>
      </c>
      <c r="H5898" t="s" s="42">
        <v>30</v>
      </c>
      <c r="I5898" t="s" s="42">
        <v>30</v>
      </c>
      <c r="J5898" t="s" s="10">
        <v>29640</v>
      </c>
      <c r="K5898" t="s" s="10">
        <v>29641</v>
      </c>
      <c r="L5898" s="16">
        <f>HYPERLINK("http://www.nelo.mx", "www.nelo.mx")</f>
      </c>
      <c r="M5898" s="16">
        <f>HYPERLINK("https://my.pitchbook.com?c=266985-28", "View Company Online")</f>
      </c>
    </row>
    <row r="5899">
      <c r="A5899" t="s" s="11">
        <v>29643</v>
      </c>
      <c r="B5899" t="s" s="11">
        <v>29644</v>
      </c>
      <c r="C5899" t="s" s="11">
        <v>27</v>
      </c>
      <c r="D5899" t="s" s="11">
        <v>122</v>
      </c>
      <c r="E5899" t="s" s="11">
        <v>253</v>
      </c>
      <c r="F5899" s="28">
        <v>45642</v>
      </c>
      <c r="G5899" t="s" s="11">
        <v>40</v>
      </c>
      <c r="H5899" t="s" s="43">
        <v>30</v>
      </c>
      <c r="I5899" t="s" s="43">
        <v>30</v>
      </c>
      <c r="J5899" t="s" s="11">
        <v>29645</v>
      </c>
      <c r="K5899" t="s" s="11">
        <v>29646</v>
      </c>
      <c r="L5899" s="17">
        <f>HYPERLINK("http://www.getneo.com", "www.getneo.com")</f>
      </c>
      <c r="M5899" s="17">
        <f>HYPERLINK("https://my.pitchbook.com?c=277141-87", "View Company Online")</f>
      </c>
    </row>
    <row r="5900">
      <c r="A5900" t="s" s="10">
        <v>29648</v>
      </c>
      <c r="B5900" t="s" s="10">
        <v>29649</v>
      </c>
      <c r="C5900" t="s" s="10">
        <v>164</v>
      </c>
      <c r="D5900" t="s" s="10">
        <v>165</v>
      </c>
      <c r="E5900" t="s" s="10">
        <v>373</v>
      </c>
      <c r="F5900" s="27">
        <v>45200</v>
      </c>
      <c r="G5900" t="s" s="10">
        <v>40</v>
      </c>
      <c r="H5900" s="42">
        <v>3.26</v>
      </c>
      <c r="I5900" t="s" s="42">
        <v>30</v>
      </c>
      <c r="J5900" t="s" s="10">
        <v>29650</v>
      </c>
      <c r="K5900" t="s" s="10">
        <v>29651</v>
      </c>
      <c r="L5900" s="16">
        <f>HYPERLINK("http://www.neo-fin.com", "www.neo-fin.com")</f>
      </c>
      <c r="M5900" s="16">
        <f>HYPERLINK("https://my.pitchbook.com?c=521356-15", "View Company Online")</f>
      </c>
    </row>
    <row r="5901">
      <c r="A5901" t="s" s="11">
        <v>29653</v>
      </c>
      <c r="B5901" t="s" s="11">
        <v>29654</v>
      </c>
      <c r="C5901" t="s" s="11">
        <v>37</v>
      </c>
      <c r="D5901" t="s" s="11">
        <v>38</v>
      </c>
      <c r="E5901" t="s" s="11">
        <v>62</v>
      </c>
      <c r="F5901" t="s" s="28">
        <v>30</v>
      </c>
      <c r="G5901" t="s" s="11">
        <v>48</v>
      </c>
      <c r="H5901" t="s" s="43">
        <v>30</v>
      </c>
      <c r="I5901" t="s" s="43">
        <v>30</v>
      </c>
      <c r="J5901" t="s" s="11">
        <v>29655</v>
      </c>
      <c r="K5901" t="s" s="11">
        <v>29656</v>
      </c>
      <c r="L5901" s="17">
        <f>HYPERLINK("http://www.neomoon.app", "www.neomoon.app")</f>
      </c>
      <c r="M5901" s="17">
        <f>HYPERLINK("https://my.pitchbook.com?c=500839-21", "View Company Online")</f>
      </c>
    </row>
    <row r="5902">
      <c r="A5902" t="s" s="10">
        <v>29658</v>
      </c>
      <c r="B5902" t="s" s="10">
        <v>29659</v>
      </c>
      <c r="C5902" t="s" s="10">
        <v>164</v>
      </c>
      <c r="D5902" t="s" s="10">
        <v>165</v>
      </c>
      <c r="E5902" t="s" s="10">
        <v>414</v>
      </c>
      <c r="F5902" s="27">
        <v>45685</v>
      </c>
      <c r="G5902" t="s" s="10">
        <v>146</v>
      </c>
      <c r="H5902" s="42">
        <v>2.97</v>
      </c>
      <c r="I5902" t="s" s="42">
        <v>30</v>
      </c>
      <c r="J5902" t="s" s="10">
        <v>29660</v>
      </c>
      <c r="K5902" t="s" s="10">
        <v>29661</v>
      </c>
      <c r="L5902" s="16">
        <f>HYPERLINK("http://www.neospace.ai", "www.neospace.ai")</f>
      </c>
      <c r="M5902" s="16">
        <f>HYPERLINK("https://my.pitchbook.com?c=741498-49", "View Company Online")</f>
      </c>
    </row>
    <row r="5903">
      <c r="A5903" t="s" s="11">
        <v>29663</v>
      </c>
      <c r="B5903" t="s" s="11">
        <v>29664</v>
      </c>
      <c r="C5903" t="s" s="11">
        <v>27</v>
      </c>
      <c r="D5903" t="s" s="11">
        <v>70</v>
      </c>
      <c r="E5903" t="s" s="11">
        <v>15482</v>
      </c>
      <c r="F5903" s="28">
        <v>45194</v>
      </c>
      <c r="G5903" t="s" s="11">
        <v>40</v>
      </c>
      <c r="H5903" s="43">
        <v>0.55</v>
      </c>
      <c r="I5903" t="s" s="43">
        <v>30</v>
      </c>
      <c r="J5903" t="s" s="11">
        <v>29665</v>
      </c>
      <c r="K5903" t="s" s="11">
        <v>29666</v>
      </c>
      <c r="L5903" s="17">
        <f>HYPERLINK("http://www.neqabty.com", "www.neqabty.com")</f>
      </c>
      <c r="M5903" s="17">
        <f>HYPERLINK("https://my.pitchbook.com?c=312923-89", "View Company Online")</f>
      </c>
    </row>
    <row r="5904">
      <c r="A5904" t="s" s="10">
        <v>29668</v>
      </c>
      <c r="B5904" t="s" s="10">
        <v>29669</v>
      </c>
      <c r="C5904" t="s" s="10">
        <v>164</v>
      </c>
      <c r="D5904" t="s" s="10">
        <v>165</v>
      </c>
      <c r="E5904" t="s" s="10">
        <v>270</v>
      </c>
      <c r="F5904" s="27">
        <v>46134</v>
      </c>
      <c r="G5904" t="s" s="10">
        <v>40</v>
      </c>
      <c r="H5904" t="s" s="42">
        <v>30</v>
      </c>
      <c r="I5904" t="s" s="42">
        <v>30</v>
      </c>
      <c r="J5904" t="s" s="10">
        <v>29670</v>
      </c>
      <c r="K5904" t="s" s="10">
        <v>29671</v>
      </c>
      <c r="L5904" s="16">
        <f>HYPERLINK("http://www.netbank.ph", "www.netbank.ph")</f>
      </c>
      <c r="M5904" s="16">
        <f>HYPERLINK("https://my.pitchbook.com?c=507363-22", "View Company Online")</f>
      </c>
    </row>
    <row r="5905">
      <c r="A5905" t="s" s="11">
        <v>29673</v>
      </c>
      <c r="B5905" t="s" s="11">
        <v>29674</v>
      </c>
      <c r="C5905" t="s" s="11">
        <v>144</v>
      </c>
      <c r="D5905" t="s" s="11">
        <v>297</v>
      </c>
      <c r="E5905" t="s" s="11">
        <v>259</v>
      </c>
      <c r="F5905" s="28">
        <v>45541</v>
      </c>
      <c r="G5905" t="s" s="11">
        <v>4267</v>
      </c>
      <c r="H5905" s="43">
        <v>1.8</v>
      </c>
      <c r="I5905" t="s" s="43">
        <v>30</v>
      </c>
      <c r="J5905" t="s" s="11">
        <v>29675</v>
      </c>
      <c r="K5905" t="s" s="11">
        <v>29676</v>
      </c>
      <c r="L5905" s="17">
        <f>HYPERLINK("http://www.netnow.io", "www.netnow.io")</f>
      </c>
      <c r="M5905" s="17">
        <f>HYPERLINK("https://my.pitchbook.com?c=519976-36", "View Company Online")</f>
      </c>
    </row>
    <row r="5906">
      <c r="A5906" t="s" s="10">
        <v>29678</v>
      </c>
      <c r="B5906" t="s" s="10">
        <v>29679</v>
      </c>
      <c r="C5906" t="s" s="10">
        <v>60</v>
      </c>
      <c r="D5906" t="s" s="10">
        <v>420</v>
      </c>
      <c r="E5906" t="s" s="10">
        <v>1006</v>
      </c>
      <c r="F5906" s="27">
        <v>43850</v>
      </c>
      <c r="G5906" t="s" s="10">
        <v>40</v>
      </c>
      <c r="H5906" t="s" s="42">
        <v>30</v>
      </c>
      <c r="I5906" t="s" s="42">
        <v>30</v>
      </c>
      <c r="J5906" t="s" s="10">
        <v>29680</v>
      </c>
      <c r="K5906" t="s" s="10">
        <v>29681</v>
      </c>
      <c r="L5906" s="16">
        <f>HYPERLINK("http://www.networth.mx", "www.networth.mx")</f>
      </c>
      <c r="M5906" s="16">
        <f>HYPERLINK("https://my.pitchbook.com?c=327457-99", "View Company Online")</f>
      </c>
    </row>
    <row r="5907">
      <c r="A5907" t="s" s="11">
        <v>29683</v>
      </c>
      <c r="B5907" t="s" s="11">
        <v>29684</v>
      </c>
      <c r="C5907" t="s" s="11">
        <v>60</v>
      </c>
      <c r="D5907" t="s" s="11">
        <v>192</v>
      </c>
      <c r="E5907" t="s" s="11">
        <v>414</v>
      </c>
      <c r="F5907" s="28">
        <v>45819</v>
      </c>
      <c r="G5907" t="s" s="11">
        <v>40</v>
      </c>
      <c r="H5907" t="s" s="43">
        <v>30</v>
      </c>
      <c r="I5907" t="s" s="43">
        <v>30</v>
      </c>
      <c r="J5907" t="s" s="11">
        <v>29685</v>
      </c>
      <c r="K5907" t="s" s="11">
        <v>29686</v>
      </c>
      <c r="L5907" t="s" s="11">
        <v>30</v>
      </c>
      <c r="M5907" s="17">
        <f>HYPERLINK("https://my.pitchbook.com?c=864461-62", "View Company Online")</f>
      </c>
    </row>
    <row r="5908">
      <c r="A5908" t="s" s="10">
        <v>29687</v>
      </c>
      <c r="B5908" t="s" s="10">
        <v>29688</v>
      </c>
      <c r="C5908" t="s" s="10">
        <v>164</v>
      </c>
      <c r="D5908" t="s" s="10">
        <v>206</v>
      </c>
      <c r="E5908" t="s" s="10">
        <v>373</v>
      </c>
      <c r="F5908" s="27">
        <v>45778</v>
      </c>
      <c r="G5908" t="s" s="10">
        <v>146</v>
      </c>
      <c r="H5908" t="s" s="42">
        <v>30</v>
      </c>
      <c r="I5908" t="s" s="42">
        <v>30</v>
      </c>
      <c r="J5908" t="s" s="10">
        <v>29689</v>
      </c>
      <c r="K5908" t="s" s="10">
        <v>29690</v>
      </c>
      <c r="L5908" s="16">
        <f>HYPERLINK("http://www.neuralhq.ai", "www.neuralhq.ai")</f>
      </c>
      <c r="M5908" s="16">
        <f>HYPERLINK("https://my.pitchbook.com?c=652806-55", "View Company Online")</f>
      </c>
    </row>
    <row r="5909">
      <c r="A5909" t="s" s="11">
        <v>29692</v>
      </c>
      <c r="B5909" t="s" s="11">
        <v>29693</v>
      </c>
      <c r="C5909" t="s" s="11">
        <v>164</v>
      </c>
      <c r="D5909" t="s" s="11">
        <v>934</v>
      </c>
      <c r="E5909" t="s" s="11">
        <v>493</v>
      </c>
      <c r="F5909" s="28">
        <v>46023</v>
      </c>
      <c r="G5909" t="s" s="11">
        <v>607</v>
      </c>
      <c r="H5909" t="s" s="43">
        <v>30</v>
      </c>
      <c r="I5909" t="s" s="43">
        <v>30</v>
      </c>
      <c r="J5909" t="s" s="11">
        <v>29694</v>
      </c>
      <c r="K5909" t="s" s="11">
        <v>29695</v>
      </c>
      <c r="L5909" s="17">
        <f>HYPERLINK("http://neuralk.ai", "neuralk.ai")</f>
      </c>
      <c r="M5909" s="17">
        <f>HYPERLINK("https://my.pitchbook.com?c=553110-58", "View Company Online")</f>
      </c>
    </row>
    <row r="5910">
      <c r="A5910" t="s" s="10">
        <v>29697</v>
      </c>
      <c r="B5910" t="s" s="10">
        <v>29698</v>
      </c>
      <c r="C5910" t="s" s="10">
        <v>128</v>
      </c>
      <c r="D5910" t="s" s="10">
        <v>276</v>
      </c>
      <c r="E5910" t="s" s="10">
        <v>995</v>
      </c>
      <c r="F5910" s="27">
        <v>46142</v>
      </c>
      <c r="G5910" t="s" s="10">
        <v>2051</v>
      </c>
      <c r="H5910" t="s" s="42">
        <v>30</v>
      </c>
      <c r="I5910" t="s" s="42">
        <v>30</v>
      </c>
      <c r="J5910" t="s" s="10">
        <v>29699</v>
      </c>
      <c r="K5910" t="s" s="10">
        <v>30</v>
      </c>
      <c r="L5910" s="16">
        <f>HYPERLINK("http://www.neutron.me", "www.neutron.me")</f>
      </c>
      <c r="M5910" s="16">
        <f>HYPERLINK("https://my.pitchbook.com?c=507308-32", "View Company Online")</f>
      </c>
    </row>
    <row r="5911">
      <c r="A5911" t="s" s="11">
        <v>29701</v>
      </c>
      <c r="B5911" t="s" s="11">
        <v>29702</v>
      </c>
      <c r="C5911" t="s" s="11">
        <v>222</v>
      </c>
      <c r="D5911" t="s" s="11">
        <v>537</v>
      </c>
      <c r="E5911" t="s" s="11">
        <v>137</v>
      </c>
      <c r="F5911" s="28">
        <v>44698</v>
      </c>
      <c r="G5911" t="s" s="11">
        <v>5274</v>
      </c>
      <c r="H5911" s="43">
        <v>1</v>
      </c>
      <c r="I5911" t="s" s="43">
        <v>30</v>
      </c>
      <c r="J5911" t="s" s="11">
        <v>29703</v>
      </c>
      <c r="K5911" t="s" s="11">
        <v>29704</v>
      </c>
      <c r="L5911" s="17">
        <f>HYPERLINK("http://www.newdebtexchange.com", "www.newdebtexchange.com")</f>
      </c>
      <c r="M5911" s="17">
        <f>HYPERLINK("https://my.pitchbook.com?c=496728-64", "View Company Online")</f>
      </c>
    </row>
    <row r="5912">
      <c r="A5912" t="s" s="10">
        <v>29706</v>
      </c>
      <c r="B5912" t="s" s="10">
        <v>29707</v>
      </c>
      <c r="C5912" t="s" s="10">
        <v>164</v>
      </c>
      <c r="D5912" t="s" s="10">
        <v>206</v>
      </c>
      <c r="E5912" t="s" s="10">
        <v>1349</v>
      </c>
      <c r="F5912" s="27">
        <v>44588</v>
      </c>
      <c r="G5912" t="s" s="10">
        <v>48</v>
      </c>
      <c r="H5912" t="s" s="42">
        <v>30</v>
      </c>
      <c r="I5912" t="s" s="42">
        <v>30</v>
      </c>
      <c r="J5912" t="s" s="10">
        <v>29708</v>
      </c>
      <c r="K5912" t="s" s="10">
        <v>29709</v>
      </c>
      <c r="L5912" s="16">
        <f>HYPERLINK("http://www.nflow.cn", "www.nflow.cn")</f>
      </c>
      <c r="M5912" s="16">
        <f>HYPERLINK("https://my.pitchbook.com?c=223965-91", "View Company Online")</f>
      </c>
    </row>
    <row r="5913">
      <c r="A5913" t="s" s="11">
        <v>29711</v>
      </c>
      <c r="B5913" t="s" s="11">
        <v>29712</v>
      </c>
      <c r="C5913" t="s" s="11">
        <v>114</v>
      </c>
      <c r="D5913" t="s" s="11">
        <v>136</v>
      </c>
      <c r="E5913" t="s" s="11">
        <v>29713</v>
      </c>
      <c r="F5913" s="28">
        <v>46007</v>
      </c>
      <c r="G5913" t="s" s="11">
        <v>146</v>
      </c>
      <c r="H5913" t="s" s="43">
        <v>30</v>
      </c>
      <c r="I5913" t="s" s="43">
        <v>30</v>
      </c>
      <c r="J5913" t="s" s="11">
        <v>29714</v>
      </c>
      <c r="K5913" t="s" s="11">
        <v>29715</v>
      </c>
      <c r="L5913" s="17">
        <f>HYPERLINK("http://www.newsocialtheory.com", "www.newsocialtheory.com")</f>
      </c>
      <c r="M5913" s="17">
        <f>HYPERLINK("https://my.pitchbook.com?c=540922-51", "View Company Online")</f>
      </c>
    </row>
    <row r="5914">
      <c r="A5914" t="s" s="10">
        <v>29717</v>
      </c>
      <c r="B5914" t="s" s="10">
        <v>29718</v>
      </c>
      <c r="C5914" t="s" s="10">
        <v>222</v>
      </c>
      <c r="D5914" t="s" s="10">
        <v>223</v>
      </c>
      <c r="E5914" t="s" s="10">
        <v>96</v>
      </c>
      <c r="F5914" s="27">
        <v>45139</v>
      </c>
      <c r="G5914" t="s" s="10">
        <v>607</v>
      </c>
      <c r="H5914" s="42">
        <v>0.15</v>
      </c>
      <c r="I5914" t="s" s="42">
        <v>30</v>
      </c>
      <c r="J5914" t="s" s="10">
        <v>29719</v>
      </c>
      <c r="K5914" t="s" s="10">
        <v>29720</v>
      </c>
      <c r="L5914" s="16">
        <f>HYPERLINK("http://www.newhedge.io", "www.newhedge.io")</f>
      </c>
      <c r="M5914" s="16">
        <f>HYPERLINK("https://my.pitchbook.com?c=534379-60", "View Company Online")</f>
      </c>
    </row>
    <row r="5915">
      <c r="A5915" t="s" s="11">
        <v>29722</v>
      </c>
      <c r="B5915" t="s" s="11">
        <v>29723</v>
      </c>
      <c r="C5915" t="s" s="11">
        <v>114</v>
      </c>
      <c r="D5915" t="s" s="11">
        <v>852</v>
      </c>
      <c r="E5915" t="s" s="11">
        <v>137</v>
      </c>
      <c r="F5915" s="28">
        <v>46072</v>
      </c>
      <c r="G5915" t="s" s="11">
        <v>40</v>
      </c>
      <c r="H5915" s="43">
        <v>11</v>
      </c>
      <c r="I5915" t="s" s="43">
        <v>30</v>
      </c>
      <c r="J5915" t="s" s="11">
        <v>29724</v>
      </c>
      <c r="K5915" t="s" s="11">
        <v>29725</v>
      </c>
      <c r="L5915" s="17">
        <f>HYPERLINK("http://www.newitymarket.com", "www.newitymarket.com")</f>
      </c>
      <c r="M5915" s="17">
        <f>HYPERLINK("https://my.pitchbook.com?c=438039-01", "View Company Online")</f>
      </c>
    </row>
    <row r="5916">
      <c r="A5916" t="s" s="10">
        <v>29727</v>
      </c>
      <c r="B5916" t="s" s="10">
        <v>29728</v>
      </c>
      <c r="C5916" t="s" s="10">
        <v>60</v>
      </c>
      <c r="D5916" t="s" s="10">
        <v>727</v>
      </c>
      <c r="E5916" t="s" s="10">
        <v>629</v>
      </c>
      <c r="F5916" s="27">
        <v>45848</v>
      </c>
      <c r="G5916" t="s" s="10">
        <v>4267</v>
      </c>
      <c r="H5916" s="42">
        <v>4.55</v>
      </c>
      <c r="I5916" t="s" s="42">
        <v>30</v>
      </c>
      <c r="J5916" t="s" s="10">
        <v>29729</v>
      </c>
      <c r="K5916" t="s" s="10">
        <v>29730</v>
      </c>
      <c r="L5916" s="16">
        <f>HYPERLINK("http://www.nexafinance.com.br", "www.nexafinance.com.br")</f>
      </c>
      <c r="M5916" s="16">
        <f>HYPERLINK("https://my.pitchbook.com?c=643728-43", "View Company Online")</f>
      </c>
    </row>
    <row r="5917">
      <c r="A5917" t="s" s="11">
        <v>29732</v>
      </c>
      <c r="B5917" t="s" s="11">
        <v>29733</v>
      </c>
      <c r="C5917" t="s" s="11">
        <v>27</v>
      </c>
      <c r="D5917" t="s" s="11">
        <v>28</v>
      </c>
      <c r="E5917" t="s" s="11">
        <v>1859</v>
      </c>
      <c r="F5917" s="28">
        <v>45118</v>
      </c>
      <c r="G5917" t="s" s="11">
        <v>146</v>
      </c>
      <c r="H5917" s="43">
        <v>0.2</v>
      </c>
      <c r="I5917" t="s" s="43">
        <v>30</v>
      </c>
      <c r="J5917" t="s" s="11">
        <v>29734</v>
      </c>
      <c r="K5917" t="s" s="11">
        <v>30</v>
      </c>
      <c r="L5917" s="17">
        <f>HYPERLINK("http://www.nexosgo.com", "www.nexosgo.com")</f>
      </c>
      <c r="M5917" s="17">
        <f>HYPERLINK("https://my.pitchbook.com?c=431346-07", "View Company Online")</f>
      </c>
    </row>
    <row r="5918">
      <c r="A5918" t="s" s="10">
        <v>29736</v>
      </c>
      <c r="B5918" t="s" s="10">
        <v>29737</v>
      </c>
      <c r="C5918" t="s" s="10">
        <v>27</v>
      </c>
      <c r="D5918" t="s" s="10">
        <v>28</v>
      </c>
      <c r="E5918" t="s" s="10">
        <v>859</v>
      </c>
      <c r="F5918" s="27">
        <v>45775</v>
      </c>
      <c r="G5918" t="s" s="10">
        <v>4267</v>
      </c>
      <c r="H5918" s="42">
        <v>5</v>
      </c>
      <c r="I5918" t="s" s="42">
        <v>30</v>
      </c>
      <c r="J5918" t="s" s="10">
        <v>29738</v>
      </c>
      <c r="K5918" t="s" s="10">
        <v>30</v>
      </c>
      <c r="L5918" s="16">
        <f>HYPERLINK("http://www.ngpes.com", "www.ngpes.com")</f>
      </c>
      <c r="M5918" s="16">
        <f>HYPERLINK("https://my.pitchbook.com?c=818759-62", "View Company Online")</f>
      </c>
    </row>
    <row r="5919">
      <c r="A5919" t="s" s="11">
        <v>29740</v>
      </c>
      <c r="B5919" t="s" s="11">
        <v>29741</v>
      </c>
      <c r="C5919" t="s" s="11">
        <v>128</v>
      </c>
      <c r="D5919" t="s" s="11">
        <v>199</v>
      </c>
      <c r="E5919" t="s" s="11">
        <v>253</v>
      </c>
      <c r="F5919" s="28">
        <v>44162</v>
      </c>
      <c r="G5919" t="s" s="11">
        <v>146</v>
      </c>
      <c r="H5919" s="43">
        <v>15</v>
      </c>
      <c r="I5919" t="s" s="43">
        <v>30</v>
      </c>
      <c r="J5919" t="s" s="11">
        <v>29742</v>
      </c>
      <c r="K5919" t="s" s="11">
        <v>29743</v>
      </c>
      <c r="L5919" s="17">
        <f>HYPERLINK("http://www.nextpls.com", "www.nextpls.com")</f>
      </c>
      <c r="M5919" s="17">
        <f>HYPERLINK("https://my.pitchbook.com?c=512791-57", "View Company Online")</f>
      </c>
    </row>
    <row r="5920">
      <c r="A5920" t="s" s="10">
        <v>29745</v>
      </c>
      <c r="B5920" t="s" s="10">
        <v>29746</v>
      </c>
      <c r="C5920" t="s" s="10">
        <v>114</v>
      </c>
      <c r="D5920" t="s" s="10">
        <v>136</v>
      </c>
      <c r="E5920" t="s" s="10">
        <v>759</v>
      </c>
      <c r="F5920" s="27">
        <v>46211</v>
      </c>
      <c r="G5920" t="s" s="10">
        <v>31</v>
      </c>
      <c r="H5920" s="42">
        <v>143.54</v>
      </c>
      <c r="I5920" t="s" s="42">
        <v>30</v>
      </c>
      <c r="J5920" t="s" s="10">
        <v>29747</v>
      </c>
      <c r="K5920" t="s" s="10">
        <v>29748</v>
      </c>
      <c r="L5920" s="16">
        <f>HYPERLINK("http://www.nexu.mx", "www.nexu.mx")</f>
      </c>
      <c r="M5920" s="16">
        <f>HYPERLINK("https://my.pitchbook.com?c=126007-30", "View Company Online")</f>
      </c>
    </row>
    <row r="5921">
      <c r="A5921" t="s" s="11">
        <v>29750</v>
      </c>
      <c r="B5921" t="s" s="11">
        <v>29751</v>
      </c>
      <c r="C5921" t="s" s="11">
        <v>128</v>
      </c>
      <c r="D5921" t="s" s="11">
        <v>199</v>
      </c>
      <c r="E5921" t="s" s="11">
        <v>270</v>
      </c>
      <c r="F5921" s="28">
        <v>45849</v>
      </c>
      <c r="G5921" t="s" s="11">
        <v>146</v>
      </c>
      <c r="H5921" s="43">
        <v>26.5</v>
      </c>
      <c r="I5921" t="s" s="43">
        <v>30</v>
      </c>
      <c r="J5921" t="s" s="11">
        <v>29752</v>
      </c>
      <c r="K5921" t="s" s="11">
        <v>29753</v>
      </c>
      <c r="L5921" s="17">
        <f>HYPERLINK("http://www.ng.cash", "www.ng.cash")</f>
      </c>
      <c r="M5921" s="17">
        <f>HYPERLINK("https://my.pitchbook.com?c=503023-42", "View Company Online")</f>
      </c>
    </row>
    <row r="5922">
      <c r="A5922" t="s" s="10">
        <v>29755</v>
      </c>
      <c r="B5922" t="s" s="10">
        <v>29756</v>
      </c>
      <c r="C5922" t="s" s="10">
        <v>46</v>
      </c>
      <c r="D5922" t="s" s="10">
        <v>397</v>
      </c>
      <c r="E5922" t="s" s="10">
        <v>253</v>
      </c>
      <c r="F5922" s="27">
        <v>43586</v>
      </c>
      <c r="G5922" t="s" s="10">
        <v>40</v>
      </c>
      <c r="H5922" s="42">
        <v>0.5</v>
      </c>
      <c r="I5922" t="s" s="42">
        <v>30</v>
      </c>
      <c r="J5922" t="s" s="10">
        <v>29757</v>
      </c>
      <c r="K5922" t="s" s="10">
        <v>29758</v>
      </c>
      <c r="L5922" s="16">
        <f>HYPERLINK("http://www.nibo.com.br", "www.nibo.com.br")</f>
      </c>
      <c r="M5922" s="16">
        <f>HYPERLINK("https://my.pitchbook.com?c=93710-08", "View Company Online")</f>
      </c>
    </row>
    <row r="5923">
      <c r="A5923" t="s" s="11">
        <v>29760</v>
      </c>
      <c r="B5923" t="s" s="11">
        <v>29761</v>
      </c>
      <c r="C5923" t="s" s="11">
        <v>114</v>
      </c>
      <c r="D5923" t="s" s="11">
        <v>136</v>
      </c>
      <c r="E5923" t="s" s="11">
        <v>253</v>
      </c>
      <c r="F5923" s="28">
        <v>44893</v>
      </c>
      <c r="G5923" t="s" s="11">
        <v>146</v>
      </c>
      <c r="H5923" s="43">
        <v>2.2</v>
      </c>
      <c r="I5923" t="s" s="43">
        <v>30</v>
      </c>
      <c r="J5923" t="s" s="11">
        <v>29762</v>
      </c>
      <c r="K5923" t="s" s="11">
        <v>29763</v>
      </c>
      <c r="L5923" s="17">
        <f>HYPERLINK("http://www.niceabc.co.kr", "www.niceabc.co.kr")</f>
      </c>
      <c r="M5923" s="17">
        <f>HYPERLINK("https://my.pitchbook.com?c=515400-22", "View Company Online")</f>
      </c>
    </row>
    <row r="5924">
      <c r="A5924" t="s" s="10">
        <v>29765</v>
      </c>
      <c r="B5924" t="s" s="10">
        <v>29766</v>
      </c>
      <c r="C5924" t="s" s="10">
        <v>46</v>
      </c>
      <c r="D5924" t="s" s="10">
        <v>47</v>
      </c>
      <c r="E5924" t="s" s="10">
        <v>137</v>
      </c>
      <c r="F5924" s="27">
        <v>45196</v>
      </c>
      <c r="G5924" t="s" s="10">
        <v>4267</v>
      </c>
      <c r="H5924" t="s" s="42">
        <v>30</v>
      </c>
      <c r="I5924" t="s" s="42">
        <v>30</v>
      </c>
      <c r="J5924" t="s" s="10">
        <v>29767</v>
      </c>
      <c r="K5924" t="s" s="10">
        <v>29768</v>
      </c>
      <c r="L5924" t="s" s="10">
        <v>30</v>
      </c>
      <c r="M5924" s="16">
        <f>HYPERLINK("https://my.pitchbook.com?c=537096-97", "View Company Online")</f>
      </c>
    </row>
    <row r="5925">
      <c r="A5925" t="s" s="11">
        <v>29769</v>
      </c>
      <c r="B5925" t="s" s="11">
        <v>29770</v>
      </c>
      <c r="C5925" t="s" s="11">
        <v>60</v>
      </c>
      <c r="D5925" t="s" s="11">
        <v>432</v>
      </c>
      <c r="E5925" t="s" s="11">
        <v>367</v>
      </c>
      <c r="F5925" t="s" s="28">
        <v>30</v>
      </c>
      <c r="G5925" t="s" s="11">
        <v>2051</v>
      </c>
      <c r="H5925" t="s" s="43">
        <v>30</v>
      </c>
      <c r="I5925" t="s" s="43">
        <v>30</v>
      </c>
      <c r="J5925" t="s" s="11">
        <v>29771</v>
      </c>
      <c r="K5925" t="s" s="11">
        <v>30</v>
      </c>
      <c r="L5925" s="17">
        <f>HYPERLINK("http://www.nicemind.com", "www.nicemind.com")</f>
      </c>
      <c r="M5925" s="17">
        <f>HYPERLINK("https://my.pitchbook.com?c=434401-93", "View Company Online")</f>
      </c>
    </row>
    <row r="5926">
      <c r="A5926" t="s" s="10">
        <v>29773</v>
      </c>
      <c r="B5926" t="s" s="10">
        <v>29774</v>
      </c>
      <c r="C5926" t="s" s="10">
        <v>222</v>
      </c>
      <c r="D5926" t="s" s="10">
        <v>235</v>
      </c>
      <c r="E5926" t="s" s="10">
        <v>137</v>
      </c>
      <c r="F5926" s="27">
        <v>44902</v>
      </c>
      <c r="G5926" t="s" s="10">
        <v>4267</v>
      </c>
      <c r="H5926" s="42">
        <v>5</v>
      </c>
      <c r="I5926" t="s" s="42">
        <v>30</v>
      </c>
      <c r="J5926" t="s" s="10">
        <v>29775</v>
      </c>
      <c r="K5926" t="s" s="10">
        <v>29776</v>
      </c>
      <c r="L5926" s="16">
        <f>HYPERLINK("http://www.nikkl.com", "www.nikkl.com")</f>
      </c>
      <c r="M5926" s="16">
        <f>HYPERLINK("https://my.pitchbook.com?c=515775-52", "View Company Online")</f>
      </c>
    </row>
    <row r="5927">
      <c r="A5927" t="s" s="11">
        <v>29778</v>
      </c>
      <c r="B5927" t="s" s="11">
        <v>29779</v>
      </c>
      <c r="C5927" t="s" s="11">
        <v>27</v>
      </c>
      <c r="D5927" t="s" s="11">
        <v>122</v>
      </c>
      <c r="E5927" t="s" s="11">
        <v>646</v>
      </c>
      <c r="F5927" t="s" s="28">
        <v>30</v>
      </c>
      <c r="G5927" t="s" s="11">
        <v>40</v>
      </c>
      <c r="H5927" t="s" s="43">
        <v>30</v>
      </c>
      <c r="I5927" t="s" s="43">
        <v>30</v>
      </c>
      <c r="J5927" t="s" s="11">
        <v>29780</v>
      </c>
      <c r="K5927" t="s" s="11">
        <v>29781</v>
      </c>
      <c r="L5927" s="17">
        <f>HYPERLINK("http://www.nilos.io", "www.nilos.io")</f>
      </c>
      <c r="M5927" s="17">
        <f>HYPERLINK("https://my.pitchbook.com?c=506873-44", "View Company Online")</f>
      </c>
    </row>
    <row r="5928">
      <c r="A5928" t="s" s="10">
        <v>29783</v>
      </c>
      <c r="B5928" t="s" s="10">
        <v>29784</v>
      </c>
      <c r="C5928" t="s" s="10">
        <v>46</v>
      </c>
      <c r="D5928" t="s" s="10">
        <v>47</v>
      </c>
      <c r="E5928" t="s" s="10">
        <v>253</v>
      </c>
      <c r="F5928" s="27">
        <v>45672</v>
      </c>
      <c r="G5928" t="s" s="10">
        <v>40</v>
      </c>
      <c r="H5928" s="42">
        <v>10</v>
      </c>
      <c r="I5928" t="s" s="42">
        <v>30</v>
      </c>
      <c r="J5928" t="s" s="10">
        <v>29785</v>
      </c>
      <c r="K5928" t="s" s="10">
        <v>29786</v>
      </c>
      <c r="L5928" s="16">
        <f>HYPERLINK("http://www.nilus.com", "www.nilus.com")</f>
      </c>
      <c r="M5928" s="16">
        <f>HYPERLINK("https://my.pitchbook.com?c=507177-91", "View Company Online")</f>
      </c>
    </row>
    <row r="5929">
      <c r="A5929" t="s" s="11">
        <v>29788</v>
      </c>
      <c r="B5929" t="s" s="11">
        <v>29789</v>
      </c>
      <c r="C5929" t="s" s="11">
        <v>60</v>
      </c>
      <c r="D5929" t="s" s="11">
        <v>192</v>
      </c>
      <c r="E5929" t="s" s="11">
        <v>116</v>
      </c>
      <c r="F5929" s="28">
        <v>44704</v>
      </c>
      <c r="G5929" t="s" s="11">
        <v>4267</v>
      </c>
      <c r="H5929" s="43">
        <v>10</v>
      </c>
      <c r="I5929" t="s" s="43">
        <v>30</v>
      </c>
      <c r="J5929" t="s" s="11">
        <v>29790</v>
      </c>
      <c r="K5929" t="s" s="11">
        <v>29791</v>
      </c>
      <c r="L5929" s="17">
        <f>HYPERLINK("http://nimeya.ai", "nimeya.ai")</f>
      </c>
      <c r="M5929" s="17">
        <f>HYPERLINK("https://my.pitchbook.com?c=497312-20", "View Company Online")</f>
      </c>
    </row>
    <row r="5930">
      <c r="A5930" t="s" s="10">
        <v>29793</v>
      </c>
      <c r="B5930" t="s" s="10">
        <v>29794</v>
      </c>
      <c r="C5930" t="s" s="10">
        <v>37</v>
      </c>
      <c r="D5930" t="s" s="10">
        <v>304</v>
      </c>
      <c r="E5930" t="s" s="10">
        <v>137</v>
      </c>
      <c r="F5930" t="s" s="27">
        <v>30</v>
      </c>
      <c r="G5930" t="s" s="10">
        <v>48</v>
      </c>
      <c r="H5930" t="s" s="42">
        <v>30</v>
      </c>
      <c r="I5930" t="s" s="42">
        <v>30</v>
      </c>
      <c r="J5930" t="s" s="10">
        <v>29795</v>
      </c>
      <c r="K5930" t="s" s="10">
        <v>29796</v>
      </c>
      <c r="L5930" s="16">
        <f>HYPERLINK("http://www.9dock.co.kr", "www.9dock.co.kr")</f>
      </c>
      <c r="M5930" s="16">
        <f>HYPERLINK("https://my.pitchbook.com?c=512095-60", "View Company Online")</f>
      </c>
    </row>
    <row r="5931">
      <c r="A5931" t="s" s="11">
        <v>29798</v>
      </c>
      <c r="B5931" t="s" s="11">
        <v>29799</v>
      </c>
      <c r="C5931" t="s" s="11">
        <v>46</v>
      </c>
      <c r="D5931" t="s" s="11">
        <v>397</v>
      </c>
      <c r="E5931" t="s" s="11">
        <v>1964</v>
      </c>
      <c r="F5931" s="28">
        <v>42948</v>
      </c>
      <c r="G5931" t="s" s="11">
        <v>146</v>
      </c>
      <c r="H5931" s="43">
        <v>2.96</v>
      </c>
      <c r="I5931" t="s" s="43">
        <v>30</v>
      </c>
      <c r="J5931" t="s" s="11">
        <v>29800</v>
      </c>
      <c r="K5931" t="s" s="11">
        <v>30</v>
      </c>
      <c r="L5931" s="17">
        <f>HYPERLINK("http://www.ningmengyun.com", "www.ningmengyun.com")</f>
      </c>
      <c r="M5931" s="17">
        <f>HYPERLINK("https://my.pitchbook.com?c=437900-68", "View Company Online")</f>
      </c>
    </row>
    <row r="5932">
      <c r="A5932" t="s" s="10">
        <v>29802</v>
      </c>
      <c r="B5932" t="s" s="10">
        <v>29803</v>
      </c>
      <c r="C5932" t="s" s="10">
        <v>46</v>
      </c>
      <c r="D5932" t="s" s="10">
        <v>78</v>
      </c>
      <c r="E5932" t="s" s="10">
        <v>6783</v>
      </c>
      <c r="F5932" s="27">
        <v>44615</v>
      </c>
      <c r="G5932" t="s" s="10">
        <v>146</v>
      </c>
      <c r="H5932" s="42">
        <v>1</v>
      </c>
      <c r="I5932" t="s" s="42">
        <v>30</v>
      </c>
      <c r="J5932" t="s" s="10">
        <v>29804</v>
      </c>
      <c r="K5932" t="s" s="10">
        <v>29805</v>
      </c>
      <c r="L5932" s="16">
        <f>HYPERLINK("http://www.nivelo.io", "www.nivelo.io")</f>
      </c>
      <c r="M5932" s="16">
        <f>HYPERLINK("https://my.pitchbook.com?c=442312-48", "View Company Online")</f>
      </c>
    </row>
    <row r="5933">
      <c r="A5933" t="s" s="11">
        <v>29807</v>
      </c>
      <c r="B5933" t="s" s="11">
        <v>29808</v>
      </c>
      <c r="C5933" t="s" s="11">
        <v>46</v>
      </c>
      <c r="D5933" t="s" s="11">
        <v>47</v>
      </c>
      <c r="E5933" t="s" s="11">
        <v>973</v>
      </c>
      <c r="F5933" s="28">
        <v>44013</v>
      </c>
      <c r="G5933" t="s" s="11">
        <v>4267</v>
      </c>
      <c r="H5933" s="43">
        <v>0.05</v>
      </c>
      <c r="I5933" t="s" s="43">
        <v>30</v>
      </c>
      <c r="J5933" t="s" s="11">
        <v>29809</v>
      </c>
      <c r="K5933" t="s" s="11">
        <v>29810</v>
      </c>
      <c r="L5933" s="17">
        <f>HYPERLINK("http://www.nivo1.com", "www.nivo1.com")</f>
      </c>
      <c r="M5933" s="17">
        <f>HYPERLINK("https://my.pitchbook.com?c=170781-04", "View Company Online")</f>
      </c>
    </row>
    <row r="5934">
      <c r="A5934" t="s" s="10">
        <v>29812</v>
      </c>
      <c r="B5934" t="s" s="10">
        <v>29813</v>
      </c>
      <c r="C5934" t="s" s="10">
        <v>27</v>
      </c>
      <c r="D5934" t="s" s="10">
        <v>70</v>
      </c>
      <c r="E5934" t="s" s="10">
        <v>3138</v>
      </c>
      <c r="F5934" s="27">
        <v>46090</v>
      </c>
      <c r="G5934" t="s" s="10">
        <v>4267</v>
      </c>
      <c r="H5934" s="42">
        <v>2.1</v>
      </c>
      <c r="I5934" t="s" s="42">
        <v>30</v>
      </c>
      <c r="J5934" t="s" s="10">
        <v>29814</v>
      </c>
      <c r="K5934" t="s" s="10">
        <v>29815</v>
      </c>
      <c r="L5934" s="16">
        <f>HYPERLINK("http://www.njiapay.com", "www.njiapay.com")</f>
      </c>
      <c r="M5934" s="16">
        <f>HYPERLINK("https://my.pitchbook.com?c=741444-04", "View Company Online")</f>
      </c>
    </row>
    <row r="5935">
      <c r="A5935" t="s" s="11">
        <v>29817</v>
      </c>
      <c r="B5935" t="s" s="11">
        <v>29818</v>
      </c>
      <c r="C5935" t="s" s="11">
        <v>60</v>
      </c>
      <c r="D5935" t="s" s="11">
        <v>246</v>
      </c>
      <c r="E5935" t="s" s="11">
        <v>29</v>
      </c>
      <c r="F5935" s="28">
        <v>45292</v>
      </c>
      <c r="G5935" t="s" s="11">
        <v>146</v>
      </c>
      <c r="H5935" t="s" s="43">
        <v>30</v>
      </c>
      <c r="I5935" t="s" s="43">
        <v>30</v>
      </c>
      <c r="J5935" t="s" s="11">
        <v>29819</v>
      </c>
      <c r="K5935" t="s" s="11">
        <v>29820</v>
      </c>
      <c r="L5935" s="17">
        <f>HYPERLINK("http://www.mynkwa.com", "www.mynkwa.com")</f>
      </c>
      <c r="M5935" s="17">
        <f>HYPERLINK("https://my.pitchbook.com?c=517057-39", "View Company Online")</f>
      </c>
    </row>
    <row r="5936">
      <c r="A5936" t="s" s="10">
        <v>29822</v>
      </c>
      <c r="B5936" t="s" s="10">
        <v>29823</v>
      </c>
      <c r="C5936" t="s" s="10">
        <v>46</v>
      </c>
      <c r="D5936" t="s" s="10">
        <v>78</v>
      </c>
      <c r="E5936" t="s" s="10">
        <v>152</v>
      </c>
      <c r="F5936" s="27">
        <v>46154</v>
      </c>
      <c r="G5936" t="s" s="10">
        <v>146</v>
      </c>
      <c r="H5936" t="s" s="42">
        <v>30</v>
      </c>
      <c r="I5936" t="s" s="42">
        <v>30</v>
      </c>
      <c r="J5936" t="s" s="10">
        <v>29824</v>
      </c>
      <c r="K5936" t="s" s="10">
        <v>29825</v>
      </c>
      <c r="L5936" s="16">
        <f>HYPERLINK("http://www.nmbr.co", "www.nmbr.co")</f>
      </c>
      <c r="M5936" s="16">
        <f>HYPERLINK("https://my.pitchbook.com?c=535989-07", "View Company Online")</f>
      </c>
    </row>
    <row r="5937">
      <c r="A5937" t="s" s="11">
        <v>29827</v>
      </c>
      <c r="B5937" t="s" s="11">
        <v>29828</v>
      </c>
      <c r="C5937" t="s" s="11">
        <v>27</v>
      </c>
      <c r="D5937" t="s" s="11">
        <v>28</v>
      </c>
      <c r="E5937" t="s" s="11">
        <v>253</v>
      </c>
      <c r="F5937" s="28">
        <v>45740</v>
      </c>
      <c r="G5937" t="s" s="11">
        <v>607</v>
      </c>
      <c r="H5937" t="s" s="43">
        <v>30</v>
      </c>
      <c r="I5937" t="s" s="43">
        <v>30</v>
      </c>
      <c r="J5937" t="s" s="11">
        <v>29829</v>
      </c>
      <c r="K5937" t="s" s="11">
        <v>29830</v>
      </c>
      <c r="L5937" s="17">
        <f>HYPERLINK("http://www.nobuk.africa", "www.nobuk.africa")</f>
      </c>
      <c r="M5937" s="17">
        <f>HYPERLINK("https://my.pitchbook.com?c=522051-04", "View Company Online")</f>
      </c>
    </row>
    <row r="5938">
      <c r="A5938" t="s" s="10">
        <v>29832</v>
      </c>
      <c r="B5938" t="s" s="10">
        <v>29833</v>
      </c>
      <c r="C5938" t="s" s="10">
        <v>27</v>
      </c>
      <c r="D5938" t="s" s="10">
        <v>70</v>
      </c>
      <c r="E5938" t="s" s="10">
        <v>859</v>
      </c>
      <c r="F5938" s="27">
        <v>46010</v>
      </c>
      <c r="G5938" t="s" s="10">
        <v>4267</v>
      </c>
      <c r="H5938" s="42">
        <v>1.45</v>
      </c>
      <c r="I5938" t="s" s="42">
        <v>30</v>
      </c>
      <c r="J5938" t="s" s="10">
        <v>29834</v>
      </c>
      <c r="K5938" t="s" s="10">
        <v>29835</v>
      </c>
      <c r="L5938" s="16">
        <f>HYPERLINK("http://nodu.fi", "nodu.fi")</f>
      </c>
      <c r="M5938" s="16">
        <f>HYPERLINK("https://my.pitchbook.com?c=1232314-30", "View Company Online")</f>
      </c>
    </row>
    <row r="5939">
      <c r="A5939" t="s" s="11">
        <v>29837</v>
      </c>
      <c r="B5939" t="s" s="11">
        <v>29838</v>
      </c>
      <c r="C5939" t="s" s="11">
        <v>60</v>
      </c>
      <c r="D5939" t="s" s="11">
        <v>246</v>
      </c>
      <c r="E5939" t="s" s="11">
        <v>193</v>
      </c>
      <c r="F5939" s="28">
        <v>45809</v>
      </c>
      <c r="G5939" t="s" s="11">
        <v>5274</v>
      </c>
      <c r="H5939" t="s" s="43">
        <v>30</v>
      </c>
      <c r="I5939" t="s" s="43">
        <v>30</v>
      </c>
      <c r="J5939" t="s" s="11">
        <v>29839</v>
      </c>
      <c r="K5939" t="s" s="11">
        <v>29840</v>
      </c>
      <c r="L5939" s="17">
        <f>HYPERLINK("http://www.noh.com.br", "www.noh.com.br")</f>
      </c>
      <c r="M5939" s="17">
        <f>HYPERLINK("https://my.pitchbook.com?c=493308-64", "View Company Online")</f>
      </c>
    </row>
    <row r="5940">
      <c r="A5940" t="s" s="10">
        <v>29842</v>
      </c>
      <c r="B5940" t="s" s="10">
        <v>29843</v>
      </c>
      <c r="C5940" t="s" s="10">
        <v>222</v>
      </c>
      <c r="D5940" t="s" s="10">
        <v>252</v>
      </c>
      <c r="E5940" t="s" s="10">
        <v>859</v>
      </c>
      <c r="F5940" s="27">
        <v>45945</v>
      </c>
      <c r="G5940" t="s" s="10">
        <v>146</v>
      </c>
      <c r="H5940" t="s" s="42">
        <v>30</v>
      </c>
      <c r="I5940" t="s" s="42">
        <v>30</v>
      </c>
      <c r="J5940" t="s" s="10">
        <v>29844</v>
      </c>
      <c r="K5940" t="s" s="10">
        <v>29845</v>
      </c>
      <c r="L5940" s="16">
        <f>HYPERLINK("http://www.noice.so", "www.noice.so")</f>
      </c>
      <c r="M5940" s="16">
        <f>HYPERLINK("https://my.pitchbook.com?c=1153113-40", "View Company Online")</f>
      </c>
    </row>
    <row r="5941">
      <c r="A5941" t="s" s="11">
        <v>29847</v>
      </c>
      <c r="B5941" t="s" s="11">
        <v>29848</v>
      </c>
      <c r="C5941" t="s" s="11">
        <v>164</v>
      </c>
      <c r="D5941" t="s" s="11">
        <v>206</v>
      </c>
      <c r="E5941" t="s" s="11">
        <v>12814</v>
      </c>
      <c r="F5941" t="s" s="28">
        <v>30</v>
      </c>
      <c r="G5941" t="s" s="11">
        <v>48</v>
      </c>
      <c r="H5941" t="s" s="43">
        <v>30</v>
      </c>
      <c r="I5941" t="s" s="43">
        <v>30</v>
      </c>
      <c r="J5941" t="s" s="11">
        <v>29849</v>
      </c>
      <c r="K5941" t="s" s="11">
        <v>29850</v>
      </c>
      <c r="L5941" s="17">
        <f>HYPERLINK("http://www.nomanini.com", "www.nomanini.com")</f>
      </c>
      <c r="M5941" s="17">
        <f>HYPERLINK("https://my.pitchbook.com?c=61056-91", "View Company Online")</f>
      </c>
    </row>
    <row r="5942">
      <c r="A5942" t="s" s="10">
        <v>29852</v>
      </c>
      <c r="B5942" t="s" s="10">
        <v>29853</v>
      </c>
      <c r="C5942" t="s" s="10">
        <v>114</v>
      </c>
      <c r="D5942" t="s" s="10">
        <v>852</v>
      </c>
      <c r="E5942" t="s" s="10">
        <v>29854</v>
      </c>
      <c r="F5942" s="27">
        <v>43199</v>
      </c>
      <c r="G5942" t="s" s="10">
        <v>40</v>
      </c>
      <c r="H5942" t="s" s="42">
        <v>30</v>
      </c>
      <c r="I5942" t="s" s="42">
        <v>30</v>
      </c>
      <c r="J5942" t="s" s="10">
        <v>29855</v>
      </c>
      <c r="K5942" t="s" s="10">
        <v>29856</v>
      </c>
      <c r="L5942" s="16">
        <f>HYPERLINK("http://www.nongfenqi.com", "www.nongfenqi.com")</f>
      </c>
      <c r="M5942" s="16">
        <f>HYPERLINK("https://my.pitchbook.com?c=169485-85", "View Company Online")</f>
      </c>
    </row>
    <row r="5943">
      <c r="A5943" t="s" s="11">
        <v>29858</v>
      </c>
      <c r="B5943" t="s" s="11">
        <v>29859</v>
      </c>
      <c r="C5943" t="s" s="11">
        <v>27</v>
      </c>
      <c r="D5943" t="s" s="11">
        <v>70</v>
      </c>
      <c r="E5943" t="s" s="11">
        <v>137</v>
      </c>
      <c r="F5943" t="s" s="28">
        <v>30</v>
      </c>
      <c r="G5943" t="s" s="11">
        <v>146</v>
      </c>
      <c r="H5943" s="43">
        <v>1.15</v>
      </c>
      <c r="I5943" t="s" s="43">
        <v>30</v>
      </c>
      <c r="J5943" t="s" s="11">
        <v>29860</v>
      </c>
      <c r="K5943" t="s" s="11">
        <v>29861</v>
      </c>
      <c r="L5943" s="17">
        <f>HYPERLINK("http://www.nono.network", "www.nono.network")</f>
      </c>
      <c r="M5943" s="17">
        <f>HYPERLINK("https://my.pitchbook.com?c=641567-17", "View Company Online")</f>
      </c>
    </row>
    <row r="5944">
      <c r="A5944" t="s" s="10">
        <v>29863</v>
      </c>
      <c r="B5944" t="s" s="10">
        <v>29864</v>
      </c>
      <c r="C5944" t="s" s="10">
        <v>27</v>
      </c>
      <c r="D5944" t="s" s="10">
        <v>122</v>
      </c>
      <c r="E5944" t="s" s="10">
        <v>973</v>
      </c>
      <c r="F5944" s="27">
        <v>45558</v>
      </c>
      <c r="G5944" t="s" s="10">
        <v>146</v>
      </c>
      <c r="H5944" s="42">
        <v>0.9</v>
      </c>
      <c r="I5944" t="s" s="42">
        <v>30</v>
      </c>
      <c r="J5944" t="s" s="10">
        <v>29865</v>
      </c>
      <c r="K5944" t="s" s="10">
        <v>29866</v>
      </c>
      <c r="L5944" s="16">
        <f>HYPERLINK("http://www.noodle.cx", "www.noodle.cx")</f>
      </c>
      <c r="M5944" s="16">
        <f>HYPERLINK("https://my.pitchbook.com?c=520674-94", "View Company Online")</f>
      </c>
    </row>
    <row r="5945">
      <c r="A5945" t="s" s="11">
        <v>29868</v>
      </c>
      <c r="B5945" t="s" s="11">
        <v>29869</v>
      </c>
      <c r="C5945" t="s" s="11">
        <v>60</v>
      </c>
      <c r="D5945" t="s" s="11">
        <v>246</v>
      </c>
      <c r="E5945" t="s" s="11">
        <v>4517</v>
      </c>
      <c r="F5945" s="28">
        <v>45017</v>
      </c>
      <c r="G5945" t="s" s="11">
        <v>4267</v>
      </c>
      <c r="H5945" s="43">
        <v>0.13</v>
      </c>
      <c r="I5945" t="s" s="43">
        <v>30</v>
      </c>
      <c r="J5945" t="s" s="11">
        <v>29870</v>
      </c>
      <c r="K5945" t="s" s="11">
        <v>15996</v>
      </c>
      <c r="L5945" s="17">
        <f>HYPERLINK("http://www.usenook.com", "www.usenook.com")</f>
      </c>
      <c r="M5945" s="17">
        <f>HYPERLINK("https://my.pitchbook.com?c=528404-95", "View Company Online")</f>
      </c>
    </row>
    <row r="5946">
      <c r="A5946" t="s" s="10">
        <v>29872</v>
      </c>
      <c r="B5946" t="s" s="10">
        <v>29873</v>
      </c>
      <c r="C5946" t="s" s="10">
        <v>144</v>
      </c>
      <c r="D5946" t="s" s="10">
        <v>38</v>
      </c>
      <c r="E5946" t="s" s="10">
        <v>859</v>
      </c>
      <c r="F5946" s="27">
        <v>45902</v>
      </c>
      <c r="G5946" t="s" s="10">
        <v>391</v>
      </c>
      <c r="H5946" t="s" s="42">
        <v>30</v>
      </c>
      <c r="I5946" t="s" s="42">
        <v>30</v>
      </c>
      <c r="J5946" t="s" s="10">
        <v>29874</v>
      </c>
      <c r="K5946" t="s" s="10">
        <v>29875</v>
      </c>
      <c r="L5946" s="16">
        <f>HYPERLINK("http://www.nordark.com", "www.nordark.com")</f>
      </c>
      <c r="M5946" s="16">
        <f>HYPERLINK("https://my.pitchbook.com?c=536053-96", "View Company Online")</f>
      </c>
    </row>
    <row r="5947">
      <c r="A5947" t="s" s="11">
        <v>29877</v>
      </c>
      <c r="B5947" t="s" s="11">
        <v>29878</v>
      </c>
      <c r="C5947" t="s" s="11">
        <v>114</v>
      </c>
      <c r="D5947" t="s" s="11">
        <v>852</v>
      </c>
      <c r="E5947" t="s" s="11">
        <v>1800</v>
      </c>
      <c r="F5947" s="28">
        <v>45308</v>
      </c>
      <c r="G5947" t="s" s="11">
        <v>40</v>
      </c>
      <c r="H5947" s="43">
        <v>11</v>
      </c>
      <c r="I5947" t="s" s="43">
        <v>30</v>
      </c>
      <c r="J5947" t="s" s="11">
        <v>29879</v>
      </c>
      <c r="K5947" t="s" s="11">
        <v>30</v>
      </c>
      <c r="L5947" s="17">
        <f>HYPERLINK("http://www.normavila.com", "www.normavila.com")</f>
      </c>
      <c r="M5947" s="17">
        <f>HYPERLINK("https://my.pitchbook.com?c=552715-66", "View Company Online")</f>
      </c>
    </row>
    <row r="5948">
      <c r="A5948" t="s" s="10">
        <v>29881</v>
      </c>
      <c r="B5948" t="s" s="10">
        <v>29882</v>
      </c>
      <c r="C5948" t="s" s="10">
        <v>144</v>
      </c>
      <c r="D5948" t="s" s="10">
        <v>38</v>
      </c>
      <c r="E5948" t="s" s="10">
        <v>253</v>
      </c>
      <c r="F5948" s="27">
        <v>46216</v>
      </c>
      <c r="G5948" t="s" s="10">
        <v>2051</v>
      </c>
      <c r="H5948" t="s" s="42">
        <v>30</v>
      </c>
      <c r="I5948" t="s" s="42">
        <v>30</v>
      </c>
      <c r="J5948" t="s" s="10">
        <v>29883</v>
      </c>
      <c r="K5948" t="s" s="10">
        <v>30</v>
      </c>
      <c r="L5948" s="16">
        <f>HYPERLINK("http://www.northone.com", "www.northone.com")</f>
      </c>
      <c r="M5948" s="16">
        <f>HYPERLINK("https://my.pitchbook.com?c=170256-79", "View Company Online")</f>
      </c>
    </row>
    <row r="5949">
      <c r="A5949" t="s" s="11">
        <v>29885</v>
      </c>
      <c r="B5949" t="s" s="11">
        <v>29886</v>
      </c>
      <c r="C5949" t="s" s="11">
        <v>60</v>
      </c>
      <c r="D5949" t="s" s="11">
        <v>192</v>
      </c>
      <c r="E5949" t="s" s="11">
        <v>367</v>
      </c>
      <c r="F5949" s="28">
        <v>45742</v>
      </c>
      <c r="G5949" t="s" s="11">
        <v>4267</v>
      </c>
      <c r="H5949" s="43">
        <v>1</v>
      </c>
      <c r="I5949" t="s" s="43">
        <v>30</v>
      </c>
      <c r="J5949" t="s" s="11">
        <v>29887</v>
      </c>
      <c r="K5949" t="s" s="11">
        <v>29888</v>
      </c>
      <c r="L5949" s="17">
        <f>HYPERLINK("http://nosible.com", "nosible.com")</f>
      </c>
      <c r="M5949" s="17">
        <f>HYPERLINK("https://my.pitchbook.com?c=521165-89", "View Company Online")</f>
      </c>
    </row>
    <row r="5950">
      <c r="A5950" t="s" s="10">
        <v>29890</v>
      </c>
      <c r="B5950" t="s" s="10">
        <v>29891</v>
      </c>
      <c r="C5950" t="s" s="10">
        <v>222</v>
      </c>
      <c r="D5950" t="s" s="10">
        <v>223</v>
      </c>
      <c r="E5950" t="s" s="10">
        <v>253</v>
      </c>
      <c r="F5950" s="27">
        <v>44958</v>
      </c>
      <c r="G5950" t="s" s="10">
        <v>146</v>
      </c>
      <c r="H5950" t="s" s="42">
        <v>30</v>
      </c>
      <c r="I5950" t="s" s="42">
        <v>30</v>
      </c>
      <c r="J5950" t="s" s="10">
        <v>29892</v>
      </c>
      <c r="K5950" t="s" s="10">
        <v>29893</v>
      </c>
      <c r="L5950" s="16">
        <f>HYPERLINK("http://site.notata.io", "site.notata.io")</f>
      </c>
      <c r="M5950" s="16">
        <f>HYPERLINK("https://my.pitchbook.com?c=489865-87", "View Company Online")</f>
      </c>
    </row>
    <row r="5951">
      <c r="A5951" t="s" s="11">
        <v>29895</v>
      </c>
      <c r="B5951" t="s" s="11">
        <v>29896</v>
      </c>
      <c r="C5951" t="s" s="11">
        <v>60</v>
      </c>
      <c r="D5951" t="s" s="11">
        <v>192</v>
      </c>
      <c r="E5951" t="s" s="11">
        <v>253</v>
      </c>
      <c r="F5951" t="s" s="28">
        <v>30</v>
      </c>
      <c r="G5951" t="s" s="11">
        <v>146</v>
      </c>
      <c r="H5951" t="s" s="43">
        <v>30</v>
      </c>
      <c r="I5951" t="s" s="43">
        <v>30</v>
      </c>
      <c r="J5951" t="s" s="11">
        <v>29897</v>
      </c>
      <c r="K5951" t="s" s="11">
        <v>29898</v>
      </c>
      <c r="L5951" s="17">
        <f>HYPERLINK("http://www.notice.co", "www.notice.co")</f>
      </c>
      <c r="M5951" s="17">
        <f>HYPERLINK("https://my.pitchbook.com?c=489112-93", "View Company Online")</f>
      </c>
    </row>
    <row r="5952">
      <c r="A5952" t="s" s="10">
        <v>29900</v>
      </c>
      <c r="B5952" t="s" s="10">
        <v>29901</v>
      </c>
      <c r="C5952" t="s" s="10">
        <v>27</v>
      </c>
      <c r="D5952" t="s" s="10">
        <v>122</v>
      </c>
      <c r="E5952" t="s" s="10">
        <v>253</v>
      </c>
      <c r="F5952" s="27">
        <v>42877</v>
      </c>
      <c r="G5952" t="s" s="10">
        <v>146</v>
      </c>
      <c r="H5952" s="42">
        <v>0.73</v>
      </c>
      <c r="I5952" t="s" s="42">
        <v>30</v>
      </c>
      <c r="J5952" t="s" s="10">
        <v>29902</v>
      </c>
      <c r="K5952" t="s" s="10">
        <v>30</v>
      </c>
      <c r="L5952" s="16">
        <f>HYPERLINK("http://www.nova2pay.com", "www.nova2pay.com")</f>
      </c>
      <c r="M5952" s="16">
        <f>HYPERLINK("https://my.pitchbook.com?c=442459-54", "View Company Online")</f>
      </c>
    </row>
    <row r="5953">
      <c r="A5953" t="s" s="11">
        <v>29904</v>
      </c>
      <c r="B5953" t="s" s="11">
        <v>29905</v>
      </c>
      <c r="C5953" t="s" s="11">
        <v>222</v>
      </c>
      <c r="D5953" t="s" s="11">
        <v>223</v>
      </c>
      <c r="E5953" t="s" s="11">
        <v>29906</v>
      </c>
      <c r="F5953" s="28">
        <v>45666</v>
      </c>
      <c r="G5953" t="s" s="11">
        <v>4267</v>
      </c>
      <c r="H5953" s="43">
        <v>1.2</v>
      </c>
      <c r="I5953" t="s" s="43">
        <v>30</v>
      </c>
      <c r="J5953" t="s" s="11">
        <v>29907</v>
      </c>
      <c r="K5953" t="s" s="11">
        <v>29908</v>
      </c>
      <c r="L5953" s="17">
        <f>HYPERLINK("http://www.novastro.xyz", "www.novastro.xyz")</f>
      </c>
      <c r="M5953" s="17">
        <f>HYPERLINK("https://my.pitchbook.com?c=528217-30", "View Company Online")</f>
      </c>
    </row>
    <row r="5954">
      <c r="A5954" t="s" s="10">
        <v>29910</v>
      </c>
      <c r="B5954" t="s" s="10">
        <v>29911</v>
      </c>
      <c r="C5954" t="s" s="10">
        <v>60</v>
      </c>
      <c r="D5954" t="s" s="10">
        <v>246</v>
      </c>
      <c r="E5954" t="s" s="10">
        <v>116</v>
      </c>
      <c r="F5954" s="27">
        <v>46105</v>
      </c>
      <c r="G5954" t="s" s="10">
        <v>4267</v>
      </c>
      <c r="H5954" s="42">
        <v>1.4</v>
      </c>
      <c r="I5954" t="s" s="42">
        <v>30</v>
      </c>
      <c r="J5954" t="s" s="10">
        <v>29912</v>
      </c>
      <c r="K5954" t="s" s="10">
        <v>23774</v>
      </c>
      <c r="L5954" s="16">
        <f>HYPERLINK("http://www.noveltywealth.in", "www.noveltywealth.in")</f>
      </c>
      <c r="M5954" s="16">
        <f>HYPERLINK("https://my.pitchbook.com?c=1365946-66", "View Company Online")</f>
      </c>
    </row>
    <row r="5955">
      <c r="A5955" t="s" s="11">
        <v>29914</v>
      </c>
      <c r="B5955" t="s" s="11">
        <v>29915</v>
      </c>
      <c r="C5955" t="s" s="11">
        <v>46</v>
      </c>
      <c r="D5955" t="s" s="11">
        <v>47</v>
      </c>
      <c r="E5955" t="s" s="11">
        <v>253</v>
      </c>
      <c r="F5955" t="s" s="28">
        <v>30</v>
      </c>
      <c r="G5955" t="s" s="11">
        <v>607</v>
      </c>
      <c r="H5955" t="s" s="43">
        <v>30</v>
      </c>
      <c r="I5955" t="s" s="43">
        <v>30</v>
      </c>
      <c r="J5955" t="s" s="11">
        <v>29916</v>
      </c>
      <c r="K5955" t="s" s="11">
        <v>29917</v>
      </c>
      <c r="L5955" s="17">
        <f>HYPERLINK("http://www.novicap.com", "www.novicap.com")</f>
      </c>
      <c r="M5955" s="17">
        <f>HYPERLINK("https://my.pitchbook.com?c=104354-11", "View Company Online")</f>
      </c>
    </row>
    <row r="5956">
      <c r="A5956" t="s" s="10">
        <v>29919</v>
      </c>
      <c r="B5956" t="s" s="10">
        <v>29920</v>
      </c>
      <c r="C5956" t="s" s="10">
        <v>164</v>
      </c>
      <c r="D5956" t="s" s="10">
        <v>206</v>
      </c>
      <c r="E5956" t="s" s="10">
        <v>137</v>
      </c>
      <c r="F5956" s="27">
        <v>45609</v>
      </c>
      <c r="G5956" t="s" s="10">
        <v>40</v>
      </c>
      <c r="H5956" s="42">
        <v>40</v>
      </c>
      <c r="I5956" t="s" s="42">
        <v>30</v>
      </c>
      <c r="J5956" t="s" s="10">
        <v>29921</v>
      </c>
      <c r="K5956" t="s" s="10">
        <v>29922</v>
      </c>
      <c r="L5956" s="16">
        <f>HYPERLINK("http://www.novopayment.com", "www.novopayment.com")</f>
      </c>
      <c r="M5956" s="16">
        <f>HYPERLINK("https://my.pitchbook.com?c=93719-98", "View Company Online")</f>
      </c>
    </row>
    <row r="5957">
      <c r="A5957" t="s" s="11">
        <v>29924</v>
      </c>
      <c r="B5957" t="s" s="11">
        <v>29925</v>
      </c>
      <c r="C5957" t="s" s="11">
        <v>46</v>
      </c>
      <c r="D5957" t="s" s="11">
        <v>78</v>
      </c>
      <c r="E5957" t="s" s="11">
        <v>1207</v>
      </c>
      <c r="F5957" s="28">
        <v>45455</v>
      </c>
      <c r="G5957" t="s" s="11">
        <v>40</v>
      </c>
      <c r="H5957" s="43">
        <v>4</v>
      </c>
      <c r="I5957" t="s" s="43">
        <v>30</v>
      </c>
      <c r="J5957" t="s" s="11">
        <v>29926</v>
      </c>
      <c r="K5957" t="s" s="11">
        <v>29927</v>
      </c>
      <c r="L5957" s="17">
        <f>HYPERLINK("http://www.nowmoney.me", "www.nowmoney.me")</f>
      </c>
      <c r="M5957" s="17">
        <f>HYPERLINK("https://my.pitchbook.com?c=180064-36", "View Company Online")</f>
      </c>
    </row>
    <row r="5958">
      <c r="A5958" t="s" s="10">
        <v>29929</v>
      </c>
      <c r="B5958" t="s" s="10">
        <v>29930</v>
      </c>
      <c r="C5958" t="s" s="10">
        <v>128</v>
      </c>
      <c r="D5958" t="s" s="10">
        <v>276</v>
      </c>
      <c r="E5958" t="s" s="10">
        <v>1065</v>
      </c>
      <c r="F5958" t="s" s="27">
        <v>30</v>
      </c>
      <c r="G5958" t="s" s="10">
        <v>48</v>
      </c>
      <c r="H5958" t="s" s="42">
        <v>30</v>
      </c>
      <c r="I5958" t="s" s="42">
        <v>30</v>
      </c>
      <c r="J5958" t="s" s="10">
        <v>29931</v>
      </c>
      <c r="K5958" t="s" s="10">
        <v>29932</v>
      </c>
      <c r="L5958" s="16">
        <f>HYPERLINK("http://www.nownow.ng", "www.nownow.ng")</f>
      </c>
      <c r="M5958" s="16">
        <f>HYPERLINK("https://my.pitchbook.com?c=507049-75", "View Company Online")</f>
      </c>
    </row>
    <row r="5959">
      <c r="A5959" t="s" s="11">
        <v>29934</v>
      </c>
      <c r="B5959" t="s" s="11">
        <v>29935</v>
      </c>
      <c r="C5959" t="s" s="11">
        <v>114</v>
      </c>
      <c r="D5959" t="s" s="11">
        <v>136</v>
      </c>
      <c r="E5959" t="s" s="11">
        <v>253</v>
      </c>
      <c r="F5959" s="28">
        <v>45009</v>
      </c>
      <c r="G5959" t="s" s="11">
        <v>40</v>
      </c>
      <c r="H5959" s="43">
        <v>2.13</v>
      </c>
      <c r="I5959" t="s" s="43">
        <v>30</v>
      </c>
      <c r="J5959" t="s" s="11">
        <v>29936</v>
      </c>
      <c r="K5959" t="s" s="11">
        <v>29937</v>
      </c>
      <c r="L5959" s="17">
        <f>HYPERLINK("http://www.npex.nl", "www.npex.nl")</f>
      </c>
      <c r="M5959" s="17">
        <f>HYPERLINK("https://my.pitchbook.com?c=105812-83", "View Company Online")</f>
      </c>
    </row>
    <row r="5960">
      <c r="A5960" t="s" s="10">
        <v>29939</v>
      </c>
      <c r="B5960" t="s" s="10">
        <v>29940</v>
      </c>
      <c r="C5960" t="s" s="10">
        <v>60</v>
      </c>
      <c r="D5960" t="s" s="10">
        <v>246</v>
      </c>
      <c r="E5960" t="s" s="10">
        <v>5051</v>
      </c>
      <c r="F5960" s="27">
        <v>45781</v>
      </c>
      <c r="G5960" t="s" s="10">
        <v>4267</v>
      </c>
      <c r="H5960" s="42">
        <v>3</v>
      </c>
      <c r="I5960" t="s" s="42">
        <v>30</v>
      </c>
      <c r="J5960" t="s" s="10">
        <v>29941</v>
      </c>
      <c r="K5960" t="s" s="10">
        <v>29942</v>
      </c>
      <c r="L5960" s="16">
        <f>HYPERLINK("http://www.nqoodlet.com", "www.nqoodlet.com")</f>
      </c>
      <c r="M5960" s="16">
        <f>HYPERLINK("https://my.pitchbook.com?c=488982-16", "View Company Online")</f>
      </c>
    </row>
    <row r="5961">
      <c r="A5961" t="s" s="11">
        <v>29944</v>
      </c>
      <c r="B5961" t="s" s="11">
        <v>29945</v>
      </c>
      <c r="C5961" t="s" s="11">
        <v>37</v>
      </c>
      <c r="D5961" t="s" s="11">
        <v>38</v>
      </c>
      <c r="E5961" t="s" s="11">
        <v>345</v>
      </c>
      <c r="F5961" s="28">
        <v>45667</v>
      </c>
      <c r="G5961" t="s" s="11">
        <v>146</v>
      </c>
      <c r="H5961" s="43">
        <v>18</v>
      </c>
      <c r="I5961" t="s" s="43">
        <v>30</v>
      </c>
      <c r="J5961" t="s" s="11">
        <v>29946</v>
      </c>
      <c r="K5961" t="s" s="11">
        <v>29947</v>
      </c>
      <c r="L5961" s="17">
        <f>HYPERLINK("http://www.nsave.com", "www.nsave.com")</f>
      </c>
      <c r="M5961" s="17">
        <f>HYPERLINK("https://my.pitchbook.com?c=507088-00", "View Company Online")</f>
      </c>
    </row>
    <row r="5962">
      <c r="A5962" t="s" s="10">
        <v>29949</v>
      </c>
      <c r="B5962" t="s" s="10">
        <v>29950</v>
      </c>
      <c r="C5962" t="s" s="10">
        <v>114</v>
      </c>
      <c r="D5962" t="s" s="10">
        <v>1386</v>
      </c>
      <c r="E5962" t="s" s="10">
        <v>18044</v>
      </c>
      <c r="F5962" s="27">
        <v>45916</v>
      </c>
      <c r="G5962" t="s" s="10">
        <v>64</v>
      </c>
      <c r="H5962" t="s" s="42">
        <v>30</v>
      </c>
      <c r="I5962" t="s" s="42">
        <v>30</v>
      </c>
      <c r="J5962" t="s" s="10">
        <v>29951</v>
      </c>
      <c r="K5962" t="s" s="10">
        <v>29952</v>
      </c>
      <c r="L5962" s="16">
        <f>HYPERLINK("http://www.nuanwa.net", "www.nuanwa.net")</f>
      </c>
      <c r="M5962" s="16">
        <f>HYPERLINK("https://my.pitchbook.com?c=279843-22", "View Company Online")</f>
      </c>
    </row>
    <row r="5963">
      <c r="A5963" t="s" s="11">
        <v>29954</v>
      </c>
      <c r="B5963" t="s" s="11">
        <v>29955</v>
      </c>
      <c r="C5963" t="s" s="11">
        <v>46</v>
      </c>
      <c r="D5963" t="s" s="11">
        <v>397</v>
      </c>
      <c r="E5963" t="s" s="11">
        <v>4075</v>
      </c>
      <c r="F5963" s="28">
        <v>43827</v>
      </c>
      <c r="G5963" t="s" s="11">
        <v>146</v>
      </c>
      <c r="H5963" s="43">
        <v>1.09</v>
      </c>
      <c r="I5963" t="s" s="43">
        <v>30</v>
      </c>
      <c r="J5963" t="s" s="11">
        <v>29956</v>
      </c>
      <c r="K5963" t="s" s="11">
        <v>29957</v>
      </c>
      <c r="L5963" s="17">
        <f>HYPERLINK("http://www.nucont.com", "www.nucont.com")</f>
      </c>
      <c r="M5963" s="17">
        <f>HYPERLINK("https://my.pitchbook.com?c=399504-97", "View Company Online")</f>
      </c>
    </row>
    <row r="5964">
      <c r="A5964" t="s" s="10">
        <v>29959</v>
      </c>
      <c r="B5964" t="s" s="10">
        <v>29960</v>
      </c>
      <c r="C5964" t="s" s="10">
        <v>46</v>
      </c>
      <c r="D5964" t="s" s="10">
        <v>915</v>
      </c>
      <c r="E5964" t="s" s="10">
        <v>373</v>
      </c>
      <c r="F5964" s="27">
        <v>46071</v>
      </c>
      <c r="G5964" t="s" s="10">
        <v>607</v>
      </c>
      <c r="H5964" t="s" s="42">
        <v>30</v>
      </c>
      <c r="I5964" t="s" s="42">
        <v>30</v>
      </c>
      <c r="J5964" t="s" s="10">
        <v>29961</v>
      </c>
      <c r="K5964" t="s" s="10">
        <v>29962</v>
      </c>
      <c r="L5964" s="16">
        <f>HYPERLINK("http://www.nudgemoney.com", "www.nudgemoney.com")</f>
      </c>
      <c r="M5964" s="16">
        <f>HYPERLINK("https://my.pitchbook.com?c=544628-17", "View Company Online")</f>
      </c>
    </row>
    <row r="5965">
      <c r="A5965" t="s" s="11">
        <v>29964</v>
      </c>
      <c r="B5965" t="s" s="11">
        <v>29965</v>
      </c>
      <c r="C5965" t="s" s="11">
        <v>172</v>
      </c>
      <c r="D5965" t="s" s="11">
        <v>338</v>
      </c>
      <c r="E5965" t="s" s="11">
        <v>414</v>
      </c>
      <c r="F5965" s="28">
        <v>45690</v>
      </c>
      <c r="G5965" t="s" s="11">
        <v>4267</v>
      </c>
      <c r="H5965" s="43">
        <v>4</v>
      </c>
      <c r="I5965" t="s" s="43">
        <v>30</v>
      </c>
      <c r="J5965" t="s" s="11">
        <v>29966</v>
      </c>
      <c r="K5965" t="s" s="11">
        <v>29967</v>
      </c>
      <c r="L5965" s="17">
        <f>HYPERLINK("http://www.nujsuper.com", "www.nujsuper.com")</f>
      </c>
      <c r="M5965" s="17">
        <f>HYPERLINK("https://my.pitchbook.com?c=741811-24", "View Company Online")</f>
      </c>
    </row>
    <row r="5966">
      <c r="A5966" t="s" s="10">
        <v>29969</v>
      </c>
      <c r="B5966" t="s" s="10">
        <v>29970</v>
      </c>
      <c r="C5966" t="s" s="10">
        <v>46</v>
      </c>
      <c r="D5966" t="s" s="10">
        <v>47</v>
      </c>
      <c r="E5966" t="s" s="10">
        <v>137</v>
      </c>
      <c r="F5966" s="27">
        <v>43498</v>
      </c>
      <c r="G5966" t="s" s="10">
        <v>4267</v>
      </c>
      <c r="H5966" s="42">
        <v>0.38</v>
      </c>
      <c r="I5966" t="s" s="42">
        <v>30</v>
      </c>
      <c r="J5966" t="s" s="10">
        <v>29971</v>
      </c>
      <c r="K5966" t="s" s="10">
        <v>29972</v>
      </c>
      <c r="L5966" s="16">
        <f>HYPERLINK("http://www.nukkadshops.com", "www.nukkadshops.com")</f>
      </c>
      <c r="M5966" s="16">
        <f>HYPERLINK("https://my.pitchbook.com?c=155157-94", "View Company Online")</f>
      </c>
    </row>
    <row r="5967">
      <c r="A5967" t="s" s="11">
        <v>29974</v>
      </c>
      <c r="B5967" t="s" s="11">
        <v>29975</v>
      </c>
      <c r="C5967" t="s" s="11">
        <v>46</v>
      </c>
      <c r="D5967" t="s" s="11">
        <v>397</v>
      </c>
      <c r="E5967" t="s" s="11">
        <v>634</v>
      </c>
      <c r="F5967" s="28">
        <v>44287</v>
      </c>
      <c r="G5967" t="s" s="11">
        <v>146</v>
      </c>
      <c r="H5967" s="43">
        <v>0.59</v>
      </c>
      <c r="I5967" t="s" s="43">
        <v>30</v>
      </c>
      <c r="J5967" t="s" s="11">
        <v>29976</v>
      </c>
      <c r="K5967" t="s" s="11">
        <v>22855</v>
      </c>
      <c r="L5967" s="17">
        <f>HYPERLINK("http://www.nula.bg", "www.nula.bg")</f>
      </c>
      <c r="M5967" s="17">
        <f>HYPERLINK("https://my.pitchbook.com?c=496467-91", "View Company Online")</f>
      </c>
    </row>
    <row r="5968">
      <c r="A5968" t="s" s="10">
        <v>29978</v>
      </c>
      <c r="B5968" t="s" s="10">
        <v>29979</v>
      </c>
      <c r="C5968" t="s" s="10">
        <v>46</v>
      </c>
      <c r="D5968" t="s" s="10">
        <v>397</v>
      </c>
      <c r="E5968" t="s" s="10">
        <v>29980</v>
      </c>
      <c r="F5968" s="27">
        <v>43862</v>
      </c>
      <c r="G5968" t="s" s="10">
        <v>146</v>
      </c>
      <c r="H5968" s="42">
        <v>0.25</v>
      </c>
      <c r="I5968" t="s" s="42">
        <v>30</v>
      </c>
      <c r="J5968" t="s" s="10">
        <v>29981</v>
      </c>
      <c r="K5968" t="s" s="10">
        <v>30</v>
      </c>
      <c r="L5968" s="16">
        <f>HYPERLINK("http://www.numbersquad.com", "www.numbersquad.com")</f>
      </c>
      <c r="M5968" s="16">
        <f>HYPERLINK("https://my.pitchbook.com?c=503092-00", "View Company Online")</f>
      </c>
    </row>
    <row r="5969">
      <c r="A5969" t="s" s="11">
        <v>29983</v>
      </c>
      <c r="B5969" t="s" s="11">
        <v>29984</v>
      </c>
      <c r="C5969" t="s" s="11">
        <v>222</v>
      </c>
      <c r="D5969" t="s" s="11">
        <v>223</v>
      </c>
      <c r="E5969" t="s" s="11">
        <v>414</v>
      </c>
      <c r="F5969" t="s" s="28">
        <v>30</v>
      </c>
      <c r="G5969" t="s" s="11">
        <v>146</v>
      </c>
      <c r="H5969" t="s" s="43">
        <v>30</v>
      </c>
      <c r="I5969" t="s" s="43">
        <v>30</v>
      </c>
      <c r="J5969" t="s" s="11">
        <v>29985</v>
      </c>
      <c r="K5969" t="s" s="11">
        <v>29986</v>
      </c>
      <c r="L5969" s="17">
        <f>HYPERLINK("http://www.nummo.com", "www.nummo.com")</f>
      </c>
      <c r="M5969" s="17">
        <f>HYPERLINK("https://my.pitchbook.com?c=895490-65", "View Company Online")</f>
      </c>
    </row>
    <row r="5970">
      <c r="A5970" t="s" s="10">
        <v>29988</v>
      </c>
      <c r="B5970" t="s" s="10">
        <v>29989</v>
      </c>
      <c r="C5970" t="s" s="10">
        <v>46</v>
      </c>
      <c r="D5970" t="s" s="10">
        <v>397</v>
      </c>
      <c r="E5970" t="s" s="10">
        <v>373</v>
      </c>
      <c r="F5970" s="27">
        <v>46082</v>
      </c>
      <c r="G5970" t="s" s="10">
        <v>146</v>
      </c>
      <c r="H5970" t="s" s="42">
        <v>30</v>
      </c>
      <c r="I5970" t="s" s="42">
        <v>30</v>
      </c>
      <c r="J5970" t="s" s="10">
        <v>29990</v>
      </c>
      <c r="K5970" t="s" s="10">
        <v>29991</v>
      </c>
      <c r="L5970" s="16">
        <f>HYPERLINK("http://www.numonis.com", "www.numonis.com")</f>
      </c>
      <c r="M5970" s="16">
        <f>HYPERLINK("https://my.pitchbook.com?c=1365902-83", "View Company Online")</f>
      </c>
    </row>
    <row r="5971">
      <c r="A5971" t="s" s="11">
        <v>29993</v>
      </c>
      <c r="B5971" t="s" s="11">
        <v>29994</v>
      </c>
      <c r="C5971" t="s" s="11">
        <v>46</v>
      </c>
      <c r="D5971" t="s" s="11">
        <v>397</v>
      </c>
      <c r="E5971" t="s" s="11">
        <v>373</v>
      </c>
      <c r="F5971" s="28">
        <v>45854</v>
      </c>
      <c r="G5971" t="s" s="11">
        <v>146</v>
      </c>
      <c r="H5971" t="s" s="43">
        <v>30</v>
      </c>
      <c r="I5971" t="s" s="43">
        <v>30</v>
      </c>
      <c r="J5971" t="s" s="11">
        <v>29995</v>
      </c>
      <c r="K5971" t="s" s="11">
        <v>29996</v>
      </c>
      <c r="L5971" s="17">
        <f>HYPERLINK("http://www.numrahq.com", "www.numrahq.com")</f>
      </c>
      <c r="M5971" s="17">
        <f>HYPERLINK("https://my.pitchbook.com?c=534388-78", "View Company Online")</f>
      </c>
    </row>
    <row r="5972">
      <c r="A5972" t="s" s="10">
        <v>29998</v>
      </c>
      <c r="B5972" t="s" s="10">
        <v>29999</v>
      </c>
      <c r="C5972" t="s" s="10">
        <v>164</v>
      </c>
      <c r="D5972" t="s" s="10">
        <v>206</v>
      </c>
      <c r="E5972" t="s" s="10">
        <v>1266</v>
      </c>
      <c r="F5972" s="27">
        <v>45962</v>
      </c>
      <c r="G5972" t="s" s="10">
        <v>40</v>
      </c>
      <c r="H5972" t="s" s="42">
        <v>30</v>
      </c>
      <c r="I5972" t="s" s="42">
        <v>30</v>
      </c>
      <c r="J5972" t="s" s="10">
        <v>30000</v>
      </c>
      <c r="K5972" t="s" s="10">
        <v>30001</v>
      </c>
      <c r="L5972" s="16">
        <f>HYPERLINK("http://www.nuuvia.com", "www.nuuvia.com")</f>
      </c>
      <c r="M5972" s="16">
        <f>HYPERLINK("https://my.pitchbook.com?c=898645-15", "View Company Online")</f>
      </c>
    </row>
    <row r="5973">
      <c r="A5973" t="s" s="11">
        <v>30003</v>
      </c>
      <c r="B5973" t="s" s="11">
        <v>30004</v>
      </c>
      <c r="C5973" t="s" s="11">
        <v>37</v>
      </c>
      <c r="D5973" t="s" s="11">
        <v>304</v>
      </c>
      <c r="E5973" t="s" s="11">
        <v>253</v>
      </c>
      <c r="F5973" s="28">
        <v>45128</v>
      </c>
      <c r="G5973" t="s" s="11">
        <v>4267</v>
      </c>
      <c r="H5973" s="43">
        <v>1.06</v>
      </c>
      <c r="I5973" t="s" s="43">
        <v>30</v>
      </c>
      <c r="J5973" t="s" s="11">
        <v>30005</v>
      </c>
      <c r="K5973" t="s" s="11">
        <v>30006</v>
      </c>
      <c r="L5973" s="17">
        <f>HYPERLINK("http://www.nyble.com", "www.nyble.com")</f>
      </c>
      <c r="M5973" s="17">
        <f>HYPERLINK("https://my.pitchbook.com?c=516054-52", "View Company Online")</f>
      </c>
    </row>
    <row r="5974">
      <c r="A5974" t="s" s="10">
        <v>30008</v>
      </c>
      <c r="B5974" t="s" s="10">
        <v>30009</v>
      </c>
      <c r="C5974" t="s" s="10">
        <v>37</v>
      </c>
      <c r="D5974" t="s" s="10">
        <v>38</v>
      </c>
      <c r="E5974" t="s" s="10">
        <v>137</v>
      </c>
      <c r="F5974" s="27">
        <v>46097</v>
      </c>
      <c r="G5974" t="s" s="10">
        <v>146</v>
      </c>
      <c r="H5974" t="s" s="42">
        <v>30</v>
      </c>
      <c r="I5974" t="s" s="42">
        <v>30</v>
      </c>
      <c r="J5974" t="s" s="10">
        <v>30010</v>
      </c>
      <c r="K5974" t="s" s="10">
        <v>30011</v>
      </c>
      <c r="L5974" s="16">
        <f>HYPERLINK("http://www.nylabank.com", "www.nylabank.com")</f>
      </c>
      <c r="M5974" s="16">
        <f>HYPERLINK("https://my.pitchbook.com?c=693411-04", "View Company Online")</f>
      </c>
    </row>
    <row r="5975">
      <c r="A5975" t="s" s="11">
        <v>30013</v>
      </c>
      <c r="B5975" t="s" s="11">
        <v>30014</v>
      </c>
      <c r="C5975" t="s" s="11">
        <v>164</v>
      </c>
      <c r="D5975" t="s" s="11">
        <v>206</v>
      </c>
      <c r="E5975" t="s" s="11">
        <v>414</v>
      </c>
      <c r="F5975" s="28">
        <v>45735</v>
      </c>
      <c r="G5975" t="s" s="11">
        <v>40</v>
      </c>
      <c r="H5975" s="43">
        <v>33</v>
      </c>
      <c r="I5975" t="s" s="43">
        <v>30</v>
      </c>
      <c r="J5975" t="s" s="11">
        <v>30015</v>
      </c>
      <c r="K5975" t="s" s="11">
        <v>30016</v>
      </c>
      <c r="L5975" s="17">
        <f>HYPERLINK("http://www.nymcard.com", "www.nymcard.com")</f>
      </c>
      <c r="M5975" s="17">
        <f>HYPERLINK("https://my.pitchbook.com?c=186218-29", "View Company Online")</f>
      </c>
    </row>
    <row r="5976">
      <c r="A5976" t="s" s="10">
        <v>30018</v>
      </c>
      <c r="B5976" t="s" s="10">
        <v>30019</v>
      </c>
      <c r="C5976" t="s" s="10">
        <v>164</v>
      </c>
      <c r="D5976" t="s" s="10">
        <v>165</v>
      </c>
      <c r="E5976" t="s" s="10">
        <v>1349</v>
      </c>
      <c r="F5976" s="27">
        <v>45904</v>
      </c>
      <c r="G5976" t="s" s="10">
        <v>31</v>
      </c>
      <c r="H5976" s="42">
        <v>175.24</v>
      </c>
      <c r="I5976" t="s" s="42">
        <v>30</v>
      </c>
      <c r="J5976" t="s" s="10">
        <v>30020</v>
      </c>
      <c r="K5976" t="s" s="10">
        <v>30021</v>
      </c>
      <c r="L5976" s="16">
        <f>HYPERLINK("http://www.oakbrook.com", "www.oakbrook.com")</f>
      </c>
      <c r="M5976" s="16">
        <f>HYPERLINK("https://my.pitchbook.com?c=60888-07", "View Company Online")</f>
      </c>
    </row>
    <row r="5977">
      <c r="A5977" t="s" s="11">
        <v>30023</v>
      </c>
      <c r="B5977" t="s" s="11">
        <v>30024</v>
      </c>
      <c r="C5977" t="s" s="11">
        <v>164</v>
      </c>
      <c r="D5977" t="s" s="11">
        <v>1678</v>
      </c>
      <c r="E5977" t="s" s="11">
        <v>367</v>
      </c>
      <c r="F5977" s="28">
        <v>46099</v>
      </c>
      <c r="G5977" t="s" s="11">
        <v>4267</v>
      </c>
      <c r="H5977" s="43">
        <v>7</v>
      </c>
      <c r="I5977" t="s" s="43">
        <v>30</v>
      </c>
      <c r="J5977" t="s" s="11">
        <v>30025</v>
      </c>
      <c r="K5977" t="s" s="11">
        <v>30026</v>
      </c>
      <c r="L5977" s="17">
        <f>HYPERLINK("http://obin.ai", "obin.ai")</f>
      </c>
      <c r="M5977" s="17">
        <f>HYPERLINK("https://my.pitchbook.com?c=1078275-88", "View Company Online")</f>
      </c>
    </row>
    <row r="5978">
      <c r="A5978" t="s" s="10">
        <v>30028</v>
      </c>
      <c r="B5978" t="s" s="10">
        <v>30029</v>
      </c>
      <c r="C5978" t="s" s="10">
        <v>27</v>
      </c>
      <c r="D5978" t="s" s="10">
        <v>70</v>
      </c>
      <c r="E5978" t="s" s="10">
        <v>859</v>
      </c>
      <c r="F5978" s="27">
        <v>46014</v>
      </c>
      <c r="G5978" t="s" s="10">
        <v>146</v>
      </c>
      <c r="H5978" s="42">
        <v>20</v>
      </c>
      <c r="I5978" t="s" s="42">
        <v>30</v>
      </c>
      <c r="J5978" t="s" s="10">
        <v>30030</v>
      </c>
      <c r="K5978" t="s" s="10">
        <v>30031</v>
      </c>
      <c r="L5978" s="16">
        <f>HYPERLINK("http://www.obita.xyz", "www.obita.xyz")</f>
      </c>
      <c r="M5978" s="16">
        <f>HYPERLINK("https://my.pitchbook.com?c=962125-75", "View Company Online")</f>
      </c>
    </row>
    <row r="5979">
      <c r="A5979" t="s" s="11">
        <v>30033</v>
      </c>
      <c r="B5979" t="s" s="11">
        <v>30034</v>
      </c>
      <c r="C5979" t="s" s="11">
        <v>46</v>
      </c>
      <c r="D5979" t="s" s="11">
        <v>915</v>
      </c>
      <c r="E5979" t="s" s="11">
        <v>634</v>
      </c>
      <c r="F5979" s="28">
        <v>46198</v>
      </c>
      <c r="G5979" t="s" s="11">
        <v>138</v>
      </c>
      <c r="H5979" t="s" s="43">
        <v>30</v>
      </c>
      <c r="I5979" t="s" s="43">
        <v>30</v>
      </c>
      <c r="J5979" t="s" s="11">
        <v>30035</v>
      </c>
      <c r="K5979" t="s" s="11">
        <v>30</v>
      </c>
      <c r="L5979" s="17">
        <f>HYPERLINK("http://www.obol.ai", "www.obol.ai")</f>
      </c>
      <c r="M5979" s="17">
        <f>HYPERLINK("https://my.pitchbook.com?c=530478-46", "View Company Online")</f>
      </c>
    </row>
    <row r="5980">
      <c r="A5980" t="s" s="10">
        <v>30037</v>
      </c>
      <c r="B5980" t="s" s="10">
        <v>30038</v>
      </c>
      <c r="C5980" t="s" s="10">
        <v>27</v>
      </c>
      <c r="D5980" t="s" s="10">
        <v>28</v>
      </c>
      <c r="E5980" t="s" s="10">
        <v>373</v>
      </c>
      <c r="F5980" s="27">
        <v>45822</v>
      </c>
      <c r="G5980" t="s" s="10">
        <v>4267</v>
      </c>
      <c r="H5980" s="42">
        <v>2</v>
      </c>
      <c r="I5980" t="s" s="42">
        <v>30</v>
      </c>
      <c r="J5980" t="s" s="10">
        <v>30039</v>
      </c>
      <c r="K5980" t="s" s="10">
        <v>30040</v>
      </c>
      <c r="L5980" s="16">
        <f>HYPERLINK("http://www.paywithoccupi.com", "www.paywithoccupi.com")</f>
      </c>
      <c r="M5980" s="16">
        <f>HYPERLINK("https://my.pitchbook.com?c=711836-74", "View Company Online")</f>
      </c>
    </row>
    <row r="5981">
      <c r="A5981" t="s" s="11">
        <v>30042</v>
      </c>
      <c r="B5981" t="s" s="11">
        <v>30043</v>
      </c>
      <c r="C5981" t="s" s="11">
        <v>46</v>
      </c>
      <c r="D5981" t="s" s="11">
        <v>47</v>
      </c>
      <c r="E5981" t="s" s="11">
        <v>108</v>
      </c>
      <c r="F5981" s="28">
        <v>45904</v>
      </c>
      <c r="G5981" t="s" s="11">
        <v>4267</v>
      </c>
      <c r="H5981" t="s" s="43">
        <v>30</v>
      </c>
      <c r="I5981" t="s" s="43">
        <v>30</v>
      </c>
      <c r="J5981" t="s" s="11">
        <v>30044</v>
      </c>
      <c r="K5981" t="s" s="11">
        <v>30045</v>
      </c>
      <c r="L5981" s="17">
        <f>HYPERLINK("http://weareocta.com", "weareocta.com")</f>
      </c>
      <c r="M5981" s="17">
        <f>HYPERLINK("https://my.pitchbook.com?c=597494-89", "View Company Online")</f>
      </c>
    </row>
    <row r="5982">
      <c r="A5982" t="s" s="10">
        <v>30047</v>
      </c>
      <c r="B5982" t="s" s="10">
        <v>30048</v>
      </c>
      <c r="C5982" t="s" s="10">
        <v>46</v>
      </c>
      <c r="D5982" t="s" s="10">
        <v>47</v>
      </c>
      <c r="E5982" t="s" s="10">
        <v>5051</v>
      </c>
      <c r="F5982" s="27">
        <v>45825</v>
      </c>
      <c r="G5982" t="s" s="10">
        <v>146</v>
      </c>
      <c r="H5982" s="42">
        <v>5.2</v>
      </c>
      <c r="I5982" t="s" s="42">
        <v>30</v>
      </c>
      <c r="J5982" t="s" s="10">
        <v>30049</v>
      </c>
      <c r="K5982" t="s" s="10">
        <v>30050</v>
      </c>
      <c r="L5982" s="16">
        <f>HYPERLINK("http://www.octane-tech.io", "www.octane-tech.io")</f>
      </c>
      <c r="M5982" s="16">
        <f>HYPERLINK("https://my.pitchbook.com?c=865659-07", "View Company Online")</f>
      </c>
    </row>
    <row r="5983">
      <c r="A5983" t="s" s="11">
        <v>30052</v>
      </c>
      <c r="B5983" t="s" s="11">
        <v>30053</v>
      </c>
      <c r="C5983" t="s" s="11">
        <v>222</v>
      </c>
      <c r="D5983" t="s" s="11">
        <v>223</v>
      </c>
      <c r="E5983" t="s" s="11">
        <v>253</v>
      </c>
      <c r="F5983" s="28">
        <v>45812</v>
      </c>
      <c r="G5983" t="s" s="11">
        <v>146</v>
      </c>
      <c r="H5983" s="43">
        <v>46.5</v>
      </c>
      <c r="I5983" t="s" s="43">
        <v>30</v>
      </c>
      <c r="J5983" t="s" s="11">
        <v>30054</v>
      </c>
      <c r="K5983" t="s" s="11">
        <v>30055</v>
      </c>
      <c r="L5983" s="17">
        <f>HYPERLINK("http://www.octaura.com", "www.octaura.com")</f>
      </c>
      <c r="M5983" s="17">
        <f>HYPERLINK("https://my.pitchbook.com?c=501189-49", "View Company Online")</f>
      </c>
    </row>
    <row r="5984">
      <c r="A5984" t="s" s="10">
        <v>30057</v>
      </c>
      <c r="B5984" t="s" s="10">
        <v>30058</v>
      </c>
      <c r="C5984" t="s" s="10">
        <v>164</v>
      </c>
      <c r="D5984" t="s" s="10">
        <v>206</v>
      </c>
      <c r="E5984" t="s" s="10">
        <v>145</v>
      </c>
      <c r="F5984" s="27">
        <v>45350</v>
      </c>
      <c r="G5984" t="s" s="10">
        <v>5274</v>
      </c>
      <c r="H5984" s="42">
        <v>4</v>
      </c>
      <c r="I5984" t="s" s="42">
        <v>30</v>
      </c>
      <c r="J5984" t="s" s="10">
        <v>30059</v>
      </c>
      <c r="K5984" t="s" s="10">
        <v>30060</v>
      </c>
      <c r="L5984" s="16">
        <f>HYPERLINK("http://www.octav.fi", "www.octav.fi")</f>
      </c>
      <c r="M5984" s="16">
        <f>HYPERLINK("https://my.pitchbook.com?c=498226-33", "View Company Online")</f>
      </c>
    </row>
    <row r="5985">
      <c r="A5985" t="s" s="11">
        <v>30062</v>
      </c>
      <c r="B5985" t="s" s="11">
        <v>30063</v>
      </c>
      <c r="C5985" t="s" s="11">
        <v>128</v>
      </c>
      <c r="D5985" t="s" s="11">
        <v>276</v>
      </c>
      <c r="E5985" t="s" s="11">
        <v>116</v>
      </c>
      <c r="F5985" s="28">
        <v>45825</v>
      </c>
      <c r="G5985" t="s" s="11">
        <v>4267</v>
      </c>
      <c r="H5985" t="s" s="43">
        <v>30</v>
      </c>
      <c r="I5985" t="s" s="43">
        <v>30</v>
      </c>
      <c r="J5985" t="s" s="11">
        <v>30064</v>
      </c>
      <c r="K5985" t="s" s="11">
        <v>30065</v>
      </c>
      <c r="L5985" s="17">
        <f>HYPERLINK("http://www.getocto.io", "www.getocto.io")</f>
      </c>
      <c r="M5985" s="17">
        <f>HYPERLINK("https://my.pitchbook.com?c=517879-63", "View Company Online")</f>
      </c>
    </row>
    <row r="5986">
      <c r="A5986" t="s" s="10">
        <v>30067</v>
      </c>
      <c r="B5986" t="s" s="10">
        <v>30068</v>
      </c>
      <c r="C5986" t="s" s="10">
        <v>128</v>
      </c>
      <c r="D5986" t="s" s="10">
        <v>276</v>
      </c>
      <c r="E5986" t="s" s="10">
        <v>414</v>
      </c>
      <c r="F5986" s="27">
        <v>45689</v>
      </c>
      <c r="G5986" t="s" s="10">
        <v>146</v>
      </c>
      <c r="H5986" t="s" s="42">
        <v>30</v>
      </c>
      <c r="I5986" t="s" s="42">
        <v>30</v>
      </c>
      <c r="J5986" t="s" s="10">
        <v>30069</v>
      </c>
      <c r="K5986" t="s" s="10">
        <v>30070</v>
      </c>
      <c r="L5986" s="16">
        <f>HYPERLINK("http://www.odola.com", "www.odola.com")</f>
      </c>
      <c r="M5986" s="16">
        <f>HYPERLINK("https://my.pitchbook.com?c=752965-84", "View Company Online")</f>
      </c>
    </row>
    <row r="5987">
      <c r="A5987" t="s" s="11">
        <v>30072</v>
      </c>
      <c r="B5987" t="s" s="11">
        <v>30073</v>
      </c>
      <c r="C5987" t="s" s="11">
        <v>27</v>
      </c>
      <c r="D5987" t="s" s="11">
        <v>28</v>
      </c>
      <c r="E5987" t="s" s="11">
        <v>253</v>
      </c>
      <c r="F5987" s="28">
        <v>45292</v>
      </c>
      <c r="G5987" t="s" s="11">
        <v>607</v>
      </c>
      <c r="H5987" t="s" s="43">
        <v>30</v>
      </c>
      <c r="I5987" t="s" s="43">
        <v>30</v>
      </c>
      <c r="J5987" t="s" s="11">
        <v>30074</v>
      </c>
      <c r="K5987" t="s" s="11">
        <v>30075</v>
      </c>
      <c r="L5987" s="17">
        <f>HYPERLINK("http://www.oen.tw", "www.oen.tw")</f>
      </c>
      <c r="M5987" s="17">
        <f>HYPERLINK("https://my.pitchbook.com?c=522012-79", "View Company Online")</f>
      </c>
    </row>
    <row r="5988">
      <c r="A5988" t="s" s="10">
        <v>30077</v>
      </c>
      <c r="B5988" t="s" s="10">
        <v>30078</v>
      </c>
      <c r="C5988" t="s" s="10">
        <v>46</v>
      </c>
      <c r="D5988" t="s" s="10">
        <v>47</v>
      </c>
      <c r="E5988" t="s" s="10">
        <v>253</v>
      </c>
      <c r="F5988" s="27">
        <v>45630</v>
      </c>
      <c r="G5988" t="s" s="10">
        <v>146</v>
      </c>
      <c r="H5988" s="42">
        <v>2</v>
      </c>
      <c r="I5988" t="s" s="42">
        <v>30</v>
      </c>
      <c r="J5988" t="s" s="10">
        <v>30079</v>
      </c>
      <c r="K5988" t="s" s="10">
        <v>30080</v>
      </c>
      <c r="L5988" s="16">
        <f>HYPERLINK("http://www.offcall.com", "www.offcall.com")</f>
      </c>
      <c r="M5988" s="16">
        <f>HYPERLINK("https://my.pitchbook.com?c=719623-99", "View Company Online")</f>
      </c>
    </row>
    <row r="5989">
      <c r="A5989" t="s" s="11">
        <v>30082</v>
      </c>
      <c r="B5989" t="s" s="11">
        <v>30083</v>
      </c>
      <c r="C5989" t="s" s="11">
        <v>37</v>
      </c>
      <c r="D5989" t="s" s="11">
        <v>304</v>
      </c>
      <c r="E5989" t="s" s="11">
        <v>30084</v>
      </c>
      <c r="F5989" s="28">
        <v>45581</v>
      </c>
      <c r="G5989" t="s" s="11">
        <v>48</v>
      </c>
      <c r="H5989" t="s" s="43">
        <v>30</v>
      </c>
      <c r="I5989" t="s" s="43">
        <v>30</v>
      </c>
      <c r="J5989" t="s" s="11">
        <v>30085</v>
      </c>
      <c r="K5989" t="s" s="11">
        <v>30086</v>
      </c>
      <c r="L5989" s="17">
        <f>HYPERLINK("http://www.oh-credit.com", "www.oh-credit.com")</f>
      </c>
      <c r="M5989" s="17">
        <f>HYPERLINK("https://my.pitchbook.com?c=527279-41", "View Company Online")</f>
      </c>
    </row>
    <row r="5990">
      <c r="A5990" t="s" s="10">
        <v>30088</v>
      </c>
      <c r="B5990" t="s" s="10">
        <v>30089</v>
      </c>
      <c r="C5990" t="s" s="10">
        <v>37</v>
      </c>
      <c r="D5990" t="s" s="10">
        <v>38</v>
      </c>
      <c r="E5990" t="s" s="10">
        <v>137</v>
      </c>
      <c r="F5990" s="27">
        <v>46035</v>
      </c>
      <c r="G5990" t="s" s="10">
        <v>1589</v>
      </c>
      <c r="H5990" s="42">
        <v>50</v>
      </c>
      <c r="I5990" t="s" s="42">
        <v>30</v>
      </c>
      <c r="J5990" t="s" s="10">
        <v>30090</v>
      </c>
      <c r="K5990" t="s" s="10">
        <v>30</v>
      </c>
      <c r="L5990" s="16">
        <f>HYPERLINK("http://www.oldglorybank.com", "www.oldglorybank.com")</f>
      </c>
      <c r="M5990" s="16">
        <f>HYPERLINK("https://my.pitchbook.com?c=513397-81", "View Company Online")</f>
      </c>
    </row>
    <row r="5991">
      <c r="A5991" t="s" s="11">
        <v>30092</v>
      </c>
      <c r="B5991" t="s" s="11">
        <v>30093</v>
      </c>
      <c r="C5991" t="s" s="11">
        <v>27</v>
      </c>
      <c r="D5991" t="s" s="11">
        <v>70</v>
      </c>
      <c r="E5991" t="s" s="11">
        <v>253</v>
      </c>
      <c r="F5991" s="28">
        <v>45181</v>
      </c>
      <c r="G5991" t="s" s="11">
        <v>40</v>
      </c>
      <c r="H5991" t="s" s="43">
        <v>30</v>
      </c>
      <c r="I5991" t="s" s="43">
        <v>30</v>
      </c>
      <c r="J5991" t="s" s="11">
        <v>30094</v>
      </c>
      <c r="K5991" t="s" s="11">
        <v>30095</v>
      </c>
      <c r="L5991" s="17">
        <f>HYPERLINK("http://www.oliveltd.com", "www.oliveltd.com")</f>
      </c>
      <c r="M5991" s="17">
        <f>HYPERLINK("https://my.pitchbook.com?c=439148-26", "View Company Online")</f>
      </c>
    </row>
    <row r="5992">
      <c r="A5992" t="s" s="10">
        <v>30097</v>
      </c>
      <c r="B5992" t="s" s="10">
        <v>30098</v>
      </c>
      <c r="C5992" t="s" s="10">
        <v>27</v>
      </c>
      <c r="D5992" t="s" s="10">
        <v>28</v>
      </c>
      <c r="E5992" t="s" s="10">
        <v>137</v>
      </c>
      <c r="F5992" s="27">
        <v>44019</v>
      </c>
      <c r="G5992" t="s" s="10">
        <v>4267</v>
      </c>
      <c r="H5992" s="42">
        <v>2.36</v>
      </c>
      <c r="I5992" t="s" s="42">
        <v>30</v>
      </c>
      <c r="J5992" t="s" s="10">
        <v>30099</v>
      </c>
      <c r="K5992" t="s" s="10">
        <v>30100</v>
      </c>
      <c r="L5992" s="16">
        <f>HYPERLINK("http://www.oliverpos.com", "www.oliverpos.com")</f>
      </c>
      <c r="M5992" s="16">
        <f>HYPERLINK("https://my.pitchbook.com?c=343236-07", "View Company Online")</f>
      </c>
    </row>
    <row r="5993">
      <c r="A5993" t="s" s="11">
        <v>30102</v>
      </c>
      <c r="B5993" t="s" s="11">
        <v>30103</v>
      </c>
      <c r="C5993" t="s" s="11">
        <v>222</v>
      </c>
      <c r="D5993" t="s" s="11">
        <v>223</v>
      </c>
      <c r="E5993" t="s" s="11">
        <v>414</v>
      </c>
      <c r="F5993" s="28">
        <v>45608</v>
      </c>
      <c r="G5993" t="s" s="11">
        <v>146</v>
      </c>
      <c r="H5993" s="43">
        <v>3.79</v>
      </c>
      <c r="I5993" t="s" s="43">
        <v>30</v>
      </c>
      <c r="J5993" t="s" s="11">
        <v>30104</v>
      </c>
      <c r="K5993" t="s" s="11">
        <v>30105</v>
      </c>
      <c r="L5993" s="17">
        <f>HYPERLINK("http://www.omaha-insights.com", "www.omaha-insights.com")</f>
      </c>
      <c r="M5993" s="17">
        <f>HYPERLINK("https://my.pitchbook.com?c=707906-53", "View Company Online")</f>
      </c>
    </row>
    <row r="5994">
      <c r="A5994" t="s" s="10">
        <v>30107</v>
      </c>
      <c r="B5994" t="s" s="10">
        <v>30108</v>
      </c>
      <c r="C5994" t="s" s="10">
        <v>60</v>
      </c>
      <c r="D5994" t="s" s="10">
        <v>61</v>
      </c>
      <c r="E5994" t="s" s="10">
        <v>859</v>
      </c>
      <c r="F5994" s="27">
        <v>46111</v>
      </c>
      <c r="G5994" t="s" s="10">
        <v>4267</v>
      </c>
      <c r="H5994" t="s" s="42">
        <v>30</v>
      </c>
      <c r="I5994" t="s" s="42">
        <v>30</v>
      </c>
      <c r="J5994" t="s" s="10">
        <v>30109</v>
      </c>
      <c r="K5994" t="s" s="10">
        <v>30110</v>
      </c>
      <c r="L5994" s="16">
        <f>HYPERLINK("http://omenx.com", "omenx.com")</f>
      </c>
      <c r="M5994" s="16">
        <f>HYPERLINK("https://my.pitchbook.com?c=1366540-12", "View Company Online")</f>
      </c>
    </row>
    <row r="5995">
      <c r="A5995" t="s" s="11">
        <v>30112</v>
      </c>
      <c r="B5995" t="s" s="11">
        <v>30113</v>
      </c>
      <c r="C5995" t="s" s="11">
        <v>172</v>
      </c>
      <c r="D5995" t="s" s="11">
        <v>173</v>
      </c>
      <c r="E5995" t="s" s="11">
        <v>2071</v>
      </c>
      <c r="F5995" s="28">
        <v>45993</v>
      </c>
      <c r="G5995" t="s" s="11">
        <v>607</v>
      </c>
      <c r="H5995" t="s" s="43">
        <v>30</v>
      </c>
      <c r="I5995" t="s" s="43">
        <v>30</v>
      </c>
      <c r="J5995" t="s" s="11">
        <v>30114</v>
      </c>
      <c r="K5995" t="s" s="11">
        <v>30115</v>
      </c>
      <c r="L5995" s="17">
        <f>HYPERLINK("http://www.omniocompliance.com", "www.omniocompliance.com")</f>
      </c>
      <c r="M5995" s="17">
        <f>HYPERLINK("https://my.pitchbook.com?c=469489-24", "View Company Online")</f>
      </c>
    </row>
    <row r="5996">
      <c r="A5996" t="s" s="10">
        <v>30117</v>
      </c>
      <c r="B5996" t="s" s="10">
        <v>30118</v>
      </c>
      <c r="C5996" t="s" s="10">
        <v>27</v>
      </c>
      <c r="D5996" t="s" s="10">
        <v>28</v>
      </c>
      <c r="E5996" t="s" s="10">
        <v>373</v>
      </c>
      <c r="F5996" s="27">
        <v>46059</v>
      </c>
      <c r="G5996" t="s" s="10">
        <v>146</v>
      </c>
      <c r="H5996" s="42">
        <v>2</v>
      </c>
      <c r="I5996" t="s" s="42">
        <v>30</v>
      </c>
      <c r="J5996" t="s" s="10">
        <v>30119</v>
      </c>
      <c r="K5996" t="s" s="10">
        <v>30120</v>
      </c>
      <c r="L5996" s="16">
        <f>HYPERLINK("http://www.omnispay.com", "www.omnispay.com")</f>
      </c>
      <c r="M5996" s="16">
        <f>HYPERLINK("https://my.pitchbook.com?c=597753-19", "View Company Online")</f>
      </c>
    </row>
    <row r="5997">
      <c r="A5997" t="s" s="11">
        <v>30122</v>
      </c>
      <c r="B5997" t="s" s="11">
        <v>30123</v>
      </c>
      <c r="C5997" t="s" s="11">
        <v>164</v>
      </c>
      <c r="D5997" t="s" s="11">
        <v>206</v>
      </c>
      <c r="E5997" t="s" s="11">
        <v>253</v>
      </c>
      <c r="F5997" s="28">
        <v>45386</v>
      </c>
      <c r="G5997" t="s" s="11">
        <v>40</v>
      </c>
      <c r="H5997" s="43">
        <v>2</v>
      </c>
      <c r="I5997" t="s" s="43">
        <v>30</v>
      </c>
      <c r="J5997" t="s" s="11">
        <v>30124</v>
      </c>
      <c r="K5997" t="s" s="11">
        <v>30125</v>
      </c>
      <c r="L5997" s="17">
        <f>HYPERLINK("http://www.omniwire.com", "www.omniwire.com")</f>
      </c>
      <c r="M5997" s="17">
        <f>HYPERLINK("https://my.pitchbook.com?c=234075-25", "View Company Online")</f>
      </c>
    </row>
    <row r="5998">
      <c r="A5998" t="s" s="10">
        <v>30127</v>
      </c>
      <c r="B5998" t="s" s="10">
        <v>30128</v>
      </c>
      <c r="C5998" t="s" s="10">
        <v>37</v>
      </c>
      <c r="D5998" t="s" s="10">
        <v>304</v>
      </c>
      <c r="E5998" t="s" s="10">
        <v>137</v>
      </c>
      <c r="F5998" s="27">
        <v>44927</v>
      </c>
      <c r="G5998" t="s" s="10">
        <v>607</v>
      </c>
      <c r="H5998" t="s" s="42">
        <v>30</v>
      </c>
      <c r="I5998" t="s" s="42">
        <v>30</v>
      </c>
      <c r="J5998" t="s" s="10">
        <v>30129</v>
      </c>
      <c r="K5998" t="s" s="10">
        <v>30130</v>
      </c>
      <c r="L5998" s="16">
        <f>HYPERLINK("http://www.o-mo-chi.co.jp", "www.o-mo-chi.co.jp")</f>
      </c>
      <c r="M5998" s="16">
        <f>HYPERLINK("https://my.pitchbook.com?c=494380-63", "View Company Online")</f>
      </c>
    </row>
    <row r="5999">
      <c r="A5999" t="s" s="11">
        <v>30132</v>
      </c>
      <c r="B5999" t="s" s="11">
        <v>30133</v>
      </c>
      <c r="C5999" t="s" s="11">
        <v>144</v>
      </c>
      <c r="D5999" t="s" s="11">
        <v>297</v>
      </c>
      <c r="E5999" t="s" s="11">
        <v>253</v>
      </c>
      <c r="F5999" s="28">
        <v>45769</v>
      </c>
      <c r="G5999" t="s" s="11">
        <v>31</v>
      </c>
      <c r="H5999" s="43">
        <v>0.15</v>
      </c>
      <c r="I5999" t="s" s="43">
        <v>30</v>
      </c>
      <c r="J5999" t="s" s="11">
        <v>30134</v>
      </c>
      <c r="K5999" t="s" s="11">
        <v>30135</v>
      </c>
      <c r="L5999" s="17">
        <f>HYPERLINK("http://www.oneam.us", "www.oneam.us")</f>
      </c>
      <c r="M5999" s="17">
        <f>HYPERLINK("https://my.pitchbook.com?c=713380-06", "View Company Online")</f>
      </c>
    </row>
    <row r="6000">
      <c r="A6000" t="s" s="10">
        <v>30137</v>
      </c>
      <c r="B6000" t="s" s="10">
        <v>30138</v>
      </c>
      <c r="C6000" t="s" s="10">
        <v>46</v>
      </c>
      <c r="D6000" t="s" s="10">
        <v>47</v>
      </c>
      <c r="E6000" t="s" s="10">
        <v>7678</v>
      </c>
      <c r="F6000" s="27">
        <v>44866</v>
      </c>
      <c r="G6000" t="s" s="10">
        <v>40</v>
      </c>
      <c r="H6000" s="42">
        <v>3.17</v>
      </c>
      <c r="I6000" t="s" s="42">
        <v>30</v>
      </c>
      <c r="J6000" t="s" s="10">
        <v>30139</v>
      </c>
      <c r="K6000" t="s" s="10">
        <v>30</v>
      </c>
      <c r="L6000" s="16">
        <f>HYPERLINK("http://www.apxium.com", "www.apxium.com")</f>
      </c>
      <c r="M6000" s="16">
        <f>HYPERLINK("https://my.pitchbook.com?c=513028-09", "View Company Online")</f>
      </c>
    </row>
    <row r="6001">
      <c r="A6001" t="s" s="11">
        <v>30141</v>
      </c>
      <c r="B6001" t="s" s="11">
        <v>30142</v>
      </c>
      <c r="C6001" t="s" s="11">
        <v>128</v>
      </c>
      <c r="D6001" t="s" s="11">
        <v>276</v>
      </c>
      <c r="E6001" t="s" s="11">
        <v>193</v>
      </c>
      <c r="F6001" s="28">
        <v>46182</v>
      </c>
      <c r="G6001" t="s" s="11">
        <v>4267</v>
      </c>
      <c r="H6001" s="43">
        <v>4</v>
      </c>
      <c r="I6001" t="s" s="43">
        <v>30</v>
      </c>
      <c r="J6001" t="s" s="11">
        <v>30143</v>
      </c>
      <c r="K6001" t="s" s="11">
        <v>30</v>
      </c>
      <c r="L6001" s="17">
        <f>HYPERLINK("http://www.onedosh.com", "www.onedosh.com")</f>
      </c>
      <c r="M6001" s="17">
        <f>HYPERLINK("https://my.pitchbook.com?c=1083163-69", "View Company Online")</f>
      </c>
    </row>
    <row r="6002">
      <c r="A6002" t="s" s="10">
        <v>30145</v>
      </c>
      <c r="B6002" t="s" s="10">
        <v>30146</v>
      </c>
      <c r="C6002" t="s" s="10">
        <v>164</v>
      </c>
      <c r="D6002" t="s" s="10">
        <v>206</v>
      </c>
      <c r="E6002" t="s" s="10">
        <v>22911</v>
      </c>
      <c r="F6002" s="27">
        <v>44044</v>
      </c>
      <c r="G6002" t="s" s="10">
        <v>40</v>
      </c>
      <c r="H6002" t="s" s="42">
        <v>30</v>
      </c>
      <c r="I6002" t="s" s="42">
        <v>30</v>
      </c>
      <c r="J6002" t="s" s="10">
        <v>30147</v>
      </c>
      <c r="K6002" t="s" s="10">
        <v>30148</v>
      </c>
      <c r="L6002" s="16">
        <f>HYPERLINK("http://www.onefeather.ca", "www.onefeather.ca")</f>
      </c>
      <c r="M6002" s="16">
        <f>HYPERLINK("https://my.pitchbook.com?c=115004-71", "View Company Online")</f>
      </c>
    </row>
    <row r="6003">
      <c r="A6003" t="s" s="11">
        <v>30150</v>
      </c>
      <c r="B6003" t="s" s="11">
        <v>30151</v>
      </c>
      <c r="C6003" t="s" s="11">
        <v>27</v>
      </c>
      <c r="D6003" t="s" s="11">
        <v>122</v>
      </c>
      <c r="E6003" t="s" s="11">
        <v>270</v>
      </c>
      <c r="F6003" s="28">
        <v>44378</v>
      </c>
      <c r="G6003" t="s" s="11">
        <v>4267</v>
      </c>
      <c r="H6003" s="43">
        <v>11.98</v>
      </c>
      <c r="I6003" t="s" s="43">
        <v>30</v>
      </c>
      <c r="J6003" t="s" s="11">
        <v>30152</v>
      </c>
      <c r="K6003" t="s" s="11">
        <v>30153</v>
      </c>
      <c r="L6003" s="17">
        <f>HYPERLINK("http://www.onefor.com", "www.onefor.com")</f>
      </c>
      <c r="M6003" s="17">
        <f>HYPERLINK("https://my.pitchbook.com?c=469369-54", "View Company Online")</f>
      </c>
    </row>
    <row r="6004">
      <c r="A6004" t="s" s="10">
        <v>30155</v>
      </c>
      <c r="B6004" t="s" s="10">
        <v>30156</v>
      </c>
      <c r="C6004" t="s" s="10">
        <v>46</v>
      </c>
      <c r="D6004" t="s" s="10">
        <v>78</v>
      </c>
      <c r="E6004" t="s" s="10">
        <v>3320</v>
      </c>
      <c r="F6004" s="27">
        <v>45658</v>
      </c>
      <c r="G6004" t="s" s="10">
        <v>5274</v>
      </c>
      <c r="H6004" t="s" s="42">
        <v>30</v>
      </c>
      <c r="I6004" t="s" s="42">
        <v>30</v>
      </c>
      <c r="J6004" t="s" s="10">
        <v>30157</v>
      </c>
      <c r="K6004" t="s" s="10">
        <v>30158</v>
      </c>
      <c r="L6004" s="16">
        <f>HYPERLINK("http://www.oneloop.ai", "www.oneloop.ai")</f>
      </c>
      <c r="M6004" s="16">
        <f>HYPERLINK("https://my.pitchbook.com?c=509042-80", "View Company Online")</f>
      </c>
    </row>
    <row r="6005">
      <c r="A6005" t="s" s="11">
        <v>30160</v>
      </c>
      <c r="B6005" t="s" s="11">
        <v>30161</v>
      </c>
      <c r="C6005" t="s" s="11">
        <v>27</v>
      </c>
      <c r="D6005" t="s" s="11">
        <v>28</v>
      </c>
      <c r="E6005" t="s" s="11">
        <v>137</v>
      </c>
      <c r="F6005" s="28">
        <v>45400</v>
      </c>
      <c r="G6005" t="s" s="11">
        <v>4267</v>
      </c>
      <c r="H6005" s="43">
        <v>1.3</v>
      </c>
      <c r="I6005" t="s" s="43">
        <v>30</v>
      </c>
      <c r="J6005" t="s" s="11">
        <v>30162</v>
      </c>
      <c r="K6005" t="s" s="11">
        <v>30163</v>
      </c>
      <c r="L6005" s="17">
        <f>HYPERLINK("http://www.onepay.la", "www.onepay.la")</f>
      </c>
      <c r="M6005" s="17">
        <f>HYPERLINK("https://my.pitchbook.com?c=542445-40", "View Company Online")</f>
      </c>
    </row>
    <row r="6006">
      <c r="A6006" t="s" s="10">
        <v>30165</v>
      </c>
      <c r="B6006" t="s" s="10">
        <v>30166</v>
      </c>
      <c r="C6006" t="s" s="10">
        <v>27</v>
      </c>
      <c r="D6006" t="s" s="10">
        <v>28</v>
      </c>
      <c r="E6006" t="s" s="10">
        <v>1859</v>
      </c>
      <c r="F6006" s="27">
        <v>45047</v>
      </c>
      <c r="G6006" t="s" s="10">
        <v>40</v>
      </c>
      <c r="H6006" t="s" s="42">
        <v>30</v>
      </c>
      <c r="I6006" t="s" s="42">
        <v>30</v>
      </c>
      <c r="J6006" t="s" s="10">
        <v>30167</v>
      </c>
      <c r="K6006" t="s" s="10">
        <v>30168</v>
      </c>
      <c r="L6006" s="16">
        <f>HYPERLINK("http://www.onepay.vn", "www.onepay.vn")</f>
      </c>
      <c r="M6006" s="16">
        <f>HYPERLINK("https://my.pitchbook.com?c=528445-27", "View Company Online")</f>
      </c>
    </row>
    <row r="6007">
      <c r="A6007" t="s" s="11">
        <v>30170</v>
      </c>
      <c r="B6007" t="s" s="11">
        <v>30171</v>
      </c>
      <c r="C6007" t="s" s="11">
        <v>128</v>
      </c>
      <c r="D6007" t="s" s="11">
        <v>129</v>
      </c>
      <c r="E6007" t="s" s="11">
        <v>253</v>
      </c>
      <c r="F6007" s="28">
        <v>45562</v>
      </c>
      <c r="G6007" t="s" s="11">
        <v>4267</v>
      </c>
      <c r="H6007" t="s" s="43">
        <v>30</v>
      </c>
      <c r="I6007" t="s" s="43">
        <v>30</v>
      </c>
      <c r="J6007" t="s" s="11">
        <v>30172</v>
      </c>
      <c r="K6007" t="s" s="11">
        <v>30173</v>
      </c>
      <c r="L6007" s="17">
        <f>HYPERLINK("http://www.onetapgroup.org", "www.onetapgroup.org")</f>
      </c>
      <c r="M6007" s="17">
        <f>HYPERLINK("https://my.pitchbook.com?c=677051-47", "View Company Online")</f>
      </c>
    </row>
    <row r="6008">
      <c r="A6008" t="s" s="10">
        <v>30175</v>
      </c>
      <c r="B6008" t="s" s="10">
        <v>30176</v>
      </c>
      <c r="C6008" t="s" s="10">
        <v>164</v>
      </c>
      <c r="D6008" t="s" s="10">
        <v>206</v>
      </c>
      <c r="E6008" t="s" s="10">
        <v>253</v>
      </c>
      <c r="F6008" s="27">
        <v>45789</v>
      </c>
      <c r="G6008" t="s" s="10">
        <v>2651</v>
      </c>
      <c r="H6008" s="42">
        <v>0.1</v>
      </c>
      <c r="I6008" t="s" s="42">
        <v>30</v>
      </c>
      <c r="J6008" t="s" s="10">
        <v>30177</v>
      </c>
      <c r="K6008" t="s" s="10">
        <v>30178</v>
      </c>
      <c r="L6008" s="16">
        <f>HYPERLINK("http://www.onevest.com", "www.onevest.com")</f>
      </c>
      <c r="M6008" s="16">
        <f>HYPERLINK("https://my.pitchbook.com?c=495958-87", "View Company Online")</f>
      </c>
    </row>
    <row r="6009">
      <c r="A6009" t="s" s="11">
        <v>30180</v>
      </c>
      <c r="B6009" t="s" s="11">
        <v>30181</v>
      </c>
      <c r="C6009" t="s" s="11">
        <v>46</v>
      </c>
      <c r="D6009" t="s" s="11">
        <v>47</v>
      </c>
      <c r="E6009" t="s" s="11">
        <v>253</v>
      </c>
      <c r="F6009" s="28">
        <v>45755</v>
      </c>
      <c r="G6009" t="s" s="11">
        <v>40</v>
      </c>
      <c r="H6009" s="43">
        <v>40</v>
      </c>
      <c r="I6009" t="s" s="43">
        <v>30</v>
      </c>
      <c r="J6009" t="s" s="11">
        <v>30182</v>
      </c>
      <c r="K6009" t="s" s="11">
        <v>30183</v>
      </c>
      <c r="L6009" s="17">
        <f>HYPERLINK("http://www.onfly.com.br", "www.onfly.com.br")</f>
      </c>
      <c r="M6009" s="17">
        <f>HYPERLINK("https://my.pitchbook.com?c=459173-44", "View Company Online")</f>
      </c>
    </row>
    <row r="6010">
      <c r="A6010" t="s" s="10">
        <v>30185</v>
      </c>
      <c r="B6010" t="s" s="10">
        <v>30186</v>
      </c>
      <c r="C6010" t="s" s="10">
        <v>46</v>
      </c>
      <c r="D6010" t="s" s="10">
        <v>397</v>
      </c>
      <c r="E6010" t="s" s="10">
        <v>367</v>
      </c>
      <c r="F6010" s="27">
        <v>44713</v>
      </c>
      <c r="G6010" t="s" s="10">
        <v>40</v>
      </c>
      <c r="H6010" t="s" s="42">
        <v>30</v>
      </c>
      <c r="I6010" t="s" s="42">
        <v>30</v>
      </c>
      <c r="J6010" t="s" s="10">
        <v>30187</v>
      </c>
      <c r="K6010" t="s" s="10">
        <v>30188</v>
      </c>
      <c r="L6010" s="16">
        <f>HYPERLINK("http://www.onlyou.com", "www.onlyou.com")</f>
      </c>
      <c r="M6010" s="16">
        <f>HYPERLINK("https://my.pitchbook.com?c=222973-57", "View Company Online")</f>
      </c>
    </row>
    <row r="6011">
      <c r="A6011" t="s" s="11">
        <v>30190</v>
      </c>
      <c r="B6011" t="s" s="11">
        <v>30191</v>
      </c>
      <c r="C6011" t="s" s="11">
        <v>164</v>
      </c>
      <c r="D6011" t="s" s="11">
        <v>206</v>
      </c>
      <c r="E6011" t="s" s="11">
        <v>253</v>
      </c>
      <c r="F6011" s="28">
        <v>46140</v>
      </c>
      <c r="G6011" t="s" s="11">
        <v>4267</v>
      </c>
      <c r="H6011" s="43">
        <v>16.39</v>
      </c>
      <c r="I6011" t="s" s="43">
        <v>30</v>
      </c>
      <c r="J6011" t="s" s="11">
        <v>30192</v>
      </c>
      <c r="K6011" t="s" s="11">
        <v>30193</v>
      </c>
      <c r="L6011" s="17">
        <f>HYPERLINK("http://www.onsetto.com", "www.onsetto.com")</f>
      </c>
      <c r="M6011" s="17">
        <f>HYPERLINK("https://my.pitchbook.com?c=1078306-66", "View Company Online")</f>
      </c>
    </row>
    <row r="6012">
      <c r="A6012" t="s" s="10">
        <v>30195</v>
      </c>
      <c r="B6012" t="s" s="10">
        <v>30196</v>
      </c>
      <c r="C6012" t="s" s="10">
        <v>128</v>
      </c>
      <c r="D6012" t="s" s="10">
        <v>276</v>
      </c>
      <c r="E6012" t="s" s="10">
        <v>253</v>
      </c>
      <c r="F6012" s="27">
        <v>46054</v>
      </c>
      <c r="G6012" t="s" s="10">
        <v>146</v>
      </c>
      <c r="H6012" t="s" s="42">
        <v>30</v>
      </c>
      <c r="I6012" t="s" s="42">
        <v>30</v>
      </c>
      <c r="J6012" t="s" s="10">
        <v>30197</v>
      </c>
      <c r="K6012" t="s" s="10">
        <v>30198</v>
      </c>
      <c r="L6012" s="16">
        <f>HYPERLINK("http://www.ontime.co", "www.ontime.co")</f>
      </c>
      <c r="M6012" s="16">
        <f>HYPERLINK("https://my.pitchbook.com?c=606908-53", "View Company Online")</f>
      </c>
    </row>
    <row r="6013">
      <c r="A6013" t="s" s="11">
        <v>30200</v>
      </c>
      <c r="B6013" t="s" s="11">
        <v>30201</v>
      </c>
      <c r="C6013" t="s" s="11">
        <v>37</v>
      </c>
      <c r="D6013" t="s" s="11">
        <v>38</v>
      </c>
      <c r="E6013" t="s" s="11">
        <v>29</v>
      </c>
      <c r="F6013" s="28">
        <v>45068</v>
      </c>
      <c r="G6013" t="s" s="11">
        <v>146</v>
      </c>
      <c r="H6013" t="s" s="43">
        <v>30</v>
      </c>
      <c r="I6013" t="s" s="43">
        <v>30</v>
      </c>
      <c r="J6013" t="s" s="11">
        <v>30202</v>
      </c>
      <c r="K6013" t="s" s="11">
        <v>30203</v>
      </c>
      <c r="L6013" s="17">
        <f>HYPERLINK("http://www.onyxprivate.com", "www.onyxprivate.com")</f>
      </c>
      <c r="M6013" s="17">
        <f>HYPERLINK("https://my.pitchbook.com?c=483686-92", "View Company Online")</f>
      </c>
    </row>
    <row r="6014">
      <c r="A6014" t="s" s="10">
        <v>30205</v>
      </c>
      <c r="B6014" t="s" s="10">
        <v>30206</v>
      </c>
      <c r="C6014" t="s" s="10">
        <v>60</v>
      </c>
      <c r="D6014" t="s" s="10">
        <v>192</v>
      </c>
      <c r="E6014" t="s" s="10">
        <v>270</v>
      </c>
      <c r="F6014" s="27">
        <v>45628</v>
      </c>
      <c r="G6014" t="s" s="10">
        <v>146</v>
      </c>
      <c r="H6014" s="42">
        <v>20</v>
      </c>
      <c r="I6014" t="s" s="42">
        <v>30</v>
      </c>
      <c r="J6014" t="s" s="10">
        <v>30207</v>
      </c>
      <c r="K6014" t="s" s="10">
        <v>30208</v>
      </c>
      <c r="L6014" s="16">
        <f>HYPERLINK("http://www.onze.com.br", "www.onze.com.br")</f>
      </c>
      <c r="M6014" s="16">
        <f>HYPERLINK("https://my.pitchbook.com?c=466804-36", "View Company Online")</f>
      </c>
    </row>
    <row r="6015">
      <c r="A6015" t="s" s="11">
        <v>30210</v>
      </c>
      <c r="B6015" t="s" s="11">
        <v>30211</v>
      </c>
      <c r="C6015" t="s" s="11">
        <v>60</v>
      </c>
      <c r="D6015" t="s" s="11">
        <v>727</v>
      </c>
      <c r="E6015" t="s" s="11">
        <v>30212</v>
      </c>
      <c r="F6015" s="28">
        <v>46023</v>
      </c>
      <c r="G6015" t="s" s="11">
        <v>146</v>
      </c>
      <c r="H6015" t="s" s="43">
        <v>30</v>
      </c>
      <c r="I6015" t="s" s="43">
        <v>30</v>
      </c>
      <c r="J6015" t="s" s="11">
        <v>30213</v>
      </c>
      <c r="K6015" t="s" s="11">
        <v>30214</v>
      </c>
      <c r="L6015" s="17">
        <f>HYPERLINK("http://www.oori.co", "www.oori.co")</f>
      </c>
      <c r="M6015" s="17">
        <f>HYPERLINK("https://my.pitchbook.com?c=571635-82", "View Company Online")</f>
      </c>
    </row>
    <row r="6016">
      <c r="A6016" t="s" s="10">
        <v>30216</v>
      </c>
      <c r="B6016" t="s" s="10">
        <v>30217</v>
      </c>
      <c r="C6016" t="s" s="10">
        <v>60</v>
      </c>
      <c r="D6016" t="s" s="10">
        <v>432</v>
      </c>
      <c r="E6016" t="s" s="10">
        <v>14510</v>
      </c>
      <c r="F6016" s="27">
        <v>45027</v>
      </c>
      <c r="G6016" t="s" s="10">
        <v>146</v>
      </c>
      <c r="H6016" s="42">
        <v>0.31</v>
      </c>
      <c r="I6016" t="s" s="42">
        <v>30</v>
      </c>
      <c r="J6016" t="s" s="10">
        <v>30218</v>
      </c>
      <c r="K6016" t="s" s="10">
        <v>30219</v>
      </c>
      <c r="L6016" s="16">
        <f>HYPERLINK("http://www.openadvice.co.uk", "www.openadvice.co.uk")</f>
      </c>
      <c r="M6016" s="16">
        <f>HYPERLINK("https://my.pitchbook.com?c=522933-49", "View Company Online")</f>
      </c>
    </row>
    <row r="6017">
      <c r="A6017" t="s" s="11">
        <v>30221</v>
      </c>
      <c r="B6017" t="s" s="11">
        <v>30222</v>
      </c>
      <c r="C6017" t="s" s="11">
        <v>114</v>
      </c>
      <c r="D6017" t="s" s="11">
        <v>136</v>
      </c>
      <c r="E6017" t="s" s="11">
        <v>137</v>
      </c>
      <c r="F6017" s="28">
        <v>44562</v>
      </c>
      <c r="G6017" t="s" s="11">
        <v>40</v>
      </c>
      <c r="H6017" s="43">
        <v>115</v>
      </c>
      <c r="I6017" t="s" s="43">
        <v>30</v>
      </c>
      <c r="J6017" t="s" s="11">
        <v>30223</v>
      </c>
      <c r="K6017" t="s" s="11">
        <v>30224</v>
      </c>
      <c r="L6017" s="17">
        <f>HYPERLINK("http://www.open-co.com", "www.open-co.com")</f>
      </c>
      <c r="M6017" s="17">
        <f>HYPERLINK("https://my.pitchbook.com?c=462294-91", "View Company Online")</f>
      </c>
    </row>
    <row r="6018">
      <c r="A6018" t="s" s="10">
        <v>30226</v>
      </c>
      <c r="B6018" t="s" s="10">
        <v>30227</v>
      </c>
      <c r="C6018" t="s" s="10">
        <v>164</v>
      </c>
      <c r="D6018" t="s" s="10">
        <v>206</v>
      </c>
      <c r="E6018" t="s" s="10">
        <v>634</v>
      </c>
      <c r="F6018" s="27">
        <v>46104</v>
      </c>
      <c r="G6018" t="s" s="10">
        <v>391</v>
      </c>
      <c r="H6018" t="s" s="42">
        <v>30</v>
      </c>
      <c r="I6018" t="s" s="42">
        <v>30</v>
      </c>
      <c r="J6018" t="s" s="10">
        <v>30228</v>
      </c>
      <c r="K6018" t="s" s="10">
        <v>30</v>
      </c>
      <c r="L6018" s="16">
        <f>HYPERLINK("http://www.openledger.com", "www.openledger.com")</f>
      </c>
      <c r="M6018" s="16">
        <f>HYPERLINK("https://my.pitchbook.com?c=732183-40", "View Company Online")</f>
      </c>
    </row>
    <row r="6019">
      <c r="A6019" t="s" s="11">
        <v>30230</v>
      </c>
      <c r="B6019" t="s" s="11">
        <v>30231</v>
      </c>
      <c r="C6019" t="s" s="11">
        <v>222</v>
      </c>
      <c r="D6019" t="s" s="11">
        <v>223</v>
      </c>
      <c r="E6019" t="s" s="11">
        <v>634</v>
      </c>
      <c r="F6019" s="28">
        <v>46140</v>
      </c>
      <c r="G6019" t="s" s="11">
        <v>607</v>
      </c>
      <c r="H6019" t="s" s="43">
        <v>30</v>
      </c>
      <c r="I6019" t="s" s="43">
        <v>30</v>
      </c>
      <c r="J6019" t="s" s="11">
        <v>30232</v>
      </c>
      <c r="K6019" t="s" s="11">
        <v>30233</v>
      </c>
      <c r="L6019" s="17">
        <f>HYPERLINK("http://openbb.co", "openbb.co")</f>
      </c>
      <c r="M6019" s="17">
        <f>HYPERLINK("https://my.pitchbook.com?c=494303-23", "View Company Online")</f>
      </c>
    </row>
    <row r="6020">
      <c r="A6020" t="s" s="10">
        <v>30235</v>
      </c>
      <c r="B6020" t="s" s="10">
        <v>30236</v>
      </c>
      <c r="C6020" t="s" s="10">
        <v>114</v>
      </c>
      <c r="D6020" t="s" s="10">
        <v>852</v>
      </c>
      <c r="E6020" t="s" s="10">
        <v>629</v>
      </c>
      <c r="F6020" s="27">
        <v>45623</v>
      </c>
      <c r="G6020" t="s" s="10">
        <v>146</v>
      </c>
      <c r="H6020" t="s" s="42">
        <v>30</v>
      </c>
      <c r="I6020" t="s" s="42">
        <v>30</v>
      </c>
      <c r="J6020" t="s" s="10">
        <v>30237</v>
      </c>
      <c r="K6020" t="s" s="10">
        <v>30238</v>
      </c>
      <c r="L6020" s="16">
        <f>HYPERLINK("http://www.openbrick.co", "www.openbrick.co")</f>
      </c>
      <c r="M6020" s="16">
        <f>HYPERLINK("https://my.pitchbook.com?c=711818-83", "View Company Online")</f>
      </c>
    </row>
    <row r="6021">
      <c r="A6021" t="s" s="11">
        <v>30240</v>
      </c>
      <c r="B6021" t="s" s="11">
        <v>30241</v>
      </c>
      <c r="C6021" t="s" s="11">
        <v>164</v>
      </c>
      <c r="D6021" t="s" s="11">
        <v>206</v>
      </c>
      <c r="E6021" t="s" s="11">
        <v>137</v>
      </c>
      <c r="F6021" s="28">
        <v>44861</v>
      </c>
      <c r="G6021" t="s" s="11">
        <v>31</v>
      </c>
      <c r="H6021" s="43">
        <v>0.35</v>
      </c>
      <c r="I6021" t="s" s="43">
        <v>30</v>
      </c>
      <c r="J6021" t="s" s="11">
        <v>30242</v>
      </c>
      <c r="K6021" t="s" s="11">
        <v>30243</v>
      </c>
      <c r="L6021" s="17">
        <f>HYPERLINK("http://www.namastecredit.com", "www.namastecredit.com")</f>
      </c>
      <c r="M6021" s="17">
        <f>HYPERLINK("https://my.pitchbook.com?c=227291-41", "View Company Online")</f>
      </c>
    </row>
    <row r="6022">
      <c r="A6022" t="s" s="10">
        <v>30245</v>
      </c>
      <c r="B6022" t="s" s="10">
        <v>30246</v>
      </c>
      <c r="C6022" t="s" s="10">
        <v>27</v>
      </c>
      <c r="D6022" t="s" s="10">
        <v>122</v>
      </c>
      <c r="E6022" t="s" s="10">
        <v>859</v>
      </c>
      <c r="F6022" s="27">
        <v>46112</v>
      </c>
      <c r="G6022" t="s" s="10">
        <v>146</v>
      </c>
      <c r="H6022" s="42">
        <v>94</v>
      </c>
      <c r="I6022" t="s" s="42">
        <v>30</v>
      </c>
      <c r="J6022" t="s" s="10">
        <v>30247</v>
      </c>
      <c r="K6022" t="s" s="10">
        <v>30248</v>
      </c>
      <c r="L6022" s="16">
        <f>HYPERLINK("http://www.openfx.com", "www.openfx.com")</f>
      </c>
      <c r="M6022" s="16">
        <f>HYPERLINK("https://my.pitchbook.com?c=707170-06", "View Company Online")</f>
      </c>
    </row>
    <row r="6023">
      <c r="A6023" t="s" s="11">
        <v>30250</v>
      </c>
      <c r="B6023" t="s" s="11">
        <v>30251</v>
      </c>
      <c r="C6023" t="s" s="11">
        <v>60</v>
      </c>
      <c r="D6023" t="s" s="11">
        <v>192</v>
      </c>
      <c r="E6023" t="s" s="11">
        <v>137</v>
      </c>
      <c r="F6023" s="28">
        <v>45274</v>
      </c>
      <c r="G6023" t="s" s="11">
        <v>40</v>
      </c>
      <c r="H6023" t="s" s="43">
        <v>30</v>
      </c>
      <c r="I6023" t="s" s="43">
        <v>30</v>
      </c>
      <c r="J6023" t="s" s="11">
        <v>30252</v>
      </c>
      <c r="K6023" t="s" s="11">
        <v>30253</v>
      </c>
      <c r="L6023" s="17">
        <f>HYPERLINK("http://www.openinvest.com.au", "www.openinvest.com.au")</f>
      </c>
      <c r="M6023" s="17">
        <f>HYPERLINK("https://my.pitchbook.com?c=521924-86", "View Company Online")</f>
      </c>
    </row>
    <row r="6024">
      <c r="A6024" t="s" s="10">
        <v>30255</v>
      </c>
      <c r="B6024" t="s" s="10">
        <v>30256</v>
      </c>
      <c r="C6024" t="s" s="10">
        <v>46</v>
      </c>
      <c r="D6024" t="s" s="10">
        <v>397</v>
      </c>
      <c r="E6024" t="s" s="10">
        <v>259</v>
      </c>
      <c r="F6024" s="27">
        <v>46098</v>
      </c>
      <c r="G6024" t="s" s="10">
        <v>40</v>
      </c>
      <c r="H6024" t="s" s="42">
        <v>30</v>
      </c>
      <c r="I6024" t="s" s="42">
        <v>30</v>
      </c>
      <c r="J6024" t="s" s="10">
        <v>30257</v>
      </c>
      <c r="K6024" t="s" s="10">
        <v>30258</v>
      </c>
      <c r="L6024" s="16">
        <f>HYPERLINK("http://www.openmei.com.br", "www.openmei.com.br")</f>
      </c>
      <c r="M6024" s="16">
        <f>HYPERLINK("https://my.pitchbook.com?c=551415-70", "View Company Online")</f>
      </c>
    </row>
    <row r="6025">
      <c r="A6025" t="s" s="11">
        <v>30260</v>
      </c>
      <c r="B6025" t="s" s="11">
        <v>30261</v>
      </c>
      <c r="C6025" t="s" s="11">
        <v>60</v>
      </c>
      <c r="D6025" t="s" s="11">
        <v>246</v>
      </c>
      <c r="E6025" t="s" s="11">
        <v>253</v>
      </c>
      <c r="F6025" s="28">
        <v>44896</v>
      </c>
      <c r="G6025" t="s" s="11">
        <v>271</v>
      </c>
      <c r="H6025" s="43">
        <v>0.06</v>
      </c>
      <c r="I6025" t="s" s="43">
        <v>30</v>
      </c>
      <c r="J6025" t="s" s="11">
        <v>30262</v>
      </c>
      <c r="K6025" t="s" s="11">
        <v>30263</v>
      </c>
      <c r="L6025" s="17">
        <f>HYPERLINK("http://www.openpitch.com", "www.openpitch.com")</f>
      </c>
      <c r="M6025" s="17">
        <f>HYPERLINK("https://my.pitchbook.com?c=465429-70", "View Company Online")</f>
      </c>
    </row>
    <row r="6026">
      <c r="A6026" t="s" s="10">
        <v>30265</v>
      </c>
      <c r="B6026" t="s" s="10">
        <v>30266</v>
      </c>
      <c r="C6026" t="s" s="10">
        <v>222</v>
      </c>
      <c r="D6026" t="s" s="10">
        <v>235</v>
      </c>
      <c r="E6026" t="s" s="10">
        <v>137</v>
      </c>
      <c r="F6026" s="27">
        <v>45975</v>
      </c>
      <c r="G6026" t="s" s="10">
        <v>607</v>
      </c>
      <c r="H6026" t="s" s="42">
        <v>30</v>
      </c>
      <c r="I6026" t="s" s="42">
        <v>30</v>
      </c>
      <c r="J6026" t="s" s="10">
        <v>30267</v>
      </c>
      <c r="K6026" t="s" s="10">
        <v>30268</v>
      </c>
      <c r="L6026" s="16">
        <f>HYPERLINK("http://openpledge.io", "openpledge.io")</f>
      </c>
      <c r="M6026" s="16">
        <f>HYPERLINK("https://my.pitchbook.com?c=551714-77", "View Company Online")</f>
      </c>
    </row>
    <row r="6027">
      <c r="A6027" t="s" s="11">
        <v>30270</v>
      </c>
      <c r="B6027" t="s" s="11">
        <v>30271</v>
      </c>
      <c r="C6027" t="s" s="11">
        <v>128</v>
      </c>
      <c r="D6027" t="s" s="11">
        <v>129</v>
      </c>
      <c r="E6027" t="s" s="11">
        <v>253</v>
      </c>
      <c r="F6027" t="s" s="28">
        <v>30</v>
      </c>
      <c r="G6027" t="s" s="11">
        <v>607</v>
      </c>
      <c r="H6027" t="s" s="43">
        <v>30</v>
      </c>
      <c r="I6027" t="s" s="43">
        <v>30</v>
      </c>
      <c r="J6027" t="s" s="11">
        <v>30272</v>
      </c>
      <c r="K6027" t="s" s="11">
        <v>30273</v>
      </c>
      <c r="L6027" s="17">
        <f>HYPERLINK("http://www.opensparkz.tech", "www.opensparkz.tech")</f>
      </c>
      <c r="M6027" s="17">
        <f>HYPERLINK("https://my.pitchbook.com?c=235031-95", "View Company Online")</f>
      </c>
    </row>
    <row r="6028">
      <c r="A6028" t="s" s="10">
        <v>30275</v>
      </c>
      <c r="B6028" t="s" s="10">
        <v>30276</v>
      </c>
      <c r="C6028" t="s" s="10">
        <v>114</v>
      </c>
      <c r="D6028" t="s" s="10">
        <v>136</v>
      </c>
      <c r="E6028" t="s" s="10">
        <v>137</v>
      </c>
      <c r="F6028" s="27">
        <v>45292</v>
      </c>
      <c r="G6028" t="s" s="10">
        <v>40</v>
      </c>
      <c r="H6028" t="s" s="42">
        <v>30</v>
      </c>
      <c r="I6028" t="s" s="42">
        <v>30</v>
      </c>
      <c r="J6028" t="s" s="10">
        <v>30277</v>
      </c>
      <c r="K6028" t="s" s="10">
        <v>30278</v>
      </c>
      <c r="L6028" s="16">
        <f>HYPERLINK("http://www.otrade.co", "www.otrade.co")</f>
      </c>
      <c r="M6028" s="16">
        <f>HYPERLINK("https://my.pitchbook.com?c=93994-57", "View Company Online")</f>
      </c>
    </row>
    <row r="6029">
      <c r="A6029" t="s" s="11">
        <v>30280</v>
      </c>
      <c r="B6029" t="s" s="11">
        <v>30281</v>
      </c>
      <c r="C6029" t="s" s="11">
        <v>222</v>
      </c>
      <c r="D6029" t="s" s="11">
        <v>235</v>
      </c>
      <c r="E6029" t="s" s="11">
        <v>137</v>
      </c>
      <c r="F6029" t="s" s="28">
        <v>30</v>
      </c>
      <c r="G6029" t="s" s="11">
        <v>48</v>
      </c>
      <c r="H6029" t="s" s="43">
        <v>30</v>
      </c>
      <c r="I6029" t="s" s="43">
        <v>30</v>
      </c>
      <c r="J6029" t="s" s="11">
        <v>30282</v>
      </c>
      <c r="K6029" t="s" s="11">
        <v>30283</v>
      </c>
      <c r="L6029" s="17">
        <f>HYPERLINK("http://www.opontia.com", "www.opontia.com")</f>
      </c>
      <c r="M6029" s="17">
        <f>HYPERLINK("https://my.pitchbook.com?c=462877-03", "View Company Online")</f>
      </c>
    </row>
    <row r="6030">
      <c r="A6030" t="s" s="10">
        <v>30285</v>
      </c>
      <c r="B6030" t="s" s="10">
        <v>30286</v>
      </c>
      <c r="C6030" t="s" s="10">
        <v>222</v>
      </c>
      <c r="D6030" t="s" s="10">
        <v>223</v>
      </c>
      <c r="E6030" t="s" s="10">
        <v>137</v>
      </c>
      <c r="F6030" s="27">
        <v>46198</v>
      </c>
      <c r="G6030" t="s" s="10">
        <v>2051</v>
      </c>
      <c r="H6030" t="s" s="42">
        <v>30</v>
      </c>
      <c r="I6030" t="s" s="42">
        <v>30</v>
      </c>
      <c r="J6030" t="s" s="10">
        <v>30287</v>
      </c>
      <c r="K6030" t="s" s="10">
        <v>30</v>
      </c>
      <c r="L6030" s="16">
        <f>HYPERLINK("http://www.opulenceai.tech", "www.opulenceai.tech")</f>
      </c>
      <c r="M6030" s="16">
        <f>HYPERLINK("https://my.pitchbook.com?c=687842-83", "View Company Online")</f>
      </c>
    </row>
    <row r="6031">
      <c r="A6031" t="s" s="11">
        <v>30289</v>
      </c>
      <c r="B6031" t="s" s="11">
        <v>30290</v>
      </c>
      <c r="C6031" t="s" s="11">
        <v>60</v>
      </c>
      <c r="D6031" t="s" s="11">
        <v>192</v>
      </c>
      <c r="E6031" t="s" s="11">
        <v>193</v>
      </c>
      <c r="F6031" s="28">
        <v>46204</v>
      </c>
      <c r="G6031" t="s" s="11">
        <v>40</v>
      </c>
      <c r="H6031" t="s" s="43">
        <v>30</v>
      </c>
      <c r="I6031" t="s" s="43">
        <v>30</v>
      </c>
      <c r="J6031" t="s" s="11">
        <v>30291</v>
      </c>
      <c r="K6031" t="s" s="11">
        <v>30292</v>
      </c>
      <c r="L6031" s="17">
        <f>HYPERLINK("http://www.oraan.com", "www.oraan.com")</f>
      </c>
      <c r="M6031" s="17">
        <f>HYPERLINK("https://my.pitchbook.com?c=280152-82", "View Company Online")</f>
      </c>
    </row>
    <row r="6032">
      <c r="A6032" t="s" s="10">
        <v>30294</v>
      </c>
      <c r="B6032" t="s" s="10">
        <v>30295</v>
      </c>
      <c r="C6032" t="s" s="10">
        <v>164</v>
      </c>
      <c r="D6032" t="s" s="10">
        <v>165</v>
      </c>
      <c r="E6032" t="s" s="10">
        <v>253</v>
      </c>
      <c r="F6032" t="s" s="27">
        <v>30</v>
      </c>
      <c r="G6032" t="s" s="10">
        <v>40</v>
      </c>
      <c r="H6032" t="s" s="42">
        <v>30</v>
      </c>
      <c r="I6032" t="s" s="42">
        <v>30</v>
      </c>
      <c r="J6032" t="s" s="10">
        <v>30296</v>
      </c>
      <c r="K6032" t="s" s="10">
        <v>30297</v>
      </c>
      <c r="L6032" s="16">
        <f>HYPERLINK("http://www.oradian.com", "www.oradian.com")</f>
      </c>
      <c r="M6032" s="16">
        <f>HYPERLINK("https://my.pitchbook.com?c=94477-15", "View Company Online")</f>
      </c>
    </row>
    <row r="6033">
      <c r="A6033" t="s" s="11">
        <v>30299</v>
      </c>
      <c r="B6033" t="s" s="11">
        <v>30300</v>
      </c>
      <c r="C6033" t="s" s="11">
        <v>128</v>
      </c>
      <c r="D6033" t="s" s="11">
        <v>276</v>
      </c>
      <c r="E6033" t="s" s="11">
        <v>1065</v>
      </c>
      <c r="F6033" s="28">
        <v>45484</v>
      </c>
      <c r="G6033" t="s" s="11">
        <v>40</v>
      </c>
      <c r="H6033" t="s" s="43">
        <v>30</v>
      </c>
      <c r="I6033" t="s" s="43">
        <v>30</v>
      </c>
      <c r="J6033" t="s" s="11">
        <v>30301</v>
      </c>
      <c r="K6033" t="s" s="11">
        <v>30302</v>
      </c>
      <c r="L6033" s="17">
        <f>HYPERLINK("http://www.orangesquare.kr", "www.orangesquare.kr")</f>
      </c>
      <c r="M6033" s="17">
        <f>HYPERLINK("https://my.pitchbook.com?c=264625-93", "View Company Online")</f>
      </c>
    </row>
    <row r="6034">
      <c r="A6034" t="s" s="10">
        <v>30304</v>
      </c>
      <c r="B6034" t="s" s="10">
        <v>30305</v>
      </c>
      <c r="C6034" t="s" s="10">
        <v>114</v>
      </c>
      <c r="D6034" t="s" s="10">
        <v>1386</v>
      </c>
      <c r="E6034" t="s" s="10">
        <v>373</v>
      </c>
      <c r="F6034" s="27">
        <v>46114</v>
      </c>
      <c r="G6034" t="s" s="10">
        <v>4267</v>
      </c>
      <c r="H6034" t="s" s="42">
        <v>30</v>
      </c>
      <c r="I6034" t="s" s="42">
        <v>30</v>
      </c>
      <c r="J6034" t="s" s="10">
        <v>30306</v>
      </c>
      <c r="K6034" t="s" s="10">
        <v>30307</v>
      </c>
      <c r="L6034" s="16">
        <f>HYPERLINK("http://www.orbii.ai", "www.orbii.ai")</f>
      </c>
      <c r="M6034" s="16">
        <f>HYPERLINK("https://my.pitchbook.com?c=597751-30", "View Company Online")</f>
      </c>
    </row>
    <row r="6035">
      <c r="A6035" t="s" s="11">
        <v>30309</v>
      </c>
      <c r="B6035" t="s" s="11">
        <v>30310</v>
      </c>
      <c r="C6035" t="s" s="11">
        <v>164</v>
      </c>
      <c r="D6035" t="s" s="11">
        <v>206</v>
      </c>
      <c r="E6035" t="s" s="11">
        <v>859</v>
      </c>
      <c r="F6035" s="28">
        <v>45170</v>
      </c>
      <c r="G6035" t="s" s="11">
        <v>607</v>
      </c>
      <c r="H6035" t="s" s="43">
        <v>30</v>
      </c>
      <c r="I6035" t="s" s="43">
        <v>30</v>
      </c>
      <c r="J6035" t="s" s="11">
        <v>30311</v>
      </c>
      <c r="K6035" t="s" s="11">
        <v>30312</v>
      </c>
      <c r="L6035" s="17">
        <f>HYPERLINK("http://www.getorbital.com", "www.getorbital.com")</f>
      </c>
      <c r="M6035" s="17">
        <f>HYPERLINK("https://my.pitchbook.com?c=465919-84", "View Company Online")</f>
      </c>
    </row>
    <row r="6036">
      <c r="A6036" t="s" s="10">
        <v>30314</v>
      </c>
      <c r="B6036" t="s" s="10">
        <v>30315</v>
      </c>
      <c r="C6036" t="s" s="10">
        <v>172</v>
      </c>
      <c r="D6036" t="s" s="10">
        <v>173</v>
      </c>
      <c r="E6036" t="s" s="10">
        <v>5479</v>
      </c>
      <c r="F6036" s="27">
        <v>46090</v>
      </c>
      <c r="G6036" t="s" s="10">
        <v>4267</v>
      </c>
      <c r="H6036" s="42">
        <v>2.35</v>
      </c>
      <c r="I6036" t="s" s="42">
        <v>30</v>
      </c>
      <c r="J6036" t="s" s="10">
        <v>30316</v>
      </c>
      <c r="K6036" t="s" s="10">
        <v>30317</v>
      </c>
      <c r="L6036" s="16">
        <f>HYPERLINK("http://www.orca-fraud.com", "www.orca-fraud.com")</f>
      </c>
      <c r="M6036" s="16">
        <f>HYPERLINK("https://my.pitchbook.com?c=597239-65", "View Company Online")</f>
      </c>
    </row>
    <row r="6037">
      <c r="A6037" t="s" s="11">
        <v>30319</v>
      </c>
      <c r="B6037" t="s" s="11">
        <v>30320</v>
      </c>
      <c r="C6037" t="s" s="11">
        <v>60</v>
      </c>
      <c r="D6037" t="s" s="11">
        <v>61</v>
      </c>
      <c r="E6037" t="s" s="11">
        <v>253</v>
      </c>
      <c r="F6037" s="28">
        <v>44895</v>
      </c>
      <c r="G6037" t="s" s="11">
        <v>40</v>
      </c>
      <c r="H6037" s="43">
        <v>100</v>
      </c>
      <c r="I6037" t="s" s="43">
        <v>30</v>
      </c>
      <c r="J6037" t="s" s="11">
        <v>30321</v>
      </c>
      <c r="K6037" t="s" s="11">
        <v>30</v>
      </c>
      <c r="L6037" s="17">
        <f>HYPERLINK("http://www.orfinex.com", "www.orfinex.com")</f>
      </c>
      <c r="M6037" s="17">
        <f>HYPERLINK("https://my.pitchbook.com?c=515483-02", "View Company Online")</f>
      </c>
    </row>
    <row r="6038">
      <c r="A6038" t="s" s="10">
        <v>30323</v>
      </c>
      <c r="B6038" t="s" s="10">
        <v>30324</v>
      </c>
      <c r="C6038" t="s" s="10">
        <v>114</v>
      </c>
      <c r="D6038" t="s" s="10">
        <v>136</v>
      </c>
      <c r="E6038" t="s" s="10">
        <v>158</v>
      </c>
      <c r="F6038" s="27">
        <v>42614</v>
      </c>
      <c r="G6038" t="s" s="10">
        <v>146</v>
      </c>
      <c r="H6038" s="42">
        <v>27.05</v>
      </c>
      <c r="I6038" t="s" s="42">
        <v>30</v>
      </c>
      <c r="J6038" t="s" s="10">
        <v>30325</v>
      </c>
      <c r="K6038" t="s" s="10">
        <v>30326</v>
      </c>
      <c r="L6038" s="16">
        <f>HYPERLINK("http://www.coamc-tech.com", "www.coamc-tech.com")</f>
      </c>
      <c r="M6038" s="16">
        <f>HYPERLINK("https://my.pitchbook.com?c=435046-87", "View Company Online")</f>
      </c>
    </row>
    <row r="6039">
      <c r="A6039" t="s" s="11">
        <v>30328</v>
      </c>
      <c r="B6039" t="s" s="11">
        <v>30329</v>
      </c>
      <c r="C6039" t="s" s="11">
        <v>37</v>
      </c>
      <c r="D6039" t="s" s="11">
        <v>304</v>
      </c>
      <c r="E6039" t="s" s="11">
        <v>367</v>
      </c>
      <c r="F6039" t="s" s="28">
        <v>30</v>
      </c>
      <c r="G6039" t="s" s="11">
        <v>146</v>
      </c>
      <c r="H6039" t="s" s="43">
        <v>30</v>
      </c>
      <c r="I6039" t="s" s="43">
        <v>30</v>
      </c>
      <c r="J6039" t="s" s="11">
        <v>30330</v>
      </c>
      <c r="K6039" t="s" s="11">
        <v>30331</v>
      </c>
      <c r="L6039" s="17">
        <f>HYPERLINK("http://www.oriente.com", "www.oriente.com")</f>
      </c>
      <c r="M6039" s="17">
        <f>HYPERLINK("https://my.pitchbook.com?c=234742-87", "View Company Online")</f>
      </c>
    </row>
    <row r="6040">
      <c r="A6040" t="s" s="10">
        <v>30333</v>
      </c>
      <c r="B6040" t="s" s="10">
        <v>30334</v>
      </c>
      <c r="C6040" t="s" s="10">
        <v>164</v>
      </c>
      <c r="D6040" t="s" s="10">
        <v>206</v>
      </c>
      <c r="E6040" t="s" s="10">
        <v>29</v>
      </c>
      <c r="F6040" s="27">
        <v>46097</v>
      </c>
      <c r="G6040" t="s" s="10">
        <v>40</v>
      </c>
      <c r="H6040" t="s" s="42">
        <v>30</v>
      </c>
      <c r="I6040" t="s" s="42">
        <v>30</v>
      </c>
      <c r="J6040" t="s" s="10">
        <v>30335</v>
      </c>
      <c r="K6040" t="s" s="10">
        <v>30</v>
      </c>
      <c r="L6040" s="16">
        <f>HYPERLINK("http://www.origence.com", "www.origence.com")</f>
      </c>
      <c r="M6040" s="16">
        <f>HYPERLINK("https://my.pitchbook.com?c=54286-21", "View Company Online")</f>
      </c>
    </row>
    <row r="6041">
      <c r="A6041" t="s" s="11">
        <v>30337</v>
      </c>
      <c r="B6041" t="s" s="11">
        <v>30338</v>
      </c>
      <c r="C6041" t="s" s="11">
        <v>222</v>
      </c>
      <c r="D6041" t="s" s="11">
        <v>537</v>
      </c>
      <c r="E6041" t="s" s="11">
        <v>967</v>
      </c>
      <c r="F6041" s="28">
        <v>44360</v>
      </c>
      <c r="G6041" t="s" s="11">
        <v>607</v>
      </c>
      <c r="H6041" s="43">
        <v>0.02</v>
      </c>
      <c r="I6041" t="s" s="43">
        <v>30</v>
      </c>
      <c r="J6041" t="s" s="11">
        <v>30339</v>
      </c>
      <c r="K6041" t="s" s="11">
        <v>30340</v>
      </c>
      <c r="L6041" s="17">
        <f>HYPERLINK("http://www.oriontradingsystems.com", "www.oriontradingsystems.com")</f>
      </c>
      <c r="M6041" s="17">
        <f>HYPERLINK("https://my.pitchbook.com?c=228727-90", "View Company Online")</f>
      </c>
    </row>
    <row r="6042">
      <c r="A6042" t="s" s="10">
        <v>30342</v>
      </c>
      <c r="B6042" t="s" s="10">
        <v>30343</v>
      </c>
      <c r="C6042" t="s" s="10">
        <v>27</v>
      </c>
      <c r="D6042" t="s" s="10">
        <v>70</v>
      </c>
      <c r="E6042" t="s" s="10">
        <v>253</v>
      </c>
      <c r="F6042" s="27">
        <v>45689</v>
      </c>
      <c r="G6042" t="s" s="10">
        <v>146</v>
      </c>
      <c r="H6042" t="s" s="42">
        <v>30</v>
      </c>
      <c r="I6042" t="s" s="42">
        <v>30</v>
      </c>
      <c r="J6042" t="s" s="10">
        <v>30344</v>
      </c>
      <c r="K6042" t="s" s="10">
        <v>30345</v>
      </c>
      <c r="L6042" s="16">
        <f>HYPERLINK("http://www.orkestapay.com", "www.orkestapay.com")</f>
      </c>
      <c r="M6042" s="16">
        <f>HYPERLINK("https://my.pitchbook.com?c=755963-38", "View Company Online")</f>
      </c>
    </row>
    <row r="6043">
      <c r="A6043" t="s" s="11">
        <v>30347</v>
      </c>
      <c r="B6043" t="s" s="11">
        <v>30348</v>
      </c>
      <c r="C6043" t="s" s="11">
        <v>128</v>
      </c>
      <c r="D6043" t="s" s="11">
        <v>276</v>
      </c>
      <c r="E6043" t="s" s="11">
        <v>270</v>
      </c>
      <c r="F6043" s="28">
        <v>45105</v>
      </c>
      <c r="G6043" t="s" s="11">
        <v>146</v>
      </c>
      <c r="H6043" t="s" s="43">
        <v>30</v>
      </c>
      <c r="I6043" t="s" s="43">
        <v>30</v>
      </c>
      <c r="J6043" t="s" s="11">
        <v>30349</v>
      </c>
      <c r="K6043" t="s" s="11">
        <v>30350</v>
      </c>
      <c r="L6043" s="17">
        <f>HYPERLINK("http://www.orovera.com", "www.orovera.com")</f>
      </c>
      <c r="M6043" s="17">
        <f>HYPERLINK("https://my.pitchbook.com?c=530152-57", "View Company Online")</f>
      </c>
    </row>
    <row r="6044">
      <c r="A6044" t="s" s="10">
        <v>30352</v>
      </c>
      <c r="B6044" t="s" s="10">
        <v>30353</v>
      </c>
      <c r="C6044" t="s" s="10">
        <v>60</v>
      </c>
      <c r="D6044" t="s" s="10">
        <v>246</v>
      </c>
      <c r="E6044" t="s" s="10">
        <v>253</v>
      </c>
      <c r="F6044" s="27">
        <v>45362</v>
      </c>
      <c r="G6044" t="s" s="10">
        <v>146</v>
      </c>
      <c r="H6044" t="s" s="42">
        <v>30</v>
      </c>
      <c r="I6044" t="s" s="42">
        <v>30</v>
      </c>
      <c r="J6044" t="s" s="10">
        <v>30354</v>
      </c>
      <c r="K6044" t="s" s="10">
        <v>30355</v>
      </c>
      <c r="L6044" s="16">
        <f>HYPERLINK("http://www.othis.com", "www.othis.com")</f>
      </c>
      <c r="M6044" s="16">
        <f>HYPERLINK("https://my.pitchbook.com?c=533526-31", "View Company Online")</f>
      </c>
    </row>
    <row r="6045">
      <c r="A6045" t="s" s="11">
        <v>30357</v>
      </c>
      <c r="B6045" t="s" s="11">
        <v>30358</v>
      </c>
      <c r="C6045" t="s" s="11">
        <v>60</v>
      </c>
      <c r="D6045" t="s" s="11">
        <v>61</v>
      </c>
      <c r="E6045" t="s" s="11">
        <v>137</v>
      </c>
      <c r="F6045" s="28">
        <v>45243</v>
      </c>
      <c r="G6045" t="s" s="11">
        <v>146</v>
      </c>
      <c r="H6045" s="43">
        <v>3</v>
      </c>
      <c r="I6045" t="s" s="43">
        <v>30</v>
      </c>
      <c r="J6045" t="s" s="11">
        <v>30359</v>
      </c>
      <c r="K6045" t="s" s="11">
        <v>30360</v>
      </c>
      <c r="L6045" s="17">
        <f>HYPERLINK("http://www.otsogroup.com", "www.otsogroup.com")</f>
      </c>
      <c r="M6045" s="17">
        <f>HYPERLINK("https://my.pitchbook.com?c=438595-03", "View Company Online")</f>
      </c>
    </row>
    <row r="6046">
      <c r="A6046" t="s" s="10">
        <v>30362</v>
      </c>
      <c r="B6046" t="s" s="10">
        <v>30363</v>
      </c>
      <c r="C6046" t="s" s="10">
        <v>114</v>
      </c>
      <c r="D6046" t="s" s="10">
        <v>136</v>
      </c>
      <c r="E6046" t="s" s="10">
        <v>193</v>
      </c>
      <c r="F6046" s="27">
        <v>46207</v>
      </c>
      <c r="G6046" t="s" s="10">
        <v>2051</v>
      </c>
      <c r="H6046" t="s" s="42">
        <v>30</v>
      </c>
      <c r="I6046" t="s" s="42">
        <v>30</v>
      </c>
      <c r="J6046" t="s" s="10">
        <v>30364</v>
      </c>
      <c r="K6046" t="s" s="10">
        <v>30</v>
      </c>
      <c r="L6046" s="16">
        <f>HYPERLINK("http://www.otter.finance", "www.otter.finance")</f>
      </c>
      <c r="M6046" s="16">
        <f>HYPERLINK("https://my.pitchbook.com?c=536966-20", "View Company Online")</f>
      </c>
    </row>
    <row r="6047">
      <c r="A6047" t="s" s="11">
        <v>30366</v>
      </c>
      <c r="B6047" t="s" s="11">
        <v>30367</v>
      </c>
      <c r="C6047" t="s" s="11">
        <v>46</v>
      </c>
      <c r="D6047" t="s" s="11">
        <v>397</v>
      </c>
      <c r="E6047" t="s" s="11">
        <v>373</v>
      </c>
      <c r="F6047" s="28">
        <v>45202</v>
      </c>
      <c r="G6047" t="s" s="11">
        <v>607</v>
      </c>
      <c r="H6047" s="43">
        <v>0.2</v>
      </c>
      <c r="I6047" t="s" s="43">
        <v>30</v>
      </c>
      <c r="J6047" t="s" s="11">
        <v>30368</v>
      </c>
      <c r="K6047" t="s" s="11">
        <v>30369</v>
      </c>
      <c r="L6047" s="17">
        <f>HYPERLINK("http://www.otterz.co", "www.otterz.co")</f>
      </c>
      <c r="M6047" s="17">
        <f>HYPERLINK("https://my.pitchbook.com?c=530353-00", "View Company Online")</f>
      </c>
    </row>
    <row r="6048">
      <c r="A6048" t="s" s="10">
        <v>30371</v>
      </c>
      <c r="B6048" t="s" s="10">
        <v>30372</v>
      </c>
      <c r="C6048" t="s" s="10">
        <v>60</v>
      </c>
      <c r="D6048" t="s" s="10">
        <v>727</v>
      </c>
      <c r="E6048" t="s" s="10">
        <v>270</v>
      </c>
      <c r="F6048" s="27">
        <v>45078</v>
      </c>
      <c r="G6048" t="s" s="10">
        <v>40</v>
      </c>
      <c r="H6048" t="s" s="42">
        <v>30</v>
      </c>
      <c r="I6048" t="s" s="42">
        <v>30</v>
      </c>
      <c r="J6048" t="s" s="10">
        <v>30373</v>
      </c>
      <c r="K6048" t="s" s="10">
        <v>30374</v>
      </c>
      <c r="L6048" s="16">
        <f>HYPERLINK("http://www.ourcrowd.com", "www.ourcrowd.com")</f>
      </c>
      <c r="M6048" s="16">
        <f>HYPERLINK("https://my.pitchbook.com?c=55879-21", "View Company Online")</f>
      </c>
    </row>
    <row r="6049">
      <c r="A6049" t="s" s="11">
        <v>30376</v>
      </c>
      <c r="B6049" t="s" s="11">
        <v>30377</v>
      </c>
      <c r="C6049" t="s" s="11">
        <v>46</v>
      </c>
      <c r="D6049" t="s" s="11">
        <v>47</v>
      </c>
      <c r="E6049" t="s" s="11">
        <v>193</v>
      </c>
      <c r="F6049" s="28">
        <v>45418</v>
      </c>
      <c r="G6049" t="s" s="11">
        <v>4267</v>
      </c>
      <c r="H6049" s="43">
        <v>1.2</v>
      </c>
      <c r="I6049" t="s" s="43">
        <v>30</v>
      </c>
      <c r="J6049" t="s" s="11">
        <v>30378</v>
      </c>
      <c r="K6049" t="s" s="11">
        <v>30379</v>
      </c>
      <c r="L6049" s="17">
        <f>HYPERLINK("http://www.outpave.com", "www.outpave.com")</f>
      </c>
      <c r="M6049" s="17">
        <f>HYPERLINK("https://my.pitchbook.com?c=538930-72", "View Company Online")</f>
      </c>
    </row>
    <row r="6050">
      <c r="A6050" t="s" s="10">
        <v>30381</v>
      </c>
      <c r="B6050" t="s" s="10">
        <v>30382</v>
      </c>
      <c r="C6050" t="s" s="10">
        <v>60</v>
      </c>
      <c r="D6050" t="s" s="10">
        <v>192</v>
      </c>
      <c r="E6050" t="s" s="10">
        <v>253</v>
      </c>
      <c r="F6050" s="27">
        <v>45231</v>
      </c>
      <c r="G6050" t="s" s="10">
        <v>4267</v>
      </c>
      <c r="H6050" t="s" s="42">
        <v>30</v>
      </c>
      <c r="I6050" t="s" s="42">
        <v>30</v>
      </c>
      <c r="J6050" t="s" s="10">
        <v>30383</v>
      </c>
      <c r="K6050" t="s" s="10">
        <v>20019</v>
      </c>
      <c r="L6050" s="16">
        <f>HYPERLINK("http://outprfrm.com", "outprfrm.com")</f>
      </c>
      <c r="M6050" s="16">
        <f>HYPERLINK("https://my.pitchbook.com?c=489987-28", "View Company Online")</f>
      </c>
    </row>
    <row r="6051">
      <c r="A6051" t="s" s="11">
        <v>30385</v>
      </c>
      <c r="B6051" t="s" s="11">
        <v>30386</v>
      </c>
      <c r="C6051" t="s" s="11">
        <v>60</v>
      </c>
      <c r="D6051" t="s" s="11">
        <v>246</v>
      </c>
      <c r="E6051" t="s" s="11">
        <v>30387</v>
      </c>
      <c r="F6051" s="28">
        <v>44866</v>
      </c>
      <c r="G6051" t="s" s="11">
        <v>146</v>
      </c>
      <c r="H6051" s="43">
        <v>2.1</v>
      </c>
      <c r="I6051" t="s" s="43">
        <v>30</v>
      </c>
      <c r="J6051" t="s" s="11">
        <v>30388</v>
      </c>
      <c r="K6051" t="s" s="11">
        <v>30389</v>
      </c>
      <c r="L6051" s="17">
        <f>HYPERLINK("http://www.overtake.kr", "www.overtake.kr")</f>
      </c>
      <c r="M6051" s="17">
        <f>HYPERLINK("https://my.pitchbook.com?c=515595-88", "View Company Online")</f>
      </c>
    </row>
    <row r="6052">
      <c r="A6052" t="s" s="10">
        <v>30391</v>
      </c>
      <c r="B6052" t="s" s="10">
        <v>30392</v>
      </c>
      <c r="C6052" t="s" s="10">
        <v>60</v>
      </c>
      <c r="D6052" t="s" s="10">
        <v>61</v>
      </c>
      <c r="E6052" t="s" s="10">
        <v>12122</v>
      </c>
      <c r="F6052" s="27">
        <v>45678</v>
      </c>
      <c r="G6052" t="s" s="10">
        <v>4267</v>
      </c>
      <c r="H6052" t="s" s="42">
        <v>30</v>
      </c>
      <c r="I6052" t="s" s="42">
        <v>30</v>
      </c>
      <c r="J6052" t="s" s="10">
        <v>30393</v>
      </c>
      <c r="K6052" t="s" s="10">
        <v>30394</v>
      </c>
      <c r="L6052" s="16">
        <f>HYPERLINK("http://www.ovoro.com", "www.ovoro.com")</f>
      </c>
      <c r="M6052" s="16">
        <f>HYPERLINK("https://my.pitchbook.com?c=513280-36", "View Company Online")</f>
      </c>
    </row>
    <row r="6053">
      <c r="A6053" t="s" s="11">
        <v>30396</v>
      </c>
      <c r="B6053" t="s" s="11">
        <v>30397</v>
      </c>
      <c r="C6053" t="s" s="11">
        <v>222</v>
      </c>
      <c r="D6053" t="s" s="11">
        <v>235</v>
      </c>
      <c r="E6053" t="s" s="11">
        <v>414</v>
      </c>
      <c r="F6053" s="28">
        <v>45586</v>
      </c>
      <c r="G6053" t="s" s="11">
        <v>146</v>
      </c>
      <c r="H6053" t="s" s="43">
        <v>30</v>
      </c>
      <c r="I6053" t="s" s="43">
        <v>30</v>
      </c>
      <c r="J6053" t="s" s="11">
        <v>30398</v>
      </c>
      <c r="K6053" t="s" s="11">
        <v>30399</v>
      </c>
      <c r="L6053" s="17">
        <f>HYPERLINK("http://www.ovum.ai", "www.ovum.ai")</f>
      </c>
      <c r="M6053" s="17">
        <f>HYPERLINK("https://my.pitchbook.com?c=628034-14", "View Company Online")</f>
      </c>
    </row>
    <row r="6054">
      <c r="A6054" t="s" s="10">
        <v>30401</v>
      </c>
      <c r="B6054" t="s" s="10">
        <v>30402</v>
      </c>
      <c r="C6054" t="s" s="10">
        <v>114</v>
      </c>
      <c r="D6054" t="s" s="10">
        <v>852</v>
      </c>
      <c r="E6054" t="s" s="10">
        <v>137</v>
      </c>
      <c r="F6054" s="27">
        <v>45183</v>
      </c>
      <c r="G6054" t="s" s="10">
        <v>40</v>
      </c>
      <c r="H6054" t="s" s="42">
        <v>30</v>
      </c>
      <c r="I6054" t="s" s="42">
        <v>30</v>
      </c>
      <c r="J6054" t="s" s="10">
        <v>30403</v>
      </c>
      <c r="K6054" t="s" s="10">
        <v>30404</v>
      </c>
      <c r="L6054" s="16">
        <f>HYPERLINK("http://oweesta.org", "oweesta.org")</f>
      </c>
      <c r="M6054" s="16">
        <f>HYPERLINK("https://my.pitchbook.com?c=321700-87", "View Company Online")</f>
      </c>
    </row>
    <row r="6055">
      <c r="A6055" t="s" s="11">
        <v>30406</v>
      </c>
      <c r="B6055" t="s" s="11">
        <v>30407</v>
      </c>
      <c r="C6055" t="s" s="11">
        <v>172</v>
      </c>
      <c r="D6055" t="s" s="11">
        <v>173</v>
      </c>
      <c r="E6055" t="s" s="11">
        <v>6640</v>
      </c>
      <c r="F6055" s="28">
        <v>44503</v>
      </c>
      <c r="G6055" t="s" s="11">
        <v>146</v>
      </c>
      <c r="H6055" s="43">
        <v>30</v>
      </c>
      <c r="I6055" t="s" s="43">
        <v>30</v>
      </c>
      <c r="J6055" t="s" s="11">
        <v>30408</v>
      </c>
      <c r="K6055" t="s" s="11">
        <v>30409</v>
      </c>
      <c r="L6055" s="17">
        <f>HYPERLINK("http://www.owl.co", "www.owl.co")</f>
      </c>
      <c r="M6055" s="17">
        <f>HYPERLINK("https://my.pitchbook.com?c=233015-50", "View Company Online")</f>
      </c>
    </row>
    <row r="6056">
      <c r="A6056" t="s" s="10">
        <v>30411</v>
      </c>
      <c r="B6056" t="s" s="10">
        <v>30412</v>
      </c>
      <c r="C6056" t="s" s="10">
        <v>164</v>
      </c>
      <c r="D6056" t="s" s="10">
        <v>165</v>
      </c>
      <c r="E6056" t="s" s="10">
        <v>3825</v>
      </c>
      <c r="F6056" s="27">
        <v>44197</v>
      </c>
      <c r="G6056" t="s" s="10">
        <v>607</v>
      </c>
      <c r="H6056" t="s" s="42">
        <v>30</v>
      </c>
      <c r="I6056" t="s" s="42">
        <v>30</v>
      </c>
      <c r="J6056" t="s" s="10">
        <v>30413</v>
      </c>
      <c r="K6056" t="s" s="10">
        <v>30414</v>
      </c>
      <c r="L6056" s="16">
        <f>HYPERLINK("http://www.ownest.ai", "www.ownest.ai")</f>
      </c>
      <c r="M6056" s="16">
        <f>HYPERLINK("https://my.pitchbook.com?c=442465-21", "View Company Online")</f>
      </c>
    </row>
    <row r="6057">
      <c r="A6057" t="s" s="11">
        <v>30416</v>
      </c>
      <c r="B6057" t="s" s="11">
        <v>30417</v>
      </c>
      <c r="C6057" t="s" s="11">
        <v>27</v>
      </c>
      <c r="D6057" t="s" s="11">
        <v>28</v>
      </c>
      <c r="E6057" t="s" s="11">
        <v>7057</v>
      </c>
      <c r="F6057" s="28">
        <v>44624</v>
      </c>
      <c r="G6057" t="s" s="11">
        <v>4267</v>
      </c>
      <c r="H6057" s="43">
        <v>8</v>
      </c>
      <c r="I6057" t="s" s="43">
        <v>30</v>
      </c>
      <c r="J6057" t="s" s="11">
        <v>30418</v>
      </c>
      <c r="K6057" t="s" s="11">
        <v>30419</v>
      </c>
      <c r="L6057" s="17">
        <f>HYPERLINK("http://www.ownit.co", "www.ownit.co")</f>
      </c>
      <c r="M6057" s="17">
        <f>HYPERLINK("https://my.pitchbook.com?c=489892-24", "View Company Online")</f>
      </c>
    </row>
    <row r="6058">
      <c r="A6058" t="s" s="10">
        <v>30421</v>
      </c>
      <c r="B6058" t="s" s="10">
        <v>30422</v>
      </c>
      <c r="C6058" t="s" s="10">
        <v>37</v>
      </c>
      <c r="D6058" t="s" s="10">
        <v>38</v>
      </c>
      <c r="E6058" t="s" s="10">
        <v>137</v>
      </c>
      <c r="F6058" s="27">
        <v>44897</v>
      </c>
      <c r="G6058" t="s" s="10">
        <v>4267</v>
      </c>
      <c r="H6058" t="s" s="42">
        <v>30</v>
      </c>
      <c r="I6058" t="s" s="42">
        <v>30</v>
      </c>
      <c r="J6058" t="s" s="10">
        <v>30423</v>
      </c>
      <c r="K6058" t="s" s="10">
        <v>30424</v>
      </c>
      <c r="L6058" s="16">
        <f>HYPERLINK("http://www.owoafara.com", "www.owoafara.com")</f>
      </c>
      <c r="M6058" s="16">
        <f>HYPERLINK("https://my.pitchbook.com?c=506992-33", "View Company Online")</f>
      </c>
    </row>
    <row r="6059">
      <c r="A6059" t="s" s="11">
        <v>30426</v>
      </c>
      <c r="B6059" t="s" s="11">
        <v>30427</v>
      </c>
      <c r="C6059" t="s" s="11">
        <v>164</v>
      </c>
      <c r="D6059" t="s" s="11">
        <v>206</v>
      </c>
      <c r="E6059" t="s" s="11">
        <v>22911</v>
      </c>
      <c r="F6059" s="28">
        <v>45708</v>
      </c>
      <c r="G6059" t="s" s="11">
        <v>40</v>
      </c>
      <c r="H6059" t="s" s="43">
        <v>30</v>
      </c>
      <c r="I6059" t="s" s="43">
        <v>30</v>
      </c>
      <c r="J6059" t="s" s="11">
        <v>30428</v>
      </c>
      <c r="K6059" t="s" s="11">
        <v>30429</v>
      </c>
      <c r="L6059" s="17">
        <f>HYPERLINK("http://www.getoze.com", "www.getoze.com")</f>
      </c>
      <c r="M6059" s="17">
        <f>HYPERLINK("https://my.pitchbook.com?c=181628-56", "View Company Online")</f>
      </c>
    </row>
    <row r="6060">
      <c r="A6060" t="s" s="10">
        <v>30431</v>
      </c>
      <c r="B6060" t="s" s="10">
        <v>30432</v>
      </c>
      <c r="C6060" t="s" s="10">
        <v>46</v>
      </c>
      <c r="D6060" t="s" s="10">
        <v>397</v>
      </c>
      <c r="E6060" t="s" s="10">
        <v>137</v>
      </c>
      <c r="F6060" s="27">
        <v>45947</v>
      </c>
      <c r="G6060" t="s" s="10">
        <v>4267</v>
      </c>
      <c r="H6060" s="42">
        <v>2.16</v>
      </c>
      <c r="I6060" t="s" s="42">
        <v>30</v>
      </c>
      <c r="J6060" t="s" s="10">
        <v>30433</v>
      </c>
      <c r="K6060" t="s" s="10">
        <v>30</v>
      </c>
      <c r="L6060" s="16">
        <f>HYPERLINK("http://www.ozpros.com", "www.ozpros.com")</f>
      </c>
      <c r="M6060" s="16">
        <f>HYPERLINK("https://my.pitchbook.com?c=568655-38", "View Company Online")</f>
      </c>
    </row>
    <row r="6061">
      <c r="A6061" t="s" s="11">
        <v>30435</v>
      </c>
      <c r="B6061" t="s" s="11">
        <v>30436</v>
      </c>
      <c r="C6061" t="s" s="11">
        <v>60</v>
      </c>
      <c r="D6061" t="s" s="11">
        <v>192</v>
      </c>
      <c r="E6061" t="s" s="11">
        <v>1826</v>
      </c>
      <c r="F6061" s="28">
        <v>44844</v>
      </c>
      <c r="G6061" t="s" s="11">
        <v>4267</v>
      </c>
      <c r="H6061" s="43">
        <v>0.2</v>
      </c>
      <c r="I6061" t="s" s="43">
        <v>30</v>
      </c>
      <c r="J6061" t="s" s="11">
        <v>30437</v>
      </c>
      <c r="K6061" t="s" s="11">
        <v>30438</v>
      </c>
      <c r="L6061" s="17">
        <f>HYPERLINK("http://www.paceupinvest.com", "www.paceupinvest.com")</f>
      </c>
      <c r="M6061" s="17">
        <f>HYPERLINK("https://my.pitchbook.com?c=491772-79", "View Company Online")</f>
      </c>
    </row>
    <row r="6062">
      <c r="A6062" t="s" s="10">
        <v>30440</v>
      </c>
      <c r="B6062" t="s" s="10">
        <v>30441</v>
      </c>
      <c r="C6062" t="s" s="10">
        <v>27</v>
      </c>
      <c r="D6062" t="s" s="10">
        <v>28</v>
      </c>
      <c r="E6062" t="s" s="10">
        <v>13267</v>
      </c>
      <c r="F6062" s="27">
        <v>45750</v>
      </c>
      <c r="G6062" t="s" s="10">
        <v>607</v>
      </c>
      <c r="H6062" t="s" s="42">
        <v>30</v>
      </c>
      <c r="I6062" t="s" s="42">
        <v>30</v>
      </c>
      <c r="J6062" t="s" s="10">
        <v>30442</v>
      </c>
      <c r="K6062" t="s" s="10">
        <v>30443</v>
      </c>
      <c r="L6062" s="16">
        <f>HYPERLINK("http://www.pacto.co", "www.pacto.co")</f>
      </c>
      <c r="M6062" s="16">
        <f>HYPERLINK("https://my.pitchbook.com?c=494496-73", "View Company Online")</f>
      </c>
    </row>
    <row r="6063">
      <c r="A6063" t="s" s="11">
        <v>30445</v>
      </c>
      <c r="B6063" t="s" s="11">
        <v>30446</v>
      </c>
      <c r="C6063" t="s" s="11">
        <v>114</v>
      </c>
      <c r="D6063" t="s" s="11">
        <v>115</v>
      </c>
      <c r="E6063" t="s" s="11">
        <v>3831</v>
      </c>
      <c r="F6063" s="28">
        <v>45204</v>
      </c>
      <c r="G6063" t="s" s="11">
        <v>4267</v>
      </c>
      <c r="H6063" s="43">
        <v>2.21</v>
      </c>
      <c r="I6063" t="s" s="43">
        <v>30</v>
      </c>
      <c r="J6063" t="s" s="11">
        <v>30447</v>
      </c>
      <c r="K6063" t="s" s="11">
        <v>30</v>
      </c>
      <c r="L6063" s="17">
        <f>HYPERLINK("http://www.padsfinancial.com", "www.padsfinancial.com")</f>
      </c>
      <c r="M6063" s="17">
        <f>HYPERLINK("https://my.pitchbook.com?c=537579-19", "View Company Online")</f>
      </c>
    </row>
    <row r="6064">
      <c r="A6064" t="s" s="10">
        <v>30449</v>
      </c>
      <c r="B6064" t="s" s="10">
        <v>30450</v>
      </c>
      <c r="C6064" t="s" s="10">
        <v>128</v>
      </c>
      <c r="D6064" t="s" s="10">
        <v>199</v>
      </c>
      <c r="E6064" t="s" s="10">
        <v>200</v>
      </c>
      <c r="F6064" s="27">
        <v>43983</v>
      </c>
      <c r="G6064" t="s" s="10">
        <v>40</v>
      </c>
      <c r="H6064" s="42">
        <v>0.03</v>
      </c>
      <c r="I6064" t="s" s="42">
        <v>30</v>
      </c>
      <c r="J6064" t="s" s="10">
        <v>30451</v>
      </c>
      <c r="K6064" t="s" s="10">
        <v>30452</v>
      </c>
      <c r="L6064" s="16">
        <f>HYPERLINK("http://www.mypaga.com", "www.mypaga.com")</f>
      </c>
      <c r="M6064" s="16">
        <f>HYPERLINK("https://my.pitchbook.com?c=54723-88", "View Company Online")</f>
      </c>
    </row>
    <row r="6065">
      <c r="A6065" t="s" s="11">
        <v>30454</v>
      </c>
      <c r="B6065" t="s" s="11">
        <v>30455</v>
      </c>
      <c r="C6065" t="s" s="11">
        <v>27</v>
      </c>
      <c r="D6065" t="s" s="11">
        <v>70</v>
      </c>
      <c r="E6065" t="s" s="11">
        <v>253</v>
      </c>
      <c r="F6065" s="28">
        <v>44844</v>
      </c>
      <c r="G6065" t="s" s="11">
        <v>607</v>
      </c>
      <c r="H6065" t="s" s="43">
        <v>30</v>
      </c>
      <c r="I6065" t="s" s="43">
        <v>30</v>
      </c>
      <c r="J6065" t="s" s="11">
        <v>30456</v>
      </c>
      <c r="K6065" t="s" s="11">
        <v>30457</v>
      </c>
      <c r="L6065" s="17">
        <f>HYPERLINK("http://www.pagaloop.com", "www.pagaloop.com")</f>
      </c>
      <c r="M6065" s="17">
        <f>HYPERLINK("https://my.pitchbook.com?c=463266-01", "View Company Online")</f>
      </c>
    </row>
    <row r="6066">
      <c r="A6066" t="s" s="10">
        <v>30459</v>
      </c>
      <c r="B6066" t="s" s="10">
        <v>30460</v>
      </c>
      <c r="C6066" t="s" s="10">
        <v>46</v>
      </c>
      <c r="D6066" t="s" s="10">
        <v>47</v>
      </c>
      <c r="E6066" t="s" s="10">
        <v>30461</v>
      </c>
      <c r="F6066" s="27">
        <v>46023</v>
      </c>
      <c r="G6066" t="s" s="10">
        <v>146</v>
      </c>
      <c r="H6066" t="s" s="42">
        <v>30</v>
      </c>
      <c r="I6066" t="s" s="42">
        <v>30</v>
      </c>
      <c r="J6066" t="s" s="10">
        <v>30462</v>
      </c>
      <c r="K6066" t="s" s="10">
        <v>30463</v>
      </c>
      <c r="L6066" s="16">
        <f>HYPERLINK("http://www.paggo.com.br", "www.paggo.com.br")</f>
      </c>
      <c r="M6066" s="16">
        <f>HYPERLINK("https://my.pitchbook.com?c=925297-48", "View Company Online")</f>
      </c>
    </row>
    <row r="6067">
      <c r="A6067" t="s" s="11">
        <v>30465</v>
      </c>
      <c r="B6067" t="s" s="11">
        <v>30466</v>
      </c>
      <c r="C6067" t="s" s="11">
        <v>46</v>
      </c>
      <c r="D6067" t="s" s="11">
        <v>915</v>
      </c>
      <c r="E6067" t="s" s="11">
        <v>373</v>
      </c>
      <c r="F6067" s="28">
        <v>44957</v>
      </c>
      <c r="G6067" t="s" s="11">
        <v>146</v>
      </c>
      <c r="H6067" s="43">
        <v>34</v>
      </c>
      <c r="I6067" t="s" s="43">
        <v>30</v>
      </c>
      <c r="J6067" t="s" s="11">
        <v>30467</v>
      </c>
      <c r="K6067" t="s" s="11">
        <v>30468</v>
      </c>
      <c r="L6067" s="17">
        <f>HYPERLINK("http://www.pagos.ai", "www.pagos.ai")</f>
      </c>
      <c r="M6067" s="17">
        <f>HYPERLINK("https://my.pitchbook.com?c=467836-66", "View Company Online")</f>
      </c>
    </row>
    <row r="6068">
      <c r="A6068" t="s" s="10">
        <v>30470</v>
      </c>
      <c r="B6068" t="s" s="10">
        <v>30471</v>
      </c>
      <c r="C6068" t="s" s="10">
        <v>60</v>
      </c>
      <c r="D6068" t="s" s="10">
        <v>61</v>
      </c>
      <c r="E6068" t="s" s="10">
        <v>253</v>
      </c>
      <c r="F6068" s="27">
        <v>46014</v>
      </c>
      <c r="G6068" t="s" s="10">
        <v>4267</v>
      </c>
      <c r="H6068" s="42">
        <v>1</v>
      </c>
      <c r="I6068" t="s" s="42">
        <v>30</v>
      </c>
      <c r="J6068" t="s" s="10">
        <v>30472</v>
      </c>
      <c r="K6068" t="s" s="10">
        <v>30473</v>
      </c>
      <c r="L6068" s="16">
        <f>HYPERLINK("http://www.paidax.kz", "www.paidax.kz")</f>
      </c>
      <c r="M6068" s="16">
        <f>HYPERLINK("https://my.pitchbook.com?c=1239653-71", "View Company Online")</f>
      </c>
    </row>
    <row r="6069">
      <c r="A6069" t="s" s="11">
        <v>30475</v>
      </c>
      <c r="B6069" t="s" s="11">
        <v>30476</v>
      </c>
      <c r="C6069" t="s" s="11">
        <v>46</v>
      </c>
      <c r="D6069" t="s" s="11">
        <v>78</v>
      </c>
      <c r="E6069" t="s" s="11">
        <v>193</v>
      </c>
      <c r="F6069" s="28">
        <v>45957</v>
      </c>
      <c r="G6069" t="s" s="11">
        <v>40</v>
      </c>
      <c r="H6069" s="43">
        <v>0.36</v>
      </c>
      <c r="I6069" t="s" s="43">
        <v>30</v>
      </c>
      <c r="J6069" t="s" s="11">
        <v>30477</v>
      </c>
      <c r="K6069" t="s" s="11">
        <v>30478</v>
      </c>
      <c r="L6069" s="17">
        <f>HYPERLINK("http://www.paidiem.com", "www.paidiem.com")</f>
      </c>
      <c r="M6069" s="17">
        <f>HYPERLINK("https://my.pitchbook.com?c=458787-70", "View Company Online")</f>
      </c>
    </row>
    <row r="6070">
      <c r="A6070" t="s" s="10">
        <v>30480</v>
      </c>
      <c r="B6070" t="s" s="10">
        <v>30481</v>
      </c>
      <c r="C6070" t="s" s="10">
        <v>114</v>
      </c>
      <c r="D6070" t="s" s="10">
        <v>136</v>
      </c>
      <c r="E6070" t="s" s="10">
        <v>137</v>
      </c>
      <c r="F6070" s="27">
        <v>44810</v>
      </c>
      <c r="G6070" t="s" s="10">
        <v>607</v>
      </c>
      <c r="H6070" s="42">
        <v>0.05</v>
      </c>
      <c r="I6070" t="s" s="42">
        <v>30</v>
      </c>
      <c r="J6070" t="s" s="10">
        <v>30482</v>
      </c>
      <c r="K6070" t="s" s="10">
        <v>30483</v>
      </c>
      <c r="L6070" s="16">
        <f>HYPERLINK("http://www.paisa.mx", "www.paisa.mx")</f>
      </c>
      <c r="M6070" s="16">
        <f>HYPERLINK("https://my.pitchbook.com?c=497546-92", "View Company Online")</f>
      </c>
    </row>
    <row r="6071">
      <c r="A6071" t="s" s="11">
        <v>30485</v>
      </c>
      <c r="B6071" t="s" s="11">
        <v>30486</v>
      </c>
      <c r="C6071" t="s" s="11">
        <v>46</v>
      </c>
      <c r="D6071" t="s" s="11">
        <v>78</v>
      </c>
      <c r="E6071" t="s" s="11">
        <v>30487</v>
      </c>
      <c r="F6071" s="28">
        <v>45901</v>
      </c>
      <c r="G6071" t="s" s="11">
        <v>146</v>
      </c>
      <c r="H6071" t="s" s="43">
        <v>30</v>
      </c>
      <c r="I6071" t="s" s="43">
        <v>30</v>
      </c>
      <c r="J6071" t="s" s="11">
        <v>30488</v>
      </c>
      <c r="K6071" t="s" s="11">
        <v>30489</v>
      </c>
      <c r="L6071" s="17">
        <f>HYPERLINK("http://www.paismo.com", "www.paismo.com")</f>
      </c>
      <c r="M6071" s="17">
        <f>HYPERLINK("https://my.pitchbook.com?c=519976-90", "View Company Online")</f>
      </c>
    </row>
    <row r="6072">
      <c r="A6072" t="s" s="10">
        <v>30491</v>
      </c>
      <c r="B6072" t="s" s="10">
        <v>30492</v>
      </c>
      <c r="C6072" t="s" s="10">
        <v>46</v>
      </c>
      <c r="D6072" t="s" s="10">
        <v>78</v>
      </c>
      <c r="E6072" t="s" s="10">
        <v>137</v>
      </c>
      <c r="F6072" s="27">
        <v>44956</v>
      </c>
      <c r="G6072" t="s" s="10">
        <v>40</v>
      </c>
      <c r="H6072" s="42">
        <v>8.23</v>
      </c>
      <c r="I6072" t="s" s="42">
        <v>30</v>
      </c>
      <c r="J6072" t="s" s="10">
        <v>30493</v>
      </c>
      <c r="K6072" t="s" s="10">
        <v>30494</v>
      </c>
      <c r="L6072" s="16">
        <f>HYPERLINK("http://www.paketa.com.br", "www.paketa.com.br")</f>
      </c>
      <c r="M6072" s="16">
        <f>HYPERLINK("https://my.pitchbook.com?c=463239-73", "View Company Online")</f>
      </c>
    </row>
    <row r="6073">
      <c r="A6073" t="s" s="11">
        <v>30496</v>
      </c>
      <c r="B6073" t="s" s="11">
        <v>30497</v>
      </c>
      <c r="C6073" t="s" s="11">
        <v>60</v>
      </c>
      <c r="D6073" t="s" s="11">
        <v>246</v>
      </c>
      <c r="E6073" t="s" s="11">
        <v>414</v>
      </c>
      <c r="F6073" s="28">
        <v>45769</v>
      </c>
      <c r="G6073" t="s" s="11">
        <v>4267</v>
      </c>
      <c r="H6073" t="s" s="43">
        <v>30</v>
      </c>
      <c r="I6073" t="s" s="43">
        <v>30</v>
      </c>
      <c r="J6073" t="s" s="11">
        <v>30498</v>
      </c>
      <c r="K6073" t="s" s="11">
        <v>30499</v>
      </c>
      <c r="L6073" s="17">
        <f>HYPERLINK("http://www.withpalm.ai", "www.withpalm.ai")</f>
      </c>
      <c r="M6073" s="17">
        <f>HYPERLINK("https://my.pitchbook.com?c=812037-34", "View Company Online")</f>
      </c>
    </row>
    <row r="6074">
      <c r="A6074" t="s" s="10">
        <v>30501</v>
      </c>
      <c r="B6074" t="s" s="10">
        <v>30502</v>
      </c>
      <c r="C6074" t="s" s="10">
        <v>172</v>
      </c>
      <c r="D6074" t="s" s="10">
        <v>338</v>
      </c>
      <c r="E6074" t="s" s="10">
        <v>373</v>
      </c>
      <c r="F6074" s="27">
        <v>45778</v>
      </c>
      <c r="G6074" t="s" s="10">
        <v>4267</v>
      </c>
      <c r="H6074" t="s" s="42">
        <v>30</v>
      </c>
      <c r="I6074" t="s" s="42">
        <v>30</v>
      </c>
      <c r="J6074" t="s" s="10">
        <v>30503</v>
      </c>
      <c r="K6074" t="s" s="10">
        <v>30504</v>
      </c>
      <c r="L6074" s="16">
        <f>HYPERLINK("http://www.getpalm.com", "www.getpalm.com")</f>
      </c>
      <c r="M6074" s="16">
        <f>HYPERLINK("https://my.pitchbook.com?c=538939-09", "View Company Online")</f>
      </c>
    </row>
    <row r="6075">
      <c r="A6075" t="s" s="11">
        <v>30506</v>
      </c>
      <c r="B6075" t="s" s="11">
        <v>30507</v>
      </c>
      <c r="C6075" t="s" s="11">
        <v>27</v>
      </c>
      <c r="D6075" t="s" s="11">
        <v>70</v>
      </c>
      <c r="E6075" t="s" s="11">
        <v>108</v>
      </c>
      <c r="F6075" s="28">
        <v>45058</v>
      </c>
      <c r="G6075" t="s" s="11">
        <v>146</v>
      </c>
      <c r="H6075" t="s" s="43">
        <v>30</v>
      </c>
      <c r="I6075" t="s" s="43">
        <v>30</v>
      </c>
      <c r="J6075" t="s" s="11">
        <v>30508</v>
      </c>
      <c r="K6075" t="s" s="11">
        <v>30509</v>
      </c>
      <c r="L6075" s="17">
        <f>HYPERLINK("http://www.palomma.com", "www.palomma.com")</f>
      </c>
      <c r="M6075" s="17">
        <f>HYPERLINK("https://my.pitchbook.com?c=520799-23", "View Company Online")</f>
      </c>
    </row>
    <row r="6076">
      <c r="A6076" t="s" s="10">
        <v>30511</v>
      </c>
      <c r="B6076" t="s" s="10">
        <v>30512</v>
      </c>
      <c r="C6076" t="s" s="10">
        <v>27</v>
      </c>
      <c r="D6076" t="s" s="10">
        <v>70</v>
      </c>
      <c r="E6076" t="s" s="10">
        <v>859</v>
      </c>
      <c r="F6076" s="27">
        <v>46023</v>
      </c>
      <c r="G6076" t="s" s="10">
        <v>4267</v>
      </c>
      <c r="H6076" s="42">
        <v>3.2</v>
      </c>
      <c r="I6076" t="s" s="42">
        <v>30</v>
      </c>
      <c r="J6076" t="s" s="10">
        <v>30513</v>
      </c>
      <c r="K6076" t="s" s="10">
        <v>30514</v>
      </c>
      <c r="L6076" s="16">
        <f>HYPERLINK("http://pan.network", "pan.network")</f>
      </c>
      <c r="M6076" s="16">
        <f>HYPERLINK("https://my.pitchbook.com?c=1253329-12", "View Company Online")</f>
      </c>
    </row>
    <row r="6077">
      <c r="A6077" t="s" s="11">
        <v>30516</v>
      </c>
      <c r="B6077" t="s" s="11">
        <v>30517</v>
      </c>
      <c r="C6077" t="s" s="11">
        <v>37</v>
      </c>
      <c r="D6077" t="s" s="11">
        <v>38</v>
      </c>
      <c r="E6077" t="s" s="11">
        <v>193</v>
      </c>
      <c r="F6077" s="28">
        <v>46154</v>
      </c>
      <c r="G6077" t="s" s="11">
        <v>40</v>
      </c>
      <c r="H6077" s="43">
        <v>4</v>
      </c>
      <c r="I6077" t="s" s="43">
        <v>30</v>
      </c>
      <c r="J6077" t="s" s="11">
        <v>30518</v>
      </c>
      <c r="K6077" t="s" s="11">
        <v>30519</v>
      </c>
      <c r="L6077" s="17">
        <f>HYPERLINK("http://www.joinpana.com", "www.joinpana.com")</f>
      </c>
      <c r="M6077" s="17">
        <f>HYPERLINK("https://my.pitchbook.com?c=501578-47", "View Company Online")</f>
      </c>
    </row>
    <row r="6078">
      <c r="A6078" t="s" s="10">
        <v>30521</v>
      </c>
      <c r="B6078" t="s" s="10">
        <v>30522</v>
      </c>
      <c r="C6078" t="s" s="10">
        <v>37</v>
      </c>
      <c r="D6078" t="s" s="10">
        <v>38</v>
      </c>
      <c r="E6078" t="s" s="10">
        <v>137</v>
      </c>
      <c r="F6078" s="27">
        <v>45853</v>
      </c>
      <c r="G6078" t="s" s="10">
        <v>40</v>
      </c>
      <c r="H6078" s="42">
        <v>62</v>
      </c>
      <c r="I6078" t="s" s="42">
        <v>30</v>
      </c>
      <c r="J6078" t="s" s="10">
        <v>30523</v>
      </c>
      <c r="K6078" t="s" s="10">
        <v>30524</v>
      </c>
      <c r="L6078" s="16">
        <f>HYPERLINK("http://www.panaceafinancial.com", "www.panaceafinancial.com")</f>
      </c>
      <c r="M6078" s="16">
        <f>HYPERLINK("https://my.pitchbook.com?c=453555-19", "View Company Online")</f>
      </c>
    </row>
    <row r="6079">
      <c r="A6079" t="s" s="11">
        <v>30526</v>
      </c>
      <c r="B6079" t="s" s="11">
        <v>30527</v>
      </c>
      <c r="C6079" t="s" s="11">
        <v>27</v>
      </c>
      <c r="D6079" t="s" s="11">
        <v>122</v>
      </c>
      <c r="E6079" t="s" s="11">
        <v>137</v>
      </c>
      <c r="F6079" s="28">
        <v>45243</v>
      </c>
      <c r="G6079" t="s" s="11">
        <v>48</v>
      </c>
      <c r="H6079" t="s" s="43">
        <v>30</v>
      </c>
      <c r="I6079" t="s" s="43">
        <v>30</v>
      </c>
      <c r="J6079" t="s" s="11">
        <v>30528</v>
      </c>
      <c r="K6079" t="s" s="11">
        <v>30529</v>
      </c>
      <c r="L6079" s="17">
        <f>HYPERLINK("http://www.pandaremit.com", "www.pandaremit.com")</f>
      </c>
      <c r="M6079" s="17">
        <f>HYPERLINK("https://my.pitchbook.com?c=434245-33", "View Company Online")</f>
      </c>
    </row>
    <row r="6080">
      <c r="A6080" t="s" s="10">
        <v>30531</v>
      </c>
      <c r="B6080" t="s" s="10">
        <v>30532</v>
      </c>
      <c r="C6080" t="s" s="10">
        <v>172</v>
      </c>
      <c r="D6080" t="s" s="10">
        <v>1454</v>
      </c>
      <c r="E6080" t="s" s="10">
        <v>634</v>
      </c>
      <c r="F6080" s="27">
        <v>43280</v>
      </c>
      <c r="G6080" t="s" s="10">
        <v>146</v>
      </c>
      <c r="H6080" s="42">
        <v>1.55</v>
      </c>
      <c r="I6080" t="s" s="42">
        <v>30</v>
      </c>
      <c r="J6080" t="s" s="10">
        <v>30533</v>
      </c>
      <c r="K6080" t="s" s="10">
        <v>30534</v>
      </c>
      <c r="L6080" s="16">
        <f>HYPERLINK("http://www.panda-fintech.com", "www.panda-fintech.com")</f>
      </c>
      <c r="M6080" s="16">
        <f>HYPERLINK("https://my.pitchbook.com?c=431354-98", "View Company Online")</f>
      </c>
    </row>
    <row r="6081">
      <c r="A6081" t="s" s="11">
        <v>30536</v>
      </c>
      <c r="B6081" t="s" s="11">
        <v>30537</v>
      </c>
      <c r="C6081" t="s" s="11">
        <v>114</v>
      </c>
      <c r="D6081" t="s" s="11">
        <v>1386</v>
      </c>
      <c r="E6081" t="s" s="11">
        <v>367</v>
      </c>
      <c r="F6081" s="28">
        <v>46082</v>
      </c>
      <c r="G6081" t="s" s="11">
        <v>40</v>
      </c>
      <c r="H6081" t="s" s="43">
        <v>30</v>
      </c>
      <c r="I6081" t="s" s="43">
        <v>30</v>
      </c>
      <c r="J6081" t="s" s="11">
        <v>30538</v>
      </c>
      <c r="K6081" t="s" s="11">
        <v>30539</v>
      </c>
      <c r="L6081" s="17">
        <f>HYPERLINK("http://www.pandacredit.co", "www.pandacredit.co")</f>
      </c>
      <c r="M6081" s="17">
        <f>HYPERLINK("https://my.pitchbook.com?c=407203-48", "View Company Online")</f>
      </c>
    </row>
    <row r="6082">
      <c r="A6082" t="s" s="10">
        <v>30541</v>
      </c>
      <c r="B6082" t="s" s="10">
        <v>30542</v>
      </c>
      <c r="C6082" t="s" s="10">
        <v>114</v>
      </c>
      <c r="D6082" t="s" s="10">
        <v>136</v>
      </c>
      <c r="E6082" t="s" s="10">
        <v>759</v>
      </c>
      <c r="F6082" s="27">
        <v>44682</v>
      </c>
      <c r="G6082" t="s" s="10">
        <v>40</v>
      </c>
      <c r="H6082" t="s" s="42">
        <v>30</v>
      </c>
      <c r="I6082" t="s" s="42">
        <v>30</v>
      </c>
      <c r="J6082" t="s" s="10">
        <v>30543</v>
      </c>
      <c r="K6082" t="s" s="10">
        <v>30544</v>
      </c>
      <c r="L6082" s="16">
        <f>HYPERLINK("http://www.pangeaa.com", "www.pangeaa.com")</f>
      </c>
      <c r="M6082" s="16">
        <f>HYPERLINK("https://my.pitchbook.com?c=221856-76", "View Company Online")</f>
      </c>
    </row>
    <row r="6083">
      <c r="A6083" t="s" s="11">
        <v>30546</v>
      </c>
      <c r="B6083" t="s" s="11">
        <v>30547</v>
      </c>
      <c r="C6083" t="s" s="11">
        <v>172</v>
      </c>
      <c r="D6083" t="s" s="11">
        <v>1454</v>
      </c>
      <c r="E6083" t="s" s="11">
        <v>414</v>
      </c>
      <c r="F6083" s="28">
        <v>44927</v>
      </c>
      <c r="G6083" t="s" s="11">
        <v>607</v>
      </c>
      <c r="H6083" t="s" s="43">
        <v>30</v>
      </c>
      <c r="I6083" t="s" s="43">
        <v>30</v>
      </c>
      <c r="J6083" t="s" s="11">
        <v>30548</v>
      </c>
      <c r="K6083" t="s" s="11">
        <v>30549</v>
      </c>
      <c r="L6083" s="17">
        <f>HYPERLINK("http://www.pangea.io", "www.pangea.io")</f>
      </c>
      <c r="M6083" s="17">
        <f>HYPERLINK("https://my.pitchbook.com?c=513438-67", "View Company Online")</f>
      </c>
    </row>
    <row r="6084">
      <c r="A6084" t="s" s="10">
        <v>30551</v>
      </c>
      <c r="B6084" t="s" s="10">
        <v>30552</v>
      </c>
      <c r="C6084" t="s" s="10">
        <v>222</v>
      </c>
      <c r="D6084" t="s" s="10">
        <v>235</v>
      </c>
      <c r="E6084" t="s" s="10">
        <v>253</v>
      </c>
      <c r="F6084" s="27">
        <v>45992</v>
      </c>
      <c r="G6084" t="s" s="10">
        <v>146</v>
      </c>
      <c r="H6084" t="s" s="42">
        <v>30</v>
      </c>
      <c r="I6084" t="s" s="42">
        <v>30</v>
      </c>
      <c r="J6084" t="s" s="10">
        <v>30553</v>
      </c>
      <c r="K6084" t="s" s="10">
        <v>30554</v>
      </c>
      <c r="L6084" s="16">
        <f>HYPERLINK("http://www.paraflowai.com", "www.paraflowai.com")</f>
      </c>
      <c r="M6084" s="16">
        <f>HYPERLINK("https://my.pitchbook.com?c=1239515-74", "View Company Online")</f>
      </c>
    </row>
    <row r="6085">
      <c r="A6085" t="s" s="11">
        <v>30556</v>
      </c>
      <c r="B6085" t="s" s="11">
        <v>30557</v>
      </c>
      <c r="C6085" t="s" s="11">
        <v>46</v>
      </c>
      <c r="D6085" t="s" s="11">
        <v>47</v>
      </c>
      <c r="E6085" t="s" s="11">
        <v>108</v>
      </c>
      <c r="F6085" s="28">
        <v>46049</v>
      </c>
      <c r="G6085" t="s" s="11">
        <v>4267</v>
      </c>
      <c r="H6085" s="43">
        <v>4.92</v>
      </c>
      <c r="I6085" t="s" s="43">
        <v>30</v>
      </c>
      <c r="J6085" t="s" s="11">
        <v>30558</v>
      </c>
      <c r="K6085" t="s" s="11">
        <v>30559</v>
      </c>
      <c r="L6085" s="17">
        <f>HYPERLINK("http://www.paraglide.ai", "www.paraglide.ai")</f>
      </c>
      <c r="M6085" s="17">
        <f>HYPERLINK("https://my.pitchbook.com?c=1257727-51", "View Company Online")</f>
      </c>
    </row>
    <row r="6086">
      <c r="A6086" t="s" s="10">
        <v>30561</v>
      </c>
      <c r="B6086" t="s" s="10">
        <v>30562</v>
      </c>
      <c r="C6086" t="s" s="10">
        <v>172</v>
      </c>
      <c r="D6086" t="s" s="10">
        <v>338</v>
      </c>
      <c r="E6086" t="s" s="10">
        <v>9284</v>
      </c>
      <c r="F6086" s="27">
        <v>45870</v>
      </c>
      <c r="G6086" t="s" s="10">
        <v>146</v>
      </c>
      <c r="H6086" t="s" s="42">
        <v>30</v>
      </c>
      <c r="I6086" t="s" s="42">
        <v>30</v>
      </c>
      <c r="J6086" t="s" s="10">
        <v>30563</v>
      </c>
      <c r="K6086" t="s" s="10">
        <v>30564</v>
      </c>
      <c r="L6086" s="16">
        <f>HYPERLINK("http://www.parakeetrisk.com", "www.parakeetrisk.com")</f>
      </c>
      <c r="M6086" s="16">
        <f>HYPERLINK("https://my.pitchbook.com?c=590601-70", "View Company Online")</f>
      </c>
    </row>
    <row r="6087">
      <c r="A6087" t="s" s="11">
        <v>30566</v>
      </c>
      <c r="B6087" t="s" s="11">
        <v>30567</v>
      </c>
      <c r="C6087" t="s" s="11">
        <v>172</v>
      </c>
      <c r="D6087" t="s" s="11">
        <v>338</v>
      </c>
      <c r="E6087" t="s" s="11">
        <v>859</v>
      </c>
      <c r="F6087" s="28">
        <v>46209</v>
      </c>
      <c r="G6087" t="s" s="11">
        <v>48</v>
      </c>
      <c r="H6087" t="s" s="43">
        <v>30</v>
      </c>
      <c r="I6087" t="s" s="43">
        <v>30</v>
      </c>
      <c r="J6087" t="s" s="11">
        <v>30568</v>
      </c>
      <c r="K6087" t="s" s="11">
        <v>30569</v>
      </c>
      <c r="L6087" s="17">
        <f>HYPERLINK("http://www.parallelchain.io", "www.parallelchain.io")</f>
      </c>
      <c r="M6087" s="17">
        <f>HYPERLINK("https://my.pitchbook.com?c=340820-92", "View Company Online")</f>
      </c>
    </row>
    <row r="6088">
      <c r="A6088" t="s" s="10">
        <v>30571</v>
      </c>
      <c r="B6088" t="s" s="10">
        <v>30572</v>
      </c>
      <c r="C6088" t="s" s="10">
        <v>37</v>
      </c>
      <c r="D6088" t="s" s="10">
        <v>304</v>
      </c>
      <c r="E6088" t="s" s="10">
        <v>137</v>
      </c>
      <c r="F6088" s="27">
        <v>45817</v>
      </c>
      <c r="G6088" t="s" s="10">
        <v>40</v>
      </c>
      <c r="H6088" t="s" s="42">
        <v>30</v>
      </c>
      <c r="I6088" t="s" s="42">
        <v>30</v>
      </c>
      <c r="J6088" t="s" s="10">
        <v>30573</v>
      </c>
      <c r="K6088" t="s" s="10">
        <v>30574</v>
      </c>
      <c r="L6088" s="16">
        <f>HYPERLINK("http://www.parcelamostudo.com.br", "www.parcelamostudo.com.br")</f>
      </c>
      <c r="M6088" s="16">
        <f>HYPERLINK("https://my.pitchbook.com?c=522925-66", "View Company Online")</f>
      </c>
    </row>
    <row r="6089">
      <c r="A6089" t="s" s="11">
        <v>30576</v>
      </c>
      <c r="B6089" t="s" s="11">
        <v>30577</v>
      </c>
      <c r="C6089" t="s" s="11">
        <v>172</v>
      </c>
      <c r="D6089" t="s" s="11">
        <v>338</v>
      </c>
      <c r="E6089" t="s" s="11">
        <v>373</v>
      </c>
      <c r="F6089" s="28">
        <v>45750</v>
      </c>
      <c r="G6089" t="s" s="11">
        <v>40</v>
      </c>
      <c r="H6089" t="s" s="43">
        <v>30</v>
      </c>
      <c r="I6089" t="s" s="43">
        <v>30</v>
      </c>
      <c r="J6089" t="s" s="11">
        <v>30578</v>
      </c>
      <c r="K6089" t="s" s="11">
        <v>30579</v>
      </c>
      <c r="L6089" s="17">
        <f>HYPERLINK("http://www.parcha.ai", "www.parcha.ai")</f>
      </c>
      <c r="M6089" s="17">
        <f>HYPERLINK("https://my.pitchbook.com?c=531041-86", "View Company Online")</f>
      </c>
    </row>
    <row r="6090">
      <c r="A6090" t="s" s="10">
        <v>30581</v>
      </c>
      <c r="B6090" t="s" s="10">
        <v>30582</v>
      </c>
      <c r="C6090" t="s" s="10">
        <v>27</v>
      </c>
      <c r="D6090" t="s" s="10">
        <v>28</v>
      </c>
      <c r="E6090" t="s" s="10">
        <v>158</v>
      </c>
      <c r="F6090" s="27">
        <v>44835</v>
      </c>
      <c r="G6090" t="s" s="10">
        <v>40</v>
      </c>
      <c r="H6090" t="s" s="42">
        <v>30</v>
      </c>
      <c r="I6090" t="s" s="42">
        <v>30</v>
      </c>
      <c r="J6090" t="s" s="10">
        <v>30583</v>
      </c>
      <c r="K6090" t="s" s="10">
        <v>30584</v>
      </c>
      <c r="L6090" s="16">
        <f>HYPERLINK("http://www.parcoapp.com", "www.parcoapp.com")</f>
      </c>
      <c r="M6090" s="16">
        <f>HYPERLINK("https://my.pitchbook.com?c=399558-25", "View Company Online")</f>
      </c>
    </row>
    <row r="6091">
      <c r="A6091" t="s" s="11">
        <v>30586</v>
      </c>
      <c r="B6091" t="s" s="11">
        <v>30587</v>
      </c>
      <c r="C6091" t="s" s="11">
        <v>172</v>
      </c>
      <c r="D6091" t="s" s="11">
        <v>173</v>
      </c>
      <c r="E6091" t="s" s="11">
        <v>367</v>
      </c>
      <c r="F6091" s="28">
        <v>45717</v>
      </c>
      <c r="G6091" t="s" s="11">
        <v>146</v>
      </c>
      <c r="H6091" t="s" s="43">
        <v>30</v>
      </c>
      <c r="I6091" t="s" s="43">
        <v>30</v>
      </c>
      <c r="J6091" t="s" s="11">
        <v>30588</v>
      </c>
      <c r="K6091" t="s" s="11">
        <v>30589</v>
      </c>
      <c r="L6091" s="17">
        <f>HYPERLINK("http://www.pascalsoftware.com", "www.pascalsoftware.com")</f>
      </c>
      <c r="M6091" s="17">
        <f>HYPERLINK("https://my.pitchbook.com?c=541351-63", "View Company Online")</f>
      </c>
    </row>
    <row r="6092">
      <c r="A6092" t="s" s="10">
        <v>30591</v>
      </c>
      <c r="B6092" t="s" s="10">
        <v>30592</v>
      </c>
      <c r="C6092" t="s" s="10">
        <v>172</v>
      </c>
      <c r="D6092" t="s" s="10">
        <v>1454</v>
      </c>
      <c r="E6092" t="s" s="10">
        <v>414</v>
      </c>
      <c r="F6092" t="s" s="27">
        <v>30</v>
      </c>
      <c r="G6092" t="s" s="10">
        <v>48</v>
      </c>
      <c r="H6092" t="s" s="42">
        <v>30</v>
      </c>
      <c r="I6092" t="s" s="42">
        <v>30</v>
      </c>
      <c r="J6092" t="s" s="10">
        <v>30593</v>
      </c>
      <c r="K6092" t="s" s="10">
        <v>30594</v>
      </c>
      <c r="L6092" s="16">
        <f>HYPERLINK("http://www.pavefi.com", "www.pavefi.com")</f>
      </c>
      <c r="M6092" s="16">
        <f>HYPERLINK("https://my.pitchbook.com?c=458124-40", "View Company Online")</f>
      </c>
    </row>
    <row r="6093">
      <c r="A6093" t="s" s="11">
        <v>30596</v>
      </c>
      <c r="B6093" t="s" s="11">
        <v>30597</v>
      </c>
      <c r="C6093" t="s" s="11">
        <v>164</v>
      </c>
      <c r="D6093" t="s" s="11">
        <v>206</v>
      </c>
      <c r="E6093" t="s" s="11">
        <v>137</v>
      </c>
      <c r="F6093" s="28">
        <v>45953</v>
      </c>
      <c r="G6093" t="s" s="11">
        <v>146</v>
      </c>
      <c r="H6093" s="43">
        <v>39</v>
      </c>
      <c r="I6093" t="s" s="43">
        <v>30</v>
      </c>
      <c r="J6093" t="s" s="11">
        <v>30598</v>
      </c>
      <c r="K6093" t="s" s="11">
        <v>30599</v>
      </c>
      <c r="L6093" s="17">
        <f>HYPERLINK("http://www.pavebank.com", "www.pavebank.com")</f>
      </c>
      <c r="M6093" s="17">
        <f>HYPERLINK("https://my.pitchbook.com?c=542418-58", "View Company Online")</f>
      </c>
    </row>
    <row r="6094">
      <c r="A6094" t="s" s="10">
        <v>30601</v>
      </c>
      <c r="B6094" t="s" s="10">
        <v>30602</v>
      </c>
      <c r="C6094" t="s" s="10">
        <v>60</v>
      </c>
      <c r="D6094" t="s" s="10">
        <v>432</v>
      </c>
      <c r="E6094" t="s" s="10">
        <v>137</v>
      </c>
      <c r="F6094" s="27">
        <v>45903</v>
      </c>
      <c r="G6094" t="s" s="10">
        <v>5274</v>
      </c>
      <c r="H6094" s="42">
        <v>14</v>
      </c>
      <c r="I6094" t="s" s="42">
        <v>30</v>
      </c>
      <c r="J6094" t="s" s="10">
        <v>30603</v>
      </c>
      <c r="K6094" t="s" s="10">
        <v>30604</v>
      </c>
      <c r="L6094" s="16">
        <f>HYPERLINK("http://www.pavefinance.com", "www.pavefinance.com")</f>
      </c>
      <c r="M6094" s="16">
        <f>HYPERLINK("https://my.pitchbook.com?c=453468-61", "View Company Online")</f>
      </c>
    </row>
    <row r="6095">
      <c r="A6095" t="s" s="11">
        <v>30606</v>
      </c>
      <c r="B6095" t="s" s="11">
        <v>30607</v>
      </c>
      <c r="C6095" t="s" s="11">
        <v>172</v>
      </c>
      <c r="D6095" t="s" s="11">
        <v>1454</v>
      </c>
      <c r="E6095" t="s" s="11">
        <v>30608</v>
      </c>
      <c r="F6095" s="28">
        <v>43766</v>
      </c>
      <c r="G6095" t="s" s="11">
        <v>40</v>
      </c>
      <c r="H6095" t="s" s="43">
        <v>30</v>
      </c>
      <c r="I6095" t="s" s="43">
        <v>30</v>
      </c>
      <c r="J6095" t="s" s="11">
        <v>30609</v>
      </c>
      <c r="K6095" t="s" s="11">
        <v>30610</v>
      </c>
      <c r="L6095" s="17">
        <f>HYPERLINK("http://www.tongfudun.com", "www.tongfudun.com")</f>
      </c>
      <c r="M6095" s="17">
        <f>HYPERLINK("https://my.pitchbook.com?c=338637-79", "View Company Online")</f>
      </c>
    </row>
    <row r="6096">
      <c r="A6096" t="s" s="10">
        <v>30612</v>
      </c>
      <c r="B6096" t="s" s="10">
        <v>30613</v>
      </c>
      <c r="C6096" t="s" s="10">
        <v>46</v>
      </c>
      <c r="D6096" t="s" s="10">
        <v>47</v>
      </c>
      <c r="E6096" t="s" s="10">
        <v>414</v>
      </c>
      <c r="F6096" t="s" s="27">
        <v>30</v>
      </c>
      <c r="G6096" t="s" s="10">
        <v>146</v>
      </c>
      <c r="H6096" t="s" s="42">
        <v>30</v>
      </c>
      <c r="I6096" t="s" s="42">
        <v>30</v>
      </c>
      <c r="J6096" t="s" s="10">
        <v>30614</v>
      </c>
      <c r="K6096" t="s" s="10">
        <v>30615</v>
      </c>
      <c r="L6096" s="16">
        <f>HYPERLINK("http://www.paytome.co", "www.paytome.co")</f>
      </c>
      <c r="M6096" s="16">
        <f>HYPERLINK("https://my.pitchbook.com?c=551451-43", "View Company Online")</f>
      </c>
    </row>
    <row r="6097">
      <c r="A6097" t="s" s="11">
        <v>30617</v>
      </c>
      <c r="B6097" t="s" s="11">
        <v>30618</v>
      </c>
      <c r="C6097" t="s" s="11">
        <v>114</v>
      </c>
      <c r="D6097" t="s" s="11">
        <v>136</v>
      </c>
      <c r="E6097" t="s" s="11">
        <v>137</v>
      </c>
      <c r="F6097" s="28">
        <v>44024</v>
      </c>
      <c r="G6097" t="s" s="11">
        <v>40</v>
      </c>
      <c r="H6097" t="s" s="43">
        <v>30</v>
      </c>
      <c r="I6097" t="s" s="43">
        <v>30</v>
      </c>
      <c r="J6097" t="s" s="11">
        <v>30619</v>
      </c>
      <c r="K6097" t="s" s="11">
        <v>30620</v>
      </c>
      <c r="L6097" s="17">
        <f>HYPERLINK("http://www.gopyt.org", "www.gopyt.org")</f>
      </c>
      <c r="M6097" s="17">
        <f>HYPERLINK("https://my.pitchbook.com?c=117769-33", "View Company Online")</f>
      </c>
    </row>
    <row r="6098">
      <c r="A6098" t="s" s="10">
        <v>30622</v>
      </c>
      <c r="B6098" t="s" s="10">
        <v>30623</v>
      </c>
      <c r="C6098" t="s" s="10">
        <v>27</v>
      </c>
      <c r="D6098" t="s" s="10">
        <v>28</v>
      </c>
      <c r="E6098" t="s" s="10">
        <v>759</v>
      </c>
      <c r="F6098" s="27">
        <v>44824</v>
      </c>
      <c r="G6098" t="s" s="10">
        <v>146</v>
      </c>
      <c r="H6098" t="s" s="42">
        <v>30</v>
      </c>
      <c r="I6098" t="s" s="42">
        <v>30</v>
      </c>
      <c r="J6098" t="s" s="10">
        <v>30624</v>
      </c>
      <c r="K6098" t="s" s="10">
        <v>27072</v>
      </c>
      <c r="L6098" s="16">
        <f>HYPERLINK("http://www.pay.com", "www.pay.com")</f>
      </c>
      <c r="M6098" s="16">
        <f>HYPERLINK("https://my.pitchbook.com?c=470719-36", "View Company Online")</f>
      </c>
    </row>
    <row r="6099">
      <c r="A6099" t="s" s="11">
        <v>30626</v>
      </c>
      <c r="B6099" t="s" s="11">
        <v>30627</v>
      </c>
      <c r="C6099" t="s" s="11">
        <v>27</v>
      </c>
      <c r="D6099" t="s" s="11">
        <v>28</v>
      </c>
      <c r="E6099" t="s" s="11">
        <v>1859</v>
      </c>
      <c r="F6099" s="28">
        <v>45089</v>
      </c>
      <c r="G6099" t="s" s="11">
        <v>146</v>
      </c>
      <c r="H6099" t="s" s="43">
        <v>30</v>
      </c>
      <c r="I6099" t="s" s="43">
        <v>30</v>
      </c>
      <c r="J6099" t="s" s="11">
        <v>30628</v>
      </c>
      <c r="K6099" t="s" s="11">
        <v>25447</v>
      </c>
      <c r="L6099" s="17">
        <f>HYPERLINK("http://www.pay2b.com.br", "www.pay2b.com.br")</f>
      </c>
      <c r="M6099" s="17">
        <f>HYPERLINK("https://my.pitchbook.com?c=530471-98", "View Company Online")</f>
      </c>
    </row>
    <row r="6100">
      <c r="A6100" t="s" s="10">
        <v>30630</v>
      </c>
      <c r="B6100" t="s" s="10">
        <v>30631</v>
      </c>
      <c r="C6100" t="s" s="10">
        <v>27</v>
      </c>
      <c r="D6100" t="s" s="10">
        <v>28</v>
      </c>
      <c r="E6100" t="s" s="10">
        <v>1859</v>
      </c>
      <c r="F6100" s="27">
        <v>45491</v>
      </c>
      <c r="G6100" t="s" s="10">
        <v>607</v>
      </c>
      <c r="H6100" t="s" s="42">
        <v>30</v>
      </c>
      <c r="I6100" t="s" s="42">
        <v>30</v>
      </c>
      <c r="J6100" t="s" s="10">
        <v>30632</v>
      </c>
      <c r="K6100" t="s" s="10">
        <v>30633</v>
      </c>
      <c r="L6100" s="16">
        <f>HYPERLINK("http://www.payactive.eu", "www.payactive.eu")</f>
      </c>
      <c r="M6100" s="16">
        <f>HYPERLINK("https://my.pitchbook.com?c=437527-45", "View Company Online")</f>
      </c>
    </row>
    <row r="6101">
      <c r="A6101" t="s" s="11">
        <v>30635</v>
      </c>
      <c r="B6101" t="s" s="11">
        <v>30636</v>
      </c>
      <c r="C6101" t="s" s="11">
        <v>27</v>
      </c>
      <c r="D6101" t="s" s="11">
        <v>28</v>
      </c>
      <c r="E6101" t="s" s="11">
        <v>2184</v>
      </c>
      <c r="F6101" s="28">
        <v>45474</v>
      </c>
      <c r="G6101" t="s" s="11">
        <v>146</v>
      </c>
      <c r="H6101" t="s" s="43">
        <v>30</v>
      </c>
      <c r="I6101" t="s" s="43">
        <v>30</v>
      </c>
      <c r="J6101" t="s" s="11">
        <v>30637</v>
      </c>
      <c r="K6101" t="s" s="11">
        <v>30638</v>
      </c>
      <c r="L6101" s="17">
        <f>HYPERLINK("http://www.payana.la", "www.payana.la")</f>
      </c>
      <c r="M6101" s="17">
        <f>HYPERLINK("https://my.pitchbook.com?c=588709-72", "View Company Online")</f>
      </c>
    </row>
    <row r="6102">
      <c r="A6102" t="s" s="10">
        <v>30640</v>
      </c>
      <c r="B6102" t="s" s="10">
        <v>30641</v>
      </c>
      <c r="C6102" t="s" s="10">
        <v>27</v>
      </c>
      <c r="D6102" t="s" s="10">
        <v>28</v>
      </c>
      <c r="E6102" t="s" s="10">
        <v>158</v>
      </c>
      <c r="F6102" s="27">
        <v>44784</v>
      </c>
      <c r="G6102" t="s" s="10">
        <v>138</v>
      </c>
      <c r="H6102" t="s" s="42">
        <v>30</v>
      </c>
      <c r="I6102" t="s" s="42">
        <v>30</v>
      </c>
      <c r="J6102" t="s" s="10">
        <v>30642</v>
      </c>
      <c r="K6102" t="s" s="10">
        <v>28321</v>
      </c>
      <c r="L6102" s="16">
        <f>HYPERLINK("http://www.botim.money", "www.botim.money")</f>
      </c>
      <c r="M6102" s="16">
        <f>HYPERLINK("https://my.pitchbook.com?c=493317-46", "View Company Online")</f>
      </c>
    </row>
    <row r="6103">
      <c r="A6103" t="s" s="11">
        <v>30644</v>
      </c>
      <c r="B6103" t="s" s="11">
        <v>30645</v>
      </c>
      <c r="C6103" t="s" s="11">
        <v>27</v>
      </c>
      <c r="D6103" t="s" s="11">
        <v>28</v>
      </c>
      <c r="E6103" t="s" s="11">
        <v>1800</v>
      </c>
      <c r="F6103" s="28">
        <v>43685</v>
      </c>
      <c r="G6103" t="s" s="11">
        <v>138</v>
      </c>
      <c r="H6103" t="s" s="43">
        <v>30</v>
      </c>
      <c r="I6103" t="s" s="43">
        <v>30</v>
      </c>
      <c r="J6103" t="s" s="11">
        <v>30646</v>
      </c>
      <c r="K6103" t="s" s="11">
        <v>30647</v>
      </c>
      <c r="L6103" s="17">
        <f>HYPERLINK("http://www.payby.me", "www.payby.me")</f>
      </c>
      <c r="M6103" s="17">
        <f>HYPERLINK("https://my.pitchbook.com?c=94544-38", "View Company Online")</f>
      </c>
    </row>
    <row r="6104">
      <c r="A6104" t="s" s="10">
        <v>30649</v>
      </c>
      <c r="B6104" t="s" s="10">
        <v>30650</v>
      </c>
      <c r="C6104" t="s" s="10">
        <v>27</v>
      </c>
      <c r="D6104" t="s" s="10">
        <v>70</v>
      </c>
      <c r="E6104" t="s" s="10">
        <v>5289</v>
      </c>
      <c r="F6104" t="s" s="27">
        <v>30</v>
      </c>
      <c r="G6104" t="s" s="10">
        <v>48</v>
      </c>
      <c r="H6104" t="s" s="42">
        <v>30</v>
      </c>
      <c r="I6104" t="s" s="42">
        <v>30</v>
      </c>
      <c r="J6104" t="s" s="10">
        <v>30651</v>
      </c>
      <c r="K6104" t="s" s="10">
        <v>30652</v>
      </c>
      <c r="L6104" s="16">
        <f>HYPERLINK("http://www.paycargo.com", "www.paycargo.com")</f>
      </c>
      <c r="M6104" s="16">
        <f>HYPERLINK("https://my.pitchbook.com?c=344574-01", "View Company Online")</f>
      </c>
    </row>
    <row r="6105">
      <c r="A6105" t="s" s="11">
        <v>30654</v>
      </c>
      <c r="B6105" t="s" s="11">
        <v>30655</v>
      </c>
      <c r="C6105" t="s" s="11">
        <v>46</v>
      </c>
      <c r="D6105" t="s" s="11">
        <v>78</v>
      </c>
      <c r="E6105" t="s" s="11">
        <v>29</v>
      </c>
      <c r="F6105" t="s" s="28">
        <v>30</v>
      </c>
      <c r="G6105" t="s" s="11">
        <v>607</v>
      </c>
      <c r="H6105" t="s" s="43">
        <v>30</v>
      </c>
      <c r="I6105" t="s" s="43">
        <v>30</v>
      </c>
      <c r="J6105" t="s" s="11">
        <v>30656</v>
      </c>
      <c r="K6105" t="s" s="11">
        <v>30657</v>
      </c>
      <c r="L6105" s="17">
        <f>HYPERLINK("http://www.justpayd.com", "www.justpayd.com")</f>
      </c>
      <c r="M6105" s="17">
        <f>HYPERLINK("https://my.pitchbook.com?c=492645-25", "View Company Online")</f>
      </c>
    </row>
    <row r="6106">
      <c r="A6106" t="s" s="10">
        <v>30659</v>
      </c>
      <c r="B6106" t="s" s="10">
        <v>30660</v>
      </c>
      <c r="C6106" t="s" s="10">
        <v>46</v>
      </c>
      <c r="D6106" t="s" s="10">
        <v>47</v>
      </c>
      <c r="E6106" t="s" s="10">
        <v>253</v>
      </c>
      <c r="F6106" s="27">
        <v>44896</v>
      </c>
      <c r="G6106" t="s" s="10">
        <v>146</v>
      </c>
      <c r="H6106" t="s" s="42">
        <v>30</v>
      </c>
      <c r="I6106" t="s" s="42">
        <v>30</v>
      </c>
      <c r="J6106" t="s" s="10">
        <v>30661</v>
      </c>
      <c r="K6106" t="s" s="10">
        <v>30662</v>
      </c>
      <c r="L6106" s="16">
        <f>HYPERLINK("http://www.paydoff.com", "www.paydoff.com")</f>
      </c>
      <c r="M6106" s="16">
        <f>HYPERLINK("https://my.pitchbook.com?c=482459-32", "View Company Online")</f>
      </c>
    </row>
    <row r="6107">
      <c r="A6107" t="s" s="11">
        <v>30664</v>
      </c>
      <c r="B6107" t="s" s="11">
        <v>30665</v>
      </c>
      <c r="C6107" t="s" s="11">
        <v>37</v>
      </c>
      <c r="D6107" t="s" s="11">
        <v>304</v>
      </c>
      <c r="E6107" t="s" s="11">
        <v>137</v>
      </c>
      <c r="F6107" s="28">
        <v>45887</v>
      </c>
      <c r="G6107" t="s" s="11">
        <v>607</v>
      </c>
      <c r="H6107" t="s" s="43">
        <v>30</v>
      </c>
      <c r="I6107" t="s" s="43">
        <v>30</v>
      </c>
      <c r="J6107" t="s" s="11">
        <v>30666</v>
      </c>
      <c r="K6107" t="s" s="11">
        <v>30667</v>
      </c>
      <c r="L6107" s="17">
        <f>HYPERLINK("http://www.payfina.com", "www.payfina.com")</f>
      </c>
      <c r="M6107" s="17">
        <f>HYPERLINK("https://my.pitchbook.com?c=540818-65", "View Company Online")</f>
      </c>
    </row>
    <row r="6108">
      <c r="A6108" t="s" s="10">
        <v>30669</v>
      </c>
      <c r="B6108" t="s" s="10">
        <v>30670</v>
      </c>
      <c r="C6108" t="s" s="10">
        <v>27</v>
      </c>
      <c r="D6108" t="s" s="10">
        <v>28</v>
      </c>
      <c r="E6108" t="s" s="10">
        <v>30671</v>
      </c>
      <c r="F6108" t="s" s="27">
        <v>30</v>
      </c>
      <c r="G6108" t="s" s="10">
        <v>607</v>
      </c>
      <c r="H6108" t="s" s="42">
        <v>30</v>
      </c>
      <c r="I6108" t="s" s="42">
        <v>30</v>
      </c>
      <c r="J6108" t="s" s="10">
        <v>30672</v>
      </c>
      <c r="K6108" t="s" s="10">
        <v>30673</v>
      </c>
      <c r="L6108" s="16">
        <f>HYPERLINK("http://www.payfinia.com", "www.payfinia.com")</f>
      </c>
      <c r="M6108" s="16">
        <f>HYPERLINK("https://my.pitchbook.com?c=708011-83", "View Company Online")</f>
      </c>
    </row>
    <row r="6109">
      <c r="A6109" t="s" s="11">
        <v>30675</v>
      </c>
      <c r="B6109" t="s" s="11">
        <v>30676</v>
      </c>
      <c r="C6109" t="s" s="11">
        <v>37</v>
      </c>
      <c r="D6109" t="s" s="11">
        <v>304</v>
      </c>
      <c r="E6109" t="s" s="11">
        <v>253</v>
      </c>
      <c r="F6109" s="28">
        <v>46190</v>
      </c>
      <c r="G6109" t="s" s="11">
        <v>2051</v>
      </c>
      <c r="H6109" t="s" s="43">
        <v>30</v>
      </c>
      <c r="I6109" t="s" s="43">
        <v>30</v>
      </c>
      <c r="J6109" t="s" s="11">
        <v>30677</v>
      </c>
      <c r="K6109" t="s" s="11">
        <v>30</v>
      </c>
      <c r="L6109" s="17">
        <f>HYPERLINK("http://www.payform.me", "www.payform.me")</f>
      </c>
      <c r="M6109" s="17">
        <f>HYPERLINK("https://my.pitchbook.com?c=231414-31", "View Company Online")</f>
      </c>
    </row>
    <row r="6110">
      <c r="A6110" t="s" s="10">
        <v>30679</v>
      </c>
      <c r="B6110" t="s" s="10">
        <v>30680</v>
      </c>
      <c r="C6110" t="s" s="10">
        <v>164</v>
      </c>
      <c r="D6110" t="s" s="10">
        <v>206</v>
      </c>
      <c r="E6110" t="s" s="10">
        <v>1859</v>
      </c>
      <c r="F6110" s="27">
        <v>45662</v>
      </c>
      <c r="G6110" t="s" s="10">
        <v>494</v>
      </c>
      <c r="H6110" s="42">
        <v>8</v>
      </c>
      <c r="I6110" t="s" s="42">
        <v>30</v>
      </c>
      <c r="J6110" t="s" s="10">
        <v>30681</v>
      </c>
      <c r="K6110" t="s" s="10">
        <v>30</v>
      </c>
      <c r="L6110" s="16">
        <f>HYPERLINK("http://www.paygarden.com", "www.paygarden.com")</f>
      </c>
      <c r="M6110" s="16">
        <f>HYPERLINK("https://my.pitchbook.com?c=301241-17", "View Company Online")</f>
      </c>
    </row>
    <row r="6111">
      <c r="A6111" t="s" s="11">
        <v>30683</v>
      </c>
      <c r="B6111" t="s" s="11">
        <v>30684</v>
      </c>
      <c r="C6111" t="s" s="11">
        <v>27</v>
      </c>
      <c r="D6111" t="s" s="11">
        <v>70</v>
      </c>
      <c r="E6111" t="s" s="11">
        <v>373</v>
      </c>
      <c r="F6111" s="28">
        <v>45946</v>
      </c>
      <c r="G6111" t="s" s="11">
        <v>4267</v>
      </c>
      <c r="H6111" s="43">
        <v>2</v>
      </c>
      <c r="I6111" t="s" s="43">
        <v>30</v>
      </c>
      <c r="J6111" t="s" s="11">
        <v>30685</v>
      </c>
      <c r="K6111" t="s" s="11">
        <v>30686</v>
      </c>
      <c r="L6111" s="17">
        <f>HYPERLINK("http://www.paygentic.io", "www.paygentic.io")</f>
      </c>
      <c r="M6111" s="17">
        <f>HYPERLINK("https://my.pitchbook.com?c=1153099-36", "View Company Online")</f>
      </c>
    </row>
    <row r="6112">
      <c r="A6112" t="s" s="10">
        <v>30688</v>
      </c>
      <c r="B6112" t="s" s="10">
        <v>30689</v>
      </c>
      <c r="C6112" t="s" s="10">
        <v>128</v>
      </c>
      <c r="D6112" t="s" s="10">
        <v>276</v>
      </c>
      <c r="E6112" t="s" s="10">
        <v>137</v>
      </c>
      <c r="F6112" s="27">
        <v>45468</v>
      </c>
      <c r="G6112" t="s" s="10">
        <v>4267</v>
      </c>
      <c r="H6112" s="42">
        <v>0.06</v>
      </c>
      <c r="I6112" t="s" s="42">
        <v>30</v>
      </c>
      <c r="J6112" t="s" s="10">
        <v>30690</v>
      </c>
      <c r="K6112" t="s" s="10">
        <v>30</v>
      </c>
      <c r="L6112" s="16">
        <f>HYPERLINK("http://www.paygramcorp.com", "www.paygramcorp.com")</f>
      </c>
      <c r="M6112" s="16">
        <f>HYPERLINK("https://my.pitchbook.com?c=601948-18", "View Company Online")</f>
      </c>
    </row>
    <row r="6113">
      <c r="A6113" t="s" s="11">
        <v>30692</v>
      </c>
      <c r="B6113" t="s" s="11">
        <v>30693</v>
      </c>
      <c r="C6113" t="s" s="11">
        <v>27</v>
      </c>
      <c r="D6113" t="s" s="11">
        <v>28</v>
      </c>
      <c r="E6113" t="s" s="11">
        <v>373</v>
      </c>
      <c r="F6113" s="28">
        <v>45524</v>
      </c>
      <c r="G6113" t="s" s="11">
        <v>40</v>
      </c>
      <c r="H6113" s="43">
        <v>25.49</v>
      </c>
      <c r="I6113" t="s" s="43">
        <v>30</v>
      </c>
      <c r="J6113" t="s" s="11">
        <v>30694</v>
      </c>
      <c r="K6113" t="s" s="11">
        <v>30695</v>
      </c>
      <c r="L6113" s="17">
        <f>HYPERLINK("http://payhere.in", "payhere.in")</f>
      </c>
      <c r="M6113" s="17">
        <f>HYPERLINK("https://my.pitchbook.com?c=489516-94", "View Company Online")</f>
      </c>
    </row>
    <row r="6114">
      <c r="A6114" t="s" s="10">
        <v>30697</v>
      </c>
      <c r="B6114" t="s" s="10">
        <v>30698</v>
      </c>
      <c r="C6114" t="s" s="10">
        <v>37</v>
      </c>
      <c r="D6114" t="s" s="10">
        <v>304</v>
      </c>
      <c r="E6114" t="s" s="10">
        <v>253</v>
      </c>
      <c r="F6114" s="27">
        <v>46051</v>
      </c>
      <c r="G6114" t="s" s="10">
        <v>4267</v>
      </c>
      <c r="H6114" s="42">
        <v>37.47</v>
      </c>
      <c r="I6114" t="s" s="42">
        <v>30</v>
      </c>
      <c r="J6114" t="s" s="10">
        <v>30699</v>
      </c>
      <c r="K6114" t="s" s="10">
        <v>30700</v>
      </c>
      <c r="L6114" s="16">
        <f>HYPERLINK("http://www.paylaterapp.com", "www.paylaterapp.com")</f>
      </c>
      <c r="M6114" s="16">
        <f>HYPERLINK("https://my.pitchbook.com?c=593124-13", "View Company Online")</f>
      </c>
    </row>
    <row r="6115">
      <c r="A6115" t="s" s="11">
        <v>30702</v>
      </c>
      <c r="B6115" t="s" s="11">
        <v>30703</v>
      </c>
      <c r="C6115" t="s" s="11">
        <v>46</v>
      </c>
      <c r="D6115" t="s" s="11">
        <v>78</v>
      </c>
      <c r="E6115" t="s" s="11">
        <v>152</v>
      </c>
      <c r="F6115" s="28">
        <v>45224</v>
      </c>
      <c r="G6115" t="s" s="11">
        <v>146</v>
      </c>
      <c r="H6115" t="s" s="43">
        <v>30</v>
      </c>
      <c r="I6115" t="s" s="43">
        <v>30</v>
      </c>
      <c r="J6115" t="s" s="11">
        <v>30704</v>
      </c>
      <c r="K6115" t="s" s="11">
        <v>30705</v>
      </c>
      <c r="L6115" s="17">
        <f>HYPERLINK("http://paylik.ma", "paylik.ma")</f>
      </c>
      <c r="M6115" s="17">
        <f>HYPERLINK("https://my.pitchbook.com?c=539519-86", "View Company Online")</f>
      </c>
    </row>
    <row r="6116">
      <c r="A6116" t="s" s="10">
        <v>30707</v>
      </c>
      <c r="B6116" t="s" s="10">
        <v>30708</v>
      </c>
      <c r="C6116" t="s" s="10">
        <v>27</v>
      </c>
      <c r="D6116" t="s" s="10">
        <v>28</v>
      </c>
      <c r="E6116" t="s" s="10">
        <v>332</v>
      </c>
      <c r="F6116" s="27">
        <v>46211</v>
      </c>
      <c r="G6116" t="s" s="10">
        <v>40</v>
      </c>
      <c r="H6116" s="42">
        <v>9.08</v>
      </c>
      <c r="I6116" t="s" s="42">
        <v>30</v>
      </c>
      <c r="J6116" t="s" s="10">
        <v>30709</v>
      </c>
      <c r="K6116" t="s" s="10">
        <v>30710</v>
      </c>
      <c r="L6116" s="16">
        <f>HYPERLINK("http://www.payload.com", "www.payload.com")</f>
      </c>
      <c r="M6116" s="16">
        <f>HYPERLINK("https://my.pitchbook.com?c=470610-73", "View Company Online")</f>
      </c>
    </row>
    <row r="6117">
      <c r="A6117" t="s" s="11">
        <v>30712</v>
      </c>
      <c r="B6117" t="s" s="11">
        <v>30713</v>
      </c>
      <c r="C6117" t="s" s="11">
        <v>27</v>
      </c>
      <c r="D6117" t="s" s="11">
        <v>70</v>
      </c>
      <c r="E6117" t="s" s="11">
        <v>1460</v>
      </c>
      <c r="F6117" s="28">
        <v>45717</v>
      </c>
      <c r="G6117" t="s" s="11">
        <v>40</v>
      </c>
      <c r="H6117" s="43">
        <v>30</v>
      </c>
      <c r="I6117" t="s" s="43">
        <v>30</v>
      </c>
      <c r="J6117" t="s" s="11">
        <v>30714</v>
      </c>
      <c r="K6117" t="s" s="11">
        <v>30715</v>
      </c>
      <c r="L6117" s="17">
        <f>HYPERLINK("http://www.paymate.in", "www.paymate.in")</f>
      </c>
      <c r="M6117" s="17">
        <f>HYPERLINK("https://my.pitchbook.com?c=42198-85", "View Company Online")</f>
      </c>
    </row>
    <row r="6118">
      <c r="A6118" t="s" s="10">
        <v>30717</v>
      </c>
      <c r="B6118" t="s" s="10">
        <v>30718</v>
      </c>
      <c r="C6118" t="s" s="10">
        <v>114</v>
      </c>
      <c r="D6118" t="s" s="10">
        <v>870</v>
      </c>
      <c r="E6118" t="s" s="10">
        <v>1207</v>
      </c>
      <c r="F6118" s="27">
        <v>44357</v>
      </c>
      <c r="G6118" t="s" s="10">
        <v>607</v>
      </c>
      <c r="H6118" t="s" s="42">
        <v>30</v>
      </c>
      <c r="I6118" t="s" s="42">
        <v>30</v>
      </c>
      <c r="J6118" t="s" s="10">
        <v>30719</v>
      </c>
      <c r="K6118" t="s" s="10">
        <v>30720</v>
      </c>
      <c r="L6118" s="16">
        <f>HYPERLINK("http://www.paymeindia.in", "www.paymeindia.in")</f>
      </c>
      <c r="M6118" s="16">
        <f>HYPERLINK("https://my.pitchbook.com?c=228134-89", "View Company Online")</f>
      </c>
    </row>
    <row r="6119">
      <c r="A6119" t="s" s="11">
        <v>30722</v>
      </c>
      <c r="B6119" t="s" s="11">
        <v>30723</v>
      </c>
      <c r="C6119" t="s" s="11">
        <v>37</v>
      </c>
      <c r="D6119" t="s" s="11">
        <v>304</v>
      </c>
      <c r="E6119" t="s" s="11">
        <v>270</v>
      </c>
      <c r="F6119" s="28">
        <v>45846</v>
      </c>
      <c r="G6119" t="s" s="11">
        <v>31</v>
      </c>
      <c r="H6119" s="43">
        <v>22.4</v>
      </c>
      <c r="I6119" t="s" s="43">
        <v>30</v>
      </c>
      <c r="J6119" t="s" s="11">
        <v>30724</v>
      </c>
      <c r="K6119" t="s" s="11">
        <v>30725</v>
      </c>
      <c r="L6119" s="17">
        <f>HYPERLINK("http://www.paymenow.app", "www.paymenow.app")</f>
      </c>
      <c r="M6119" s="17">
        <f>HYPERLINK("https://my.pitchbook.com?c=436341-52", "View Company Online")</f>
      </c>
    </row>
    <row r="6120">
      <c r="A6120" t="s" s="10">
        <v>30727</v>
      </c>
      <c r="B6120" t="s" s="10">
        <v>30728</v>
      </c>
      <c r="C6120" t="s" s="10">
        <v>27</v>
      </c>
      <c r="D6120" t="s" s="10">
        <v>28</v>
      </c>
      <c r="E6120" t="s" s="10">
        <v>158</v>
      </c>
      <c r="F6120" s="27">
        <v>46035</v>
      </c>
      <c r="G6120" t="s" s="10">
        <v>31</v>
      </c>
      <c r="H6120" s="42">
        <v>22</v>
      </c>
      <c r="I6120" t="s" s="42">
        <v>30</v>
      </c>
      <c r="J6120" t="s" s="10">
        <v>30729</v>
      </c>
      <c r="K6120" t="s" s="10">
        <v>30730</v>
      </c>
      <c r="L6120" s="16">
        <f>HYPERLINK("http://www.pie-int.com", "www.pie-int.com")</f>
      </c>
      <c r="M6120" s="16">
        <f>HYPERLINK("https://my.pitchbook.com?c=462800-17", "View Company Online")</f>
      </c>
    </row>
    <row r="6121">
      <c r="A6121" t="s" s="11">
        <v>30732</v>
      </c>
      <c r="B6121" t="s" s="11">
        <v>30733</v>
      </c>
      <c r="C6121" t="s" s="11">
        <v>27</v>
      </c>
      <c r="D6121" t="s" s="11">
        <v>70</v>
      </c>
      <c r="E6121" t="s" s="11">
        <v>259</v>
      </c>
      <c r="F6121" s="28">
        <v>45895</v>
      </c>
      <c r="G6121" t="s" s="11">
        <v>4267</v>
      </c>
      <c r="H6121" s="43">
        <v>3.25</v>
      </c>
      <c r="I6121" t="s" s="43">
        <v>30</v>
      </c>
      <c r="J6121" t="s" s="11">
        <v>30734</v>
      </c>
      <c r="K6121" t="s" s="11">
        <v>30735</v>
      </c>
      <c r="L6121" s="17">
        <f>HYPERLINK("http://www.paymentlabs.io", "www.paymentlabs.io")</f>
      </c>
      <c r="M6121" s="17">
        <f>HYPERLINK("https://my.pitchbook.com?c=453575-26", "View Company Online")</f>
      </c>
    </row>
    <row r="6122">
      <c r="A6122" t="s" s="10">
        <v>30737</v>
      </c>
      <c r="B6122" t="s" s="10">
        <v>30738</v>
      </c>
      <c r="C6122" t="s" s="10">
        <v>46</v>
      </c>
      <c r="D6122" t="s" s="10">
        <v>78</v>
      </c>
      <c r="E6122" t="s" s="10">
        <v>270</v>
      </c>
      <c r="F6122" s="27">
        <v>44650</v>
      </c>
      <c r="G6122" t="s" s="10">
        <v>4267</v>
      </c>
      <c r="H6122" t="s" s="42">
        <v>30</v>
      </c>
      <c r="I6122" t="s" s="42">
        <v>30</v>
      </c>
      <c r="J6122" t="s" s="10">
        <v>30739</v>
      </c>
      <c r="K6122" t="s" s="10">
        <v>30740</v>
      </c>
      <c r="L6122" s="16">
        <f>HYPERLINK("http://www.paymint-eg.com", "www.paymint-eg.com")</f>
      </c>
      <c r="M6122" s="16">
        <f>HYPERLINK("https://my.pitchbook.com?c=489833-65", "View Company Online")</f>
      </c>
    </row>
    <row r="6123">
      <c r="A6123" t="s" s="11">
        <v>30742</v>
      </c>
      <c r="B6123" t="s" s="11">
        <v>30743</v>
      </c>
      <c r="C6123" t="s" s="11">
        <v>27</v>
      </c>
      <c r="D6123" t="s" s="11">
        <v>28</v>
      </c>
      <c r="E6123" t="s" s="11">
        <v>1744</v>
      </c>
      <c r="F6123" t="s" s="28">
        <v>30</v>
      </c>
      <c r="G6123" t="s" s="11">
        <v>40</v>
      </c>
      <c r="H6123" t="s" s="43">
        <v>30</v>
      </c>
      <c r="I6123" t="s" s="43">
        <v>30</v>
      </c>
      <c r="J6123" t="s" s="11">
        <v>30744</v>
      </c>
      <c r="K6123" t="s" s="11">
        <v>30745</v>
      </c>
      <c r="L6123" s="17">
        <f>HYPERLINK("http://www.paymob.com", "www.paymob.com")</f>
      </c>
      <c r="M6123" s="17">
        <f>HYPERLINK("https://my.pitchbook.com?c=183601-81", "View Company Online")</f>
      </c>
    </row>
    <row r="6124">
      <c r="A6124" t="s" s="10">
        <v>30747</v>
      </c>
      <c r="B6124" t="s" s="10">
        <v>30748</v>
      </c>
      <c r="C6124" t="s" s="10">
        <v>27</v>
      </c>
      <c r="D6124" t="s" s="10">
        <v>28</v>
      </c>
      <c r="E6124" t="s" s="10">
        <v>4075</v>
      </c>
      <c r="F6124" s="27">
        <v>45677</v>
      </c>
      <c r="G6124" t="s" s="10">
        <v>4267</v>
      </c>
      <c r="H6124" s="42">
        <v>0.6</v>
      </c>
      <c r="I6124" t="s" s="42">
        <v>30</v>
      </c>
      <c r="J6124" t="s" s="10">
        <v>30749</v>
      </c>
      <c r="K6124" t="s" s="10">
        <v>30750</v>
      </c>
      <c r="L6124" s="16">
        <f>HYPERLINK("http://www.paymon.io", "www.paymon.io")</f>
      </c>
      <c r="M6124" s="16">
        <f>HYPERLINK("https://my.pitchbook.com?c=590212-54", "View Company Online")</f>
      </c>
    </row>
    <row r="6125">
      <c r="A6125" t="s" s="11">
        <v>30752</v>
      </c>
      <c r="B6125" t="s" s="11">
        <v>30753</v>
      </c>
      <c r="C6125" t="s" s="11">
        <v>27</v>
      </c>
      <c r="D6125" t="s" s="11">
        <v>28</v>
      </c>
      <c r="E6125" t="s" s="11">
        <v>193</v>
      </c>
      <c r="F6125" s="28">
        <v>46183</v>
      </c>
      <c r="G6125" t="s" s="11">
        <v>146</v>
      </c>
      <c r="H6125" s="43">
        <v>2.47</v>
      </c>
      <c r="I6125" t="s" s="43">
        <v>30</v>
      </c>
      <c r="J6125" t="s" s="11">
        <v>30754</v>
      </c>
      <c r="K6125" t="s" s="11">
        <v>30755</v>
      </c>
      <c r="L6125" s="17">
        <f>HYPERLINK("http://www.paymove.io", "www.paymove.io")</f>
      </c>
      <c r="M6125" s="17">
        <f>HYPERLINK("https://my.pitchbook.com?c=893622-34", "View Company Online")</f>
      </c>
    </row>
    <row r="6126">
      <c r="A6126" t="s" s="10">
        <v>30757</v>
      </c>
      <c r="B6126" t="s" s="10">
        <v>30758</v>
      </c>
      <c r="C6126" t="s" s="10">
        <v>27</v>
      </c>
      <c r="D6126" t="s" s="10">
        <v>28</v>
      </c>
      <c r="E6126" t="s" s="10">
        <v>414</v>
      </c>
      <c r="F6126" s="27">
        <v>44064</v>
      </c>
      <c r="G6126" t="s" s="10">
        <v>40</v>
      </c>
      <c r="H6126" s="42">
        <v>12.5</v>
      </c>
      <c r="I6126" t="s" s="42">
        <v>30</v>
      </c>
      <c r="J6126" t="s" s="10">
        <v>30759</v>
      </c>
      <c r="K6126" t="s" s="10">
        <v>30760</v>
      </c>
      <c r="L6126" s="16">
        <f>HYPERLINK("http://www.paynamics.com", "www.paynamics.com")</f>
      </c>
      <c r="M6126" s="16">
        <f>HYPERLINK("https://my.pitchbook.com?c=107677-54", "View Company Online")</f>
      </c>
    </row>
    <row r="6127">
      <c r="A6127" t="s" s="11">
        <v>30762</v>
      </c>
      <c r="B6127" t="s" s="11">
        <v>30763</v>
      </c>
      <c r="C6127" t="s" s="11">
        <v>27</v>
      </c>
      <c r="D6127" t="s" s="11">
        <v>28</v>
      </c>
      <c r="E6127" t="s" s="11">
        <v>253</v>
      </c>
      <c r="F6127" s="28">
        <v>45627</v>
      </c>
      <c r="G6127" t="s" s="11">
        <v>146</v>
      </c>
      <c r="H6127" t="s" s="43">
        <v>30</v>
      </c>
      <c r="I6127" t="s" s="43">
        <v>30</v>
      </c>
      <c r="J6127" t="s" s="11">
        <v>30764</v>
      </c>
      <c r="K6127" t="s" s="11">
        <v>30765</v>
      </c>
      <c r="L6127" s="17">
        <f>HYPERLINK("http://paynance.hu", "paynance.hu")</f>
      </c>
      <c r="M6127" s="17">
        <f>HYPERLINK("https://my.pitchbook.com?c=718186-15", "View Company Online")</f>
      </c>
    </row>
    <row r="6128">
      <c r="A6128" t="s" s="10">
        <v>30767</v>
      </c>
      <c r="B6128" t="s" s="10">
        <v>30768</v>
      </c>
      <c r="C6128" t="s" s="10">
        <v>46</v>
      </c>
      <c r="D6128" t="s" s="10">
        <v>78</v>
      </c>
      <c r="E6128" t="s" s="10">
        <v>253</v>
      </c>
      <c r="F6128" s="27">
        <v>45544</v>
      </c>
      <c r="G6128" t="s" s="10">
        <v>4267</v>
      </c>
      <c r="H6128" s="42">
        <v>1.11</v>
      </c>
      <c r="I6128" t="s" s="42">
        <v>30</v>
      </c>
      <c r="J6128" t="s" s="10">
        <v>30769</v>
      </c>
      <c r="K6128" t="s" s="10">
        <v>30770</v>
      </c>
      <c r="L6128" s="16">
        <f>HYPERLINK("http://www.paynest.co", "www.paynest.co")</f>
      </c>
      <c r="M6128" s="16">
        <f>HYPERLINK("https://my.pitchbook.com?c=529789-15", "View Company Online")</f>
      </c>
    </row>
    <row r="6129">
      <c r="A6129" t="s" s="11">
        <v>30772</v>
      </c>
      <c r="B6129" t="s" s="11">
        <v>30773</v>
      </c>
      <c r="C6129" t="s" s="11">
        <v>164</v>
      </c>
      <c r="D6129" t="s" s="11">
        <v>206</v>
      </c>
      <c r="E6129" t="s" s="11">
        <v>1859</v>
      </c>
      <c r="F6129" s="28">
        <v>44562</v>
      </c>
      <c r="G6129" t="s" s="11">
        <v>607</v>
      </c>
      <c r="H6129" t="s" s="43">
        <v>30</v>
      </c>
      <c r="I6129" t="s" s="43">
        <v>30</v>
      </c>
      <c r="J6129" t="s" s="11">
        <v>30774</v>
      </c>
      <c r="K6129" t="s" s="11">
        <v>30775</v>
      </c>
      <c r="L6129" s="17">
        <f>HYPERLINK("http://www.paynetics.digital", "www.paynetics.digital")</f>
      </c>
      <c r="M6129" s="17">
        <f>HYPERLINK("https://my.pitchbook.com?c=433769-14", "View Company Online")</f>
      </c>
    </row>
    <row r="6130">
      <c r="A6130" t="s" s="10">
        <v>30777</v>
      </c>
      <c r="B6130" t="s" s="10">
        <v>30778</v>
      </c>
      <c r="C6130" t="s" s="10">
        <v>27</v>
      </c>
      <c r="D6130" t="s" s="10">
        <v>28</v>
      </c>
      <c r="E6130" t="s" s="10">
        <v>332</v>
      </c>
      <c r="F6130" s="27">
        <v>46176</v>
      </c>
      <c r="G6130" t="s" s="10">
        <v>4267</v>
      </c>
      <c r="H6130" s="42">
        <v>5.83</v>
      </c>
      <c r="I6130" t="s" s="42">
        <v>30</v>
      </c>
      <c r="J6130" t="s" s="10">
        <v>30779</v>
      </c>
      <c r="K6130" t="s" s="10">
        <v>30780</v>
      </c>
      <c r="L6130" s="16">
        <f>HYPERLINK("http://www.paypercut.com", "www.paypercut.com")</f>
      </c>
      <c r="M6130" s="16">
        <f>HYPERLINK("https://my.pitchbook.com?c=770238-01", "View Company Online")</f>
      </c>
    </row>
    <row r="6131">
      <c r="A6131" t="s" s="11">
        <v>30782</v>
      </c>
      <c r="B6131" t="s" s="11">
        <v>30783</v>
      </c>
      <c r="C6131" t="s" s="11">
        <v>27</v>
      </c>
      <c r="D6131" t="s" s="11">
        <v>28</v>
      </c>
      <c r="E6131" t="s" s="11">
        <v>1800</v>
      </c>
      <c r="F6131" s="28">
        <v>44109</v>
      </c>
      <c r="G6131" t="s" s="11">
        <v>146</v>
      </c>
      <c r="H6131" s="43">
        <v>0.85</v>
      </c>
      <c r="I6131" t="s" s="43">
        <v>30</v>
      </c>
      <c r="J6131" t="s" s="11">
        <v>30784</v>
      </c>
      <c r="K6131" t="s" s="11">
        <v>30785</v>
      </c>
      <c r="L6131" s="17">
        <f>HYPERLINK("http://www.payple.kr", "www.payple.kr")</f>
      </c>
      <c r="M6131" s="17">
        <f>HYPERLINK("https://my.pitchbook.com?c=399559-33", "View Company Online")</f>
      </c>
    </row>
    <row r="6132">
      <c r="A6132" t="s" s="10">
        <v>30787</v>
      </c>
      <c r="B6132" t="s" s="10">
        <v>30788</v>
      </c>
      <c r="C6132" t="s" s="10">
        <v>27</v>
      </c>
      <c r="D6132" t="s" s="10">
        <v>70</v>
      </c>
      <c r="E6132" t="s" s="10">
        <v>253</v>
      </c>
      <c r="F6132" s="27">
        <v>44866</v>
      </c>
      <c r="G6132" t="s" s="10">
        <v>40</v>
      </c>
      <c r="H6132" t="s" s="42">
        <v>30</v>
      </c>
      <c r="I6132" t="s" s="42">
        <v>30</v>
      </c>
      <c r="J6132" t="s" s="10">
        <v>30789</v>
      </c>
      <c r="K6132" t="s" s="10">
        <v>25103</v>
      </c>
      <c r="L6132" s="16">
        <f>HYPERLINK("http://www.payportuk.com", "www.payportuk.com")</f>
      </c>
      <c r="M6132" s="16">
        <f>HYPERLINK("https://my.pitchbook.com?c=515055-97", "View Company Online")</f>
      </c>
    </row>
    <row r="6133">
      <c r="A6133" t="s" s="11">
        <v>30791</v>
      </c>
      <c r="B6133" t="s" s="11">
        <v>30792</v>
      </c>
      <c r="C6133" t="s" s="11">
        <v>27</v>
      </c>
      <c r="D6133" t="s" s="11">
        <v>28</v>
      </c>
      <c r="E6133" t="s" s="11">
        <v>373</v>
      </c>
      <c r="F6133" s="28">
        <v>45820</v>
      </c>
      <c r="G6133" t="s" s="11">
        <v>146</v>
      </c>
      <c r="H6133" s="43">
        <v>28.33</v>
      </c>
      <c r="I6133" t="s" s="43">
        <v>30</v>
      </c>
      <c r="J6133" t="s" s="11">
        <v>30793</v>
      </c>
      <c r="K6133" t="s" s="11">
        <v>30794</v>
      </c>
      <c r="L6133" s="17">
        <f>HYPERLINK("http://www.payrails.com", "www.payrails.com")</f>
      </c>
      <c r="M6133" s="17">
        <f>HYPERLINK("https://my.pitchbook.com?c=490106-17", "View Company Online")</f>
      </c>
    </row>
    <row r="6134">
      <c r="A6134" t="s" s="10">
        <v>30796</v>
      </c>
      <c r="B6134" t="s" s="10">
        <v>30797</v>
      </c>
      <c r="C6134" t="s" s="10">
        <v>27</v>
      </c>
      <c r="D6134" t="s" s="10">
        <v>28</v>
      </c>
      <c r="E6134" t="s" s="10">
        <v>253</v>
      </c>
      <c r="F6134" s="27">
        <v>45280</v>
      </c>
      <c r="G6134" t="s" s="10">
        <v>40</v>
      </c>
      <c r="H6134" s="42">
        <v>2.85</v>
      </c>
      <c r="I6134" t="s" s="42">
        <v>30</v>
      </c>
      <c r="J6134" t="s" s="10">
        <v>30798</v>
      </c>
      <c r="K6134" t="s" s="10">
        <v>30799</v>
      </c>
      <c r="L6134" s="16">
        <f>HYPERLINK("http://www.payrexx.com", "www.payrexx.com")</f>
      </c>
      <c r="M6134" s="16">
        <f>HYPERLINK("https://my.pitchbook.com?c=160680-43", "View Company Online")</f>
      </c>
    </row>
    <row r="6135">
      <c r="A6135" t="s" s="11">
        <v>30801</v>
      </c>
      <c r="B6135" t="s" s="11">
        <v>30802</v>
      </c>
      <c r="C6135" t="s" s="11">
        <v>46</v>
      </c>
      <c r="D6135" t="s" s="11">
        <v>47</v>
      </c>
      <c r="E6135" t="s" s="11">
        <v>137</v>
      </c>
      <c r="F6135" s="28">
        <v>45044</v>
      </c>
      <c r="G6135" t="s" s="11">
        <v>146</v>
      </c>
      <c r="H6135" s="43">
        <v>0.13</v>
      </c>
      <c r="I6135" t="s" s="43">
        <v>30</v>
      </c>
      <c r="J6135" t="s" s="11">
        <v>30803</v>
      </c>
      <c r="K6135" t="s" s="11">
        <v>15996</v>
      </c>
      <c r="L6135" s="17">
        <f>HYPERLINK("http://www.paysaction.com", "www.paysaction.com")</f>
      </c>
      <c r="M6135" s="17">
        <f>HYPERLINK("https://my.pitchbook.com?c=528405-22", "View Company Online")</f>
      </c>
    </row>
    <row r="6136">
      <c r="A6136" t="s" s="10">
        <v>30805</v>
      </c>
      <c r="B6136" t="s" s="10">
        <v>30806</v>
      </c>
      <c r="C6136" t="s" s="10">
        <v>27</v>
      </c>
      <c r="D6136" t="s" s="10">
        <v>28</v>
      </c>
      <c r="E6136" t="s" s="10">
        <v>30807</v>
      </c>
      <c r="F6136" s="27">
        <v>45305</v>
      </c>
      <c r="G6136" t="s" s="10">
        <v>40</v>
      </c>
      <c r="H6136" t="s" s="42">
        <v>30</v>
      </c>
      <c r="I6136" t="s" s="42">
        <v>30</v>
      </c>
      <c r="J6136" t="s" s="10">
        <v>30808</v>
      </c>
      <c r="K6136" t="s" s="10">
        <v>30809</v>
      </c>
      <c r="L6136" s="16">
        <f>HYPERLINK("http://www.paysky.io", "www.paysky.io")</f>
      </c>
      <c r="M6136" s="16">
        <f>HYPERLINK("https://my.pitchbook.com?c=264557-53", "View Company Online")</f>
      </c>
    </row>
    <row r="6137">
      <c r="A6137" t="s" s="11">
        <v>30811</v>
      </c>
      <c r="B6137" t="s" s="11">
        <v>30812</v>
      </c>
      <c r="C6137" t="s" s="11">
        <v>46</v>
      </c>
      <c r="D6137" t="s" s="11">
        <v>78</v>
      </c>
      <c r="E6137" t="s" s="11">
        <v>253</v>
      </c>
      <c r="F6137" s="28">
        <v>46154</v>
      </c>
      <c r="G6137" t="s" s="11">
        <v>4267</v>
      </c>
      <c r="H6137" t="s" s="43">
        <v>30</v>
      </c>
      <c r="I6137" t="s" s="43">
        <v>30</v>
      </c>
      <c r="J6137" t="s" s="11">
        <v>30813</v>
      </c>
      <c r="K6137" t="s" s="11">
        <v>30814</v>
      </c>
      <c r="L6137" s="17">
        <f>HYPERLINK("http://www.payslice.com", "www.payslice.com")</f>
      </c>
      <c r="M6137" s="17">
        <f>HYPERLINK("https://my.pitchbook.com?c=1364909-14", "View Company Online")</f>
      </c>
    </row>
    <row r="6138">
      <c r="A6138" t="s" s="10">
        <v>30816</v>
      </c>
      <c r="B6138" t="s" s="10">
        <v>30817</v>
      </c>
      <c r="C6138" t="s" s="10">
        <v>46</v>
      </c>
      <c r="D6138" t="s" s="10">
        <v>915</v>
      </c>
      <c r="E6138" t="s" s="10">
        <v>1578</v>
      </c>
      <c r="F6138" s="27">
        <v>45964</v>
      </c>
      <c r="G6138" t="s" s="10">
        <v>4267</v>
      </c>
      <c r="H6138" t="s" s="42">
        <v>30</v>
      </c>
      <c r="I6138" t="s" s="42">
        <v>30</v>
      </c>
      <c r="J6138" t="s" s="10">
        <v>30818</v>
      </c>
      <c r="K6138" t="s" s="10">
        <v>30819</v>
      </c>
      <c r="L6138" s="16">
        <f>HYPERLINK("http://www.paystandards.com", "www.paystandards.com")</f>
      </c>
      <c r="M6138" s="16">
        <f>HYPERLINK("https://my.pitchbook.com?c=551583-64", "View Company Online")</f>
      </c>
    </row>
    <row r="6139">
      <c r="A6139" t="s" s="11">
        <v>30821</v>
      </c>
      <c r="B6139" t="s" s="11">
        <v>30822</v>
      </c>
      <c r="C6139" t="s" s="11">
        <v>164</v>
      </c>
      <c r="D6139" t="s" s="11">
        <v>165</v>
      </c>
      <c r="E6139" t="s" s="11">
        <v>373</v>
      </c>
      <c r="F6139" s="28">
        <v>45902</v>
      </c>
      <c r="G6139" t="s" s="11">
        <v>607</v>
      </c>
      <c r="H6139" t="s" s="43">
        <v>30</v>
      </c>
      <c r="I6139" t="s" s="43">
        <v>30</v>
      </c>
      <c r="J6139" t="s" s="11">
        <v>30823</v>
      </c>
      <c r="K6139" t="s" s="11">
        <v>30824</v>
      </c>
      <c r="L6139" s="17">
        <f>HYPERLINK("http://paytic.ai", "paytic.ai")</f>
      </c>
      <c r="M6139" s="17">
        <f>HYPERLINK("https://my.pitchbook.com?c=496132-21", "View Company Online")</f>
      </c>
    </row>
    <row r="6140">
      <c r="A6140" t="s" s="10">
        <v>30826</v>
      </c>
      <c r="B6140" t="s" s="10">
        <v>30827</v>
      </c>
      <c r="C6140" t="s" s="10">
        <v>164</v>
      </c>
      <c r="D6140" t="s" s="10">
        <v>206</v>
      </c>
      <c r="E6140" t="s" s="10">
        <v>1065</v>
      </c>
      <c r="F6140" s="27">
        <v>44865</v>
      </c>
      <c r="G6140" t="s" s="10">
        <v>146</v>
      </c>
      <c r="H6140" s="42">
        <v>11.56</v>
      </c>
      <c r="I6140" t="s" s="42">
        <v>30</v>
      </c>
      <c r="J6140" t="s" s="10">
        <v>30828</v>
      </c>
      <c r="K6140" t="s" s="10">
        <v>30829</v>
      </c>
      <c r="L6140" s="16">
        <f>HYPERLINK("http://www.payveda.com", "www.payveda.com")</f>
      </c>
      <c r="M6140" s="16">
        <f>HYPERLINK("https://my.pitchbook.com?c=512488-72", "View Company Online")</f>
      </c>
    </row>
    <row r="6141">
      <c r="A6141" t="s" s="11">
        <v>30831</v>
      </c>
      <c r="B6141" t="s" s="11">
        <v>30832</v>
      </c>
      <c r="C6141" t="s" s="11">
        <v>60</v>
      </c>
      <c r="D6141" t="s" s="11">
        <v>192</v>
      </c>
      <c r="E6141" t="s" s="11">
        <v>253</v>
      </c>
      <c r="F6141" s="28">
        <v>45139</v>
      </c>
      <c r="G6141" t="s" s="11">
        <v>146</v>
      </c>
      <c r="H6141" s="43">
        <v>1.66</v>
      </c>
      <c r="I6141" t="s" s="43">
        <v>30</v>
      </c>
      <c r="J6141" t="s" s="11">
        <v>30833</v>
      </c>
      <c r="K6141" t="s" s="11">
        <v>30834</v>
      </c>
      <c r="L6141" s="17">
        <f>HYPERLINK("http://www.pe3.io", "www.pe3.io")</f>
      </c>
      <c r="M6141" s="17">
        <f>HYPERLINK("https://my.pitchbook.com?c=534857-59", "View Company Online")</f>
      </c>
    </row>
    <row r="6142">
      <c r="A6142" t="s" s="10">
        <v>30836</v>
      </c>
      <c r="B6142" t="s" s="10">
        <v>30837</v>
      </c>
      <c r="C6142" t="s" s="10">
        <v>27</v>
      </c>
      <c r="D6142" t="s" s="10">
        <v>28</v>
      </c>
      <c r="E6142" t="s" s="10">
        <v>951</v>
      </c>
      <c r="F6142" s="27">
        <v>45184</v>
      </c>
      <c r="G6142" t="s" s="10">
        <v>40</v>
      </c>
      <c r="H6142" s="42">
        <v>31</v>
      </c>
      <c r="I6142" t="s" s="42">
        <v>30</v>
      </c>
      <c r="J6142" t="s" s="10">
        <v>30838</v>
      </c>
      <c r="K6142" t="s" s="10">
        <v>30839</v>
      </c>
      <c r="L6142" s="16">
        <f>HYPERLINK("http://www.peachpayments.com", "www.peachpayments.com")</f>
      </c>
      <c r="M6142" s="16">
        <f>HYPERLINK("https://my.pitchbook.com?c=88306-48", "View Company Online")</f>
      </c>
    </row>
    <row r="6143">
      <c r="A6143" t="s" s="11">
        <v>30841</v>
      </c>
      <c r="B6143" t="s" s="11">
        <v>30842</v>
      </c>
      <c r="C6143" t="s" s="11">
        <v>114</v>
      </c>
      <c r="D6143" t="s" s="11">
        <v>136</v>
      </c>
      <c r="E6143" t="s" s="11">
        <v>137</v>
      </c>
      <c r="F6143" s="28">
        <v>44690</v>
      </c>
      <c r="G6143" t="s" s="11">
        <v>146</v>
      </c>
      <c r="H6143" s="43">
        <v>0.83</v>
      </c>
      <c r="I6143" t="s" s="43">
        <v>30</v>
      </c>
      <c r="J6143" t="s" s="11">
        <v>30843</v>
      </c>
      <c r="K6143" t="s" s="11">
        <v>30844</v>
      </c>
      <c r="L6143" s="17">
        <f>HYPERLINK("http://www.peakinvest.com.br", "www.peakinvest.com.br")</f>
      </c>
      <c r="M6143" s="17">
        <f>HYPERLINK("https://my.pitchbook.com?c=268611-31", "View Company Online")</f>
      </c>
    </row>
    <row r="6144">
      <c r="A6144" t="s" s="10">
        <v>30846</v>
      </c>
      <c r="B6144" t="s" s="10">
        <v>30847</v>
      </c>
      <c r="C6144" t="s" s="10">
        <v>46</v>
      </c>
      <c r="D6144" t="s" s="10">
        <v>47</v>
      </c>
      <c r="E6144" t="s" s="10">
        <v>20684</v>
      </c>
      <c r="F6144" t="s" s="27">
        <v>30</v>
      </c>
      <c r="G6144" t="s" s="10">
        <v>48</v>
      </c>
      <c r="H6144" t="s" s="42">
        <v>30</v>
      </c>
      <c r="I6144" t="s" s="42">
        <v>30</v>
      </c>
      <c r="J6144" t="s" s="10">
        <v>30848</v>
      </c>
      <c r="K6144" t="s" s="10">
        <v>30849</v>
      </c>
      <c r="L6144" s="16">
        <f>HYPERLINK("http://www.peakflo.co", "www.peakflo.co")</f>
      </c>
      <c r="M6144" s="16">
        <f>HYPERLINK("https://my.pitchbook.com?c=462038-41", "View Company Online")</f>
      </c>
    </row>
    <row r="6145">
      <c r="A6145" t="s" s="11">
        <v>30851</v>
      </c>
      <c r="B6145" t="s" s="11">
        <v>30852</v>
      </c>
      <c r="C6145" t="s" s="11">
        <v>60</v>
      </c>
      <c r="D6145" t="s" s="11">
        <v>246</v>
      </c>
      <c r="E6145" t="s" s="11">
        <v>30853</v>
      </c>
      <c r="F6145" t="s" s="28">
        <v>30</v>
      </c>
      <c r="G6145" t="s" s="11">
        <v>48</v>
      </c>
      <c r="H6145" t="s" s="43">
        <v>30</v>
      </c>
      <c r="I6145" t="s" s="43">
        <v>30</v>
      </c>
      <c r="J6145" t="s" s="11">
        <v>30854</v>
      </c>
      <c r="K6145" t="s" s="11">
        <v>30855</v>
      </c>
      <c r="L6145" s="17">
        <f>HYPERLINK("http://www.getpeanutbutter.com", "www.getpeanutbutter.com")</f>
      </c>
      <c r="M6145" s="17">
        <f>HYPERLINK("https://my.pitchbook.com?c=155883-25", "View Company Online")</f>
      </c>
    </row>
    <row r="6146">
      <c r="A6146" t="s" s="10">
        <v>30857</v>
      </c>
      <c r="B6146" t="s" s="10">
        <v>30858</v>
      </c>
      <c r="C6146" t="s" s="10">
        <v>60</v>
      </c>
      <c r="D6146" t="s" s="10">
        <v>61</v>
      </c>
      <c r="E6146" t="s" s="10">
        <v>193</v>
      </c>
      <c r="F6146" s="27">
        <v>46191</v>
      </c>
      <c r="G6146" t="s" s="10">
        <v>40</v>
      </c>
      <c r="H6146" t="s" s="42">
        <v>30</v>
      </c>
      <c r="I6146" t="s" s="42">
        <v>30</v>
      </c>
      <c r="J6146" t="s" s="10">
        <v>30859</v>
      </c>
      <c r="K6146" t="s" s="10">
        <v>30860</v>
      </c>
      <c r="L6146" s="16">
        <f>HYPERLINK("http://www.pearler.com", "www.pearler.com")</f>
      </c>
      <c r="M6146" s="16">
        <f>HYPERLINK("https://my.pitchbook.com?c=470503-45", "View Company Online")</f>
      </c>
    </row>
    <row r="6147">
      <c r="A6147" t="s" s="11">
        <v>30862</v>
      </c>
      <c r="B6147" t="s" s="11">
        <v>30863</v>
      </c>
      <c r="C6147" t="s" s="11">
        <v>46</v>
      </c>
      <c r="D6147" t="s" s="11">
        <v>47</v>
      </c>
      <c r="E6147" t="s" s="11">
        <v>12050</v>
      </c>
      <c r="F6147" s="28">
        <v>45665</v>
      </c>
      <c r="G6147" t="s" s="11">
        <v>138</v>
      </c>
      <c r="H6147" t="s" s="43">
        <v>30</v>
      </c>
      <c r="I6147" t="s" s="43">
        <v>30</v>
      </c>
      <c r="J6147" t="s" s="11">
        <v>30864</v>
      </c>
      <c r="K6147" t="s" s="11">
        <v>30865</v>
      </c>
      <c r="L6147" s="17">
        <f>HYPERLINK("http://www.pearly.co", "www.pearly.co")</f>
      </c>
      <c r="M6147" s="17">
        <f>HYPERLINK("https://my.pitchbook.com?c=492750-73", "View Company Online")</f>
      </c>
    </row>
    <row r="6148">
      <c r="A6148" t="s" s="10">
        <v>30867</v>
      </c>
      <c r="B6148" t="s" s="10">
        <v>30868</v>
      </c>
      <c r="C6148" t="s" s="10">
        <v>46</v>
      </c>
      <c r="D6148" t="s" s="10">
        <v>47</v>
      </c>
      <c r="E6148" t="s" s="10">
        <v>253</v>
      </c>
      <c r="F6148" s="27">
        <v>46014</v>
      </c>
      <c r="G6148" t="s" s="10">
        <v>138</v>
      </c>
      <c r="H6148" t="s" s="42">
        <v>30</v>
      </c>
      <c r="I6148" t="s" s="42">
        <v>30</v>
      </c>
      <c r="J6148" t="s" s="10">
        <v>30869</v>
      </c>
      <c r="K6148" t="s" s="10">
        <v>30870</v>
      </c>
      <c r="L6148" s="16">
        <f>HYPERLINK("http://www.peko.one", "www.peko.one")</f>
      </c>
      <c r="M6148" s="16">
        <f>HYPERLINK("https://my.pitchbook.com?c=510627-70", "View Company Online")</f>
      </c>
    </row>
    <row r="6149">
      <c r="A6149" t="s" s="11">
        <v>30872</v>
      </c>
      <c r="B6149" t="s" s="11">
        <v>30873</v>
      </c>
      <c r="C6149" t="s" s="11">
        <v>46</v>
      </c>
      <c r="D6149" t="s" s="11">
        <v>47</v>
      </c>
      <c r="E6149" t="s" s="11">
        <v>193</v>
      </c>
      <c r="F6149" t="s" s="28">
        <v>30</v>
      </c>
      <c r="G6149" t="s" s="11">
        <v>146</v>
      </c>
      <c r="H6149" t="s" s="43">
        <v>30</v>
      </c>
      <c r="I6149" t="s" s="43">
        <v>30</v>
      </c>
      <c r="J6149" t="s" s="11">
        <v>30874</v>
      </c>
      <c r="K6149" t="s" s="11">
        <v>30875</v>
      </c>
      <c r="L6149" s="17">
        <f>HYPERLINK("http://www.pemo.io", "www.pemo.io")</f>
      </c>
      <c r="M6149" s="17">
        <f>HYPERLINK("https://my.pitchbook.com?c=495786-88", "View Company Online")</f>
      </c>
    </row>
    <row r="6150">
      <c r="A6150" t="s" s="10">
        <v>30877</v>
      </c>
      <c r="B6150" t="s" s="10">
        <v>30878</v>
      </c>
      <c r="C6150" t="s" s="10">
        <v>60</v>
      </c>
      <c r="D6150" t="s" s="10">
        <v>192</v>
      </c>
      <c r="E6150" t="s" s="10">
        <v>12122</v>
      </c>
      <c r="F6150" t="s" s="27">
        <v>30</v>
      </c>
      <c r="G6150" t="s" s="10">
        <v>48</v>
      </c>
      <c r="H6150" t="s" s="42">
        <v>30</v>
      </c>
      <c r="I6150" t="s" s="42">
        <v>30</v>
      </c>
      <c r="J6150" t="s" s="10">
        <v>30879</v>
      </c>
      <c r="K6150" t="s" s="10">
        <v>30880</v>
      </c>
      <c r="L6150" s="16">
        <f>HYPERLINK("http://www.pendle.finance", "www.pendle.finance")</f>
      </c>
      <c r="M6150" s="16">
        <f>HYPERLINK("https://my.pitchbook.com?c=464503-06", "View Company Online")</f>
      </c>
    </row>
    <row r="6151">
      <c r="A6151" t="s" s="11">
        <v>30882</v>
      </c>
      <c r="B6151" t="s" s="11">
        <v>30883</v>
      </c>
      <c r="C6151" t="s" s="11">
        <v>46</v>
      </c>
      <c r="D6151" t="s" s="11">
        <v>47</v>
      </c>
      <c r="E6151" t="s" s="11">
        <v>373</v>
      </c>
      <c r="F6151" s="28">
        <v>45839</v>
      </c>
      <c r="G6151" t="s" s="11">
        <v>40</v>
      </c>
      <c r="H6151" t="s" s="43">
        <v>30</v>
      </c>
      <c r="I6151" t="s" s="43">
        <v>30</v>
      </c>
      <c r="J6151" t="s" s="11">
        <v>30884</v>
      </c>
      <c r="K6151" t="s" s="11">
        <v>30885</v>
      </c>
      <c r="L6151" s="17">
        <f>HYPERLINK("http://www.penny.co", "www.penny.co")</f>
      </c>
      <c r="M6151" s="17">
        <f>HYPERLINK("https://my.pitchbook.com?c=439311-88", "View Company Online")</f>
      </c>
    </row>
    <row r="6152">
      <c r="A6152" t="s" s="10">
        <v>30887</v>
      </c>
      <c r="B6152" t="s" s="10">
        <v>30888</v>
      </c>
      <c r="C6152" t="s" s="10">
        <v>60</v>
      </c>
      <c r="D6152" t="s" s="10">
        <v>420</v>
      </c>
      <c r="E6152" t="s" s="10">
        <v>1093</v>
      </c>
      <c r="F6152" s="27">
        <v>45253</v>
      </c>
      <c r="G6152" t="s" s="10">
        <v>271</v>
      </c>
      <c r="H6152" t="s" s="42">
        <v>30</v>
      </c>
      <c r="I6152" t="s" s="42">
        <v>30</v>
      </c>
      <c r="J6152" t="s" s="10">
        <v>30889</v>
      </c>
      <c r="K6152" t="s" s="10">
        <v>30890</v>
      </c>
      <c r="L6152" s="16">
        <f>HYPERLINK("http://www.pensify.com", "www.pensify.com")</f>
      </c>
      <c r="M6152" s="16">
        <f>HYPERLINK("https://my.pitchbook.com?c=519955-75", "View Company Online")</f>
      </c>
    </row>
    <row r="6153">
      <c r="A6153" t="s" s="11">
        <v>30892</v>
      </c>
      <c r="B6153" t="s" s="11">
        <v>30893</v>
      </c>
      <c r="C6153" t="s" s="11">
        <v>144</v>
      </c>
      <c r="D6153" t="s" s="11">
        <v>297</v>
      </c>
      <c r="E6153" t="s" s="11">
        <v>253</v>
      </c>
      <c r="F6153" t="s" s="28">
        <v>30</v>
      </c>
      <c r="G6153" t="s" s="11">
        <v>607</v>
      </c>
      <c r="H6153" t="s" s="43">
        <v>30</v>
      </c>
      <c r="I6153" t="s" s="43">
        <v>30</v>
      </c>
      <c r="J6153" t="s" s="11">
        <v>30894</v>
      </c>
      <c r="K6153" t="s" s="11">
        <v>30895</v>
      </c>
      <c r="L6153" s="17">
        <f>HYPERLINK("http://www.pentech.hu/en", "www.pentech.hu/en")</f>
      </c>
      <c r="M6153" s="17">
        <f>HYPERLINK("https://my.pitchbook.com?c=442486-63", "View Company Online")</f>
      </c>
    </row>
    <row r="6154">
      <c r="A6154" t="s" s="10">
        <v>30897</v>
      </c>
      <c r="B6154" t="s" s="10">
        <v>30898</v>
      </c>
      <c r="C6154" t="s" s="10">
        <v>60</v>
      </c>
      <c r="D6154" t="s" s="10">
        <v>420</v>
      </c>
      <c r="E6154" t="s" s="10">
        <v>20110</v>
      </c>
      <c r="F6154" s="27">
        <v>45798</v>
      </c>
      <c r="G6154" t="s" s="10">
        <v>146</v>
      </c>
      <c r="H6154" s="42">
        <v>3.61</v>
      </c>
      <c r="I6154" t="s" s="42">
        <v>30</v>
      </c>
      <c r="J6154" t="s" s="10">
        <v>30899</v>
      </c>
      <c r="K6154" t="s" s="10">
        <v>30900</v>
      </c>
      <c r="L6154" s="16">
        <f>HYPERLINK("http://www.penzilla.de", "www.penzilla.de")</f>
      </c>
      <c r="M6154" s="16">
        <f>HYPERLINK("https://my.pitchbook.com?c=522582-85", "View Company Online")</f>
      </c>
    </row>
    <row r="6155">
      <c r="A6155" t="s" s="11">
        <v>30902</v>
      </c>
      <c r="B6155" t="s" s="11">
        <v>30903</v>
      </c>
      <c r="C6155" t="s" s="11">
        <v>114</v>
      </c>
      <c r="D6155" t="s" s="11">
        <v>136</v>
      </c>
      <c r="E6155" t="s" s="11">
        <v>9259</v>
      </c>
      <c r="F6155" s="28">
        <v>44927</v>
      </c>
      <c r="G6155" t="s" s="11">
        <v>607</v>
      </c>
      <c r="H6155" t="s" s="43">
        <v>30</v>
      </c>
      <c r="I6155" t="s" s="43">
        <v>30</v>
      </c>
      <c r="J6155" t="s" s="11">
        <v>30904</v>
      </c>
      <c r="K6155" t="s" s="11">
        <v>30905</v>
      </c>
      <c r="L6155" s="17">
        <f>HYPERLINK("http://www.peoplejoy.com", "www.peoplejoy.com")</f>
      </c>
      <c r="M6155" s="17">
        <f>HYPERLINK("https://my.pitchbook.com?c=229050-82", "View Company Online")</f>
      </c>
    </row>
    <row r="6156">
      <c r="A6156" t="s" s="10">
        <v>30907</v>
      </c>
      <c r="B6156" t="s" s="10">
        <v>30908</v>
      </c>
      <c r="C6156" t="s" s="10">
        <v>60</v>
      </c>
      <c r="D6156" t="s" s="10">
        <v>727</v>
      </c>
      <c r="E6156" t="s" s="10">
        <v>2835</v>
      </c>
      <c r="F6156" s="27">
        <v>45839</v>
      </c>
      <c r="G6156" t="s" s="10">
        <v>40</v>
      </c>
      <c r="H6156" t="s" s="42">
        <v>30</v>
      </c>
      <c r="I6156" t="s" s="42">
        <v>30</v>
      </c>
      <c r="J6156" t="s" s="10">
        <v>30909</v>
      </c>
      <c r="K6156" t="s" s="10">
        <v>30910</v>
      </c>
      <c r="L6156" s="16">
        <f>HYPERLINK("http://www.perannum.money", "www.perannum.money")</f>
      </c>
      <c r="M6156" s="16">
        <f>HYPERLINK("https://my.pitchbook.com?c=653777-92", "View Company Online")</f>
      </c>
    </row>
    <row r="6157">
      <c r="A6157" t="s" s="11">
        <v>30912</v>
      </c>
      <c r="B6157" t="s" s="11">
        <v>30913</v>
      </c>
      <c r="C6157" t="s" s="11">
        <v>114</v>
      </c>
      <c r="D6157" t="s" s="11">
        <v>115</v>
      </c>
      <c r="E6157" t="s" s="11">
        <v>1625</v>
      </c>
      <c r="F6157" s="28">
        <v>45901</v>
      </c>
      <c r="G6157" t="s" s="11">
        <v>40</v>
      </c>
      <c r="H6157" t="s" s="43">
        <v>30</v>
      </c>
      <c r="I6157" t="s" s="43">
        <v>30</v>
      </c>
      <c r="J6157" t="s" s="11">
        <v>30914</v>
      </c>
      <c r="K6157" t="s" s="11">
        <v>30915</v>
      </c>
      <c r="L6157" s="17">
        <f>HYPERLINK("http://www.myperch.io", "www.myperch.io")</f>
      </c>
      <c r="M6157" s="17">
        <f>HYPERLINK("https://my.pitchbook.com?c=482255-20", "View Company Online")</f>
      </c>
    </row>
    <row r="6158">
      <c r="A6158" t="s" s="10">
        <v>30917</v>
      </c>
      <c r="B6158" t="s" s="10">
        <v>30918</v>
      </c>
      <c r="C6158" t="s" s="10">
        <v>114</v>
      </c>
      <c r="D6158" t="s" s="10">
        <v>852</v>
      </c>
      <c r="E6158" t="s" s="10">
        <v>137</v>
      </c>
      <c r="F6158" s="27">
        <v>45922</v>
      </c>
      <c r="G6158" t="s" s="10">
        <v>146</v>
      </c>
      <c r="H6158" s="42">
        <v>13</v>
      </c>
      <c r="I6158" t="s" s="42">
        <v>30</v>
      </c>
      <c r="J6158" t="s" s="10">
        <v>30919</v>
      </c>
      <c r="K6158" t="s" s="10">
        <v>30920</v>
      </c>
      <c r="L6158" s="16">
        <f>HYPERLINK("http://www.permianlabs.xyz", "www.permianlabs.xyz")</f>
      </c>
      <c r="M6158" s="16">
        <f>HYPERLINK("https://my.pitchbook.com?c=675270-91", "View Company Online")</f>
      </c>
    </row>
    <row r="6159">
      <c r="A6159" t="s" s="11">
        <v>30922</v>
      </c>
      <c r="B6159" t="s" s="11">
        <v>30923</v>
      </c>
      <c r="C6159" t="s" s="11">
        <v>164</v>
      </c>
      <c r="D6159" t="s" s="11">
        <v>1678</v>
      </c>
      <c r="E6159" t="s" s="11">
        <v>108</v>
      </c>
      <c r="F6159" s="28">
        <v>46023</v>
      </c>
      <c r="G6159" t="s" s="11">
        <v>146</v>
      </c>
      <c r="H6159" t="s" s="43">
        <v>30</v>
      </c>
      <c r="I6159" t="s" s="43">
        <v>30</v>
      </c>
      <c r="J6159" t="s" s="11">
        <v>30924</v>
      </c>
      <c r="K6159" t="s" s="11">
        <v>30925</v>
      </c>
      <c r="L6159" s="17">
        <f>HYPERLINK("http://www.permute.ai", "www.permute.ai")</f>
      </c>
      <c r="M6159" s="17">
        <f>HYPERLINK("https://my.pitchbook.com?c=1243630-99", "View Company Online")</f>
      </c>
    </row>
    <row r="6160">
      <c r="A6160" t="s" s="10">
        <v>30927</v>
      </c>
      <c r="B6160" t="s" s="10">
        <v>30928</v>
      </c>
      <c r="C6160" t="s" s="10">
        <v>46</v>
      </c>
      <c r="D6160" t="s" s="10">
        <v>397</v>
      </c>
      <c r="E6160" t="s" s="10">
        <v>373</v>
      </c>
      <c r="F6160" s="27">
        <v>46104</v>
      </c>
      <c r="G6160" t="s" s="10">
        <v>4267</v>
      </c>
      <c r="H6160" s="42">
        <v>17</v>
      </c>
      <c r="I6160" t="s" s="42">
        <v>30</v>
      </c>
      <c r="J6160" t="s" s="10">
        <v>30929</v>
      </c>
      <c r="K6160" t="s" s="10">
        <v>30930</v>
      </c>
      <c r="L6160" s="16">
        <f>HYPERLINK("http://www.petual.ai", "www.petual.ai")</f>
      </c>
      <c r="M6160" s="16">
        <f>HYPERLINK("https://my.pitchbook.com?c=897398-56", "View Company Online")</f>
      </c>
    </row>
    <row r="6161">
      <c r="A6161" t="s" s="11">
        <v>30932</v>
      </c>
      <c r="B6161" t="s" s="11">
        <v>30933</v>
      </c>
      <c r="C6161" t="s" s="11">
        <v>114</v>
      </c>
      <c r="D6161" t="s" s="11">
        <v>136</v>
      </c>
      <c r="E6161" t="s" s="11">
        <v>759</v>
      </c>
      <c r="F6161" s="28">
        <v>44927</v>
      </c>
      <c r="G6161" t="s" s="11">
        <v>40</v>
      </c>
      <c r="H6161" t="s" s="43">
        <v>30</v>
      </c>
      <c r="I6161" t="s" s="43">
        <v>30</v>
      </c>
      <c r="J6161" t="s" s="11">
        <v>30934</v>
      </c>
      <c r="K6161" t="s" s="11">
        <v>30935</v>
      </c>
      <c r="L6161" s="17">
        <f>HYPERLINK("http://pezesha.com", "pezesha.com")</f>
      </c>
      <c r="M6161" s="17">
        <f>HYPERLINK("https://my.pitchbook.com?c=182447-02", "View Company Online")</f>
      </c>
    </row>
    <row r="6162">
      <c r="A6162" t="s" s="10">
        <v>30937</v>
      </c>
      <c r="B6162" t="s" s="10">
        <v>30938</v>
      </c>
      <c r="C6162" t="s" s="10">
        <v>60</v>
      </c>
      <c r="D6162" t="s" s="10">
        <v>727</v>
      </c>
      <c r="E6162" t="s" s="10">
        <v>253</v>
      </c>
      <c r="F6162" s="27">
        <v>45444</v>
      </c>
      <c r="G6162" t="s" s="10">
        <v>40</v>
      </c>
      <c r="H6162" t="s" s="42">
        <v>30</v>
      </c>
      <c r="I6162" t="s" s="42">
        <v>30</v>
      </c>
      <c r="J6162" t="s" s="10">
        <v>30939</v>
      </c>
      <c r="K6162" t="s" s="10">
        <v>30940</v>
      </c>
      <c r="L6162" s="16">
        <f>HYPERLINK("http://www.pfct.co.kr", "www.pfct.co.kr")</f>
      </c>
      <c r="M6162" s="16">
        <f>HYPERLINK("https://my.pitchbook.com?c=156368-26", "View Company Online")</f>
      </c>
    </row>
    <row r="6163">
      <c r="A6163" t="s" s="11">
        <v>30942</v>
      </c>
      <c r="B6163" t="s" s="11">
        <v>30943</v>
      </c>
      <c r="C6163" t="s" s="11">
        <v>128</v>
      </c>
      <c r="D6163" t="s" s="11">
        <v>199</v>
      </c>
      <c r="E6163" t="s" s="11">
        <v>270</v>
      </c>
      <c r="F6163" s="28">
        <v>46139</v>
      </c>
      <c r="G6163" t="s" s="11">
        <v>2051</v>
      </c>
      <c r="H6163" t="s" s="43">
        <v>30</v>
      </c>
      <c r="I6163" t="s" s="43">
        <v>30</v>
      </c>
      <c r="J6163" t="s" s="11">
        <v>30944</v>
      </c>
      <c r="K6163" t="s" s="11">
        <v>30</v>
      </c>
      <c r="L6163" s="17">
        <f>HYPERLINK("http://www.phood.co", "www.phood.co")</f>
      </c>
      <c r="M6163" s="17">
        <f>HYPERLINK("https://my.pitchbook.com?c=438031-63", "View Company Online")</f>
      </c>
    </row>
    <row r="6164">
      <c r="A6164" t="s" s="10">
        <v>30946</v>
      </c>
      <c r="B6164" t="s" s="10">
        <v>30947</v>
      </c>
      <c r="C6164" t="s" s="10">
        <v>114</v>
      </c>
      <c r="D6164" t="s" s="10">
        <v>1386</v>
      </c>
      <c r="E6164" t="s" s="10">
        <v>3604</v>
      </c>
      <c r="F6164" s="27">
        <v>45658</v>
      </c>
      <c r="G6164" t="s" s="10">
        <v>146</v>
      </c>
      <c r="H6164" t="s" s="42">
        <v>30</v>
      </c>
      <c r="I6164" t="s" s="42">
        <v>30</v>
      </c>
      <c r="J6164" t="s" s="10">
        <v>30948</v>
      </c>
      <c r="K6164" t="s" s="10">
        <v>30949</v>
      </c>
      <c r="L6164" s="16">
        <f>HYPERLINK("http://www.phosphor.co", "www.phosphor.co")</f>
      </c>
      <c r="M6164" s="16">
        <f>HYPERLINK("https://my.pitchbook.com?c=493083-55", "View Company Online")</f>
      </c>
    </row>
    <row r="6165">
      <c r="A6165" t="s" s="11">
        <v>30951</v>
      </c>
      <c r="B6165" t="s" s="11">
        <v>30952</v>
      </c>
      <c r="C6165" t="s" s="11">
        <v>27</v>
      </c>
      <c r="D6165" t="s" s="11">
        <v>28</v>
      </c>
      <c r="E6165" t="s" s="11">
        <v>253</v>
      </c>
      <c r="F6165" s="28">
        <v>46031</v>
      </c>
      <c r="G6165" t="s" s="11">
        <v>40</v>
      </c>
      <c r="H6165" t="s" s="43">
        <v>30</v>
      </c>
      <c r="I6165" t="s" s="43">
        <v>30</v>
      </c>
      <c r="J6165" t="s" s="11">
        <v>30953</v>
      </c>
      <c r="K6165" t="s" s="11">
        <v>30954</v>
      </c>
      <c r="L6165" s="17">
        <f>HYPERLINK("http://www.photonpay.com", "www.photonpay.com")</f>
      </c>
      <c r="M6165" s="17">
        <f>HYPERLINK("https://my.pitchbook.com?c=595802-80", "View Company Online")</f>
      </c>
    </row>
    <row r="6166">
      <c r="A6166" t="s" s="10">
        <v>30956</v>
      </c>
      <c r="B6166" t="s" s="10">
        <v>30957</v>
      </c>
      <c r="C6166" t="s" s="10">
        <v>46</v>
      </c>
      <c r="D6166" t="s" s="10">
        <v>47</v>
      </c>
      <c r="E6166" t="s" s="10">
        <v>17118</v>
      </c>
      <c r="F6166" s="27">
        <v>45717</v>
      </c>
      <c r="G6166" t="s" s="10">
        <v>146</v>
      </c>
      <c r="H6166" t="s" s="42">
        <v>30</v>
      </c>
      <c r="I6166" t="s" s="42">
        <v>30</v>
      </c>
      <c r="J6166" t="s" s="10">
        <v>30958</v>
      </c>
      <c r="K6166" t="s" s="10">
        <v>30959</v>
      </c>
      <c r="L6166" s="16">
        <f>HYPERLINK("http://www.getpiana.com", "www.getpiana.com")</f>
      </c>
      <c r="M6166" s="16">
        <f>HYPERLINK("https://my.pitchbook.com?c=501329-80", "View Company Online")</f>
      </c>
    </row>
    <row r="6167">
      <c r="A6167" t="s" s="11">
        <v>30961</v>
      </c>
      <c r="B6167" t="s" s="11">
        <v>30962</v>
      </c>
      <c r="C6167" t="s" s="11">
        <v>46</v>
      </c>
      <c r="D6167" t="s" s="11">
        <v>397</v>
      </c>
      <c r="E6167" t="s" s="11">
        <v>137</v>
      </c>
      <c r="F6167" s="28">
        <v>45698</v>
      </c>
      <c r="G6167" t="s" s="11">
        <v>40</v>
      </c>
      <c r="H6167" t="s" s="43">
        <v>30</v>
      </c>
      <c r="I6167" t="s" s="43">
        <v>30</v>
      </c>
      <c r="J6167" t="s" s="11">
        <v>30963</v>
      </c>
      <c r="K6167" t="s" s="11">
        <v>30964</v>
      </c>
      <c r="L6167" s="17">
        <f>HYPERLINK("http://www.pdd-fapiao.com", "www.pdd-fapiao.com")</f>
      </c>
      <c r="M6167" s="17">
        <f>HYPERLINK("https://my.pitchbook.com?c=541262-98", "View Company Online")</f>
      </c>
    </row>
    <row r="6168">
      <c r="A6168" t="s" s="10">
        <v>30966</v>
      </c>
      <c r="B6168" t="s" s="10">
        <v>30967</v>
      </c>
      <c r="C6168" t="s" s="10">
        <v>114</v>
      </c>
      <c r="D6168" t="s" s="10">
        <v>136</v>
      </c>
      <c r="E6168" t="s" s="10">
        <v>137</v>
      </c>
      <c r="F6168" s="27">
        <v>44334</v>
      </c>
      <c r="G6168" t="s" s="10">
        <v>146</v>
      </c>
      <c r="H6168" s="42">
        <v>1.55</v>
      </c>
      <c r="I6168" t="s" s="42">
        <v>30</v>
      </c>
      <c r="J6168" t="s" s="10">
        <v>30968</v>
      </c>
      <c r="K6168" t="s" s="10">
        <v>30</v>
      </c>
      <c r="L6168" s="16">
        <f>HYPERLINK("http://www.pttkj.net", "www.pttkj.net")</f>
      </c>
      <c r="M6168" s="16">
        <f>HYPERLINK("https://my.pitchbook.com?c=466524-19", "View Company Online")</f>
      </c>
    </row>
    <row r="6169">
      <c r="A6169" t="s" s="11">
        <v>30970</v>
      </c>
      <c r="B6169" t="s" s="11">
        <v>30971</v>
      </c>
      <c r="C6169" t="s" s="11">
        <v>60</v>
      </c>
      <c r="D6169" t="s" s="11">
        <v>727</v>
      </c>
      <c r="E6169" t="s" s="11">
        <v>30972</v>
      </c>
      <c r="F6169" s="28">
        <v>46091</v>
      </c>
      <c r="G6169" t="s" s="11">
        <v>40</v>
      </c>
      <c r="H6169" s="43">
        <v>3.44</v>
      </c>
      <c r="I6169" t="s" s="43">
        <v>30</v>
      </c>
      <c r="J6169" t="s" s="11">
        <v>30973</v>
      </c>
      <c r="K6169" t="s" s="11">
        <v>30974</v>
      </c>
      <c r="L6169" s="17">
        <f>HYPERLINK("http://www.piece.run", "www.piece.run")</f>
      </c>
      <c r="M6169" s="17">
        <f>HYPERLINK("https://my.pitchbook.com?c=493541-74", "View Company Online")</f>
      </c>
    </row>
    <row r="6170">
      <c r="A6170" t="s" s="10">
        <v>30976</v>
      </c>
      <c r="B6170" t="s" s="10">
        <v>30977</v>
      </c>
      <c r="C6170" t="s" s="10">
        <v>60</v>
      </c>
      <c r="D6170" t="s" s="10">
        <v>192</v>
      </c>
      <c r="E6170" t="s" s="10">
        <v>130</v>
      </c>
      <c r="F6170" s="27">
        <v>46216</v>
      </c>
      <c r="G6170" t="s" s="10">
        <v>146</v>
      </c>
      <c r="H6170" s="42">
        <v>1.89</v>
      </c>
      <c r="I6170" t="s" s="42">
        <v>30</v>
      </c>
      <c r="J6170" t="s" s="10">
        <v>30978</v>
      </c>
      <c r="K6170" t="s" s="10">
        <v>30979</v>
      </c>
      <c r="L6170" s="16">
        <f>HYPERLINK("http://www.getpiece.app", "www.getpiece.app")</f>
      </c>
      <c r="M6170" s="16">
        <f>HYPERLINK("https://my.pitchbook.com?c=531074-35", "View Company Online")</f>
      </c>
    </row>
    <row r="6171">
      <c r="A6171" t="s" s="11">
        <v>30981</v>
      </c>
      <c r="B6171" t="s" s="11">
        <v>30982</v>
      </c>
      <c r="C6171" t="s" s="11">
        <v>164</v>
      </c>
      <c r="D6171" t="s" s="11">
        <v>206</v>
      </c>
      <c r="E6171" t="s" s="11">
        <v>253</v>
      </c>
      <c r="F6171" s="28">
        <v>45302</v>
      </c>
      <c r="G6171" t="s" s="11">
        <v>4267</v>
      </c>
      <c r="H6171" s="43">
        <v>2.4</v>
      </c>
      <c r="I6171" t="s" s="43">
        <v>30</v>
      </c>
      <c r="J6171" t="s" s="11">
        <v>30983</v>
      </c>
      <c r="K6171" t="s" s="11">
        <v>30984</v>
      </c>
      <c r="L6171" s="17">
        <f>HYPERLINK("http://www.pier-finance.com", "www.pier-finance.com")</f>
      </c>
      <c r="M6171" s="17">
        <f>HYPERLINK("https://my.pitchbook.com?c=522000-37", "View Company Online")</f>
      </c>
    </row>
    <row r="6172">
      <c r="A6172" t="s" s="10">
        <v>30986</v>
      </c>
      <c r="B6172" t="s" s="10">
        <v>30987</v>
      </c>
      <c r="C6172" t="s" s="10">
        <v>60</v>
      </c>
      <c r="D6172" t="s" s="10">
        <v>246</v>
      </c>
      <c r="E6172" t="s" s="10">
        <v>29</v>
      </c>
      <c r="F6172" s="27">
        <v>45951</v>
      </c>
      <c r="G6172" t="s" s="10">
        <v>146</v>
      </c>
      <c r="H6172" s="42">
        <v>2.1</v>
      </c>
      <c r="I6172" t="s" s="42">
        <v>30</v>
      </c>
      <c r="J6172" t="s" s="10">
        <v>30988</v>
      </c>
      <c r="K6172" t="s" s="10">
        <v>30989</v>
      </c>
      <c r="L6172" s="16">
        <f>HYPERLINK("http://www.piere.com", "www.piere.com")</f>
      </c>
      <c r="M6172" s="16">
        <f>HYPERLINK("https://my.pitchbook.com?c=588835-90", "View Company Online")</f>
      </c>
    </row>
    <row r="6173">
      <c r="A6173" t="s" s="11">
        <v>30991</v>
      </c>
      <c r="B6173" t="s" s="11">
        <v>30992</v>
      </c>
      <c r="C6173" t="s" s="11">
        <v>27</v>
      </c>
      <c r="D6173" t="s" s="11">
        <v>70</v>
      </c>
      <c r="E6173" t="s" s="11">
        <v>311</v>
      </c>
      <c r="F6173" s="28">
        <v>45954</v>
      </c>
      <c r="G6173" t="s" s="11">
        <v>4267</v>
      </c>
      <c r="H6173" s="43">
        <v>10</v>
      </c>
      <c r="I6173" t="s" s="43">
        <v>30</v>
      </c>
      <c r="J6173" t="s" s="11">
        <v>30993</v>
      </c>
      <c r="K6173" t="s" s="11">
        <v>30994</v>
      </c>
      <c r="L6173" s="17">
        <f>HYPERLINK("http://www.pieverse.io", "www.pieverse.io")</f>
      </c>
      <c r="M6173" s="17">
        <f>HYPERLINK("https://my.pitchbook.com?c=1154174-86", "View Company Online")</f>
      </c>
    </row>
    <row r="6174">
      <c r="A6174" t="s" s="10">
        <v>30996</v>
      </c>
      <c r="B6174" t="s" s="10">
        <v>30997</v>
      </c>
      <c r="C6174" t="s" s="10">
        <v>60</v>
      </c>
      <c r="D6174" t="s" s="10">
        <v>61</v>
      </c>
      <c r="E6174" t="s" s="10">
        <v>270</v>
      </c>
      <c r="F6174" t="s" s="27">
        <v>30</v>
      </c>
      <c r="G6174" t="s" s="10">
        <v>48</v>
      </c>
      <c r="H6174" t="s" s="42">
        <v>30</v>
      </c>
      <c r="I6174" t="s" s="42">
        <v>30</v>
      </c>
      <c r="J6174" t="s" s="10">
        <v>30998</v>
      </c>
      <c r="K6174" t="s" s="10">
        <v>30999</v>
      </c>
      <c r="L6174" s="16">
        <f>HYPERLINK("http://www.piggyvest.com", "www.piggyvest.com")</f>
      </c>
      <c r="M6174" s="16">
        <f>HYPERLINK("https://my.pitchbook.com?c=183688-66", "View Company Online")</f>
      </c>
    </row>
    <row r="6175">
      <c r="A6175" t="s" s="11">
        <v>31001</v>
      </c>
      <c r="B6175" t="s" s="11">
        <v>31002</v>
      </c>
      <c r="C6175" t="s" s="11">
        <v>27</v>
      </c>
      <c r="D6175" t="s" s="11">
        <v>28</v>
      </c>
      <c r="E6175" t="s" s="11">
        <v>1065</v>
      </c>
      <c r="F6175" s="28">
        <v>45108</v>
      </c>
      <c r="G6175" t="s" s="11">
        <v>146</v>
      </c>
      <c r="H6175" t="s" s="43">
        <v>30</v>
      </c>
      <c r="I6175" t="s" s="43">
        <v>30</v>
      </c>
      <c r="J6175" t="s" s="11">
        <v>31003</v>
      </c>
      <c r="K6175" t="s" s="11">
        <v>31004</v>
      </c>
      <c r="L6175" s="17">
        <f>HYPERLINK("http://www.pikapay.fi", "www.pikapay.fi")</f>
      </c>
      <c r="M6175" s="17">
        <f>HYPERLINK("https://my.pitchbook.com?c=532467-73", "View Company Online")</f>
      </c>
    </row>
    <row r="6176">
      <c r="A6176" t="s" s="10">
        <v>31006</v>
      </c>
      <c r="B6176" t="s" s="10">
        <v>31007</v>
      </c>
      <c r="C6176" t="s" s="10">
        <v>46</v>
      </c>
      <c r="D6176" t="s" s="10">
        <v>47</v>
      </c>
      <c r="E6176" t="s" s="10">
        <v>31008</v>
      </c>
      <c r="F6176" s="27">
        <v>46154</v>
      </c>
      <c r="G6176" t="s" s="10">
        <v>4267</v>
      </c>
      <c r="H6176" s="42">
        <v>14.09</v>
      </c>
      <c r="I6176" t="s" s="42">
        <v>30</v>
      </c>
      <c r="J6176" t="s" s="10">
        <v>31009</v>
      </c>
      <c r="K6176" t="s" s="10">
        <v>31010</v>
      </c>
      <c r="L6176" s="16">
        <f>HYPERLINK("http://www.pillar.it", "www.pillar.it")</f>
      </c>
      <c r="M6176" s="16">
        <f>HYPERLINK("https://my.pitchbook.com?c=763120-36", "View Company Online")</f>
      </c>
    </row>
    <row r="6177">
      <c r="A6177" t="s" s="11">
        <v>31012</v>
      </c>
      <c r="B6177" t="s" s="11">
        <v>31013</v>
      </c>
      <c r="C6177" t="s" s="11">
        <v>144</v>
      </c>
      <c r="D6177" t="s" s="11">
        <v>297</v>
      </c>
      <c r="E6177" t="s" s="11">
        <v>31014</v>
      </c>
      <c r="F6177" s="28">
        <v>45092</v>
      </c>
      <c r="G6177" t="s" s="11">
        <v>146</v>
      </c>
      <c r="H6177" t="s" s="43">
        <v>30</v>
      </c>
      <c r="I6177" t="s" s="43">
        <v>30</v>
      </c>
      <c r="J6177" t="s" s="11">
        <v>31015</v>
      </c>
      <c r="K6177" t="s" s="11">
        <v>31016</v>
      </c>
      <c r="L6177" s="17">
        <f>HYPERLINK("http://www.pilon.sg", "www.pilon.sg")</f>
      </c>
      <c r="M6177" s="17">
        <f>HYPERLINK("https://my.pitchbook.com?c=518484-52", "View Company Online")</f>
      </c>
    </row>
    <row r="6178">
      <c r="A6178" t="s" s="10">
        <v>31018</v>
      </c>
      <c r="B6178" t="s" s="10">
        <v>31019</v>
      </c>
      <c r="C6178" t="s" s="10">
        <v>114</v>
      </c>
      <c r="D6178" t="s" s="10">
        <v>852</v>
      </c>
      <c r="E6178" t="s" s="10">
        <v>2678</v>
      </c>
      <c r="F6178" s="27">
        <v>44231</v>
      </c>
      <c r="G6178" t="s" s="10">
        <v>40</v>
      </c>
      <c r="H6178" s="42">
        <v>1.34</v>
      </c>
      <c r="I6178" t="s" s="42">
        <v>30</v>
      </c>
      <c r="J6178" t="s" s="10">
        <v>31020</v>
      </c>
      <c r="K6178" t="s" s="10">
        <v>31021</v>
      </c>
      <c r="L6178" s="16">
        <f>HYPERLINK("http://www.pimsolutions.ru", "www.pimsolutions.ru")</f>
      </c>
      <c r="M6178" s="16">
        <f>HYPERLINK("https://my.pitchbook.com?c=183724-39", "View Company Online")</f>
      </c>
    </row>
    <row r="6179">
      <c r="A6179" t="s" s="11">
        <v>31023</v>
      </c>
      <c r="B6179" t="s" s="11">
        <v>31024</v>
      </c>
      <c r="C6179" t="s" s="11">
        <v>60</v>
      </c>
      <c r="D6179" t="s" s="11">
        <v>727</v>
      </c>
      <c r="E6179" t="s" s="11">
        <v>137</v>
      </c>
      <c r="F6179" s="28">
        <v>44798</v>
      </c>
      <c r="G6179" t="s" s="11">
        <v>4267</v>
      </c>
      <c r="H6179" s="43">
        <v>5.6</v>
      </c>
      <c r="I6179" t="s" s="43">
        <v>30</v>
      </c>
      <c r="J6179" t="s" s="11">
        <v>31025</v>
      </c>
      <c r="K6179" t="s" s="11">
        <v>31026</v>
      </c>
      <c r="L6179" s="17">
        <f>HYPERLINK("http://www.getpin.xyz", "www.getpin.xyz")</f>
      </c>
      <c r="M6179" s="17">
        <f>HYPERLINK("https://my.pitchbook.com?c=504146-35", "View Company Online")</f>
      </c>
    </row>
    <row r="6180">
      <c r="A6180" t="s" s="10">
        <v>31028</v>
      </c>
      <c r="B6180" t="s" s="10">
        <v>31029</v>
      </c>
      <c r="C6180" t="s" s="10">
        <v>60</v>
      </c>
      <c r="D6180" t="s" s="10">
        <v>61</v>
      </c>
      <c r="E6180" t="s" s="10">
        <v>270</v>
      </c>
      <c r="F6180" s="27">
        <v>44746</v>
      </c>
      <c r="G6180" t="s" s="10">
        <v>4267</v>
      </c>
      <c r="H6180" s="42">
        <v>3</v>
      </c>
      <c r="I6180" t="s" s="42">
        <v>30</v>
      </c>
      <c r="J6180" t="s" s="10">
        <v>31030</v>
      </c>
      <c r="K6180" t="s" s="10">
        <v>31031</v>
      </c>
      <c r="L6180" s="16">
        <f>HYPERLINK("http://www.pina.id", "www.pina.id")</f>
      </c>
      <c r="M6180" s="16">
        <f>HYPERLINK("https://my.pitchbook.com?c=481814-74", "View Company Online")</f>
      </c>
    </row>
    <row r="6181">
      <c r="A6181" t="s" s="11">
        <v>31033</v>
      </c>
      <c r="B6181" t="s" s="11">
        <v>31034</v>
      </c>
      <c r="C6181" t="s" s="11">
        <v>128</v>
      </c>
      <c r="D6181" t="s" s="11">
        <v>276</v>
      </c>
      <c r="E6181" t="s" s="11">
        <v>137</v>
      </c>
      <c r="F6181" s="28">
        <v>46140</v>
      </c>
      <c r="G6181" t="s" s="11">
        <v>2051</v>
      </c>
      <c r="H6181" t="s" s="43">
        <v>30</v>
      </c>
      <c r="I6181" t="s" s="43">
        <v>30</v>
      </c>
      <c r="J6181" t="s" s="11">
        <v>31035</v>
      </c>
      <c r="K6181" t="s" s="11">
        <v>30</v>
      </c>
      <c r="L6181" s="17">
        <f>HYPERLINK("http://pinchbank.com", "pinchbank.com")</f>
      </c>
      <c r="M6181" s="17">
        <f>HYPERLINK("https://my.pitchbook.com?c=454347-91", "View Company Online")</f>
      </c>
    </row>
    <row r="6182">
      <c r="A6182" t="s" s="10">
        <v>31037</v>
      </c>
      <c r="B6182" t="s" s="10">
        <v>31038</v>
      </c>
      <c r="C6182" t="s" s="10">
        <v>60</v>
      </c>
      <c r="D6182" t="s" s="10">
        <v>246</v>
      </c>
      <c r="E6182" t="s" s="10">
        <v>1006</v>
      </c>
      <c r="F6182" s="27">
        <v>44040</v>
      </c>
      <c r="G6182" t="s" s="10">
        <v>146</v>
      </c>
      <c r="H6182" s="42">
        <v>20</v>
      </c>
      <c r="I6182" t="s" s="42">
        <v>30</v>
      </c>
      <c r="J6182" t="s" s="10">
        <v>31039</v>
      </c>
      <c r="K6182" t="s" s="10">
        <v>31040</v>
      </c>
      <c r="L6182" s="16">
        <f>HYPERLINK("http://www.pinganhuixin.com", "www.pinganhuixin.com")</f>
      </c>
      <c r="M6182" s="16">
        <f>HYPERLINK("https://my.pitchbook.com?c=436920-58", "View Company Online")</f>
      </c>
    </row>
    <row r="6183">
      <c r="A6183" t="s" s="11">
        <v>31042</v>
      </c>
      <c r="B6183" t="s" s="11">
        <v>31043</v>
      </c>
      <c r="C6183" t="s" s="11">
        <v>172</v>
      </c>
      <c r="D6183" t="s" s="11">
        <v>1454</v>
      </c>
      <c r="E6183" t="s" s="11">
        <v>414</v>
      </c>
      <c r="F6183" s="28">
        <v>44693</v>
      </c>
      <c r="G6183" t="s" s="11">
        <v>146</v>
      </c>
      <c r="H6183" s="43">
        <v>4.59</v>
      </c>
      <c r="I6183" t="s" s="43">
        <v>30</v>
      </c>
      <c r="J6183" t="s" s="11">
        <v>31044</v>
      </c>
      <c r="K6183" t="s" s="11">
        <v>30</v>
      </c>
      <c r="L6183" t="s" s="11">
        <v>30</v>
      </c>
      <c r="M6183" s="17">
        <f>HYPERLINK("https://my.pitchbook.com?c=496447-75", "View Company Online")</f>
      </c>
    </row>
    <row r="6184">
      <c r="A6184" t="s" s="10">
        <v>31045</v>
      </c>
      <c r="B6184" t="s" s="10">
        <v>31046</v>
      </c>
      <c r="C6184" t="s" s="10">
        <v>222</v>
      </c>
      <c r="D6184" t="s" s="10">
        <v>223</v>
      </c>
      <c r="E6184" t="s" s="10">
        <v>634</v>
      </c>
      <c r="F6184" s="27">
        <v>46023</v>
      </c>
      <c r="G6184" t="s" s="10">
        <v>146</v>
      </c>
      <c r="H6184" t="s" s="42">
        <v>30</v>
      </c>
      <c r="I6184" t="s" s="42">
        <v>30</v>
      </c>
      <c r="J6184" t="s" s="10">
        <v>31047</v>
      </c>
      <c r="K6184" t="s" s="10">
        <v>31048</v>
      </c>
      <c r="L6184" s="16">
        <f>HYPERLINK("http://www.pinpointai.com", "www.pinpointai.com")</f>
      </c>
      <c r="M6184" s="16">
        <f>HYPERLINK("https://my.pitchbook.com?c=607808-62", "View Company Online")</f>
      </c>
    </row>
    <row r="6185">
      <c r="A6185" t="s" s="11">
        <v>31050</v>
      </c>
      <c r="B6185" t="s" s="11">
        <v>31051</v>
      </c>
      <c r="C6185" t="s" s="11">
        <v>46</v>
      </c>
      <c r="D6185" t="s" s="11">
        <v>397</v>
      </c>
      <c r="E6185" t="s" s="11">
        <v>253</v>
      </c>
      <c r="F6185" t="s" s="28">
        <v>30</v>
      </c>
      <c r="G6185" t="s" s="11">
        <v>40</v>
      </c>
      <c r="H6185" t="s" s="43">
        <v>30</v>
      </c>
      <c r="I6185" t="s" s="43">
        <v>30</v>
      </c>
      <c r="J6185" t="s" s="11">
        <v>31052</v>
      </c>
      <c r="K6185" t="s" s="11">
        <v>31053</v>
      </c>
      <c r="L6185" s="17">
        <f>HYPERLINK("http://www.pinv.it", "www.pinv.it")</f>
      </c>
      <c r="M6185" s="17">
        <f>HYPERLINK("https://my.pitchbook.com?c=462087-73", "View Company Online")</f>
      </c>
    </row>
    <row r="6186">
      <c r="A6186" t="s" s="10">
        <v>31055</v>
      </c>
      <c r="B6186" t="s" s="10">
        <v>31056</v>
      </c>
      <c r="C6186" t="s" s="10">
        <v>27</v>
      </c>
      <c r="D6186" t="s" s="10">
        <v>28</v>
      </c>
      <c r="E6186" t="s" s="10">
        <v>259</v>
      </c>
      <c r="F6186" s="27">
        <v>43556</v>
      </c>
      <c r="G6186" t="s" s="10">
        <v>4267</v>
      </c>
      <c r="H6186" s="42">
        <v>0.14</v>
      </c>
      <c r="I6186" t="s" s="42">
        <v>30</v>
      </c>
      <c r="J6186" t="s" s="10">
        <v>31057</v>
      </c>
      <c r="K6186" t="s" s="10">
        <v>30</v>
      </c>
      <c r="L6186" s="16">
        <f>HYPERLINK("http://www.piriod.com", "www.piriod.com")</f>
      </c>
      <c r="M6186" s="16">
        <f>HYPERLINK("https://my.pitchbook.com?c=498535-48", "View Company Online")</f>
      </c>
    </row>
    <row r="6187">
      <c r="A6187" t="s" s="11">
        <v>31059</v>
      </c>
      <c r="B6187" t="s" s="11">
        <v>31060</v>
      </c>
      <c r="C6187" t="s" s="11">
        <v>46</v>
      </c>
      <c r="D6187" t="s" s="11">
        <v>915</v>
      </c>
      <c r="E6187" t="s" s="11">
        <v>253</v>
      </c>
      <c r="F6187" s="28">
        <v>45839</v>
      </c>
      <c r="G6187" t="s" s="11">
        <v>40</v>
      </c>
      <c r="H6187" t="s" s="43">
        <v>30</v>
      </c>
      <c r="I6187" t="s" s="43">
        <v>30</v>
      </c>
      <c r="J6187" t="s" s="11">
        <v>31061</v>
      </c>
      <c r="K6187" t="s" s="11">
        <v>31062</v>
      </c>
      <c r="L6187" s="17">
        <f>HYPERLINK("http://www.plaidcloud.com", "www.plaidcloud.com")</f>
      </c>
      <c r="M6187" s="17">
        <f>HYPERLINK("https://my.pitchbook.com?c=639763-57", "View Company Online")</f>
      </c>
    </row>
    <row r="6188">
      <c r="A6188" t="s" s="10">
        <v>31064</v>
      </c>
      <c r="B6188" t="s" s="10">
        <v>31065</v>
      </c>
      <c r="C6188" t="s" s="10">
        <v>46</v>
      </c>
      <c r="D6188" t="s" s="10">
        <v>915</v>
      </c>
      <c r="E6188" t="s" s="10">
        <v>253</v>
      </c>
      <c r="F6188" s="27">
        <v>45842</v>
      </c>
      <c r="G6188" t="s" s="10">
        <v>146</v>
      </c>
      <c r="H6188" s="42">
        <v>0.58</v>
      </c>
      <c r="I6188" t="s" s="42">
        <v>30</v>
      </c>
      <c r="J6188" t="s" s="10">
        <v>31066</v>
      </c>
      <c r="K6188" t="s" s="10">
        <v>31067</v>
      </c>
      <c r="L6188" s="16">
        <f>HYPERLINK("http://www.plandelta.com", "www.plandelta.com")</f>
      </c>
      <c r="M6188" s="16">
        <f>HYPERLINK("https://my.pitchbook.com?c=484016-50", "View Company Online")</f>
      </c>
    </row>
    <row r="6189">
      <c r="A6189" t="s" s="11">
        <v>31069</v>
      </c>
      <c r="B6189" t="s" s="11">
        <v>31070</v>
      </c>
      <c r="C6189" t="s" s="11">
        <v>60</v>
      </c>
      <c r="D6189" t="s" s="11">
        <v>192</v>
      </c>
      <c r="E6189" t="s" s="11">
        <v>137</v>
      </c>
      <c r="F6189" s="28">
        <v>45120</v>
      </c>
      <c r="G6189" t="s" s="11">
        <v>4267</v>
      </c>
      <c r="H6189" t="s" s="43">
        <v>30</v>
      </c>
      <c r="I6189" t="s" s="43">
        <v>30</v>
      </c>
      <c r="J6189" t="s" s="11">
        <v>31071</v>
      </c>
      <c r="K6189" t="s" s="11">
        <v>31072</v>
      </c>
      <c r="L6189" s="17">
        <f>HYPERLINK("http://planeasy.com", "planeasy.com")</f>
      </c>
      <c r="M6189" s="17">
        <f>HYPERLINK("https://my.pitchbook.com?c=530921-62", "View Company Online")</f>
      </c>
    </row>
    <row r="6190">
      <c r="A6190" t="s" s="10">
        <v>31074</v>
      </c>
      <c r="B6190" t="s" s="10">
        <v>31075</v>
      </c>
      <c r="C6190" t="s" s="10">
        <v>60</v>
      </c>
      <c r="D6190" t="s" s="10">
        <v>192</v>
      </c>
      <c r="E6190" t="s" s="10">
        <v>253</v>
      </c>
      <c r="F6190" s="27">
        <v>45566</v>
      </c>
      <c r="G6190" t="s" s="10">
        <v>40</v>
      </c>
      <c r="H6190" s="42">
        <v>10</v>
      </c>
      <c r="I6190" t="s" s="42">
        <v>30</v>
      </c>
      <c r="J6190" t="s" s="10">
        <v>31076</v>
      </c>
      <c r="K6190" t="s" s="10">
        <v>30</v>
      </c>
      <c r="L6190" s="16">
        <f>HYPERLINK("http://www.planetwealth.com", "www.planetwealth.com")</f>
      </c>
      <c r="M6190" s="16">
        <f>HYPERLINK("https://my.pitchbook.com?c=234011-44", "View Company Online")</f>
      </c>
    </row>
    <row r="6191">
      <c r="A6191" t="s" s="11">
        <v>31078</v>
      </c>
      <c r="B6191" t="s" s="11">
        <v>31079</v>
      </c>
      <c r="C6191" t="s" s="11">
        <v>128</v>
      </c>
      <c r="D6191" t="s" s="11">
        <v>276</v>
      </c>
      <c r="E6191" t="s" s="11">
        <v>137</v>
      </c>
      <c r="F6191" t="s" s="28">
        <v>30</v>
      </c>
      <c r="G6191" t="s" s="11">
        <v>48</v>
      </c>
      <c r="H6191" t="s" s="43">
        <v>30</v>
      </c>
      <c r="I6191" t="s" s="43">
        <v>30</v>
      </c>
      <c r="J6191" t="s" s="11">
        <v>31080</v>
      </c>
      <c r="K6191" t="s" s="11">
        <v>30</v>
      </c>
      <c r="L6191" s="17">
        <f>HYPERLINK("http://www.planpay.com", "www.planpay.com")</f>
      </c>
      <c r="M6191" s="17">
        <f>HYPERLINK("https://my.pitchbook.com?c=522482-14", "View Company Online")</f>
      </c>
    </row>
    <row r="6192">
      <c r="A6192" t="s" s="10">
        <v>31082</v>
      </c>
      <c r="B6192" t="s" s="10">
        <v>31083</v>
      </c>
      <c r="C6192" t="s" s="10">
        <v>60</v>
      </c>
      <c r="D6192" t="s" s="10">
        <v>420</v>
      </c>
      <c r="E6192" t="s" s="10">
        <v>253</v>
      </c>
      <c r="F6192" s="27">
        <v>45261</v>
      </c>
      <c r="G6192" t="s" s="10">
        <v>607</v>
      </c>
      <c r="H6192" t="s" s="42">
        <v>30</v>
      </c>
      <c r="I6192" t="s" s="42">
        <v>30</v>
      </c>
      <c r="J6192" t="s" s="10">
        <v>31084</v>
      </c>
      <c r="K6192" t="s" s="10">
        <v>31085</v>
      </c>
      <c r="L6192" s="16">
        <f>HYPERLINK("http://www.planswell.com", "www.planswell.com")</f>
      </c>
      <c r="M6192" s="16">
        <f>HYPERLINK("https://my.pitchbook.com?c=160744-51", "View Company Online")</f>
      </c>
    </row>
    <row r="6193">
      <c r="A6193" t="s" s="11">
        <v>31087</v>
      </c>
      <c r="B6193" t="s" s="11">
        <v>31088</v>
      </c>
      <c r="C6193" t="s" s="11">
        <v>60</v>
      </c>
      <c r="D6193" t="s" s="11">
        <v>192</v>
      </c>
      <c r="E6193" t="s" s="11">
        <v>253</v>
      </c>
      <c r="F6193" s="28">
        <v>45628</v>
      </c>
      <c r="G6193" t="s" s="11">
        <v>4267</v>
      </c>
      <c r="H6193" s="43">
        <v>0.3</v>
      </c>
      <c r="I6193" t="s" s="43">
        <v>30</v>
      </c>
      <c r="J6193" t="s" s="11">
        <v>31089</v>
      </c>
      <c r="K6193" t="s" s="11">
        <v>30</v>
      </c>
      <c r="L6193" s="17">
        <f>HYPERLINK("http://www.plantechhub.com", "www.plantechhub.com")</f>
      </c>
      <c r="M6193" s="17">
        <f>HYPERLINK("https://my.pitchbook.com?c=490734-73", "View Company Online")</f>
      </c>
    </row>
    <row r="6194">
      <c r="A6194" t="s" s="10">
        <v>31091</v>
      </c>
      <c r="B6194" t="s" s="10">
        <v>31092</v>
      </c>
      <c r="C6194" t="s" s="10">
        <v>60</v>
      </c>
      <c r="D6194" t="s" s="10">
        <v>432</v>
      </c>
      <c r="E6194" t="s" s="10">
        <v>253</v>
      </c>
      <c r="F6194" s="27">
        <v>45436</v>
      </c>
      <c r="G6194" t="s" s="10">
        <v>40</v>
      </c>
      <c r="H6194" t="s" s="42">
        <v>30</v>
      </c>
      <c r="I6194" t="s" s="42">
        <v>30</v>
      </c>
      <c r="J6194" t="s" s="10">
        <v>31093</v>
      </c>
      <c r="K6194" t="s" s="10">
        <v>31094</v>
      </c>
      <c r="L6194" s="16">
        <f>HYPERLINK("http://www.planworth.co", "www.planworth.co")</f>
      </c>
      <c r="M6194" s="16">
        <f>HYPERLINK("https://my.pitchbook.com?c=436769-29", "View Company Online")</f>
      </c>
    </row>
    <row r="6195">
      <c r="A6195" t="s" s="11">
        <v>31096</v>
      </c>
      <c r="B6195" t="s" s="11">
        <v>31097</v>
      </c>
      <c r="C6195" t="s" s="11">
        <v>144</v>
      </c>
      <c r="D6195" t="s" s="11">
        <v>297</v>
      </c>
      <c r="E6195" t="s" s="11">
        <v>137</v>
      </c>
      <c r="F6195" s="28">
        <v>45336</v>
      </c>
      <c r="G6195" t="s" s="11">
        <v>146</v>
      </c>
      <c r="H6195" s="43">
        <v>3</v>
      </c>
      <c r="I6195" t="s" s="43">
        <v>30</v>
      </c>
      <c r="J6195" t="s" s="11">
        <v>31098</v>
      </c>
      <c r="K6195" t="s" s="11">
        <v>31099</v>
      </c>
      <c r="L6195" s="17">
        <f>HYPERLINK("http://www.plataform.com", "www.plataform.com")</f>
      </c>
      <c r="M6195" s="17">
        <f>HYPERLINK("https://my.pitchbook.com?c=572329-45", "View Company Online")</f>
      </c>
    </row>
    <row r="6196">
      <c r="A6196" t="s" s="10">
        <v>31101</v>
      </c>
      <c r="B6196" t="s" s="10">
        <v>31102</v>
      </c>
      <c r="C6196" t="s" s="10">
        <v>46</v>
      </c>
      <c r="D6196" t="s" s="10">
        <v>915</v>
      </c>
      <c r="E6196" t="s" s="10">
        <v>253</v>
      </c>
      <c r="F6196" s="27">
        <v>45384</v>
      </c>
      <c r="G6196" t="s" s="10">
        <v>607</v>
      </c>
      <c r="H6196" t="s" s="42">
        <v>30</v>
      </c>
      <c r="I6196" t="s" s="42">
        <v>30</v>
      </c>
      <c r="J6196" t="s" s="10">
        <v>31103</v>
      </c>
      <c r="K6196" t="s" s="10">
        <v>31104</v>
      </c>
      <c r="L6196" s="16">
        <f>HYPERLINK("http://www.playbpo.com.br", "www.playbpo.com.br")</f>
      </c>
      <c r="M6196" s="16">
        <f>HYPERLINK("https://my.pitchbook.com?c=494843-14", "View Company Online")</f>
      </c>
    </row>
    <row r="6197">
      <c r="A6197" t="s" s="11">
        <v>31106</v>
      </c>
      <c r="B6197" t="s" s="11">
        <v>31107</v>
      </c>
      <c r="C6197" t="s" s="11">
        <v>46</v>
      </c>
      <c r="D6197" t="s" s="11">
        <v>397</v>
      </c>
      <c r="E6197" t="s" s="11">
        <v>634</v>
      </c>
      <c r="F6197" s="28">
        <v>45915</v>
      </c>
      <c r="G6197" t="s" s="11">
        <v>146</v>
      </c>
      <c r="H6197" s="43">
        <v>0.76</v>
      </c>
      <c r="I6197" t="s" s="43">
        <v>30</v>
      </c>
      <c r="J6197" t="s" s="11">
        <v>31108</v>
      </c>
      <c r="K6197" t="s" s="11">
        <v>31109</v>
      </c>
      <c r="L6197" s="17">
        <f>HYPERLINK("http://www.plino.ai", "www.plino.ai")</f>
      </c>
      <c r="M6197" s="17">
        <f>HYPERLINK("https://my.pitchbook.com?c=538070-23", "View Company Online")</f>
      </c>
    </row>
    <row r="6198">
      <c r="A6198" t="s" s="10">
        <v>31111</v>
      </c>
      <c r="B6198" t="s" s="10">
        <v>31112</v>
      </c>
      <c r="C6198" t="s" s="10">
        <v>60</v>
      </c>
      <c r="D6198" t="s" s="10">
        <v>727</v>
      </c>
      <c r="E6198" t="s" s="10">
        <v>1032</v>
      </c>
      <c r="F6198" s="27">
        <v>44945</v>
      </c>
      <c r="G6198" t="s" s="10">
        <v>40</v>
      </c>
      <c r="H6198" s="42">
        <v>15.14</v>
      </c>
      <c r="I6198" t="s" s="42">
        <v>30</v>
      </c>
      <c r="J6198" t="s" s="10">
        <v>31113</v>
      </c>
      <c r="K6198" t="s" s="10">
        <v>31114</v>
      </c>
      <c r="L6198" s="16">
        <f>HYPERLINK("http://www.plotify.co", "www.plotify.co")</f>
      </c>
      <c r="M6198" s="16">
        <f>HYPERLINK("https://my.pitchbook.com?c=264269-44", "View Company Online")</f>
      </c>
    </row>
    <row r="6199">
      <c r="A6199" t="s" s="11">
        <v>31116</v>
      </c>
      <c r="B6199" t="s" s="11">
        <v>31117</v>
      </c>
      <c r="C6199" t="s" s="11">
        <v>60</v>
      </c>
      <c r="D6199" t="s" s="11">
        <v>61</v>
      </c>
      <c r="E6199" t="s" s="11">
        <v>270</v>
      </c>
      <c r="F6199" s="28">
        <v>46160</v>
      </c>
      <c r="G6199" t="s" s="11">
        <v>40</v>
      </c>
      <c r="H6199" s="43">
        <v>10</v>
      </c>
      <c r="I6199" t="s" s="43">
        <v>30</v>
      </c>
      <c r="J6199" t="s" s="11">
        <v>31118</v>
      </c>
      <c r="K6199" t="s" s="11">
        <v>31119</v>
      </c>
      <c r="L6199" s="17">
        <f>HYPERLINK("http://www.pluang.com", "www.pluang.com")</f>
      </c>
      <c r="M6199" s="17">
        <f>HYPERLINK("https://my.pitchbook.com?c=292577-86", "View Company Online")</f>
      </c>
    </row>
    <row r="6200">
      <c r="A6200" t="s" s="10">
        <v>31121</v>
      </c>
      <c r="B6200" t="s" s="10">
        <v>31122</v>
      </c>
      <c r="C6200" t="s" s="10">
        <v>164</v>
      </c>
      <c r="D6200" t="s" s="10">
        <v>206</v>
      </c>
      <c r="E6200" t="s" s="10">
        <v>1964</v>
      </c>
      <c r="F6200" t="s" s="27">
        <v>30</v>
      </c>
      <c r="G6200" t="s" s="10">
        <v>48</v>
      </c>
      <c r="H6200" t="s" s="42">
        <v>30</v>
      </c>
      <c r="I6200" t="s" s="42">
        <v>30</v>
      </c>
      <c r="J6200" t="s" s="10">
        <v>31123</v>
      </c>
      <c r="K6200" t="s" s="10">
        <v>31124</v>
      </c>
      <c r="L6200" s="16">
        <f>HYPERLINK("http://www.pluggy.ai", "www.pluggy.ai")</f>
      </c>
      <c r="M6200" s="16">
        <f>HYPERLINK("https://my.pitchbook.com?c=466980-22", "View Company Online")</f>
      </c>
    </row>
    <row r="6201">
      <c r="A6201" t="s" s="11">
        <v>31126</v>
      </c>
      <c r="B6201" t="s" s="11">
        <v>31127</v>
      </c>
      <c r="C6201" t="s" s="11">
        <v>164</v>
      </c>
      <c r="D6201" t="s" s="11">
        <v>165</v>
      </c>
      <c r="E6201" t="s" s="11">
        <v>137</v>
      </c>
      <c r="F6201" s="28">
        <v>45567</v>
      </c>
      <c r="G6201" t="s" s="11">
        <v>40</v>
      </c>
      <c r="H6201" t="s" s="43">
        <v>30</v>
      </c>
      <c r="I6201" t="s" s="43">
        <v>30</v>
      </c>
      <c r="J6201" t="s" s="11">
        <v>31128</v>
      </c>
      <c r="K6201" t="s" s="11">
        <v>31129</v>
      </c>
      <c r="L6201" s="17">
        <f>HYPERLINK("http://www.plumery.com", "www.plumery.com")</f>
      </c>
      <c r="M6201" s="17">
        <f>HYPERLINK("https://my.pitchbook.com?c=525432-79", "View Company Online")</f>
      </c>
    </row>
    <row r="6202">
      <c r="A6202" t="s" s="10">
        <v>31131</v>
      </c>
      <c r="B6202" t="s" s="10">
        <v>31132</v>
      </c>
      <c r="C6202" t="s" s="10">
        <v>27</v>
      </c>
      <c r="D6202" t="s" s="10">
        <v>122</v>
      </c>
      <c r="E6202" t="s" s="10">
        <v>193</v>
      </c>
      <c r="F6202" s="27">
        <v>44649</v>
      </c>
      <c r="G6202" t="s" s="10">
        <v>607</v>
      </c>
      <c r="H6202" s="42">
        <v>0.5</v>
      </c>
      <c r="I6202" t="s" s="42">
        <v>30</v>
      </c>
      <c r="J6202" t="s" s="10">
        <v>31133</v>
      </c>
      <c r="K6202" t="s" s="10">
        <v>31134</v>
      </c>
      <c r="L6202" s="16">
        <f>HYPERLINK("http://www.plumter.com", "www.plumter.com")</f>
      </c>
      <c r="M6202" s="16">
        <f>HYPERLINK("https://my.pitchbook.com?c=491830-03", "View Company Online")</f>
      </c>
    </row>
    <row r="6203">
      <c r="A6203" t="s" s="11">
        <v>31136</v>
      </c>
      <c r="B6203" t="s" s="11">
        <v>31137</v>
      </c>
      <c r="C6203" t="s" s="11">
        <v>60</v>
      </c>
      <c r="D6203" t="s" s="11">
        <v>727</v>
      </c>
      <c r="E6203" t="s" s="11">
        <v>31138</v>
      </c>
      <c r="F6203" s="28">
        <v>45889</v>
      </c>
      <c r="G6203" t="s" s="11">
        <v>4267</v>
      </c>
      <c r="H6203" s="43">
        <v>12.8</v>
      </c>
      <c r="I6203" t="s" s="43">
        <v>30</v>
      </c>
      <c r="J6203" t="s" s="11">
        <v>31139</v>
      </c>
      <c r="K6203" t="s" s="11">
        <v>31140</v>
      </c>
      <c r="L6203" s="17">
        <f>HYPERLINK("http://www.pluralfinance.com", "www.pluralfinance.com")</f>
      </c>
      <c r="M6203" s="17">
        <f>HYPERLINK("https://my.pitchbook.com?c=535615-84", "View Company Online")</f>
      </c>
    </row>
    <row r="6204">
      <c r="A6204" t="s" s="10">
        <v>31142</v>
      </c>
      <c r="B6204" t="s" s="10">
        <v>31143</v>
      </c>
      <c r="C6204" t="s" s="10">
        <v>114</v>
      </c>
      <c r="D6204" t="s" s="10">
        <v>852</v>
      </c>
      <c r="E6204" t="s" s="10">
        <v>1065</v>
      </c>
      <c r="F6204" s="27">
        <v>45226</v>
      </c>
      <c r="G6204" t="s" s="10">
        <v>4267</v>
      </c>
      <c r="H6204" t="s" s="42">
        <v>30</v>
      </c>
      <c r="I6204" t="s" s="42">
        <v>30</v>
      </c>
      <c r="J6204" t="s" s="10">
        <v>31144</v>
      </c>
      <c r="K6204" t="s" s="10">
        <v>31145</v>
      </c>
      <c r="L6204" s="16">
        <f>HYPERLINK("http://www.plurall.com", "www.plurall.com")</f>
      </c>
      <c r="M6204" s="16">
        <f>HYPERLINK("https://my.pitchbook.com?c=492703-03", "View Company Online")</f>
      </c>
    </row>
    <row r="6205">
      <c r="A6205" t="s" s="11">
        <v>31147</v>
      </c>
      <c r="B6205" t="s" s="11">
        <v>31148</v>
      </c>
      <c r="C6205" t="s" s="11">
        <v>114</v>
      </c>
      <c r="D6205" t="s" s="11">
        <v>1386</v>
      </c>
      <c r="E6205" t="s" s="11">
        <v>2581</v>
      </c>
      <c r="F6205" s="28">
        <v>46022</v>
      </c>
      <c r="G6205" t="s" s="11">
        <v>4267</v>
      </c>
      <c r="H6205" s="43">
        <v>7.89</v>
      </c>
      <c r="I6205" t="s" s="43">
        <v>30</v>
      </c>
      <c r="J6205" t="s" s="11">
        <v>31149</v>
      </c>
      <c r="K6205" t="s" s="11">
        <v>31150</v>
      </c>
      <c r="L6205" s="17">
        <f>HYPERLINK("http://www.plusplatform.io", "www.plusplatform.io")</f>
      </c>
      <c r="M6205" s="17">
        <f>HYPERLINK("https://my.pitchbook.com?c=484248-34", "View Company Online")</f>
      </c>
    </row>
    <row r="6206">
      <c r="A6206" t="s" s="10">
        <v>31152</v>
      </c>
      <c r="B6206" t="s" s="10">
        <v>31153</v>
      </c>
      <c r="C6206" t="s" s="10">
        <v>128</v>
      </c>
      <c r="D6206" t="s" s="10">
        <v>129</v>
      </c>
      <c r="E6206" t="s" s="10">
        <v>6894</v>
      </c>
      <c r="F6206" s="27">
        <v>45531</v>
      </c>
      <c r="G6206" t="s" s="10">
        <v>4267</v>
      </c>
      <c r="H6206" s="42">
        <v>2</v>
      </c>
      <c r="I6206" t="s" s="42">
        <v>30</v>
      </c>
      <c r="J6206" t="s" s="10">
        <v>31154</v>
      </c>
      <c r="K6206" t="s" s="10">
        <v>31155</v>
      </c>
      <c r="L6206" s="16">
        <f>HYPERLINK("http://www.plutos.one", "www.plutos.one")</f>
      </c>
      <c r="M6206" s="16">
        <f>HYPERLINK("https://my.pitchbook.com?c=506946-88", "View Company Online")</f>
      </c>
    </row>
    <row r="6207">
      <c r="A6207" t="s" s="11">
        <v>31157</v>
      </c>
      <c r="B6207" t="s" s="11">
        <v>31158</v>
      </c>
      <c r="C6207" t="s" s="11">
        <v>128</v>
      </c>
      <c r="D6207" t="s" s="11">
        <v>129</v>
      </c>
      <c r="E6207" t="s" s="11">
        <v>31159</v>
      </c>
      <c r="F6207" s="28">
        <v>46062</v>
      </c>
      <c r="G6207" t="s" s="11">
        <v>40</v>
      </c>
      <c r="H6207" s="43">
        <v>2.3</v>
      </c>
      <c r="I6207" t="s" s="43">
        <v>30</v>
      </c>
      <c r="J6207" t="s" s="11">
        <v>31160</v>
      </c>
      <c r="K6207" t="s" s="11">
        <v>31161</v>
      </c>
      <c r="L6207" s="17">
        <f>HYPERLINK("http://www.plutus.it", "www.plutus.it")</f>
      </c>
      <c r="M6207" s="17">
        <f>HYPERLINK("https://my.pitchbook.com?c=162448-75", "View Company Online")</f>
      </c>
    </row>
    <row r="6208">
      <c r="A6208" t="s" s="10">
        <v>31163</v>
      </c>
      <c r="B6208" t="s" s="10">
        <v>31164</v>
      </c>
      <c r="C6208" t="s" s="10">
        <v>60</v>
      </c>
      <c r="D6208" t="s" s="10">
        <v>246</v>
      </c>
      <c r="E6208" t="s" s="10">
        <v>137</v>
      </c>
      <c r="F6208" s="27">
        <v>46196</v>
      </c>
      <c r="G6208" t="s" s="10">
        <v>146</v>
      </c>
      <c r="H6208" s="42">
        <v>1.7</v>
      </c>
      <c r="I6208" t="s" s="42">
        <v>30</v>
      </c>
      <c r="J6208" t="s" s="10">
        <v>31165</v>
      </c>
      <c r="K6208" t="s" s="10">
        <v>31166</v>
      </c>
      <c r="L6208" s="16">
        <f>HYPERLINK("http://www.runplutus.com", "www.runplutus.com")</f>
      </c>
      <c r="M6208" s="16">
        <f>HYPERLINK("https://my.pitchbook.com?c=1241573-23", "View Company Online")</f>
      </c>
    </row>
    <row r="6209">
      <c r="A6209" t="s" s="11">
        <v>31168</v>
      </c>
      <c r="B6209" t="s" s="11">
        <v>31169</v>
      </c>
      <c r="C6209" t="s" s="11">
        <v>46</v>
      </c>
      <c r="D6209" t="s" s="11">
        <v>915</v>
      </c>
      <c r="E6209" t="s" s="11">
        <v>373</v>
      </c>
      <c r="F6209" s="28">
        <v>46078</v>
      </c>
      <c r="G6209" t="s" s="11">
        <v>4267</v>
      </c>
      <c r="H6209" s="43">
        <v>5</v>
      </c>
      <c r="I6209" t="s" s="43">
        <v>30</v>
      </c>
      <c r="J6209" t="s" s="11">
        <v>31170</v>
      </c>
      <c r="K6209" t="s" s="11">
        <v>31171</v>
      </c>
      <c r="L6209" s="17">
        <f>HYPERLINK("http://www.pluvo.io", "www.pluvo.io")</f>
      </c>
      <c r="M6209" s="17">
        <f>HYPERLINK("https://my.pitchbook.com?c=533309-77", "View Company Online")</f>
      </c>
    </row>
    <row r="6210">
      <c r="A6210" t="s" s="10">
        <v>31173</v>
      </c>
      <c r="B6210" t="s" s="10">
        <v>31174</v>
      </c>
      <c r="C6210" t="s" s="10">
        <v>27</v>
      </c>
      <c r="D6210" t="s" s="10">
        <v>70</v>
      </c>
      <c r="E6210" t="s" s="10">
        <v>373</v>
      </c>
      <c r="F6210" s="27">
        <v>45428</v>
      </c>
      <c r="G6210" t="s" s="10">
        <v>146</v>
      </c>
      <c r="H6210" s="42">
        <v>0.18</v>
      </c>
      <c r="I6210" t="s" s="42">
        <v>30</v>
      </c>
      <c r="J6210" t="s" s="10">
        <v>31175</v>
      </c>
      <c r="K6210" t="s" s="10">
        <v>30</v>
      </c>
      <c r="L6210" s="16">
        <f>HYPERLINK("http://www.pocketbook.tech", "www.pocketbook.tech")</f>
      </c>
      <c r="M6210" s="16">
        <f>HYPERLINK("https://my.pitchbook.com?c=521955-91", "View Company Online")</f>
      </c>
    </row>
    <row r="6211">
      <c r="A6211" t="s" s="11">
        <v>31177</v>
      </c>
      <c r="B6211" t="s" s="11">
        <v>31178</v>
      </c>
      <c r="C6211" t="s" s="11">
        <v>46</v>
      </c>
      <c r="D6211" t="s" s="11">
        <v>397</v>
      </c>
      <c r="E6211" t="s" s="11">
        <v>116</v>
      </c>
      <c r="F6211" s="28">
        <v>46084</v>
      </c>
      <c r="G6211" t="s" s="11">
        <v>146</v>
      </c>
      <c r="H6211" s="43">
        <v>1</v>
      </c>
      <c r="I6211" t="s" s="43">
        <v>30</v>
      </c>
      <c r="J6211" t="s" s="11">
        <v>31179</v>
      </c>
      <c r="K6211" t="s" s="11">
        <v>31180</v>
      </c>
      <c r="L6211" s="17">
        <f>HYPERLINK("http://pocketcfo.io", "pocketcfo.io")</f>
      </c>
      <c r="M6211" s="17">
        <f>HYPERLINK("https://my.pitchbook.com?c=1324932-67", "View Company Online")</f>
      </c>
    </row>
    <row r="6212">
      <c r="A6212" t="s" s="10">
        <v>31182</v>
      </c>
      <c r="B6212" t="s" s="10">
        <v>31183</v>
      </c>
      <c r="C6212" t="s" s="10">
        <v>27</v>
      </c>
      <c r="D6212" t="s" s="10">
        <v>70</v>
      </c>
      <c r="E6212" t="s" s="10">
        <v>193</v>
      </c>
      <c r="F6212" s="27">
        <v>45658</v>
      </c>
      <c r="G6212" t="s" s="10">
        <v>4267</v>
      </c>
      <c r="H6212" t="s" s="42">
        <v>30</v>
      </c>
      <c r="I6212" t="s" s="42">
        <v>30</v>
      </c>
      <c r="J6212" t="s" s="10">
        <v>31184</v>
      </c>
      <c r="K6212" t="s" s="10">
        <v>31185</v>
      </c>
      <c r="L6212" s="16">
        <f>HYPERLINK("http://www.point3.io", "www.point3.io")</f>
      </c>
      <c r="M6212" s="16">
        <f>HYPERLINK("https://my.pitchbook.com?c=754074-91", "View Company Online")</f>
      </c>
    </row>
    <row r="6213">
      <c r="A6213" t="s" s="11">
        <v>31187</v>
      </c>
      <c r="B6213" t="s" s="11">
        <v>31188</v>
      </c>
      <c r="C6213" t="s" s="11">
        <v>128</v>
      </c>
      <c r="D6213" t="s" s="11">
        <v>129</v>
      </c>
      <c r="E6213" t="s" s="11">
        <v>116</v>
      </c>
      <c r="F6213" s="28">
        <v>46006</v>
      </c>
      <c r="G6213" t="s" s="11">
        <v>40</v>
      </c>
      <c r="H6213" s="43">
        <v>30</v>
      </c>
      <c r="I6213" t="s" s="43">
        <v>30</v>
      </c>
      <c r="J6213" t="s" s="11">
        <v>31189</v>
      </c>
      <c r="K6213" t="s" s="11">
        <v>31190</v>
      </c>
      <c r="L6213" s="17">
        <f>HYPERLINK("http://www.pointskash.com", "www.pointskash.com")</f>
      </c>
      <c r="M6213" s="17">
        <f>HYPERLINK("https://my.pitchbook.com?c=482000-95", "View Company Online")</f>
      </c>
    </row>
    <row r="6214">
      <c r="A6214" t="s" s="10">
        <v>31192</v>
      </c>
      <c r="B6214" t="s" s="10">
        <v>31193</v>
      </c>
      <c r="C6214" t="s" s="10">
        <v>60</v>
      </c>
      <c r="D6214" t="s" s="10">
        <v>727</v>
      </c>
      <c r="E6214" t="s" s="10">
        <v>31194</v>
      </c>
      <c r="F6214" s="27">
        <v>45139</v>
      </c>
      <c r="G6214" t="s" s="10">
        <v>146</v>
      </c>
      <c r="H6214" s="42">
        <v>2.85</v>
      </c>
      <c r="I6214" t="s" s="42">
        <v>30</v>
      </c>
      <c r="J6214" t="s" s="10">
        <v>31195</v>
      </c>
      <c r="K6214" t="s" s="10">
        <v>31196</v>
      </c>
      <c r="L6214" s="16">
        <f>HYPERLINK("http://www.pointsowl.com", "www.pointsowl.com")</f>
      </c>
      <c r="M6214" s="16">
        <f>HYPERLINK("https://my.pitchbook.com?c=520809-04", "View Company Online")</f>
      </c>
    </row>
    <row r="6215">
      <c r="A6215" t="s" s="11">
        <v>31198</v>
      </c>
      <c r="B6215" t="s" s="11">
        <v>31199</v>
      </c>
      <c r="C6215" t="s" s="11">
        <v>60</v>
      </c>
      <c r="D6215" t="s" s="11">
        <v>727</v>
      </c>
      <c r="E6215" t="s" s="11">
        <v>2782</v>
      </c>
      <c r="F6215" s="28">
        <v>45748</v>
      </c>
      <c r="G6215" t="s" s="11">
        <v>607</v>
      </c>
      <c r="H6215" t="s" s="43">
        <v>30</v>
      </c>
      <c r="I6215" t="s" s="43">
        <v>30</v>
      </c>
      <c r="J6215" t="s" s="11">
        <v>31200</v>
      </c>
      <c r="K6215" t="s" s="11">
        <v>31201</v>
      </c>
      <c r="L6215" s="17">
        <f>HYPERLINK("http://www.polibit.io", "www.polibit.io")</f>
      </c>
      <c r="M6215" s="17">
        <f>HYPERLINK("https://my.pitchbook.com?c=548075-17", "View Company Online")</f>
      </c>
    </row>
    <row r="6216">
      <c r="A6216" t="s" s="10">
        <v>31203</v>
      </c>
      <c r="B6216" t="s" s="10">
        <v>31204</v>
      </c>
      <c r="C6216" t="s" s="10">
        <v>164</v>
      </c>
      <c r="D6216" t="s" s="10">
        <v>206</v>
      </c>
      <c r="E6216" t="s" s="10">
        <v>137</v>
      </c>
      <c r="F6216" s="27">
        <v>46042</v>
      </c>
      <c r="G6216" t="s" s="10">
        <v>40</v>
      </c>
      <c r="H6216" s="42">
        <v>55</v>
      </c>
      <c r="I6216" t="s" s="42">
        <v>30</v>
      </c>
      <c r="J6216" t="s" s="10">
        <v>31205</v>
      </c>
      <c r="K6216" t="s" s="10">
        <v>31206</v>
      </c>
      <c r="L6216" s="16">
        <f>HYPERLINK("http://www.pomelo.la", "www.pomelo.la")</f>
      </c>
      <c r="M6216" s="16">
        <f>HYPERLINK("https://my.pitchbook.com?c=466137-10", "View Company Online")</f>
      </c>
    </row>
    <row r="6217">
      <c r="A6217" t="s" s="11">
        <v>31208</v>
      </c>
      <c r="B6217" t="s" s="11">
        <v>31209</v>
      </c>
      <c r="C6217" t="s" s="11">
        <v>114</v>
      </c>
      <c r="D6217" t="s" s="11">
        <v>115</v>
      </c>
      <c r="E6217" t="s" s="11">
        <v>1032</v>
      </c>
      <c r="F6217" s="28">
        <v>44061</v>
      </c>
      <c r="G6217" t="s" s="11">
        <v>146</v>
      </c>
      <c r="H6217" s="43">
        <v>30.21</v>
      </c>
      <c r="I6217" t="s" s="43">
        <v>30</v>
      </c>
      <c r="J6217" t="s" s="11">
        <v>31210</v>
      </c>
      <c r="K6217" t="s" s="11">
        <v>31211</v>
      </c>
      <c r="L6217" s="17">
        <f>HYPERLINK("http://www.pontte.com.br", "www.pontte.com.br")</f>
      </c>
      <c r="M6217" s="17">
        <f>HYPERLINK("https://my.pitchbook.com?c=452841-85", "View Company Online")</f>
      </c>
    </row>
    <row r="6218">
      <c r="A6218" t="s" s="10">
        <v>31213</v>
      </c>
      <c r="B6218" t="s" s="10">
        <v>31214</v>
      </c>
      <c r="C6218" t="s" s="10">
        <v>60</v>
      </c>
      <c r="D6218" t="s" s="10">
        <v>246</v>
      </c>
      <c r="E6218" t="s" s="10">
        <v>253</v>
      </c>
      <c r="F6218" s="27">
        <v>43553</v>
      </c>
      <c r="G6218" t="s" s="10">
        <v>146</v>
      </c>
      <c r="H6218" s="42">
        <v>0.15</v>
      </c>
      <c r="I6218" t="s" s="42">
        <v>30</v>
      </c>
      <c r="J6218" t="s" s="10">
        <v>31215</v>
      </c>
      <c r="K6218" t="s" s="10">
        <v>31216</v>
      </c>
      <c r="L6218" s="16">
        <f>HYPERLINK("http://www.popupcar.com.cn", "www.popupcar.com.cn")</f>
      </c>
      <c r="M6218" s="16">
        <f>HYPERLINK("https://my.pitchbook.com?c=338678-11", "View Company Online")</f>
      </c>
    </row>
    <row r="6219">
      <c r="A6219" t="s" s="11">
        <v>31218</v>
      </c>
      <c r="B6219" t="s" s="11">
        <v>31219</v>
      </c>
      <c r="C6219" t="s" s="11">
        <v>222</v>
      </c>
      <c r="D6219" t="s" s="11">
        <v>223</v>
      </c>
      <c r="E6219" t="s" s="11">
        <v>634</v>
      </c>
      <c r="F6219" s="28">
        <v>45385</v>
      </c>
      <c r="G6219" t="s" s="11">
        <v>146</v>
      </c>
      <c r="H6219" s="43">
        <v>0.13</v>
      </c>
      <c r="I6219" t="s" s="43">
        <v>30</v>
      </c>
      <c r="J6219" t="s" s="11">
        <v>31220</v>
      </c>
      <c r="K6219" t="s" s="11">
        <v>31221</v>
      </c>
      <c r="L6219" s="17">
        <f>HYPERLINK("http://www.portf.io", "www.portf.io")</f>
      </c>
      <c r="M6219" s="17">
        <f>HYPERLINK("https://my.pitchbook.com?c=494529-13", "View Company Online")</f>
      </c>
    </row>
    <row r="6220">
      <c r="A6220" t="s" s="10">
        <v>31223</v>
      </c>
      <c r="B6220" t="s" s="10">
        <v>31224</v>
      </c>
      <c r="C6220" t="s" s="10">
        <v>60</v>
      </c>
      <c r="D6220" t="s" s="10">
        <v>192</v>
      </c>
      <c r="E6220" t="s" s="10">
        <v>137</v>
      </c>
      <c r="F6220" s="27">
        <v>45992</v>
      </c>
      <c r="G6220" t="s" s="10">
        <v>146</v>
      </c>
      <c r="H6220" t="s" s="42">
        <v>30</v>
      </c>
      <c r="I6220" t="s" s="42">
        <v>30</v>
      </c>
      <c r="J6220" t="s" s="10">
        <v>31225</v>
      </c>
      <c r="K6220" t="s" s="10">
        <v>31226</v>
      </c>
      <c r="L6220" s="16">
        <f>HYPERLINK("http://www.theportfoy.com", "www.theportfoy.com")</f>
      </c>
      <c r="M6220" s="16">
        <f>HYPERLINK("https://my.pitchbook.com?c=960662-44", "View Company Online")</f>
      </c>
    </row>
    <row r="6221">
      <c r="A6221" t="s" s="11">
        <v>31228</v>
      </c>
      <c r="B6221" t="s" s="11">
        <v>31229</v>
      </c>
      <c r="C6221" t="s" s="11">
        <v>164</v>
      </c>
      <c r="D6221" t="s" s="11">
        <v>206</v>
      </c>
      <c r="E6221" t="s" s="11">
        <v>137</v>
      </c>
      <c r="F6221" t="s" s="28">
        <v>30</v>
      </c>
      <c r="G6221" t="s" s="11">
        <v>40</v>
      </c>
      <c r="H6221" t="s" s="43">
        <v>30</v>
      </c>
      <c r="I6221" t="s" s="43">
        <v>30</v>
      </c>
      <c r="J6221" t="s" s="11">
        <v>31230</v>
      </c>
      <c r="K6221" t="s" s="11">
        <v>31231</v>
      </c>
      <c r="L6221" s="17">
        <f>HYPERLINK("http://www.portone.io", "www.portone.io")</f>
      </c>
      <c r="M6221" s="17">
        <f>HYPERLINK("https://my.pitchbook.com?c=521258-05", "View Company Online")</f>
      </c>
    </row>
    <row r="6222">
      <c r="A6222" t="s" s="10">
        <v>31233</v>
      </c>
      <c r="B6222" t="s" s="10">
        <v>31234</v>
      </c>
      <c r="C6222" t="s" s="10">
        <v>114</v>
      </c>
      <c r="D6222" t="s" s="10">
        <v>852</v>
      </c>
      <c r="E6222" t="s" s="10">
        <v>3138</v>
      </c>
      <c r="F6222" s="27">
        <v>45523</v>
      </c>
      <c r="G6222" t="s" s="10">
        <v>40</v>
      </c>
      <c r="H6222" s="42">
        <v>15</v>
      </c>
      <c r="I6222" t="s" s="42">
        <v>30</v>
      </c>
      <c r="J6222" t="s" s="10">
        <v>31235</v>
      </c>
      <c r="K6222" t="s" s="10">
        <v>31236</v>
      </c>
      <c r="L6222" s="16">
        <f>HYPERLINK("http://postex.pk", "postex.pk")</f>
      </c>
      <c r="M6222" s="16">
        <f>HYPERLINK("https://my.pitchbook.com?c=472453-57", "View Company Online")</f>
      </c>
    </row>
    <row r="6223">
      <c r="A6223" t="s" s="11">
        <v>31238</v>
      </c>
      <c r="B6223" t="s" s="11">
        <v>31239</v>
      </c>
      <c r="C6223" t="s" s="11">
        <v>46</v>
      </c>
      <c r="D6223" t="s" s="11">
        <v>78</v>
      </c>
      <c r="E6223" t="s" s="11">
        <v>270</v>
      </c>
      <c r="F6223" s="28">
        <v>45899</v>
      </c>
      <c r="G6223" t="s" s="11">
        <v>40</v>
      </c>
      <c r="H6223" t="s" s="43">
        <v>30</v>
      </c>
      <c r="I6223" t="s" s="43">
        <v>30</v>
      </c>
      <c r="J6223" t="s" s="11">
        <v>31240</v>
      </c>
      <c r="K6223" t="s" s="11">
        <v>31241</v>
      </c>
      <c r="L6223" s="17">
        <f>HYPERLINK("http://www.yourpower.io", "www.yourpower.io")</f>
      </c>
      <c r="M6223" s="17">
        <f>HYPERLINK("https://my.pitchbook.com?c=484603-75", "View Company Online")</f>
      </c>
    </row>
    <row r="6224">
      <c r="A6224" t="s" s="10">
        <v>31243</v>
      </c>
      <c r="B6224" t="s" s="10">
        <v>31244</v>
      </c>
      <c r="C6224" t="s" s="10">
        <v>164</v>
      </c>
      <c r="D6224" t="s" s="10">
        <v>206</v>
      </c>
      <c r="E6224" t="s" s="10">
        <v>414</v>
      </c>
      <c r="F6224" s="27">
        <v>45971</v>
      </c>
      <c r="G6224" t="s" s="10">
        <v>146</v>
      </c>
      <c r="H6224" s="42">
        <v>1.1</v>
      </c>
      <c r="I6224" t="s" s="42">
        <v>30</v>
      </c>
      <c r="J6224" t="s" s="10">
        <v>31245</v>
      </c>
      <c r="K6224" t="s" s="10">
        <v>31246</v>
      </c>
      <c r="L6224" s="16">
        <f>HYPERLINK("http://www.powercred.io", "www.powercred.io")</f>
      </c>
      <c r="M6224" s="16">
        <f>HYPERLINK("https://my.pitchbook.com?c=494494-03", "View Company Online")</f>
      </c>
    </row>
    <row r="6225">
      <c r="A6225" t="s" s="11">
        <v>31248</v>
      </c>
      <c r="B6225" t="s" s="11">
        <v>31249</v>
      </c>
      <c r="C6225" t="s" s="11">
        <v>114</v>
      </c>
      <c r="D6225" t="s" s="11">
        <v>136</v>
      </c>
      <c r="E6225" t="s" s="11">
        <v>759</v>
      </c>
      <c r="F6225" s="28">
        <v>43295</v>
      </c>
      <c r="G6225" t="s" s="11">
        <v>40</v>
      </c>
      <c r="H6225" s="43">
        <v>91.21</v>
      </c>
      <c r="I6225" t="s" s="43">
        <v>30</v>
      </c>
      <c r="J6225" t="s" s="11">
        <v>31250</v>
      </c>
      <c r="K6225" t="s" s="11">
        <v>31251</v>
      </c>
      <c r="L6225" s="17">
        <f>HYPERLINK("http://www.ppmoney.com", "www.ppmoney.com")</f>
      </c>
      <c r="M6225" s="17">
        <f>HYPERLINK("https://my.pitchbook.com?c=172805-05", "View Company Online")</f>
      </c>
    </row>
    <row r="6226">
      <c r="A6226" t="s" s="10">
        <v>31253</v>
      </c>
      <c r="B6226" t="s" s="10">
        <v>31254</v>
      </c>
      <c r="C6226" t="s" s="10">
        <v>60</v>
      </c>
      <c r="D6226" t="s" s="10">
        <v>727</v>
      </c>
      <c r="E6226" t="s" s="10">
        <v>270</v>
      </c>
      <c r="F6226" s="27">
        <v>45770</v>
      </c>
      <c r="G6226" t="s" s="10">
        <v>4267</v>
      </c>
      <c r="H6226" t="s" s="42">
        <v>30</v>
      </c>
      <c r="I6226" t="s" s="42">
        <v>30</v>
      </c>
      <c r="J6226" t="s" s="10">
        <v>31255</v>
      </c>
      <c r="K6226" t="s" s="10">
        <v>31256</v>
      </c>
      <c r="L6226" s="16">
        <f>HYPERLINK("http://prap.kr", "prap.kr")</f>
      </c>
      <c r="M6226" s="16">
        <f>HYPERLINK("https://my.pitchbook.com?c=497788-21", "View Company Online")</f>
      </c>
    </row>
    <row r="6227">
      <c r="A6227" t="s" s="11">
        <v>31258</v>
      </c>
      <c r="B6227" t="s" s="11">
        <v>31259</v>
      </c>
      <c r="C6227" t="s" s="11">
        <v>27</v>
      </c>
      <c r="D6227" t="s" s="11">
        <v>28</v>
      </c>
      <c r="E6227" t="s" s="11">
        <v>967</v>
      </c>
      <c r="F6227" s="28">
        <v>45205</v>
      </c>
      <c r="G6227" t="s" s="11">
        <v>4267</v>
      </c>
      <c r="H6227" s="43">
        <v>5.2</v>
      </c>
      <c r="I6227" t="s" s="43">
        <v>30</v>
      </c>
      <c r="J6227" t="s" s="11">
        <v>31260</v>
      </c>
      <c r="K6227" t="s" s="11">
        <v>31261</v>
      </c>
      <c r="L6227" s="17">
        <f>HYPERLINK("http://www.precium.com", "www.precium.com")</f>
      </c>
      <c r="M6227" s="17">
        <f>HYPERLINK("https://my.pitchbook.com?c=471191-05", "View Company Online")</f>
      </c>
    </row>
    <row r="6228">
      <c r="A6228" t="s" s="10">
        <v>31263</v>
      </c>
      <c r="B6228" t="s" s="10">
        <v>31264</v>
      </c>
      <c r="C6228" t="s" s="10">
        <v>164</v>
      </c>
      <c r="D6228" t="s" s="10">
        <v>206</v>
      </c>
      <c r="E6228" t="s" s="10">
        <v>25540</v>
      </c>
      <c r="F6228" t="s" s="27">
        <v>30</v>
      </c>
      <c r="G6228" t="s" s="10">
        <v>146</v>
      </c>
      <c r="H6228" t="s" s="42">
        <v>30</v>
      </c>
      <c r="I6228" t="s" s="42">
        <v>30</v>
      </c>
      <c r="J6228" t="s" s="10">
        <v>31265</v>
      </c>
      <c r="K6228" t="s" s="10">
        <v>31266</v>
      </c>
      <c r="L6228" s="16">
        <f>HYPERLINK("http://www.predictablebenefits.com", "www.predictablebenefits.com")</f>
      </c>
      <c r="M6228" s="16">
        <f>HYPERLINK("https://my.pitchbook.com?c=1324918-18", "View Company Online")</f>
      </c>
    </row>
    <row r="6229">
      <c r="A6229" t="s" s="11">
        <v>31268</v>
      </c>
      <c r="B6229" t="s" s="11">
        <v>31269</v>
      </c>
      <c r="C6229" t="s" s="11">
        <v>46</v>
      </c>
      <c r="D6229" t="s" s="11">
        <v>915</v>
      </c>
      <c r="E6229" t="s" s="11">
        <v>373</v>
      </c>
      <c r="F6229" s="28">
        <v>45748</v>
      </c>
      <c r="G6229" t="s" s="11">
        <v>4267</v>
      </c>
      <c r="H6229" s="43">
        <v>2.16</v>
      </c>
      <c r="I6229" t="s" s="43">
        <v>30</v>
      </c>
      <c r="J6229" t="s" s="11">
        <v>31270</v>
      </c>
      <c r="K6229" t="s" s="11">
        <v>31271</v>
      </c>
      <c r="L6229" s="17">
        <f>HYPERLINK("http://www.predikt.ai", "www.predikt.ai")</f>
      </c>
      <c r="M6229" s="17">
        <f>HYPERLINK("https://my.pitchbook.com?c=707537-35", "View Company Online")</f>
      </c>
    </row>
    <row r="6230">
      <c r="A6230" t="s" s="10">
        <v>31273</v>
      </c>
      <c r="B6230" t="s" s="10">
        <v>31274</v>
      </c>
      <c r="C6230" t="s" s="10">
        <v>60</v>
      </c>
      <c r="D6230" t="s" s="10">
        <v>727</v>
      </c>
      <c r="E6230" t="s" s="10">
        <v>859</v>
      </c>
      <c r="F6230" s="27">
        <v>46174</v>
      </c>
      <c r="G6230" t="s" s="10">
        <v>40</v>
      </c>
      <c r="H6230" t="s" s="42">
        <v>30</v>
      </c>
      <c r="I6230" t="s" s="42">
        <v>30</v>
      </c>
      <c r="J6230" t="s" s="10">
        <v>31275</v>
      </c>
      <c r="K6230" t="s" s="10">
        <v>31276</v>
      </c>
      <c r="L6230" s="16">
        <f>HYPERLINK("http://www.prestocks.com", "www.prestocks.com")</f>
      </c>
      <c r="M6230" s="16">
        <f>HYPERLINK("https://my.pitchbook.com?c=482588-38", "View Company Online")</f>
      </c>
    </row>
    <row r="6231">
      <c r="A6231" t="s" s="11">
        <v>31278</v>
      </c>
      <c r="B6231" t="s" s="11">
        <v>31279</v>
      </c>
      <c r="C6231" t="s" s="11">
        <v>128</v>
      </c>
      <c r="D6231" t="s" s="11">
        <v>129</v>
      </c>
      <c r="E6231" t="s" s="11">
        <v>193</v>
      </c>
      <c r="F6231" s="28">
        <v>45531</v>
      </c>
      <c r="G6231" t="s" s="11">
        <v>4267</v>
      </c>
      <c r="H6231" t="s" s="43">
        <v>30</v>
      </c>
      <c r="I6231" t="s" s="43">
        <v>30</v>
      </c>
      <c r="J6231" t="s" s="11">
        <v>31280</v>
      </c>
      <c r="K6231" t="s" s="11">
        <v>31281</v>
      </c>
      <c r="L6231" s="17">
        <f>HYPERLINK("http://www.previ.com", "www.previ.com")</f>
      </c>
      <c r="M6231" s="17">
        <f>HYPERLINK("https://my.pitchbook.com?c=503111-44", "View Company Online")</f>
      </c>
    </row>
    <row r="6232">
      <c r="A6232" t="s" s="10">
        <v>31283</v>
      </c>
      <c r="B6232" t="s" s="10">
        <v>31284</v>
      </c>
      <c r="C6232" t="s" s="10">
        <v>222</v>
      </c>
      <c r="D6232" t="s" s="10">
        <v>252</v>
      </c>
      <c r="E6232" t="s" s="10">
        <v>31285</v>
      </c>
      <c r="F6232" s="27">
        <v>45895</v>
      </c>
      <c r="G6232" t="s" s="10">
        <v>40</v>
      </c>
      <c r="H6232" t="s" s="42">
        <v>30</v>
      </c>
      <c r="I6232" t="s" s="42">
        <v>30</v>
      </c>
      <c r="J6232" t="s" s="10">
        <v>31286</v>
      </c>
      <c r="K6232" t="s" s="10">
        <v>31287</v>
      </c>
      <c r="L6232" s="16">
        <f>HYPERLINK("http://www.previsesystems.com", "www.previsesystems.com")</f>
      </c>
      <c r="M6232" s="16">
        <f>HYPERLINK("https://my.pitchbook.com?c=540018-91", "View Company Online")</f>
      </c>
    </row>
    <row r="6233">
      <c r="A6233" t="s" s="11">
        <v>31289</v>
      </c>
      <c r="B6233" t="s" s="11">
        <v>31290</v>
      </c>
      <c r="C6233" t="s" s="11">
        <v>222</v>
      </c>
      <c r="D6233" t="s" s="11">
        <v>223</v>
      </c>
      <c r="E6233" t="s" s="11">
        <v>1349</v>
      </c>
      <c r="F6233" s="28">
        <v>45973</v>
      </c>
      <c r="G6233" t="s" s="11">
        <v>40</v>
      </c>
      <c r="H6233" s="43">
        <v>50</v>
      </c>
      <c r="I6233" t="s" s="43">
        <v>30</v>
      </c>
      <c r="J6233" t="s" s="11">
        <v>31291</v>
      </c>
      <c r="K6233" t="s" s="11">
        <v>31292</v>
      </c>
      <c r="L6233" s="17">
        <f>HYPERLINK("http://www.pricepatent.com", "www.pricepatent.com")</f>
      </c>
      <c r="M6233" s="17">
        <f>HYPERLINK("https://my.pitchbook.com?c=442295-83", "View Company Online")</f>
      </c>
    </row>
    <row r="6234">
      <c r="A6234" t="s" s="10">
        <v>31294</v>
      </c>
      <c r="B6234" t="s" s="10">
        <v>31295</v>
      </c>
      <c r="C6234" t="s" s="10">
        <v>114</v>
      </c>
      <c r="D6234" t="s" s="10">
        <v>852</v>
      </c>
      <c r="E6234" t="s" s="10">
        <v>1964</v>
      </c>
      <c r="F6234" s="27">
        <v>44547</v>
      </c>
      <c r="G6234" t="s" s="10">
        <v>146</v>
      </c>
      <c r="H6234" s="42">
        <v>49</v>
      </c>
      <c r="I6234" t="s" s="42">
        <v>30</v>
      </c>
      <c r="J6234" t="s" s="10">
        <v>31296</v>
      </c>
      <c r="K6234" t="s" s="10">
        <v>31297</v>
      </c>
      <c r="L6234" s="16">
        <f>HYPERLINK("http://www.primeft.com", "www.primeft.com")</f>
      </c>
      <c r="M6234" s="16">
        <f>HYPERLINK("https://my.pitchbook.com?c=493109-83", "View Company Online")</f>
      </c>
    </row>
    <row r="6235">
      <c r="A6235" t="s" s="11">
        <v>31299</v>
      </c>
      <c r="B6235" t="s" s="11">
        <v>31300</v>
      </c>
      <c r="C6235" t="s" s="11">
        <v>164</v>
      </c>
      <c r="D6235" t="s" s="11">
        <v>206</v>
      </c>
      <c r="E6235" t="s" s="11">
        <v>373</v>
      </c>
      <c r="F6235" t="s" s="28">
        <v>30</v>
      </c>
      <c r="G6235" t="s" s="11">
        <v>607</v>
      </c>
      <c r="H6235" t="s" s="43">
        <v>30</v>
      </c>
      <c r="I6235" t="s" s="43">
        <v>30</v>
      </c>
      <c r="J6235" t="s" s="11">
        <v>31301</v>
      </c>
      <c r="K6235" t="s" s="11">
        <v>31302</v>
      </c>
      <c r="L6235" s="17">
        <f>HYPERLINK("http://www.primedash.com", "www.primedash.com")</f>
      </c>
      <c r="M6235" s="17">
        <f>HYPERLINK("https://my.pitchbook.com?c=231745-33", "View Company Online")</f>
      </c>
    </row>
    <row r="6236">
      <c r="A6236" t="s" s="10">
        <v>31304</v>
      </c>
      <c r="B6236" t="s" s="10">
        <v>31305</v>
      </c>
      <c r="C6236" t="s" s="10">
        <v>60</v>
      </c>
      <c r="D6236" t="s" s="10">
        <v>246</v>
      </c>
      <c r="E6236" t="s" s="10">
        <v>414</v>
      </c>
      <c r="F6236" s="27">
        <v>46037</v>
      </c>
      <c r="G6236" t="s" s="10">
        <v>146</v>
      </c>
      <c r="H6236" s="42">
        <v>3.5</v>
      </c>
      <c r="I6236" t="s" s="42">
        <v>30</v>
      </c>
      <c r="J6236" t="s" s="10">
        <v>31306</v>
      </c>
      <c r="K6236" t="s" s="10">
        <v>31307</v>
      </c>
      <c r="L6236" s="16">
        <f>HYPERLINK("http://www.getprimemeridian.com", "www.getprimemeridian.com")</f>
      </c>
      <c r="M6236" s="16">
        <f>HYPERLINK("https://my.pitchbook.com?c=1157541-04", "View Company Online")</f>
      </c>
    </row>
    <row r="6237">
      <c r="A6237" t="s" s="11">
        <v>31309</v>
      </c>
      <c r="B6237" t="s" s="11">
        <v>31310</v>
      </c>
      <c r="C6237" t="s" s="11">
        <v>114</v>
      </c>
      <c r="D6237" t="s" s="11">
        <v>852</v>
      </c>
      <c r="E6237" t="s" s="11">
        <v>2782</v>
      </c>
      <c r="F6237" s="28">
        <v>43990</v>
      </c>
      <c r="G6237" t="s" s="11">
        <v>4267</v>
      </c>
      <c r="H6237" s="43">
        <v>0.8</v>
      </c>
      <c r="I6237" t="s" s="43">
        <v>30</v>
      </c>
      <c r="J6237" t="s" s="11">
        <v>31311</v>
      </c>
      <c r="K6237" t="s" s="11">
        <v>30</v>
      </c>
      <c r="L6237" s="17">
        <f>HYPERLINK("http://www.primestc.com", "www.primestc.com")</f>
      </c>
      <c r="M6237" s="17">
        <f>HYPERLINK("https://my.pitchbook.com?c=496336-87", "View Company Online")</f>
      </c>
    </row>
    <row r="6238">
      <c r="A6238" t="s" s="10">
        <v>31313</v>
      </c>
      <c r="B6238" t="s" s="10">
        <v>31314</v>
      </c>
      <c r="C6238" t="s" s="10">
        <v>46</v>
      </c>
      <c r="D6238" t="s" s="10">
        <v>47</v>
      </c>
      <c r="E6238" t="s" s="10">
        <v>116</v>
      </c>
      <c r="F6238" s="27">
        <v>45810</v>
      </c>
      <c r="G6238" t="s" s="10">
        <v>146</v>
      </c>
      <c r="H6238" s="42">
        <v>49.35</v>
      </c>
      <c r="I6238" t="s" s="42">
        <v>30</v>
      </c>
      <c r="J6238" t="s" s="10">
        <v>31315</v>
      </c>
      <c r="K6238" t="s" s="10">
        <v>31316</v>
      </c>
      <c r="L6238" s="16">
        <f>HYPERLINK("http://www.principia.net", "www.principia.net")</f>
      </c>
      <c r="M6238" s="16">
        <f>HYPERLINK("https://my.pitchbook.com?c=519212-98", "View Company Online")</f>
      </c>
    </row>
    <row r="6239">
      <c r="A6239" t="s" s="11">
        <v>31318</v>
      </c>
      <c r="B6239" t="s" s="11">
        <v>31319</v>
      </c>
      <c r="C6239" t="s" s="11">
        <v>114</v>
      </c>
      <c r="D6239" t="s" s="11">
        <v>136</v>
      </c>
      <c r="E6239" t="s" s="11">
        <v>137</v>
      </c>
      <c r="F6239" s="28">
        <v>45246</v>
      </c>
      <c r="G6239" t="s" s="11">
        <v>146</v>
      </c>
      <c r="H6239" s="43">
        <v>10</v>
      </c>
      <c r="I6239" t="s" s="43">
        <v>30</v>
      </c>
      <c r="J6239" t="s" s="11">
        <v>31320</v>
      </c>
      <c r="K6239" t="s" s="11">
        <v>31321</v>
      </c>
      <c r="L6239" t="s" s="11">
        <v>30</v>
      </c>
      <c r="M6239" s="17">
        <f>HYPERLINK("https://my.pitchbook.com?c=540001-36", "View Company Online")</f>
      </c>
    </row>
    <row r="6240">
      <c r="A6240" t="s" s="10">
        <v>31322</v>
      </c>
      <c r="B6240" t="s" s="10">
        <v>31323</v>
      </c>
      <c r="C6240" t="s" s="10">
        <v>164</v>
      </c>
      <c r="D6240" t="s" s="10">
        <v>934</v>
      </c>
      <c r="E6240" t="s" s="10">
        <v>9672</v>
      </c>
      <c r="F6240" s="27">
        <v>46220</v>
      </c>
      <c r="G6240" t="s" s="10">
        <v>391</v>
      </c>
      <c r="H6240" t="s" s="42">
        <v>30</v>
      </c>
      <c r="I6240" t="s" s="42">
        <v>30</v>
      </c>
      <c r="J6240" t="s" s="10">
        <v>31324</v>
      </c>
      <c r="K6240" t="s" s="10">
        <v>30</v>
      </c>
      <c r="L6240" s="16">
        <f>HYPERLINK("http://www.priorlabs.ai", "www.priorlabs.ai")</f>
      </c>
      <c r="M6240" s="16">
        <f>HYPERLINK("https://my.pitchbook.com?c=731185-12", "View Company Online")</f>
      </c>
    </row>
    <row r="6241">
      <c r="A6241" t="s" s="11">
        <v>31326</v>
      </c>
      <c r="B6241" t="s" s="11">
        <v>31327</v>
      </c>
      <c r="C6241" t="s" s="11">
        <v>222</v>
      </c>
      <c r="D6241" t="s" s="11">
        <v>223</v>
      </c>
      <c r="E6241" t="s" s="11">
        <v>373</v>
      </c>
      <c r="F6241" t="s" s="28">
        <v>30</v>
      </c>
      <c r="G6241" t="s" s="11">
        <v>146</v>
      </c>
      <c r="H6241" t="s" s="43">
        <v>30</v>
      </c>
      <c r="I6241" t="s" s="43">
        <v>30</v>
      </c>
      <c r="J6241" t="s" s="11">
        <v>31328</v>
      </c>
      <c r="K6241" t="s" s="11">
        <v>31329</v>
      </c>
      <c r="L6241" s="17">
        <f>HYPERLINK("http://www.prism39.com", "www.prism39.com")</f>
      </c>
      <c r="M6241" s="17">
        <f>HYPERLINK("https://my.pitchbook.com?c=465542-56", "View Company Online")</f>
      </c>
    </row>
    <row r="6242">
      <c r="A6242" t="s" s="10">
        <v>31331</v>
      </c>
      <c r="B6242" t="s" s="10">
        <v>31332</v>
      </c>
      <c r="C6242" t="s" s="10">
        <v>60</v>
      </c>
      <c r="D6242" t="s" s="10">
        <v>432</v>
      </c>
      <c r="E6242" t="s" s="10">
        <v>1964</v>
      </c>
      <c r="F6242" s="27">
        <v>46057</v>
      </c>
      <c r="G6242" t="s" s="10">
        <v>40</v>
      </c>
      <c r="H6242" s="42">
        <v>1</v>
      </c>
      <c r="I6242" t="s" s="42">
        <v>30</v>
      </c>
      <c r="J6242" t="s" s="10">
        <v>31333</v>
      </c>
      <c r="K6242" t="s" s="10">
        <v>31334</v>
      </c>
      <c r="L6242" s="16">
        <f>HYPERLINK("http://www.getprismm.com", "www.getprismm.com")</f>
      </c>
      <c r="M6242" s="16">
        <f>HYPERLINK("https://my.pitchbook.com?c=521430-49", "View Company Online")</f>
      </c>
    </row>
    <row r="6243">
      <c r="A6243" t="s" s="11">
        <v>31336</v>
      </c>
      <c r="B6243" t="s" s="11">
        <v>31337</v>
      </c>
      <c r="C6243" t="s" s="11">
        <v>128</v>
      </c>
      <c r="D6243" t="s" s="11">
        <v>199</v>
      </c>
      <c r="E6243" t="s" s="11">
        <v>859</v>
      </c>
      <c r="F6243" s="28">
        <v>46036</v>
      </c>
      <c r="G6243" t="s" s="11">
        <v>4267</v>
      </c>
      <c r="H6243" t="s" s="43">
        <v>30</v>
      </c>
      <c r="I6243" t="s" s="43">
        <v>30</v>
      </c>
      <c r="J6243" t="s" s="11">
        <v>31338</v>
      </c>
      <c r="K6243" t="s" s="11">
        <v>31339</v>
      </c>
      <c r="L6243" s="17">
        <f>HYPERLINK("http://www.privily.fi", "www.privily.fi")</f>
      </c>
      <c r="M6243" s="17">
        <f>HYPERLINK("https://my.pitchbook.com?c=1272504-88", "View Company Online")</f>
      </c>
    </row>
    <row r="6244">
      <c r="A6244" t="s" s="10">
        <v>31341</v>
      </c>
      <c r="B6244" t="s" s="10">
        <v>31342</v>
      </c>
      <c r="C6244" t="s" s="10">
        <v>46</v>
      </c>
      <c r="D6244" t="s" s="10">
        <v>397</v>
      </c>
      <c r="E6244" t="s" s="10">
        <v>4075</v>
      </c>
      <c r="F6244" s="27">
        <v>45001</v>
      </c>
      <c r="G6244" t="s" s="10">
        <v>4267</v>
      </c>
      <c r="H6244" s="42">
        <v>1.54</v>
      </c>
      <c r="I6244" t="s" s="42">
        <v>30</v>
      </c>
      <c r="J6244" t="s" s="10">
        <v>31343</v>
      </c>
      <c r="K6244" t="s" s="10">
        <v>31344</v>
      </c>
      <c r="L6244" s="16">
        <f>HYPERLINK("http://www.proesc.com", "www.proesc.com")</f>
      </c>
      <c r="M6244" s="16">
        <f>HYPERLINK("https://my.pitchbook.com?c=521703-82", "View Company Online")</f>
      </c>
    </row>
    <row r="6245">
      <c r="A6245" t="s" s="11">
        <v>31346</v>
      </c>
      <c r="B6245" t="s" s="11">
        <v>31347</v>
      </c>
      <c r="C6245" t="s" s="11">
        <v>46</v>
      </c>
      <c r="D6245" t="s" s="11">
        <v>397</v>
      </c>
      <c r="E6245" t="s" s="11">
        <v>373</v>
      </c>
      <c r="F6245" s="28">
        <v>45078</v>
      </c>
      <c r="G6245" t="s" s="11">
        <v>146</v>
      </c>
      <c r="H6245" s="43">
        <v>0.98</v>
      </c>
      <c r="I6245" t="s" s="43">
        <v>30</v>
      </c>
      <c r="J6245" t="s" s="11">
        <v>31348</v>
      </c>
      <c r="K6245" t="s" s="11">
        <v>15348</v>
      </c>
      <c r="L6245" s="17">
        <f>HYPERLINK("http://www.profitinc.com", "www.profitinc.com")</f>
      </c>
      <c r="M6245" s="17">
        <f>HYPERLINK("https://my.pitchbook.com?c=500750-02", "View Company Online")</f>
      </c>
    </row>
    <row r="6246">
      <c r="A6246" t="s" s="10">
        <v>31350</v>
      </c>
      <c r="B6246" t="s" s="10">
        <v>31351</v>
      </c>
      <c r="C6246" t="s" s="10">
        <v>60</v>
      </c>
      <c r="D6246" t="s" s="10">
        <v>727</v>
      </c>
      <c r="E6246" t="s" s="10">
        <v>130</v>
      </c>
      <c r="F6246" s="27">
        <v>43696</v>
      </c>
      <c r="G6246" t="s" s="10">
        <v>271</v>
      </c>
      <c r="H6246" s="42">
        <v>12.27</v>
      </c>
      <c r="I6246" t="s" s="42">
        <v>30</v>
      </c>
      <c r="J6246" t="s" s="10">
        <v>31352</v>
      </c>
      <c r="K6246" t="s" s="10">
        <v>30</v>
      </c>
      <c r="L6246" s="16">
        <f>HYPERLINK("http://www.profitus.com", "www.profitus.com")</f>
      </c>
      <c r="M6246" s="16">
        <f>HYPERLINK("https://my.pitchbook.com?c=343767-34", "View Company Online")</f>
      </c>
    </row>
    <row r="6247">
      <c r="A6247" t="s" s="11">
        <v>31354</v>
      </c>
      <c r="B6247" t="s" s="11">
        <v>31355</v>
      </c>
      <c r="C6247" t="s" s="11">
        <v>46</v>
      </c>
      <c r="D6247" t="s" s="11">
        <v>47</v>
      </c>
      <c r="E6247" t="s" s="11">
        <v>690</v>
      </c>
      <c r="F6247" s="28">
        <v>45980</v>
      </c>
      <c r="G6247" t="s" s="11">
        <v>40</v>
      </c>
      <c r="H6247" s="43">
        <v>0.99</v>
      </c>
      <c r="I6247" t="s" s="43">
        <v>30</v>
      </c>
      <c r="J6247" t="s" s="11">
        <v>31356</v>
      </c>
      <c r="K6247" t="s" s="11">
        <v>31357</v>
      </c>
      <c r="L6247" s="17">
        <f>HYPERLINK("http://www.profluo.com", "www.profluo.com")</f>
      </c>
      <c r="M6247" s="17">
        <f>HYPERLINK("https://my.pitchbook.com?c=175209-22", "View Company Online")</f>
      </c>
    </row>
    <row r="6248">
      <c r="A6248" t="s" s="10">
        <v>31359</v>
      </c>
      <c r="B6248" t="s" s="10">
        <v>31360</v>
      </c>
      <c r="C6248" t="s" s="10">
        <v>60</v>
      </c>
      <c r="D6248" t="s" s="10">
        <v>432</v>
      </c>
      <c r="E6248" t="s" s="10">
        <v>2824</v>
      </c>
      <c r="F6248" s="27">
        <v>44837</v>
      </c>
      <c r="G6248" t="s" s="10">
        <v>40</v>
      </c>
      <c r="H6248" t="s" s="42">
        <v>30</v>
      </c>
      <c r="I6248" t="s" s="42">
        <v>30</v>
      </c>
      <c r="J6248" t="s" s="10">
        <v>31361</v>
      </c>
      <c r="K6248" t="s" s="10">
        <v>31362</v>
      </c>
      <c r="L6248" s="16">
        <f>HYPERLINK("http://www.proformex.com", "www.proformex.com")</f>
      </c>
      <c r="M6248" s="16">
        <f>HYPERLINK("https://my.pitchbook.com?c=230374-99", "View Company Online")</f>
      </c>
    </row>
    <row r="6249">
      <c r="A6249" t="s" s="11">
        <v>31364</v>
      </c>
      <c r="B6249" t="s" s="11">
        <v>31365</v>
      </c>
      <c r="C6249" t="s" s="11">
        <v>27</v>
      </c>
      <c r="D6249" t="s" s="11">
        <v>28</v>
      </c>
      <c r="E6249" t="s" s="11">
        <v>253</v>
      </c>
      <c r="F6249" s="28">
        <v>45341</v>
      </c>
      <c r="G6249" t="s" s="11">
        <v>40</v>
      </c>
      <c r="H6249" s="43">
        <v>1.41</v>
      </c>
      <c r="I6249" t="s" s="43">
        <v>30</v>
      </c>
      <c r="J6249" t="s" s="11">
        <v>31366</v>
      </c>
      <c r="K6249" t="s" s="11">
        <v>31367</v>
      </c>
      <c r="L6249" s="17">
        <f>HYPERLINK("http://www.prolaz.hr", "www.prolaz.hr")</f>
      </c>
      <c r="M6249" s="17">
        <f>HYPERLINK("https://my.pitchbook.com?c=216155-44", "View Company Online")</f>
      </c>
    </row>
    <row r="6250">
      <c r="A6250" t="s" s="10">
        <v>31369</v>
      </c>
      <c r="B6250" t="s" s="10">
        <v>31370</v>
      </c>
      <c r="C6250" t="s" s="10">
        <v>60</v>
      </c>
      <c r="D6250" t="s" s="10">
        <v>432</v>
      </c>
      <c r="E6250" t="s" s="10">
        <v>31371</v>
      </c>
      <c r="F6250" s="27">
        <v>45394</v>
      </c>
      <c r="G6250" t="s" s="10">
        <v>40</v>
      </c>
      <c r="H6250" s="42">
        <v>0.15</v>
      </c>
      <c r="I6250" t="s" s="42">
        <v>30</v>
      </c>
      <c r="J6250" t="s" s="10">
        <v>31372</v>
      </c>
      <c r="K6250" t="s" s="10">
        <v>31373</v>
      </c>
      <c r="L6250" s="16">
        <f>HYPERLINK("http://www.prolegis.ca", "www.prolegis.ca")</f>
      </c>
      <c r="M6250" s="16">
        <f>HYPERLINK("https://my.pitchbook.com?c=442397-35", "View Company Online")</f>
      </c>
    </row>
    <row r="6251">
      <c r="A6251" t="s" s="11">
        <v>31375</v>
      </c>
      <c r="B6251" t="s" s="11">
        <v>31376</v>
      </c>
      <c r="C6251" t="s" s="11">
        <v>60</v>
      </c>
      <c r="D6251" t="s" s="11">
        <v>727</v>
      </c>
      <c r="E6251" t="s" s="11">
        <v>2293</v>
      </c>
      <c r="F6251" s="28">
        <v>45873</v>
      </c>
      <c r="G6251" t="s" s="11">
        <v>31</v>
      </c>
      <c r="H6251" s="43">
        <v>2.92</v>
      </c>
      <c r="I6251" t="s" s="43">
        <v>30</v>
      </c>
      <c r="J6251" t="s" s="11">
        <v>31377</v>
      </c>
      <c r="K6251" t="s" s="11">
        <v>31378</v>
      </c>
      <c r="L6251" s="17">
        <f>HYPERLINK("http://www.prophero.com", "www.prophero.com")</f>
      </c>
      <c r="M6251" s="17">
        <f>HYPERLINK("https://my.pitchbook.com?c=490711-78", "View Company Online")</f>
      </c>
    </row>
    <row r="6252">
      <c r="A6252" t="s" s="10">
        <v>31380</v>
      </c>
      <c r="B6252" t="s" s="10">
        <v>31381</v>
      </c>
      <c r="C6252" t="s" s="10">
        <v>164</v>
      </c>
      <c r="D6252" t="s" s="10">
        <v>165</v>
      </c>
      <c r="E6252" t="s" s="10">
        <v>253</v>
      </c>
      <c r="F6252" s="27">
        <v>44538</v>
      </c>
      <c r="G6252" t="s" s="10">
        <v>146</v>
      </c>
      <c r="H6252" t="s" s="42">
        <v>30</v>
      </c>
      <c r="I6252" t="s" s="42">
        <v>30</v>
      </c>
      <c r="J6252" t="s" s="10">
        <v>31382</v>
      </c>
      <c r="K6252" t="s" s="10">
        <v>31383</v>
      </c>
      <c r="L6252" s="16">
        <f>HYPERLINK("http://www.tryprophet.com", "www.tryprophet.com")</f>
      </c>
      <c r="M6252" s="16">
        <f>HYPERLINK("https://my.pitchbook.com?c=467665-48", "View Company Online")</f>
      </c>
    </row>
    <row r="6253">
      <c r="A6253" t="s" s="11">
        <v>31385</v>
      </c>
      <c r="B6253" t="s" s="11">
        <v>31386</v>
      </c>
      <c r="C6253" t="s" s="11">
        <v>172</v>
      </c>
      <c r="D6253" t="s" s="11">
        <v>338</v>
      </c>
      <c r="E6253" t="s" s="11">
        <v>414</v>
      </c>
      <c r="F6253" s="28">
        <v>43808</v>
      </c>
      <c r="G6253" t="s" s="11">
        <v>2651</v>
      </c>
      <c r="H6253" s="43">
        <v>0.03</v>
      </c>
      <c r="I6253" t="s" s="43">
        <v>30</v>
      </c>
      <c r="J6253" t="s" s="11">
        <v>31387</v>
      </c>
      <c r="K6253" t="s" s="11">
        <v>31388</v>
      </c>
      <c r="L6253" s="17">
        <f>HYPERLINK("http://www.prophit.ai", "www.prophit.ai")</f>
      </c>
      <c r="M6253" s="17">
        <f>HYPERLINK("https://my.pitchbook.com?c=343626-76", "View Company Online")</f>
      </c>
    </row>
    <row r="6254">
      <c r="A6254" t="s" s="10">
        <v>31390</v>
      </c>
      <c r="B6254" t="s" s="10">
        <v>31391</v>
      </c>
      <c r="C6254" t="s" s="10">
        <v>60</v>
      </c>
      <c r="D6254" t="s" s="10">
        <v>61</v>
      </c>
      <c r="E6254" t="s" s="10">
        <v>253</v>
      </c>
      <c r="F6254" s="27">
        <v>46066</v>
      </c>
      <c r="G6254" t="s" s="10">
        <v>146</v>
      </c>
      <c r="H6254" s="42">
        <v>0.79</v>
      </c>
      <c r="I6254" t="s" s="42">
        <v>30</v>
      </c>
      <c r="J6254" t="s" s="10">
        <v>31392</v>
      </c>
      <c r="K6254" t="s" s="10">
        <v>30</v>
      </c>
      <c r="L6254" s="16">
        <f>HYPERLINK("http://www.propshoptrader.com", "www.propshoptrader.com")</f>
      </c>
      <c r="M6254" s="16">
        <f>HYPERLINK("https://my.pitchbook.com?c=902485-81", "View Company Online")</f>
      </c>
    </row>
    <row r="6255">
      <c r="A6255" t="s" s="11">
        <v>31394</v>
      </c>
      <c r="B6255" t="s" s="11">
        <v>31395</v>
      </c>
      <c r="C6255" t="s" s="11">
        <v>222</v>
      </c>
      <c r="D6255" t="s" s="11">
        <v>252</v>
      </c>
      <c r="E6255" t="s" s="11">
        <v>629</v>
      </c>
      <c r="F6255" s="28">
        <v>45962</v>
      </c>
      <c r="G6255" t="s" s="11">
        <v>146</v>
      </c>
      <c r="H6255" t="s" s="43">
        <v>30</v>
      </c>
      <c r="I6255" t="s" s="43">
        <v>30</v>
      </c>
      <c r="J6255" t="s" s="11">
        <v>31396</v>
      </c>
      <c r="K6255" t="s" s="11">
        <v>31397</v>
      </c>
      <c r="L6255" s="17">
        <f>HYPERLINK("http://www.propto.com", "www.propto.com")</f>
      </c>
      <c r="M6255" s="17">
        <f>HYPERLINK("https://my.pitchbook.com?c=534999-70", "View Company Online")</f>
      </c>
    </row>
    <row r="6256">
      <c r="A6256" t="s" s="10">
        <v>31399</v>
      </c>
      <c r="B6256" t="s" s="10">
        <v>31400</v>
      </c>
      <c r="C6256" t="s" s="10">
        <v>114</v>
      </c>
      <c r="D6256" t="s" s="10">
        <v>852</v>
      </c>
      <c r="E6256" t="s" s="10">
        <v>16640</v>
      </c>
      <c r="F6256" s="27">
        <v>46111</v>
      </c>
      <c r="G6256" t="s" s="10">
        <v>146</v>
      </c>
      <c r="H6256" s="42">
        <v>0.35</v>
      </c>
      <c r="I6256" t="s" s="42">
        <v>30</v>
      </c>
      <c r="J6256" t="s" s="10">
        <v>31401</v>
      </c>
      <c r="K6256" t="s" s="10">
        <v>31402</v>
      </c>
      <c r="L6256" s="16">
        <f>HYPERLINK("http://www.prosparity.in", "www.prosparity.in")</f>
      </c>
      <c r="M6256" s="16">
        <f>HYPERLINK("https://my.pitchbook.com?c=599867-83", "View Company Online")</f>
      </c>
    </row>
    <row r="6257">
      <c r="A6257" t="s" s="11">
        <v>31404</v>
      </c>
      <c r="B6257" t="s" s="11">
        <v>31405</v>
      </c>
      <c r="C6257" t="s" s="11">
        <v>60</v>
      </c>
      <c r="D6257" t="s" s="11">
        <v>192</v>
      </c>
      <c r="E6257" t="s" s="11">
        <v>270</v>
      </c>
      <c r="F6257" s="28">
        <v>45627</v>
      </c>
      <c r="G6257" t="s" s="11">
        <v>146</v>
      </c>
      <c r="H6257" s="43">
        <v>0.19</v>
      </c>
      <c r="I6257" t="s" s="43">
        <v>30</v>
      </c>
      <c r="J6257" t="s" s="11">
        <v>31406</v>
      </c>
      <c r="K6257" t="s" s="11">
        <v>31407</v>
      </c>
      <c r="L6257" s="17">
        <f>HYPERLINK("http://www.getprosper.co", "www.getprosper.co")</f>
      </c>
      <c r="M6257" s="17">
        <f>HYPERLINK("https://my.pitchbook.com?c=718328-80", "View Company Online")</f>
      </c>
    </row>
    <row r="6258">
      <c r="A6258" t="s" s="10">
        <v>31409</v>
      </c>
      <c r="B6258" t="s" s="10">
        <v>31410</v>
      </c>
      <c r="C6258" t="s" s="10">
        <v>27</v>
      </c>
      <c r="D6258" t="s" s="10">
        <v>28</v>
      </c>
      <c r="E6258" t="s" s="10">
        <v>31411</v>
      </c>
      <c r="F6258" s="27">
        <v>44805</v>
      </c>
      <c r="G6258" t="s" s="10">
        <v>607</v>
      </c>
      <c r="H6258" t="s" s="42">
        <v>30</v>
      </c>
      <c r="I6258" t="s" s="42">
        <v>30</v>
      </c>
      <c r="J6258" t="s" s="10">
        <v>31412</v>
      </c>
      <c r="K6258" t="s" s="10">
        <v>31413</v>
      </c>
      <c r="L6258" s="16">
        <f>HYPERLINK("http://www.prosperna.com", "www.prosperna.com")</f>
      </c>
      <c r="M6258" s="16">
        <f>HYPERLINK("https://my.pitchbook.com?c=470465-02", "View Company Online")</f>
      </c>
    </row>
    <row r="6259">
      <c r="A6259" t="s" s="11">
        <v>31415</v>
      </c>
      <c r="B6259" t="s" s="11">
        <v>31416</v>
      </c>
      <c r="C6259" t="s" s="11">
        <v>60</v>
      </c>
      <c r="D6259" t="s" s="11">
        <v>192</v>
      </c>
      <c r="E6259" t="s" s="11">
        <v>116</v>
      </c>
      <c r="F6259" s="28">
        <v>45883</v>
      </c>
      <c r="G6259" t="s" s="11">
        <v>4267</v>
      </c>
      <c r="H6259" s="43">
        <v>2</v>
      </c>
      <c r="I6259" t="s" s="43">
        <v>30</v>
      </c>
      <c r="J6259" t="s" s="11">
        <v>31417</v>
      </c>
      <c r="K6259" t="s" s="11">
        <v>30</v>
      </c>
      <c r="L6259" s="17">
        <f>HYPERLINK("http://www.prospero.ai", "www.prospero.ai")</f>
      </c>
      <c r="M6259" s="17">
        <f>HYPERLINK("https://my.pitchbook.com?c=543133-81", "View Company Online")</f>
      </c>
    </row>
    <row r="6260">
      <c r="A6260" t="s" s="10">
        <v>31419</v>
      </c>
      <c r="B6260" t="s" s="10">
        <v>31420</v>
      </c>
      <c r="C6260" t="s" s="10">
        <v>60</v>
      </c>
      <c r="D6260" t="s" s="10">
        <v>246</v>
      </c>
      <c r="E6260" t="s" s="10">
        <v>373</v>
      </c>
      <c r="F6260" s="27">
        <v>46014</v>
      </c>
      <c r="G6260" t="s" s="10">
        <v>4267</v>
      </c>
      <c r="H6260" s="42">
        <v>4</v>
      </c>
      <c r="I6260" t="s" s="42">
        <v>30</v>
      </c>
      <c r="J6260" t="s" s="10">
        <v>31421</v>
      </c>
      <c r="K6260" t="s" s="10">
        <v>31422</v>
      </c>
      <c r="L6260" s="16">
        <f>HYPERLINK("http://www.prosperr.io", "www.prosperr.io")</f>
      </c>
      <c r="M6260" s="16">
        <f>HYPERLINK("https://my.pitchbook.com?c=593096-41", "View Company Online")</f>
      </c>
    </row>
    <row r="6261">
      <c r="A6261" t="s" s="11">
        <v>31424</v>
      </c>
      <c r="B6261" t="s" s="11">
        <v>31425</v>
      </c>
      <c r="C6261" t="s" s="11">
        <v>60</v>
      </c>
      <c r="D6261" t="s" s="11">
        <v>727</v>
      </c>
      <c r="E6261" t="s" s="11">
        <v>137</v>
      </c>
      <c r="F6261" s="28">
        <v>45610</v>
      </c>
      <c r="G6261" t="s" s="11">
        <v>4267</v>
      </c>
      <c r="H6261" s="43">
        <v>2.1</v>
      </c>
      <c r="I6261" t="s" s="43">
        <v>30</v>
      </c>
      <c r="J6261" t="s" s="11">
        <v>31426</v>
      </c>
      <c r="K6261" t="s" s="11">
        <v>31427</v>
      </c>
      <c r="L6261" s="17">
        <f>HYPERLINK("http://www.prospinity.com", "www.prospinity.com")</f>
      </c>
      <c r="M6261" s="17">
        <f>HYPERLINK("https://my.pitchbook.com?c=607219-84", "View Company Online")</f>
      </c>
    </row>
    <row r="6262">
      <c r="A6262" t="s" s="10">
        <v>31429</v>
      </c>
      <c r="B6262" t="s" s="10">
        <v>31430</v>
      </c>
      <c r="C6262" t="s" s="10">
        <v>164</v>
      </c>
      <c r="D6262" t="s" s="10">
        <v>165</v>
      </c>
      <c r="E6262" t="s" s="10">
        <v>253</v>
      </c>
      <c r="F6262" s="27">
        <v>44028</v>
      </c>
      <c r="G6262" t="s" s="10">
        <v>40</v>
      </c>
      <c r="H6262" s="42">
        <v>10.5</v>
      </c>
      <c r="I6262" t="s" s="42">
        <v>30</v>
      </c>
      <c r="J6262" t="s" s="10">
        <v>31431</v>
      </c>
      <c r="K6262" t="s" s="10">
        <v>30</v>
      </c>
      <c r="L6262" s="16">
        <f>HYPERLINK("http://www.proteuscapital.us", "www.proteuscapital.us")</f>
      </c>
      <c r="M6262" s="16">
        <f>HYPERLINK("https://my.pitchbook.com?c=435493-36", "View Company Online")</f>
      </c>
    </row>
    <row r="6263">
      <c r="A6263" t="s" s="11">
        <v>31433</v>
      </c>
      <c r="B6263" t="s" s="11">
        <v>31434</v>
      </c>
      <c r="C6263" t="s" s="11">
        <v>114</v>
      </c>
      <c r="D6263" t="s" s="11">
        <v>870</v>
      </c>
      <c r="E6263" t="s" s="11">
        <v>137</v>
      </c>
      <c r="F6263" t="s" s="28">
        <v>30</v>
      </c>
      <c r="G6263" t="s" s="11">
        <v>40</v>
      </c>
      <c r="H6263" t="s" s="43">
        <v>30</v>
      </c>
      <c r="I6263" t="s" s="43">
        <v>30</v>
      </c>
      <c r="J6263" t="s" s="11">
        <v>31435</v>
      </c>
      <c r="K6263" t="s" s="11">
        <v>30</v>
      </c>
      <c r="L6263" s="17">
        <f>HYPERLINK("http://www.protium.co.in", "www.protium.co.in")</f>
      </c>
      <c r="M6263" s="17">
        <f>HYPERLINK("https://my.pitchbook.com?c=481351-60", "View Company Online")</f>
      </c>
    </row>
    <row r="6264">
      <c r="A6264" t="s" s="10">
        <v>31437</v>
      </c>
      <c r="B6264" t="s" s="10">
        <v>31438</v>
      </c>
      <c r="C6264" t="s" s="10">
        <v>164</v>
      </c>
      <c r="D6264" t="s" s="10">
        <v>165</v>
      </c>
      <c r="E6264" t="s" s="10">
        <v>859</v>
      </c>
      <c r="F6264" s="27">
        <v>45604</v>
      </c>
      <c r="G6264" t="s" s="10">
        <v>40</v>
      </c>
      <c r="H6264" s="42">
        <v>15</v>
      </c>
      <c r="I6264" t="s" s="42">
        <v>30</v>
      </c>
      <c r="J6264" t="s" s="10">
        <v>31439</v>
      </c>
      <c r="K6264" t="s" s="10">
        <v>31440</v>
      </c>
      <c r="L6264" s="16">
        <f>HYPERLINK("http://www.provenance.io", "www.provenance.io")</f>
      </c>
      <c r="M6264" s="16">
        <f>HYPERLINK("https://my.pitchbook.com?c=277217-20", "View Company Online")</f>
      </c>
    </row>
    <row r="6265">
      <c r="A6265" t="s" s="11">
        <v>31442</v>
      </c>
      <c r="B6265" t="s" s="11">
        <v>31443</v>
      </c>
      <c r="C6265" t="s" s="11">
        <v>128</v>
      </c>
      <c r="D6265" t="s" s="11">
        <v>199</v>
      </c>
      <c r="E6265" t="s" s="11">
        <v>270</v>
      </c>
      <c r="F6265" s="28">
        <v>43739</v>
      </c>
      <c r="G6265" t="s" s="11">
        <v>4267</v>
      </c>
      <c r="H6265" s="43">
        <v>0.15</v>
      </c>
      <c r="I6265" t="s" s="43">
        <v>30</v>
      </c>
      <c r="J6265" t="s" s="11">
        <v>31444</v>
      </c>
      <c r="K6265" t="s" s="11">
        <v>31445</v>
      </c>
      <c r="L6265" s="17">
        <f>HYPERLINK("http://www.prowalletusa.com", "www.prowalletusa.com")</f>
      </c>
      <c r="M6265" s="17">
        <f>HYPERLINK("https://my.pitchbook.com?c=470654-20", "View Company Online")</f>
      </c>
    </row>
    <row r="6266">
      <c r="A6266" t="s" s="10">
        <v>31447</v>
      </c>
      <c r="B6266" t="s" s="10">
        <v>31448</v>
      </c>
      <c r="C6266" t="s" s="10">
        <v>144</v>
      </c>
      <c r="D6266" t="s" s="10">
        <v>38</v>
      </c>
      <c r="E6266" t="s" s="10">
        <v>253</v>
      </c>
      <c r="F6266" s="27">
        <v>46193</v>
      </c>
      <c r="G6266" t="s" s="10">
        <v>2051</v>
      </c>
      <c r="H6266" t="s" s="42">
        <v>30</v>
      </c>
      <c r="I6266" t="s" s="42">
        <v>30</v>
      </c>
      <c r="J6266" t="s" s="10">
        <v>31449</v>
      </c>
      <c r="K6266" t="s" s="10">
        <v>30</v>
      </c>
      <c r="L6266" s="16">
        <f>HYPERLINK("http://www.proboutik.io", "www.proboutik.io")</f>
      </c>
      <c r="M6266" s="16">
        <f>HYPERLINK("https://my.pitchbook.com?c=491433-67", "View Company Online")</f>
      </c>
    </row>
    <row r="6267">
      <c r="A6267" t="s" s="11">
        <v>31451</v>
      </c>
      <c r="B6267" t="s" s="11">
        <v>31452</v>
      </c>
      <c r="C6267" t="s" s="11">
        <v>114</v>
      </c>
      <c r="D6267" t="s" s="11">
        <v>1386</v>
      </c>
      <c r="E6267" t="s" s="11">
        <v>414</v>
      </c>
      <c r="F6267" s="28">
        <v>46054</v>
      </c>
      <c r="G6267" t="s" s="11">
        <v>146</v>
      </c>
      <c r="H6267" t="s" s="43">
        <v>30</v>
      </c>
      <c r="I6267" t="s" s="43">
        <v>30</v>
      </c>
      <c r="J6267" t="s" s="11">
        <v>31453</v>
      </c>
      <c r="K6267" t="s" s="11">
        <v>31454</v>
      </c>
      <c r="L6267" s="17">
        <f>HYPERLINK("http://www.proximitty.ai", "www.proximitty.ai")</f>
      </c>
      <c r="M6267" s="17">
        <f>HYPERLINK("https://my.pitchbook.com?c=1319891-41", "View Company Online")</f>
      </c>
    </row>
    <row r="6268">
      <c r="A6268" t="s" s="10">
        <v>31456</v>
      </c>
      <c r="B6268" t="s" s="10">
        <v>31457</v>
      </c>
      <c r="C6268" t="s" s="10">
        <v>114</v>
      </c>
      <c r="D6268" t="s" s="10">
        <v>870</v>
      </c>
      <c r="E6268" t="s" s="10">
        <v>137</v>
      </c>
      <c r="F6268" t="s" s="27">
        <v>30</v>
      </c>
      <c r="G6268" t="s" s="10">
        <v>31</v>
      </c>
      <c r="H6268" s="42">
        <v>5</v>
      </c>
      <c r="I6268" t="s" s="42">
        <v>30</v>
      </c>
      <c r="J6268" t="s" s="10">
        <v>31458</v>
      </c>
      <c r="K6268" t="s" s="10">
        <v>31459</v>
      </c>
      <c r="L6268" s="16">
        <f>HYPERLINK("http://www.proximityfinance.org", "www.proximityfinance.org")</f>
      </c>
      <c r="M6268" s="16">
        <f>HYPERLINK("https://my.pitchbook.com?c=436804-30", "View Company Online")</f>
      </c>
    </row>
    <row r="6269">
      <c r="A6269" t="s" s="11">
        <v>31461</v>
      </c>
      <c r="B6269" t="s" s="11">
        <v>31462</v>
      </c>
      <c r="C6269" t="s" s="11">
        <v>164</v>
      </c>
      <c r="D6269" t="s" s="11">
        <v>165</v>
      </c>
      <c r="E6269" t="s" s="11">
        <v>253</v>
      </c>
      <c r="F6269" s="28">
        <v>46079</v>
      </c>
      <c r="G6269" t="s" s="11">
        <v>2662</v>
      </c>
      <c r="H6269" t="s" s="43">
        <v>30</v>
      </c>
      <c r="I6269" t="s" s="43">
        <v>30</v>
      </c>
      <c r="J6269" t="s" s="11">
        <v>31463</v>
      </c>
      <c r="K6269" t="s" s="11">
        <v>31464</v>
      </c>
      <c r="L6269" s="17">
        <f>HYPERLINK("http://www.proxymity.io", "www.proxymity.io")</f>
      </c>
      <c r="M6269" s="17">
        <f>HYPERLINK("https://my.pitchbook.com?c=434785-15", "View Company Online")</f>
      </c>
    </row>
    <row r="6270">
      <c r="A6270" t="s" s="10">
        <v>31466</v>
      </c>
      <c r="B6270" t="s" s="10">
        <v>31467</v>
      </c>
      <c r="C6270" t="s" s="10">
        <v>37</v>
      </c>
      <c r="D6270" t="s" s="10">
        <v>38</v>
      </c>
      <c r="E6270" t="s" s="10">
        <v>270</v>
      </c>
      <c r="F6270" s="27">
        <v>45824</v>
      </c>
      <c r="G6270" t="s" s="10">
        <v>40</v>
      </c>
      <c r="H6270" s="42">
        <v>13.49</v>
      </c>
      <c r="I6270" t="s" s="42">
        <v>30</v>
      </c>
      <c r="J6270" t="s" s="10">
        <v>31468</v>
      </c>
      <c r="K6270" t="s" s="10">
        <v>31469</v>
      </c>
      <c r="L6270" s="16">
        <f>HYPERLINK("http://www.mypryme.com", "www.mypryme.com")</f>
      </c>
      <c r="M6270" s="16">
        <f>HYPERLINK("https://my.pitchbook.com?c=493903-63", "View Company Online")</f>
      </c>
    </row>
    <row r="6271">
      <c r="A6271" t="s" s="11">
        <v>31471</v>
      </c>
      <c r="B6271" t="s" s="11">
        <v>31472</v>
      </c>
      <c r="C6271" t="s" s="11">
        <v>27</v>
      </c>
      <c r="D6271" t="s" s="11">
        <v>28</v>
      </c>
      <c r="E6271" t="s" s="11">
        <v>137</v>
      </c>
      <c r="F6271" s="28">
        <v>45622</v>
      </c>
      <c r="G6271" t="s" s="11">
        <v>146</v>
      </c>
      <c r="H6271" s="43">
        <v>0.49</v>
      </c>
      <c r="I6271" t="s" s="43">
        <v>30</v>
      </c>
      <c r="J6271" t="s" s="11">
        <v>31473</v>
      </c>
      <c r="K6271" t="s" s="11">
        <v>31474</v>
      </c>
      <c r="L6271" t="s" s="11">
        <v>30</v>
      </c>
      <c r="M6271" s="17">
        <f>HYPERLINK("https://my.pitchbook.com?c=711712-36", "View Company Online")</f>
      </c>
    </row>
    <row r="6272">
      <c r="A6272" t="s" s="10">
        <v>31475</v>
      </c>
      <c r="B6272" t="s" s="10">
        <v>31476</v>
      </c>
      <c r="C6272" t="s" s="10">
        <v>164</v>
      </c>
      <c r="D6272" t="s" s="10">
        <v>165</v>
      </c>
      <c r="E6272" t="s" s="10">
        <v>116</v>
      </c>
      <c r="F6272" s="27">
        <v>45688</v>
      </c>
      <c r="G6272" t="s" s="10">
        <v>48</v>
      </c>
      <c r="H6272" t="s" s="42">
        <v>30</v>
      </c>
      <c r="I6272" t="s" s="42">
        <v>30</v>
      </c>
      <c r="J6272" t="s" s="10">
        <v>31477</v>
      </c>
      <c r="K6272" t="s" s="10">
        <v>31478</v>
      </c>
      <c r="L6272" s="16">
        <f>HYPERLINK("http://www.pulseid.com", "www.pulseid.com")</f>
      </c>
      <c r="M6272" s="16">
        <f>HYPERLINK("https://my.pitchbook.com?c=234198-91", "View Company Online")</f>
      </c>
    </row>
    <row r="6273">
      <c r="A6273" t="s" s="11">
        <v>31480</v>
      </c>
      <c r="B6273" t="s" s="11">
        <v>31481</v>
      </c>
      <c r="C6273" t="s" s="11">
        <v>60</v>
      </c>
      <c r="D6273" t="s" s="11">
        <v>432</v>
      </c>
      <c r="E6273" t="s" s="11">
        <v>373</v>
      </c>
      <c r="F6273" t="s" s="28">
        <v>30</v>
      </c>
      <c r="G6273" t="s" s="11">
        <v>607</v>
      </c>
      <c r="H6273" t="s" s="43">
        <v>30</v>
      </c>
      <c r="I6273" t="s" s="43">
        <v>30</v>
      </c>
      <c r="J6273" t="s" s="11">
        <v>31482</v>
      </c>
      <c r="K6273" t="s" s="11">
        <v>31483</v>
      </c>
      <c r="L6273" s="17">
        <f>HYPERLINK("http://www.pulse360.com", "www.pulse360.com")</f>
      </c>
      <c r="M6273" s="17">
        <f>HYPERLINK("https://my.pitchbook.com?c=434125-45", "View Company Online")</f>
      </c>
    </row>
    <row r="6274">
      <c r="A6274" t="s" s="10">
        <v>31485</v>
      </c>
      <c r="B6274" t="s" s="10">
        <v>31486</v>
      </c>
      <c r="C6274" t="s" s="10">
        <v>114</v>
      </c>
      <c r="D6274" t="s" s="10">
        <v>870</v>
      </c>
      <c r="E6274" t="s" s="10">
        <v>137</v>
      </c>
      <c r="F6274" s="27">
        <v>45658</v>
      </c>
      <c r="G6274" t="s" s="10">
        <v>146</v>
      </c>
      <c r="H6274" t="s" s="42">
        <v>30</v>
      </c>
      <c r="I6274" t="s" s="42">
        <v>30</v>
      </c>
      <c r="J6274" t="s" s="10">
        <v>31487</v>
      </c>
      <c r="K6274" t="s" s="10">
        <v>31488</v>
      </c>
      <c r="L6274" s="16">
        <f>HYPERLINK("http://www.pumpkn.io", "www.pumpkn.io")</f>
      </c>
      <c r="M6274" s="16">
        <f>HYPERLINK("https://my.pitchbook.com?c=528886-27", "View Company Online")</f>
      </c>
    </row>
    <row r="6275">
      <c r="A6275" t="s" s="11">
        <v>31490</v>
      </c>
      <c r="B6275" t="s" s="11">
        <v>31491</v>
      </c>
      <c r="C6275" t="s" s="11">
        <v>128</v>
      </c>
      <c r="D6275" t="s" s="11">
        <v>276</v>
      </c>
      <c r="E6275" t="s" s="11">
        <v>270</v>
      </c>
      <c r="F6275" s="28">
        <v>45566</v>
      </c>
      <c r="G6275" t="s" s="11">
        <v>607</v>
      </c>
      <c r="H6275" t="s" s="43">
        <v>30</v>
      </c>
      <c r="I6275" t="s" s="43">
        <v>30</v>
      </c>
      <c r="J6275" t="s" s="11">
        <v>31492</v>
      </c>
      <c r="K6275" t="s" s="11">
        <v>31493</v>
      </c>
      <c r="L6275" s="17">
        <f>HYPERLINK("http://www.purplwallet.com", "www.purplwallet.com")</f>
      </c>
      <c r="M6275" s="17">
        <f>HYPERLINK("https://my.pitchbook.com?c=500631-13", "View Company Online")</f>
      </c>
    </row>
    <row r="6276">
      <c r="A6276" t="s" s="10">
        <v>31495</v>
      </c>
      <c r="B6276" t="s" s="10">
        <v>31496</v>
      </c>
      <c r="C6276" t="s" s="10">
        <v>37</v>
      </c>
      <c r="D6276" t="s" s="10">
        <v>38</v>
      </c>
      <c r="E6276" t="s" s="10">
        <v>305</v>
      </c>
      <c r="F6276" s="27">
        <v>45853</v>
      </c>
      <c r="G6276" t="s" s="10">
        <v>40</v>
      </c>
      <c r="H6276" t="s" s="42">
        <v>30</v>
      </c>
      <c r="I6276" t="s" s="42">
        <v>30</v>
      </c>
      <c r="J6276" t="s" s="10">
        <v>31497</v>
      </c>
      <c r="K6276" t="s" s="10">
        <v>31498</v>
      </c>
      <c r="L6276" s="16">
        <f>HYPERLINK("http://www.withpurple.com", "www.withpurple.com")</f>
      </c>
      <c r="M6276" s="16">
        <f>HYPERLINK("https://my.pitchbook.com?c=453488-77", "View Company Online")</f>
      </c>
    </row>
    <row r="6277">
      <c r="A6277" t="s" s="11">
        <v>31500</v>
      </c>
      <c r="B6277" t="s" s="11">
        <v>31501</v>
      </c>
      <c r="C6277" t="s" s="11">
        <v>164</v>
      </c>
      <c r="D6277" t="s" s="11">
        <v>206</v>
      </c>
      <c r="E6277" t="s" s="11">
        <v>137</v>
      </c>
      <c r="F6277" s="28">
        <v>44237</v>
      </c>
      <c r="G6277" t="s" s="11">
        <v>40</v>
      </c>
      <c r="H6277" t="s" s="43">
        <v>30</v>
      </c>
      <c r="I6277" t="s" s="43">
        <v>30</v>
      </c>
      <c r="J6277" t="s" s="11">
        <v>31502</v>
      </c>
      <c r="K6277" t="s" s="11">
        <v>31503</v>
      </c>
      <c r="L6277" s="17">
        <f>HYPERLINK("http://www.purpose-unlimited.com", "www.purpose-unlimited.com")</f>
      </c>
      <c r="M6277" s="17">
        <f>HYPERLINK("https://my.pitchbook.com?c=459973-27", "View Company Online")</f>
      </c>
    </row>
    <row r="6278">
      <c r="A6278" t="s" s="10">
        <v>31505</v>
      </c>
      <c r="B6278" t="s" s="10">
        <v>31506</v>
      </c>
      <c r="C6278" t="s" s="10">
        <v>144</v>
      </c>
      <c r="D6278" t="s" s="10">
        <v>297</v>
      </c>
      <c r="E6278" t="s" s="10">
        <v>137</v>
      </c>
      <c r="F6278" s="27">
        <v>46199</v>
      </c>
      <c r="G6278" t="s" s="10">
        <v>146</v>
      </c>
      <c r="H6278" s="42">
        <v>10.5</v>
      </c>
      <c r="I6278" t="s" s="42">
        <v>30</v>
      </c>
      <c r="J6278" t="s" s="10">
        <v>31507</v>
      </c>
      <c r="K6278" t="s" s="10">
        <v>31508</v>
      </c>
      <c r="L6278" s="16">
        <f>HYPERLINK("http://www.pvxpartners.com", "www.pvxpartners.com")</f>
      </c>
      <c r="M6278" s="16">
        <f>HYPERLINK("https://my.pitchbook.com?c=615761-56", "View Company Online")</f>
      </c>
    </row>
    <row r="6279">
      <c r="A6279" t="s" s="11">
        <v>31510</v>
      </c>
      <c r="B6279" t="s" s="11">
        <v>31511</v>
      </c>
      <c r="C6279" t="s" s="11">
        <v>164</v>
      </c>
      <c r="D6279" t="s" s="11">
        <v>206</v>
      </c>
      <c r="E6279" t="s" s="11">
        <v>1219</v>
      </c>
      <c r="F6279" s="28">
        <v>45978</v>
      </c>
      <c r="G6279" t="s" s="11">
        <v>146</v>
      </c>
      <c r="H6279" t="s" s="43">
        <v>30</v>
      </c>
      <c r="I6279" t="s" s="43">
        <v>30</v>
      </c>
      <c r="J6279" t="s" s="11">
        <v>31512</v>
      </c>
      <c r="K6279" t="s" s="11">
        <v>31513</v>
      </c>
      <c r="L6279" s="17">
        <f>HYPERLINK("http://www.pylonlending.com", "www.pylonlending.com")</f>
      </c>
      <c r="M6279" s="17">
        <f>HYPERLINK("https://my.pitchbook.com?c=494975-80", "View Company Online")</f>
      </c>
    </row>
    <row r="6280">
      <c r="A6280" t="s" s="10">
        <v>31515</v>
      </c>
      <c r="B6280" t="s" s="10">
        <v>31516</v>
      </c>
      <c r="C6280" t="s" s="10">
        <v>128</v>
      </c>
      <c r="D6280" t="s" s="10">
        <v>276</v>
      </c>
      <c r="E6280" t="s" s="10">
        <v>116</v>
      </c>
      <c r="F6280" t="s" s="27">
        <v>30</v>
      </c>
      <c r="G6280" t="s" s="10">
        <v>607</v>
      </c>
      <c r="H6280" t="s" s="42">
        <v>30</v>
      </c>
      <c r="I6280" t="s" s="42">
        <v>30</v>
      </c>
      <c r="J6280" t="s" s="10">
        <v>31517</v>
      </c>
      <c r="K6280" t="s" s="10">
        <v>31518</v>
      </c>
      <c r="L6280" s="16">
        <f>HYPERLINK("http://www.pyypl.com", "www.pyypl.com")</f>
      </c>
      <c r="M6280" s="16">
        <f>HYPERLINK("https://my.pitchbook.com?c=454236-13", "View Company Online")</f>
      </c>
    </row>
    <row r="6281">
      <c r="A6281" t="s" s="11">
        <v>31520</v>
      </c>
      <c r="B6281" t="s" s="11">
        <v>31521</v>
      </c>
      <c r="C6281" t="s" s="11">
        <v>37</v>
      </c>
      <c r="D6281" t="s" s="11">
        <v>38</v>
      </c>
      <c r="E6281" t="s" s="11">
        <v>345</v>
      </c>
      <c r="F6281" s="28">
        <v>44470</v>
      </c>
      <c r="G6281" t="s" s="11">
        <v>48</v>
      </c>
      <c r="H6281" t="s" s="43">
        <v>30</v>
      </c>
      <c r="I6281" t="s" s="43">
        <v>30</v>
      </c>
      <c r="J6281" t="s" s="11">
        <v>31522</v>
      </c>
      <c r="K6281" t="s" s="11">
        <v>31523</v>
      </c>
      <c r="L6281" s="17">
        <f>HYPERLINK("http://www.qapital.com", "www.qapital.com")</f>
      </c>
      <c r="M6281" s="17">
        <f>HYPERLINK("https://my.pitchbook.com?c=94713-67", "View Company Online")</f>
      </c>
    </row>
    <row r="6282">
      <c r="A6282" t="s" s="10">
        <v>31525</v>
      </c>
      <c r="B6282" t="s" s="10">
        <v>31526</v>
      </c>
      <c r="C6282" t="s" s="10">
        <v>60</v>
      </c>
      <c r="D6282" t="s" s="10">
        <v>61</v>
      </c>
      <c r="E6282" t="s" s="10">
        <v>137</v>
      </c>
      <c r="F6282" s="27">
        <v>46174</v>
      </c>
      <c r="G6282" t="s" s="10">
        <v>2051</v>
      </c>
      <c r="H6282" t="s" s="42">
        <v>30</v>
      </c>
      <c r="I6282" t="s" s="42">
        <v>30</v>
      </c>
      <c r="J6282" t="s" s="10">
        <v>31527</v>
      </c>
      <c r="K6282" t="s" s="10">
        <v>30</v>
      </c>
      <c r="L6282" s="16">
        <f>HYPERLINK("http://www.qarasoft.com", "www.qarasoft.com")</f>
      </c>
      <c r="M6282" s="16">
        <f>HYPERLINK("https://my.pitchbook.com?c=268537-24", "View Company Online")</f>
      </c>
    </row>
    <row r="6283">
      <c r="A6283" t="s" s="11">
        <v>31529</v>
      </c>
      <c r="B6283" t="s" s="11">
        <v>31530</v>
      </c>
      <c r="C6283" t="s" s="11">
        <v>46</v>
      </c>
      <c r="D6283" t="s" s="11">
        <v>47</v>
      </c>
      <c r="E6283" t="s" s="11">
        <v>137</v>
      </c>
      <c r="F6283" s="28">
        <v>45804</v>
      </c>
      <c r="G6283" t="s" s="11">
        <v>146</v>
      </c>
      <c r="H6283" s="43">
        <v>19.8</v>
      </c>
      <c r="I6283" t="s" s="43">
        <v>30</v>
      </c>
      <c r="J6283" t="s" s="11">
        <v>31531</v>
      </c>
      <c r="K6283" t="s" s="11">
        <v>31532</v>
      </c>
      <c r="L6283" s="17">
        <f>HYPERLINK("http://www.qashio.com", "www.qashio.com")</f>
      </c>
      <c r="M6283" s="17">
        <f>HYPERLINK("https://my.pitchbook.com?c=491708-62", "View Company Online")</f>
      </c>
    </row>
    <row r="6284">
      <c r="A6284" t="s" s="10">
        <v>31534</v>
      </c>
      <c r="B6284" t="s" s="10">
        <v>31535</v>
      </c>
      <c r="C6284" t="s" s="10">
        <v>27</v>
      </c>
      <c r="D6284" t="s" s="10">
        <v>122</v>
      </c>
      <c r="E6284" t="s" s="10">
        <v>1859</v>
      </c>
      <c r="F6284" s="27">
        <v>45621</v>
      </c>
      <c r="G6284" t="s" s="10">
        <v>40</v>
      </c>
      <c r="H6284" s="42">
        <v>10</v>
      </c>
      <c r="I6284" t="s" s="42">
        <v>30</v>
      </c>
      <c r="J6284" t="s" s="10">
        <v>31536</v>
      </c>
      <c r="K6284" t="s" s="10">
        <v>31537</v>
      </c>
      <c r="L6284" s="16">
        <f>HYPERLINK("http://www.qbitnetwork.com", "www.qbitnetwork.com")</f>
      </c>
      <c r="M6284" s="16">
        <f>HYPERLINK("https://my.pitchbook.com?c=458227-36", "View Company Online")</f>
      </c>
    </row>
    <row r="6285">
      <c r="A6285" t="s" s="11">
        <v>31539</v>
      </c>
      <c r="B6285" t="s" s="11">
        <v>31540</v>
      </c>
      <c r="C6285" t="s" s="11">
        <v>27</v>
      </c>
      <c r="D6285" t="s" s="11">
        <v>28</v>
      </c>
      <c r="E6285" t="s" s="11">
        <v>31541</v>
      </c>
      <c r="F6285" t="s" s="28">
        <v>30</v>
      </c>
      <c r="G6285" t="s" s="11">
        <v>48</v>
      </c>
      <c r="H6285" t="s" s="43">
        <v>30</v>
      </c>
      <c r="I6285" t="s" s="43">
        <v>30</v>
      </c>
      <c r="J6285" t="s" s="11">
        <v>31542</v>
      </c>
      <c r="K6285" t="s" s="11">
        <v>31543</v>
      </c>
      <c r="L6285" s="17">
        <f>HYPERLINK("http://www.qerko.com", "www.qerko.com")</f>
      </c>
      <c r="M6285" s="17">
        <f>HYPERLINK("https://my.pitchbook.com?c=434205-28", "View Company Online")</f>
      </c>
    </row>
    <row r="6286">
      <c r="A6286" t="s" s="10">
        <v>31545</v>
      </c>
      <c r="B6286" t="s" s="10">
        <v>31546</v>
      </c>
      <c r="C6286" t="s" s="10">
        <v>60</v>
      </c>
      <c r="D6286" t="s" s="10">
        <v>61</v>
      </c>
      <c r="E6286" t="s" s="10">
        <v>253</v>
      </c>
      <c r="F6286" s="27">
        <v>46086</v>
      </c>
      <c r="G6286" t="s" s="10">
        <v>4267</v>
      </c>
      <c r="H6286" s="42">
        <v>9.5</v>
      </c>
      <c r="I6286" t="s" s="42">
        <v>30</v>
      </c>
      <c r="J6286" t="s" s="10">
        <v>31547</v>
      </c>
      <c r="K6286" t="s" s="10">
        <v>31548</v>
      </c>
      <c r="L6286" s="16">
        <f>HYPERLINK("http://www.qfex.com", "www.qfex.com")</f>
      </c>
      <c r="M6286" s="16">
        <f>HYPERLINK("https://my.pitchbook.com?c=863192-26", "View Company Online")</f>
      </c>
    </row>
    <row r="6287">
      <c r="A6287" t="s" s="11">
        <v>31550</v>
      </c>
      <c r="B6287" t="s" s="11">
        <v>31551</v>
      </c>
      <c r="C6287" t="s" s="11">
        <v>27</v>
      </c>
      <c r="D6287" t="s" s="11">
        <v>28</v>
      </c>
      <c r="E6287" t="s" s="11">
        <v>253</v>
      </c>
      <c r="F6287" s="28">
        <v>44097</v>
      </c>
      <c r="G6287" t="s" s="11">
        <v>146</v>
      </c>
      <c r="H6287" s="43">
        <v>4.5</v>
      </c>
      <c r="I6287" t="s" s="43">
        <v>30</v>
      </c>
      <c r="J6287" t="s" s="11">
        <v>31552</v>
      </c>
      <c r="K6287" t="s" s="11">
        <v>31553</v>
      </c>
      <c r="L6287" s="17">
        <f>HYPERLINK("http://www.qflash.com.br", "www.qflash.com.br")</f>
      </c>
      <c r="M6287" s="17">
        <f>HYPERLINK("https://my.pitchbook.com?c=439460-38", "View Company Online")</f>
      </c>
    </row>
    <row r="6288">
      <c r="A6288" t="s" s="10">
        <v>31555</v>
      </c>
      <c r="B6288" t="s" s="10">
        <v>31556</v>
      </c>
      <c r="C6288" t="s" s="10">
        <v>27</v>
      </c>
      <c r="D6288" t="s" s="10">
        <v>28</v>
      </c>
      <c r="E6288" t="s" s="10">
        <v>12814</v>
      </c>
      <c r="F6288" s="27">
        <v>45986</v>
      </c>
      <c r="G6288" t="s" s="10">
        <v>48</v>
      </c>
      <c r="H6288" t="s" s="42">
        <v>30</v>
      </c>
      <c r="I6288" t="s" s="42">
        <v>30</v>
      </c>
      <c r="J6288" t="s" s="10">
        <v>31557</v>
      </c>
      <c r="K6288" t="s" s="10">
        <v>31558</v>
      </c>
      <c r="L6288" s="16">
        <f>HYPERLINK("http://www.qfpay.global", "www.qfpay.global")</f>
      </c>
      <c r="M6288" s="16">
        <f>HYPERLINK("https://my.pitchbook.com?c=61201-99", "View Company Online")</f>
      </c>
    </row>
    <row r="6289">
      <c r="A6289" t="s" s="11">
        <v>31560</v>
      </c>
      <c r="B6289" t="s" s="11">
        <v>31561</v>
      </c>
      <c r="C6289" t="s" s="11">
        <v>164</v>
      </c>
      <c r="D6289" t="s" s="11">
        <v>206</v>
      </c>
      <c r="E6289" t="s" s="11">
        <v>270</v>
      </c>
      <c r="F6289" s="28">
        <v>44883</v>
      </c>
      <c r="G6289" t="s" s="11">
        <v>146</v>
      </c>
      <c r="H6289" t="s" s="43">
        <v>30</v>
      </c>
      <c r="I6289" t="s" s="43">
        <v>30</v>
      </c>
      <c r="J6289" t="s" s="11">
        <v>31562</v>
      </c>
      <c r="K6289" t="s" s="11">
        <v>31563</v>
      </c>
      <c r="L6289" s="17">
        <f>HYPERLINK("http://www.qgx.digital", "www.qgx.digital")</f>
      </c>
      <c r="M6289" s="17">
        <f>HYPERLINK("https://my.pitchbook.com?c=519970-51", "View Company Online")</f>
      </c>
    </row>
    <row r="6290">
      <c r="A6290" t="s" s="10">
        <v>31565</v>
      </c>
      <c r="B6290" t="s" s="10">
        <v>31566</v>
      </c>
      <c r="C6290" t="s" s="10">
        <v>27</v>
      </c>
      <c r="D6290" t="s" s="10">
        <v>28</v>
      </c>
      <c r="E6290" t="s" s="10">
        <v>759</v>
      </c>
      <c r="F6290" s="27">
        <v>42997</v>
      </c>
      <c r="G6290" t="s" s="10">
        <v>146</v>
      </c>
      <c r="H6290" s="42">
        <v>152.11</v>
      </c>
      <c r="I6290" t="s" s="42">
        <v>30</v>
      </c>
      <c r="J6290" t="s" s="10">
        <v>31567</v>
      </c>
      <c r="K6290" t="s" s="10">
        <v>31568</v>
      </c>
      <c r="L6290" s="16">
        <f>HYPERLINK("http://www.qianbaocard.com", "www.qianbaocard.com")</f>
      </c>
      <c r="M6290" s="16">
        <f>HYPERLINK("https://my.pitchbook.com?c=186717-70", "View Company Online")</f>
      </c>
    </row>
    <row r="6291">
      <c r="A6291" t="s" s="11">
        <v>31570</v>
      </c>
      <c r="B6291" t="s" s="11">
        <v>31571</v>
      </c>
      <c r="C6291" t="s" s="11">
        <v>60</v>
      </c>
      <c r="D6291" t="s" s="11">
        <v>432</v>
      </c>
      <c r="E6291" t="s" s="11">
        <v>137</v>
      </c>
      <c r="F6291" s="28">
        <v>45083</v>
      </c>
      <c r="G6291" t="s" s="11">
        <v>146</v>
      </c>
      <c r="H6291" t="s" s="43">
        <v>30</v>
      </c>
      <c r="I6291" t="s" s="43">
        <v>30</v>
      </c>
      <c r="J6291" t="s" s="11">
        <v>31572</v>
      </c>
      <c r="K6291" t="s" s="11">
        <v>31573</v>
      </c>
      <c r="L6291" s="17">
        <f>HYPERLINK("http://www.jingyizhanye.com", "www.jingyizhanye.com")</f>
      </c>
      <c r="M6291" s="17">
        <f>HYPERLINK("https://my.pitchbook.com?c=437699-89", "View Company Online")</f>
      </c>
    </row>
    <row r="6292">
      <c r="A6292" t="s" s="10">
        <v>31575</v>
      </c>
      <c r="B6292" t="s" s="10">
        <v>31576</v>
      </c>
      <c r="C6292" t="s" s="10">
        <v>164</v>
      </c>
      <c r="D6292" t="s" s="10">
        <v>165</v>
      </c>
      <c r="E6292" t="s" s="10">
        <v>1349</v>
      </c>
      <c r="F6292" s="27">
        <v>45301</v>
      </c>
      <c r="G6292" t="s" s="10">
        <v>40</v>
      </c>
      <c r="H6292" t="s" s="42">
        <v>30</v>
      </c>
      <c r="I6292" t="s" s="42">
        <v>30</v>
      </c>
      <c r="J6292" t="s" s="10">
        <v>31577</v>
      </c>
      <c r="K6292" t="s" s="10">
        <v>31578</v>
      </c>
      <c r="L6292" s="16">
        <f>HYPERLINK("http://www.qinjia2018.com", "www.qinjia2018.com")</f>
      </c>
      <c r="M6292" s="16">
        <f>HYPERLINK("https://my.pitchbook.com?c=434312-02", "View Company Online")</f>
      </c>
    </row>
    <row r="6293">
      <c r="A6293" t="s" s="11">
        <v>31580</v>
      </c>
      <c r="B6293" t="s" s="11">
        <v>31581</v>
      </c>
      <c r="C6293" t="s" s="11">
        <v>164</v>
      </c>
      <c r="D6293" t="s" s="11">
        <v>206</v>
      </c>
      <c r="E6293" t="s" s="11">
        <v>253</v>
      </c>
      <c r="F6293" s="28">
        <v>46043</v>
      </c>
      <c r="G6293" t="s" s="11">
        <v>607</v>
      </c>
      <c r="H6293" t="s" s="43">
        <v>30</v>
      </c>
      <c r="I6293" t="s" s="43">
        <v>30</v>
      </c>
      <c r="J6293" t="s" s="11">
        <v>31582</v>
      </c>
      <c r="K6293" t="s" s="11">
        <v>31583</v>
      </c>
      <c r="L6293" s="17">
        <f>HYPERLINK("http://www.qippay.com", "www.qippay.com")</f>
      </c>
      <c r="M6293" s="17">
        <f>HYPERLINK("https://my.pitchbook.com?c=528437-35", "View Company Online")</f>
      </c>
    </row>
    <row r="6294">
      <c r="A6294" t="s" s="10">
        <v>31585</v>
      </c>
      <c r="B6294" t="s" s="10">
        <v>31586</v>
      </c>
      <c r="C6294" t="s" s="10">
        <v>27</v>
      </c>
      <c r="D6294" t="s" s="10">
        <v>28</v>
      </c>
      <c r="E6294" t="s" s="10">
        <v>1032</v>
      </c>
      <c r="F6294" s="27">
        <v>45323</v>
      </c>
      <c r="G6294" t="s" s="10">
        <v>146</v>
      </c>
      <c r="H6294" t="s" s="42">
        <v>30</v>
      </c>
      <c r="I6294" t="s" s="42">
        <v>30</v>
      </c>
      <c r="J6294" t="s" s="10">
        <v>31587</v>
      </c>
      <c r="K6294" t="s" s="10">
        <v>31588</v>
      </c>
      <c r="L6294" s="16">
        <f>HYPERLINK("http://www.qira.com", "www.qira.com")</f>
      </c>
      <c r="M6294" s="16">
        <f>HYPERLINK("https://my.pitchbook.com?c=471351-34", "View Company Online")</f>
      </c>
    </row>
    <row r="6295">
      <c r="A6295" t="s" s="11">
        <v>31590</v>
      </c>
      <c r="B6295" t="s" s="11">
        <v>31591</v>
      </c>
      <c r="C6295" t="s" s="11">
        <v>46</v>
      </c>
      <c r="D6295" t="s" s="11">
        <v>47</v>
      </c>
      <c r="E6295" t="s" s="11">
        <v>259</v>
      </c>
      <c r="F6295" t="s" s="28">
        <v>30</v>
      </c>
      <c r="G6295" t="s" s="11">
        <v>48</v>
      </c>
      <c r="H6295" t="s" s="43">
        <v>30</v>
      </c>
      <c r="I6295" t="s" s="43">
        <v>30</v>
      </c>
      <c r="J6295" t="s" s="11">
        <v>31592</v>
      </c>
      <c r="K6295" t="s" s="11">
        <v>31593</v>
      </c>
      <c r="L6295" s="17">
        <f>HYPERLINK("http://www.qive.com.br", "www.qive.com.br")</f>
      </c>
      <c r="M6295" s="17">
        <f>HYPERLINK("https://my.pitchbook.com?c=158243-95", "View Company Online")</f>
      </c>
    </row>
    <row r="6296">
      <c r="A6296" t="s" s="10">
        <v>31595</v>
      </c>
      <c r="B6296" t="s" s="10">
        <v>31596</v>
      </c>
      <c r="C6296" t="s" s="10">
        <v>46</v>
      </c>
      <c r="D6296" t="s" s="10">
        <v>47</v>
      </c>
      <c r="E6296" t="s" s="10">
        <v>137</v>
      </c>
      <c r="F6296" s="27">
        <v>43131</v>
      </c>
      <c r="G6296" t="s" s="10">
        <v>146</v>
      </c>
      <c r="H6296" s="42">
        <v>1.56</v>
      </c>
      <c r="I6296" t="s" s="42">
        <v>30</v>
      </c>
      <c r="J6296" t="s" s="10">
        <v>31597</v>
      </c>
      <c r="K6296" t="s" s="10">
        <v>31598</v>
      </c>
      <c r="L6296" s="16">
        <f>HYPERLINK("http://www.qiyewan.com", "www.qiyewan.com")</f>
      </c>
      <c r="M6296" s="16">
        <f>HYPERLINK("https://my.pitchbook.com?c=266520-34", "View Company Online")</f>
      </c>
    </row>
    <row r="6297">
      <c r="A6297" t="s" s="11">
        <v>31600</v>
      </c>
      <c r="B6297" t="s" s="11">
        <v>31601</v>
      </c>
      <c r="C6297" t="s" s="11">
        <v>27</v>
      </c>
      <c r="D6297" t="s" s="11">
        <v>28</v>
      </c>
      <c r="E6297" t="s" s="11">
        <v>7487</v>
      </c>
      <c r="F6297" s="28">
        <v>45799</v>
      </c>
      <c r="G6297" t="s" s="11">
        <v>146</v>
      </c>
      <c r="H6297" s="43">
        <v>30</v>
      </c>
      <c r="I6297" t="s" s="43">
        <v>30</v>
      </c>
      <c r="J6297" t="s" s="11">
        <v>31602</v>
      </c>
      <c r="K6297" t="s" s="11">
        <v>31603</v>
      </c>
      <c r="L6297" s="17">
        <f>HYPERLINK("http://www.qlub.io", "www.qlub.io")</f>
      </c>
      <c r="M6297" s="17">
        <f>HYPERLINK("https://my.pitchbook.com?c=490989-07", "View Company Online")</f>
      </c>
    </row>
    <row r="6298">
      <c r="A6298" t="s" s="10">
        <v>31605</v>
      </c>
      <c r="B6298" t="s" s="10">
        <v>31606</v>
      </c>
      <c r="C6298" t="s" s="10">
        <v>114</v>
      </c>
      <c r="D6298" t="s" s="10">
        <v>136</v>
      </c>
      <c r="E6298" t="s" s="10">
        <v>137</v>
      </c>
      <c r="F6298" s="27">
        <v>45677</v>
      </c>
      <c r="G6298" t="s" s="10">
        <v>146</v>
      </c>
      <c r="H6298" s="42">
        <v>44.98</v>
      </c>
      <c r="I6298" t="s" s="42">
        <v>30</v>
      </c>
      <c r="J6298" t="s" s="10">
        <v>31607</v>
      </c>
      <c r="K6298" t="s" s="10">
        <v>31608</v>
      </c>
      <c r="L6298" s="16">
        <f>HYPERLINK("http://www.qomodo.me", "www.qomodo.me")</f>
      </c>
      <c r="M6298" s="16">
        <f>HYPERLINK("https://my.pitchbook.com?c=515222-29", "View Company Online")</f>
      </c>
    </row>
    <row r="6299">
      <c r="A6299" t="s" s="11">
        <v>31610</v>
      </c>
      <c r="B6299" t="s" s="11">
        <v>31611</v>
      </c>
      <c r="C6299" t="s" s="11">
        <v>37</v>
      </c>
      <c r="D6299" t="s" s="11">
        <v>304</v>
      </c>
      <c r="E6299" t="s" s="11">
        <v>31612</v>
      </c>
      <c r="F6299" t="s" s="28">
        <v>30</v>
      </c>
      <c r="G6299" t="s" s="11">
        <v>607</v>
      </c>
      <c r="H6299" t="s" s="43">
        <v>30</v>
      </c>
      <c r="I6299" t="s" s="43">
        <v>30</v>
      </c>
      <c r="J6299" t="s" s="11">
        <v>31613</v>
      </c>
      <c r="K6299" t="s" s="11">
        <v>31614</v>
      </c>
      <c r="L6299" s="17">
        <f>HYPERLINK("http://www.qonect.in", "www.qonect.in")</f>
      </c>
      <c r="M6299" s="17">
        <f>HYPERLINK("https://my.pitchbook.com?c=266463-37", "View Company Online")</f>
      </c>
    </row>
    <row r="6300">
      <c r="A6300" t="s" s="10">
        <v>31616</v>
      </c>
      <c r="B6300" t="s" s="10">
        <v>31617</v>
      </c>
      <c r="C6300" t="s" s="10">
        <v>164</v>
      </c>
      <c r="D6300" t="s" s="10">
        <v>206</v>
      </c>
      <c r="E6300" t="s" s="10">
        <v>137</v>
      </c>
      <c r="F6300" s="27">
        <v>45834</v>
      </c>
      <c r="G6300" t="s" s="10">
        <v>4267</v>
      </c>
      <c r="H6300" s="42">
        <v>0.66</v>
      </c>
      <c r="I6300" t="s" s="42">
        <v>30</v>
      </c>
      <c r="J6300" t="s" s="10">
        <v>31618</v>
      </c>
      <c r="K6300" t="s" s="10">
        <v>31619</v>
      </c>
      <c r="L6300" s="16">
        <f>HYPERLINK("http://www.qonta.com.br", "www.qonta.com.br")</f>
      </c>
      <c r="M6300" s="16">
        <f>HYPERLINK("https://my.pitchbook.com?c=865042-12", "View Company Online")</f>
      </c>
    </row>
    <row r="6301">
      <c r="A6301" t="s" s="11">
        <v>31621</v>
      </c>
      <c r="B6301" t="s" s="11">
        <v>31622</v>
      </c>
      <c r="C6301" t="s" s="11">
        <v>46</v>
      </c>
      <c r="D6301" t="s" s="11">
        <v>397</v>
      </c>
      <c r="E6301" t="s" s="11">
        <v>193</v>
      </c>
      <c r="F6301" t="s" s="28">
        <v>30</v>
      </c>
      <c r="G6301" t="s" s="11">
        <v>40</v>
      </c>
      <c r="H6301" t="s" s="43">
        <v>30</v>
      </c>
      <c r="I6301" t="s" s="43">
        <v>30</v>
      </c>
      <c r="J6301" t="s" s="11">
        <v>31623</v>
      </c>
      <c r="K6301" t="s" s="11">
        <v>31624</v>
      </c>
      <c r="L6301" s="17">
        <f>HYPERLINK("http://www.qoyod.com", "www.qoyod.com")</f>
      </c>
      <c r="M6301" s="17">
        <f>HYPERLINK("https://my.pitchbook.com?c=229339-90", "View Company Online")</f>
      </c>
    </row>
    <row r="6302">
      <c r="A6302" t="s" s="10">
        <v>31626</v>
      </c>
      <c r="B6302" t="s" s="10">
        <v>31627</v>
      </c>
      <c r="C6302" t="s" s="10">
        <v>37</v>
      </c>
      <c r="D6302" t="s" s="10">
        <v>304</v>
      </c>
      <c r="E6302" t="s" s="10">
        <v>270</v>
      </c>
      <c r="F6302" s="27">
        <v>45570</v>
      </c>
      <c r="G6302" t="s" s="10">
        <v>4267</v>
      </c>
      <c r="H6302" t="s" s="42">
        <v>30</v>
      </c>
      <c r="I6302" t="s" s="42">
        <v>30</v>
      </c>
      <c r="J6302" t="s" s="10">
        <v>31628</v>
      </c>
      <c r="K6302" t="s" s="10">
        <v>31629</v>
      </c>
      <c r="L6302" s="16">
        <f>HYPERLINK("http://www.qpay.om", "www.qpay.om")</f>
      </c>
      <c r="M6302" s="16">
        <f>HYPERLINK("https://my.pitchbook.com?c=552602-98", "View Company Online")</f>
      </c>
    </row>
    <row r="6303">
      <c r="A6303" t="s" s="11">
        <v>31631</v>
      </c>
      <c r="B6303" t="s" s="11">
        <v>31632</v>
      </c>
      <c r="C6303" t="s" s="11">
        <v>60</v>
      </c>
      <c r="D6303" t="s" s="11">
        <v>192</v>
      </c>
      <c r="E6303" t="s" s="11">
        <v>253</v>
      </c>
      <c r="F6303" s="28">
        <v>45614</v>
      </c>
      <c r="G6303" t="s" s="11">
        <v>40</v>
      </c>
      <c r="H6303" s="43">
        <v>26.26</v>
      </c>
      <c r="I6303" t="s" s="43">
        <v>30</v>
      </c>
      <c r="J6303" t="s" s="11">
        <v>31633</v>
      </c>
      <c r="K6303" t="s" s="11">
        <v>31634</v>
      </c>
      <c r="L6303" s="17">
        <f>HYPERLINK("http://www.qplix.com", "www.qplix.com")</f>
      </c>
      <c r="M6303" s="17">
        <f>HYPERLINK("https://my.pitchbook.com?c=439811-83", "View Company Online")</f>
      </c>
    </row>
    <row r="6304">
      <c r="A6304" t="s" s="10">
        <v>31636</v>
      </c>
      <c r="B6304" t="s" s="10">
        <v>31637</v>
      </c>
      <c r="C6304" t="s" s="10">
        <v>114</v>
      </c>
      <c r="D6304" t="s" s="10">
        <v>870</v>
      </c>
      <c r="E6304" t="s" s="10">
        <v>137</v>
      </c>
      <c r="F6304" s="27">
        <v>46221</v>
      </c>
      <c r="G6304" t="s" s="10">
        <v>2051</v>
      </c>
      <c r="H6304" t="s" s="42">
        <v>30</v>
      </c>
      <c r="I6304" t="s" s="42">
        <v>30</v>
      </c>
      <c r="J6304" t="s" s="10">
        <v>31638</v>
      </c>
      <c r="K6304" t="s" s="10">
        <v>30</v>
      </c>
      <c r="L6304" s="16">
        <f>HYPERLINK("http://www.qred.com.br", "www.qred.com.br")</f>
      </c>
      <c r="M6304" s="16">
        <f>HYPERLINK("https://my.pitchbook.com?c=472063-42", "View Company Online")</f>
      </c>
    </row>
    <row r="6305">
      <c r="A6305" t="s" s="11">
        <v>31640</v>
      </c>
      <c r="B6305" t="s" s="11">
        <v>31641</v>
      </c>
      <c r="C6305" t="s" s="11">
        <v>46</v>
      </c>
      <c r="D6305" t="s" s="11">
        <v>78</v>
      </c>
      <c r="E6305" t="s" s="11">
        <v>193</v>
      </c>
      <c r="F6305" s="28">
        <v>44246</v>
      </c>
      <c r="G6305" t="s" s="11">
        <v>4267</v>
      </c>
      <c r="H6305" s="43">
        <v>3.6</v>
      </c>
      <c r="I6305" t="s" s="43">
        <v>30</v>
      </c>
      <c r="J6305" t="s" s="11">
        <v>31642</v>
      </c>
      <c r="K6305" t="s" s="11">
        <v>31643</v>
      </c>
      <c r="L6305" s="17">
        <f>HYPERLINK("http://www.quansa.io/br", "www.quansa.io/br")</f>
      </c>
      <c r="M6305" s="17">
        <f>HYPERLINK("https://my.pitchbook.com?c=465714-19", "View Company Online")</f>
      </c>
    </row>
    <row r="6306">
      <c r="A6306" t="s" s="10">
        <v>31645</v>
      </c>
      <c r="B6306" t="s" s="10">
        <v>31646</v>
      </c>
      <c r="C6306" t="s" s="10">
        <v>222</v>
      </c>
      <c r="D6306" t="s" s="10">
        <v>252</v>
      </c>
      <c r="E6306" t="s" s="10">
        <v>137</v>
      </c>
      <c r="F6306" s="27">
        <v>43188</v>
      </c>
      <c r="G6306" t="s" s="10">
        <v>146</v>
      </c>
      <c r="H6306" t="s" s="42">
        <v>30</v>
      </c>
      <c r="I6306" t="s" s="42">
        <v>30</v>
      </c>
      <c r="J6306" t="s" s="10">
        <v>31647</v>
      </c>
      <c r="K6306" t="s" s="10">
        <v>31648</v>
      </c>
      <c r="L6306" s="16">
        <f>HYPERLINK("http://www.quant360.com", "www.quant360.com")</f>
      </c>
      <c r="M6306" s="16">
        <f>HYPERLINK("https://my.pitchbook.com?c=436618-45", "View Company Online")</f>
      </c>
    </row>
    <row r="6307">
      <c r="A6307" t="s" s="11">
        <v>31650</v>
      </c>
      <c r="B6307" t="s" s="11">
        <v>31651</v>
      </c>
      <c r="C6307" t="s" s="11">
        <v>164</v>
      </c>
      <c r="D6307" t="s" s="11">
        <v>206</v>
      </c>
      <c r="E6307" t="s" s="11">
        <v>253</v>
      </c>
      <c r="F6307" s="28">
        <v>44399</v>
      </c>
      <c r="G6307" t="s" s="11">
        <v>40</v>
      </c>
      <c r="H6307" s="43">
        <v>15.44</v>
      </c>
      <c r="I6307" t="s" s="43">
        <v>30</v>
      </c>
      <c r="J6307" t="s" s="11">
        <v>31652</v>
      </c>
      <c r="K6307" t="s" s="11">
        <v>31653</v>
      </c>
      <c r="L6307" s="17">
        <f>HYPERLINK("http://www.iquantex.com", "www.iquantex.com")</f>
      </c>
      <c r="M6307" s="17">
        <f>HYPERLINK("https://my.pitchbook.com?c=231065-11", "View Company Online")</f>
      </c>
    </row>
    <row r="6308">
      <c r="A6308" t="s" s="10">
        <v>31655</v>
      </c>
      <c r="B6308" t="s" s="10">
        <v>31656</v>
      </c>
      <c r="C6308" t="s" s="10">
        <v>222</v>
      </c>
      <c r="D6308" t="s" s="10">
        <v>223</v>
      </c>
      <c r="E6308" t="s" s="10">
        <v>137</v>
      </c>
      <c r="F6308" s="27">
        <v>44927</v>
      </c>
      <c r="G6308" t="s" s="10">
        <v>4267</v>
      </c>
      <c r="H6308" t="s" s="42">
        <v>30</v>
      </c>
      <c r="I6308" t="s" s="42">
        <v>30</v>
      </c>
      <c r="J6308" t="s" s="10">
        <v>31657</v>
      </c>
      <c r="K6308" t="s" s="10">
        <v>31658</v>
      </c>
      <c r="L6308" s="16">
        <f>HYPERLINK("http://www.quantflo.com", "www.quantflo.com")</f>
      </c>
      <c r="M6308" s="16">
        <f>HYPERLINK("https://my.pitchbook.com?c=509316-76", "View Company Online")</f>
      </c>
    </row>
    <row r="6309">
      <c r="A6309" t="s" s="11">
        <v>31660</v>
      </c>
      <c r="B6309" t="s" s="11">
        <v>31661</v>
      </c>
      <c r="C6309" t="s" s="11">
        <v>60</v>
      </c>
      <c r="D6309" t="s" s="11">
        <v>432</v>
      </c>
      <c r="E6309" t="s" s="11">
        <v>31662</v>
      </c>
      <c r="F6309" s="28">
        <v>44666</v>
      </c>
      <c r="G6309" t="s" s="11">
        <v>40</v>
      </c>
      <c r="H6309" t="s" s="43">
        <v>30</v>
      </c>
      <c r="I6309" t="s" s="43">
        <v>30</v>
      </c>
      <c r="J6309" t="s" s="11">
        <v>31663</v>
      </c>
      <c r="K6309" t="s" s="11">
        <v>31664</v>
      </c>
      <c r="L6309" s="17">
        <f>HYPERLINK("http://www.quantifeed.com", "www.quantifeed.com")</f>
      </c>
      <c r="M6309" s="17">
        <f>HYPERLINK("https://my.pitchbook.com?c=91309-87", "View Company Online")</f>
      </c>
    </row>
    <row r="6310">
      <c r="A6310" t="s" s="10">
        <v>31666</v>
      </c>
      <c r="B6310" t="s" s="10">
        <v>31667</v>
      </c>
      <c r="C6310" t="s" s="10">
        <v>164</v>
      </c>
      <c r="D6310" t="s" s="10">
        <v>206</v>
      </c>
      <c r="E6310" t="s" s="10">
        <v>1964</v>
      </c>
      <c r="F6310" s="27">
        <v>46023</v>
      </c>
      <c r="G6310" t="s" s="10">
        <v>146</v>
      </c>
      <c r="H6310" t="s" s="42">
        <v>30</v>
      </c>
      <c r="I6310" t="s" s="42">
        <v>30</v>
      </c>
      <c r="J6310" t="s" s="10">
        <v>31668</v>
      </c>
      <c r="K6310" t="s" s="10">
        <v>31669</v>
      </c>
      <c r="L6310" s="16">
        <f>HYPERLINK("http://www.quantillium.com", "www.quantillium.com")</f>
      </c>
      <c r="M6310" s="16">
        <f>HYPERLINK("https://my.pitchbook.com?c=820848-70", "View Company Online")</f>
      </c>
    </row>
    <row r="6311">
      <c r="A6311" t="s" s="11">
        <v>31671</v>
      </c>
      <c r="B6311" t="s" s="11">
        <v>31672</v>
      </c>
      <c r="C6311" t="s" s="11">
        <v>222</v>
      </c>
      <c r="D6311" t="s" s="11">
        <v>252</v>
      </c>
      <c r="E6311" t="s" s="11">
        <v>137</v>
      </c>
      <c r="F6311" s="28">
        <v>44978</v>
      </c>
      <c r="G6311" t="s" s="11">
        <v>40</v>
      </c>
      <c r="H6311" t="s" s="43">
        <v>30</v>
      </c>
      <c r="I6311" t="s" s="43">
        <v>30</v>
      </c>
      <c r="J6311" t="s" s="11">
        <v>31673</v>
      </c>
      <c r="K6311" t="s" s="11">
        <v>31674</v>
      </c>
      <c r="L6311" s="17">
        <f>HYPERLINK("http://www.quantinfotech.com", "www.quantinfotech.com")</f>
      </c>
      <c r="M6311" s="17">
        <f>HYPERLINK("https://my.pitchbook.com?c=434535-22", "View Company Online")</f>
      </c>
    </row>
    <row r="6312">
      <c r="A6312" t="s" s="10">
        <v>31676</v>
      </c>
      <c r="B6312" t="s" s="10">
        <v>31677</v>
      </c>
      <c r="C6312" t="s" s="10">
        <v>46</v>
      </c>
      <c r="D6312" t="s" s="10">
        <v>397</v>
      </c>
      <c r="E6312" t="s" s="10">
        <v>414</v>
      </c>
      <c r="F6312" s="27">
        <v>46206</v>
      </c>
      <c r="G6312" t="s" s="10">
        <v>146</v>
      </c>
      <c r="H6312" t="s" s="42">
        <v>30</v>
      </c>
      <c r="I6312" t="s" s="42">
        <v>30</v>
      </c>
      <c r="J6312" t="s" s="10">
        <v>31678</v>
      </c>
      <c r="K6312" t="s" s="10">
        <v>31679</v>
      </c>
      <c r="L6312" s="16">
        <f>HYPERLINK("http://www.quantobooks.com", "www.quantobooks.com")</f>
      </c>
      <c r="M6312" s="16">
        <f>HYPERLINK("https://my.pitchbook.com?c=729346-33", "View Company Online")</f>
      </c>
    </row>
    <row r="6313">
      <c r="A6313" t="s" s="11">
        <v>31681</v>
      </c>
      <c r="B6313" t="s" s="11">
        <v>31682</v>
      </c>
      <c r="C6313" t="s" s="11">
        <v>172</v>
      </c>
      <c r="D6313" t="s" s="11">
        <v>338</v>
      </c>
      <c r="E6313" t="s" s="11">
        <v>31683</v>
      </c>
      <c r="F6313" s="28">
        <v>43748</v>
      </c>
      <c r="G6313" t="s" s="11">
        <v>4267</v>
      </c>
      <c r="H6313" s="43">
        <v>2.5</v>
      </c>
      <c r="I6313" t="s" s="43">
        <v>30</v>
      </c>
      <c r="J6313" t="s" s="11">
        <v>31684</v>
      </c>
      <c r="K6313" t="s" s="11">
        <v>31685</v>
      </c>
      <c r="L6313" s="17">
        <f>HYPERLINK("http://www.quantumfort.ch", "www.quantumfort.ch")</f>
      </c>
      <c r="M6313" s="17">
        <f>HYPERLINK("https://my.pitchbook.com?c=104555-08", "View Company Online")</f>
      </c>
    </row>
    <row r="6314">
      <c r="A6314" t="s" s="10">
        <v>31687</v>
      </c>
      <c r="B6314" t="s" s="10">
        <v>31688</v>
      </c>
      <c r="C6314" t="s" s="10">
        <v>60</v>
      </c>
      <c r="D6314" t="s" s="10">
        <v>246</v>
      </c>
      <c r="E6314" t="s" s="10">
        <v>4751</v>
      </c>
      <c r="F6314" s="27">
        <v>44672</v>
      </c>
      <c r="G6314" t="s" s="10">
        <v>40</v>
      </c>
      <c r="H6314" s="42">
        <v>15.52</v>
      </c>
      <c r="I6314" t="s" s="42">
        <v>30</v>
      </c>
      <c r="J6314" t="s" s="10">
        <v>31689</v>
      </c>
      <c r="K6314" t="s" s="10">
        <v>31690</v>
      </c>
      <c r="L6314" s="16">
        <f>HYPERLINK("http://www.quarterback.co.kr", "www.quarterback.co.kr")</f>
      </c>
      <c r="M6314" s="16">
        <f>HYPERLINK("https://my.pitchbook.com?c=431376-13", "View Company Online")</f>
      </c>
    </row>
    <row r="6315">
      <c r="A6315" t="s" s="11">
        <v>31692</v>
      </c>
      <c r="B6315" t="s" s="11">
        <v>31693</v>
      </c>
      <c r="C6315" t="s" s="11">
        <v>60</v>
      </c>
      <c r="D6315" t="s" s="11">
        <v>246</v>
      </c>
      <c r="E6315" t="s" s="11">
        <v>759</v>
      </c>
      <c r="F6315" s="28">
        <v>45230</v>
      </c>
      <c r="G6315" t="s" s="11">
        <v>40</v>
      </c>
      <c r="H6315" t="s" s="43">
        <v>30</v>
      </c>
      <c r="I6315" t="s" s="43">
        <v>30</v>
      </c>
      <c r="J6315" t="s" s="11">
        <v>31694</v>
      </c>
      <c r="K6315" t="s" s="11">
        <v>31695</v>
      </c>
      <c r="L6315" s="17">
        <f>HYPERLINK("http://www.queroquitar.com.br", "www.queroquitar.com.br")</f>
      </c>
      <c r="M6315" s="17">
        <f>HYPERLINK("https://my.pitchbook.com?c=156417-58", "View Company Online")</f>
      </c>
    </row>
    <row r="6316">
      <c r="A6316" t="s" s="10">
        <v>31697</v>
      </c>
      <c r="B6316" t="s" s="10">
        <v>31698</v>
      </c>
      <c r="C6316" t="s" s="10">
        <v>144</v>
      </c>
      <c r="D6316" t="s" s="10">
        <v>297</v>
      </c>
      <c r="E6316" t="s" s="10">
        <v>259</v>
      </c>
      <c r="F6316" s="27">
        <v>45218</v>
      </c>
      <c r="G6316" t="s" s="10">
        <v>4267</v>
      </c>
      <c r="H6316" s="42">
        <v>7.35</v>
      </c>
      <c r="I6316" t="s" s="42">
        <v>30</v>
      </c>
      <c r="J6316" t="s" s="10">
        <v>31699</v>
      </c>
      <c r="K6316" t="s" s="10">
        <v>31700</v>
      </c>
      <c r="L6316" s="16">
        <f>HYPERLINK("http://www.helloquickly.com", "www.helloquickly.com")</f>
      </c>
      <c r="M6316" s="16">
        <f>HYPERLINK("https://my.pitchbook.com?c=506697-67", "View Company Online")</f>
      </c>
    </row>
    <row r="6317">
      <c r="A6317" t="s" s="11">
        <v>31702</v>
      </c>
      <c r="B6317" t="s" s="11">
        <v>31703</v>
      </c>
      <c r="C6317" t="s" s="11">
        <v>60</v>
      </c>
      <c r="D6317" t="s" s="11">
        <v>192</v>
      </c>
      <c r="E6317" t="s" s="11">
        <v>137</v>
      </c>
      <c r="F6317" s="28">
        <v>44562</v>
      </c>
      <c r="G6317" t="s" s="11">
        <v>4267</v>
      </c>
      <c r="H6317" s="43">
        <v>0.95</v>
      </c>
      <c r="I6317" t="s" s="43">
        <v>30</v>
      </c>
      <c r="J6317" t="s" s="11">
        <v>31704</v>
      </c>
      <c r="K6317" t="s" s="11">
        <v>30</v>
      </c>
      <c r="L6317" s="17">
        <f>HYPERLINK("http://www.quidroom.com", "www.quidroom.com")</f>
      </c>
      <c r="M6317" s="17">
        <f>HYPERLINK("https://my.pitchbook.com?c=498350-80", "View Company Online")</f>
      </c>
    </row>
    <row r="6318">
      <c r="A6318" t="s" s="10">
        <v>31706</v>
      </c>
      <c r="B6318" t="s" s="10">
        <v>31707</v>
      </c>
      <c r="C6318" t="s" s="10">
        <v>60</v>
      </c>
      <c r="D6318" t="s" s="10">
        <v>246</v>
      </c>
      <c r="E6318" t="s" s="10">
        <v>373</v>
      </c>
      <c r="F6318" s="27">
        <v>45832</v>
      </c>
      <c r="G6318" t="s" s="10">
        <v>4267</v>
      </c>
      <c r="H6318" s="42">
        <v>11</v>
      </c>
      <c r="I6318" t="s" s="42">
        <v>30</v>
      </c>
      <c r="J6318" t="s" s="10">
        <v>31708</v>
      </c>
      <c r="K6318" t="s" s="10">
        <v>31709</v>
      </c>
      <c r="L6318" s="16">
        <f>HYPERLINK("http://www.quinnadvisor.com", "www.quinnadvisor.com")</f>
      </c>
      <c r="M6318" s="16">
        <f>HYPERLINK("https://my.pitchbook.com?c=517504-51", "View Company Online")</f>
      </c>
    </row>
    <row r="6319">
      <c r="A6319" t="s" s="11">
        <v>31711</v>
      </c>
      <c r="B6319" t="s" s="11">
        <v>31712</v>
      </c>
      <c r="C6319" t="s" s="11">
        <v>37</v>
      </c>
      <c r="D6319" t="s" s="11">
        <v>38</v>
      </c>
      <c r="E6319" t="s" s="11">
        <v>31713</v>
      </c>
      <c r="F6319" s="28">
        <v>44453</v>
      </c>
      <c r="G6319" t="s" s="11">
        <v>2651</v>
      </c>
      <c r="H6319" s="43">
        <v>1.83</v>
      </c>
      <c r="I6319" t="s" s="43">
        <v>30</v>
      </c>
      <c r="J6319" t="s" s="11">
        <v>31714</v>
      </c>
      <c r="K6319" t="s" s="11">
        <v>31715</v>
      </c>
      <c r="L6319" s="17">
        <f>HYPERLINK("http://www.quontic.com", "www.quontic.com")</f>
      </c>
      <c r="M6319" s="17">
        <f>HYPERLINK("https://my.pitchbook.com?c=133661-80", "View Company Online")</f>
      </c>
    </row>
    <row r="6320">
      <c r="A6320" t="s" s="10">
        <v>31717</v>
      </c>
      <c r="B6320" t="s" s="10">
        <v>31718</v>
      </c>
      <c r="C6320" t="s" s="10">
        <v>222</v>
      </c>
      <c r="D6320" t="s" s="10">
        <v>235</v>
      </c>
      <c r="E6320" t="s" s="10">
        <v>759</v>
      </c>
      <c r="F6320" s="27">
        <v>45559</v>
      </c>
      <c r="G6320" t="s" s="10">
        <v>2174</v>
      </c>
      <c r="H6320" t="s" s="42">
        <v>30</v>
      </c>
      <c r="I6320" t="s" s="42">
        <v>30</v>
      </c>
      <c r="J6320" t="s" s="10">
        <v>31719</v>
      </c>
      <c r="K6320" t="s" s="10">
        <v>31720</v>
      </c>
      <c r="L6320" s="16">
        <f>HYPERLINK("http://www.qupital.com", "www.qupital.com")</f>
      </c>
      <c r="M6320" s="16">
        <f>HYPERLINK("https://my.pitchbook.com?c=163507-33", "View Company Online")</f>
      </c>
    </row>
    <row r="6321">
      <c r="A6321" t="s" s="11">
        <v>31722</v>
      </c>
      <c r="B6321" t="s" s="11">
        <v>31723</v>
      </c>
      <c r="C6321" t="s" s="11">
        <v>222</v>
      </c>
      <c r="D6321" t="s" s="11">
        <v>223</v>
      </c>
      <c r="E6321" t="s" s="11">
        <v>137</v>
      </c>
      <c r="F6321" s="28">
        <v>45006</v>
      </c>
      <c r="G6321" t="s" s="11">
        <v>2651</v>
      </c>
      <c r="H6321" s="43">
        <v>0.03</v>
      </c>
      <c r="I6321" t="s" s="43">
        <v>30</v>
      </c>
      <c r="J6321" t="s" s="11">
        <v>31724</v>
      </c>
      <c r="K6321" t="s" s="11">
        <v>31725</v>
      </c>
      <c r="L6321" s="17">
        <f>HYPERLINK("http://www.qvistorp.com", "www.qvistorp.com")</f>
      </c>
      <c r="M6321" s="17">
        <f>HYPERLINK("https://my.pitchbook.com?c=323575-48", "View Company Online")</f>
      </c>
    </row>
    <row r="6322">
      <c r="A6322" t="s" s="10">
        <v>31727</v>
      </c>
      <c r="B6322" t="s" s="10">
        <v>31728</v>
      </c>
      <c r="C6322" t="s" s="10">
        <v>114</v>
      </c>
      <c r="D6322" t="s" s="10">
        <v>136</v>
      </c>
      <c r="E6322" t="s" s="10">
        <v>2741</v>
      </c>
      <c r="F6322" s="27">
        <v>45223</v>
      </c>
      <c r="G6322" t="s" s="10">
        <v>31</v>
      </c>
      <c r="H6322" s="42">
        <v>0.01</v>
      </c>
      <c r="I6322" t="s" s="42">
        <v>30</v>
      </c>
      <c r="J6322" t="s" s="10">
        <v>31729</v>
      </c>
      <c r="K6322" t="s" s="10">
        <v>31730</v>
      </c>
      <c r="L6322" s="16">
        <f>HYPERLINK("http://www.grupor5.com", "www.grupor5.com")</f>
      </c>
      <c r="M6322" s="16">
        <f>HYPERLINK("https://my.pitchbook.com?c=431571-79", "View Company Online")</f>
      </c>
    </row>
    <row r="6323">
      <c r="A6323" t="s" s="11">
        <v>31732</v>
      </c>
      <c r="B6323" t="s" s="11">
        <v>31733</v>
      </c>
      <c r="C6323" t="s" s="11">
        <v>60</v>
      </c>
      <c r="D6323" t="s" s="11">
        <v>246</v>
      </c>
      <c r="E6323" t="s" s="11">
        <v>270</v>
      </c>
      <c r="F6323" s="28">
        <v>44897</v>
      </c>
      <c r="G6323" t="s" s="11">
        <v>146</v>
      </c>
      <c r="H6323" s="43">
        <v>2</v>
      </c>
      <c r="I6323" t="s" s="43">
        <v>30</v>
      </c>
      <c r="J6323" t="s" s="11">
        <v>31734</v>
      </c>
      <c r="K6323" t="s" s="11">
        <v>31735</v>
      </c>
      <c r="L6323" s="17">
        <f>HYPERLINK("http://www.racional.cl", "www.racional.cl")</f>
      </c>
      <c r="M6323" s="17">
        <f>HYPERLINK("https://my.pitchbook.com?c=494294-86", "View Company Online")</f>
      </c>
    </row>
    <row r="6324">
      <c r="A6324" t="s" s="10">
        <v>31737</v>
      </c>
      <c r="B6324" t="s" s="10">
        <v>31738</v>
      </c>
      <c r="C6324" t="s" s="10">
        <v>164</v>
      </c>
      <c r="D6324" t="s" s="10">
        <v>206</v>
      </c>
      <c r="E6324" t="s" s="10">
        <v>137</v>
      </c>
      <c r="F6324" s="27">
        <v>44956</v>
      </c>
      <c r="G6324" t="s" s="10">
        <v>4267</v>
      </c>
      <c r="H6324" s="42">
        <v>0.22</v>
      </c>
      <c r="I6324" t="s" s="42">
        <v>30</v>
      </c>
      <c r="J6324" t="s" s="10">
        <v>31739</v>
      </c>
      <c r="K6324" t="s" s="10">
        <v>31740</v>
      </c>
      <c r="L6324" s="16">
        <f>HYPERLINK("http://www.rackle.io", "www.rackle.io")</f>
      </c>
      <c r="M6324" s="16">
        <f>HYPERLINK("https://my.pitchbook.com?c=519277-33", "View Company Online")</f>
      </c>
    </row>
    <row r="6325">
      <c r="A6325" t="s" s="11">
        <v>31742</v>
      </c>
      <c r="B6325" t="s" s="11">
        <v>31743</v>
      </c>
      <c r="C6325" t="s" s="11">
        <v>37</v>
      </c>
      <c r="D6325" t="s" s="11">
        <v>38</v>
      </c>
      <c r="E6325" t="s" s="11">
        <v>253</v>
      </c>
      <c r="F6325" t="s" s="28">
        <v>30</v>
      </c>
      <c r="G6325" t="s" s="11">
        <v>391</v>
      </c>
      <c r="H6325" t="s" s="43">
        <v>30</v>
      </c>
      <c r="I6325" t="s" s="43">
        <v>30</v>
      </c>
      <c r="J6325" t="s" s="11">
        <v>31744</v>
      </c>
      <c r="K6325" t="s" s="11">
        <v>31745</v>
      </c>
      <c r="L6325" s="17">
        <f>HYPERLINK("http://www.radicant.com", "www.radicant.com")</f>
      </c>
      <c r="M6325" s="17">
        <f>HYPERLINK("https://my.pitchbook.com?c=497323-45", "View Company Online")</f>
      </c>
    </row>
    <row r="6326">
      <c r="A6326" t="s" s="10">
        <v>31747</v>
      </c>
      <c r="B6326" t="s" s="10">
        <v>31748</v>
      </c>
      <c r="C6326" t="s" s="10">
        <v>27</v>
      </c>
      <c r="D6326" t="s" s="10">
        <v>28</v>
      </c>
      <c r="E6326" t="s" s="10">
        <v>31541</v>
      </c>
      <c r="F6326" s="27">
        <v>45139</v>
      </c>
      <c r="G6326" t="s" s="10">
        <v>146</v>
      </c>
      <c r="H6326" t="s" s="42">
        <v>30</v>
      </c>
      <c r="I6326" t="s" s="42">
        <v>30</v>
      </c>
      <c r="J6326" t="s" s="10">
        <v>31749</v>
      </c>
      <c r="K6326" t="s" s="10">
        <v>31750</v>
      </c>
      <c r="L6326" s="16">
        <f>HYPERLINK("http://www.rhmt.uz", "www.rhmt.uz")</f>
      </c>
      <c r="M6326" s="16">
        <f>HYPERLINK("https://my.pitchbook.com?c=534497-68", "View Company Online")</f>
      </c>
    </row>
    <row r="6327">
      <c r="A6327" t="s" s="11">
        <v>31752</v>
      </c>
      <c r="B6327" t="s" s="11">
        <v>31753</v>
      </c>
      <c r="C6327" t="s" s="11">
        <v>46</v>
      </c>
      <c r="D6327" t="s" s="11">
        <v>47</v>
      </c>
      <c r="E6327" t="s" s="11">
        <v>2678</v>
      </c>
      <c r="F6327" s="28">
        <v>45717</v>
      </c>
      <c r="G6327" t="s" s="11">
        <v>146</v>
      </c>
      <c r="H6327" t="s" s="43">
        <v>30</v>
      </c>
      <c r="I6327" t="s" s="43">
        <v>30</v>
      </c>
      <c r="J6327" t="s" s="11">
        <v>31754</v>
      </c>
      <c r="K6327" t="s" s="11">
        <v>31755</v>
      </c>
      <c r="L6327" s="17">
        <f>HYPERLINK("http://www.withrails.com", "www.withrails.com")</f>
      </c>
      <c r="M6327" s="17">
        <f>HYPERLINK("https://my.pitchbook.com?c=502639-66", "View Company Online")</f>
      </c>
    </row>
    <row r="6328">
      <c r="A6328" t="s" s="10">
        <v>31757</v>
      </c>
      <c r="B6328" t="s" s="10">
        <v>31758</v>
      </c>
      <c r="C6328" t="s" s="10">
        <v>60</v>
      </c>
      <c r="D6328" t="s" s="10">
        <v>61</v>
      </c>
      <c r="E6328" t="s" s="10">
        <v>995</v>
      </c>
      <c r="F6328" s="27">
        <v>45474</v>
      </c>
      <c r="G6328" t="s" s="10">
        <v>40</v>
      </c>
      <c r="H6328" t="s" s="42">
        <v>30</v>
      </c>
      <c r="I6328" t="s" s="42">
        <v>30</v>
      </c>
      <c r="J6328" t="s" s="10">
        <v>31759</v>
      </c>
      <c r="K6328" t="s" s="10">
        <v>31760</v>
      </c>
      <c r="L6328" s="16">
        <f>HYPERLINK("http://www.rain.com", "www.rain.com")</f>
      </c>
      <c r="M6328" s="16">
        <f>HYPERLINK("https://my.pitchbook.com?c=266645-35", "View Company Online")</f>
      </c>
    </row>
    <row r="6329">
      <c r="A6329" t="s" s="11">
        <v>31762</v>
      </c>
      <c r="B6329" t="s" s="11">
        <v>31763</v>
      </c>
      <c r="C6329" t="s" s="11">
        <v>114</v>
      </c>
      <c r="D6329" t="s" s="11">
        <v>115</v>
      </c>
      <c r="E6329" t="s" s="11">
        <v>137</v>
      </c>
      <c r="F6329" s="28">
        <v>45987</v>
      </c>
      <c r="G6329" t="s" s="11">
        <v>40</v>
      </c>
      <c r="H6329" s="43">
        <v>84.41</v>
      </c>
      <c r="I6329" t="s" s="43">
        <v>30</v>
      </c>
      <c r="J6329" t="s" s="11">
        <v>31764</v>
      </c>
      <c r="K6329" t="s" s="11">
        <v>30</v>
      </c>
      <c r="L6329" s="17">
        <f>HYPERLINK("http://www.raincitycapital.com", "www.raincitycapital.com")</f>
      </c>
      <c r="M6329" s="17">
        <f>HYPERLINK("https://my.pitchbook.com?c=266857-03", "View Company Online")</f>
      </c>
    </row>
    <row r="6330">
      <c r="A6330" t="s" s="10">
        <v>31766</v>
      </c>
      <c r="B6330" t="s" s="10">
        <v>31767</v>
      </c>
      <c r="C6330" t="s" s="10">
        <v>222</v>
      </c>
      <c r="D6330" t="s" s="10">
        <v>235</v>
      </c>
      <c r="E6330" t="s" s="10">
        <v>270</v>
      </c>
      <c r="F6330" s="27">
        <v>45362</v>
      </c>
      <c r="G6330" t="s" s="10">
        <v>4267</v>
      </c>
      <c r="H6330" s="42">
        <v>1.99</v>
      </c>
      <c r="I6330" t="s" s="42">
        <v>30</v>
      </c>
      <c r="J6330" t="s" s="10">
        <v>31768</v>
      </c>
      <c r="K6330" t="s" s="10">
        <v>21416</v>
      </c>
      <c r="L6330" s="16">
        <f>HYPERLINK("http://www.rakeez.sa", "www.rakeez.sa")</f>
      </c>
      <c r="M6330" s="16">
        <f>HYPERLINK("https://my.pitchbook.com?c=590201-11", "View Company Online")</f>
      </c>
    </row>
    <row r="6331">
      <c r="A6331" t="s" s="11">
        <v>31770</v>
      </c>
      <c r="B6331" t="s" s="11">
        <v>31771</v>
      </c>
      <c r="C6331" t="s" s="11">
        <v>222</v>
      </c>
      <c r="D6331" t="s" s="11">
        <v>252</v>
      </c>
      <c r="E6331" t="s" s="11">
        <v>859</v>
      </c>
      <c r="F6331" s="28">
        <v>46105</v>
      </c>
      <c r="G6331" t="s" s="11">
        <v>391</v>
      </c>
      <c r="H6331" t="s" s="43">
        <v>30</v>
      </c>
      <c r="I6331" t="s" s="43">
        <v>30</v>
      </c>
      <c r="J6331" t="s" s="11">
        <v>31772</v>
      </c>
      <c r="K6331" t="s" s="11">
        <v>31773</v>
      </c>
      <c r="L6331" s="17">
        <f>HYPERLINK("http://www.rakkardigital.com", "www.rakkardigital.com")</f>
      </c>
      <c r="M6331" s="17">
        <f>HYPERLINK("https://my.pitchbook.com?c=510009-49", "View Company Online")</f>
      </c>
    </row>
    <row r="6332">
      <c r="A6332" t="s" s="10">
        <v>31775</v>
      </c>
      <c r="B6332" t="s" s="10">
        <v>31776</v>
      </c>
      <c r="C6332" t="s" s="10">
        <v>27</v>
      </c>
      <c r="D6332" t="s" s="10">
        <v>28</v>
      </c>
      <c r="E6332" t="s" s="10">
        <v>859</v>
      </c>
      <c r="F6332" s="27">
        <v>45839</v>
      </c>
      <c r="G6332" t="s" s="10">
        <v>146</v>
      </c>
      <c r="H6332" t="s" s="42">
        <v>30</v>
      </c>
      <c r="I6332" t="s" s="42">
        <v>30</v>
      </c>
      <c r="J6332" t="s" s="10">
        <v>31777</v>
      </c>
      <c r="K6332" t="s" s="10">
        <v>31778</v>
      </c>
      <c r="L6332" s="16">
        <f>HYPERLINK("http://rampapay.com", "rampapay.com")</f>
      </c>
      <c r="M6332" s="16">
        <f>HYPERLINK("https://my.pitchbook.com?c=885680-74", "View Company Online")</f>
      </c>
    </row>
    <row r="6333">
      <c r="A6333" t="s" s="11">
        <v>31780</v>
      </c>
      <c r="B6333" t="s" s="11">
        <v>31781</v>
      </c>
      <c r="C6333" t="s" s="11">
        <v>60</v>
      </c>
      <c r="D6333" t="s" s="11">
        <v>192</v>
      </c>
      <c r="E6333" t="s" s="11">
        <v>859</v>
      </c>
      <c r="F6333" s="28">
        <v>46082</v>
      </c>
      <c r="G6333" t="s" s="11">
        <v>271</v>
      </c>
      <c r="H6333" s="43">
        <v>0.46</v>
      </c>
      <c r="I6333" t="s" s="43">
        <v>30</v>
      </c>
      <c r="J6333" t="s" s="11">
        <v>31782</v>
      </c>
      <c r="K6333" t="s" s="11">
        <v>31783</v>
      </c>
      <c r="L6333" s="17">
        <f>HYPERLINK("http://www.rand.app", "www.rand.app")</f>
      </c>
      <c r="M6333" s="17">
        <f>HYPERLINK("https://my.pitchbook.com?c=481671-64", "View Company Online")</f>
      </c>
    </row>
    <row r="6334">
      <c r="A6334" t="s" s="10">
        <v>31785</v>
      </c>
      <c r="B6334" t="s" s="10">
        <v>31786</v>
      </c>
      <c r="C6334" t="s" s="10">
        <v>114</v>
      </c>
      <c r="D6334" t="s" s="10">
        <v>870</v>
      </c>
      <c r="E6334" t="s" s="10">
        <v>137</v>
      </c>
      <c r="F6334" t="s" s="27">
        <v>30</v>
      </c>
      <c r="G6334" t="s" s="10">
        <v>607</v>
      </c>
      <c r="H6334" t="s" s="42">
        <v>30</v>
      </c>
      <c r="I6334" t="s" s="42">
        <v>30</v>
      </c>
      <c r="J6334" t="s" s="10">
        <v>31787</v>
      </c>
      <c r="K6334" t="s" s="10">
        <v>31788</v>
      </c>
      <c r="L6334" s="16">
        <f>HYPERLINK("http://www.userank.com", "www.userank.com")</f>
      </c>
      <c r="M6334" s="16">
        <f>HYPERLINK("https://my.pitchbook.com?c=490271-14", "View Company Online")</f>
      </c>
    </row>
    <row r="6335">
      <c r="A6335" t="s" s="11">
        <v>31790</v>
      </c>
      <c r="B6335" t="s" s="11">
        <v>31791</v>
      </c>
      <c r="C6335" t="s" s="11">
        <v>46</v>
      </c>
      <c r="D6335" t="s" s="11">
        <v>397</v>
      </c>
      <c r="E6335" t="s" s="11">
        <v>253</v>
      </c>
      <c r="F6335" s="28">
        <v>46065</v>
      </c>
      <c r="G6335" t="s" s="11">
        <v>40</v>
      </c>
      <c r="H6335" t="s" s="43">
        <v>30</v>
      </c>
      <c r="I6335" t="s" s="43">
        <v>30</v>
      </c>
      <c r="J6335" t="s" s="11">
        <v>31792</v>
      </c>
      <c r="K6335" t="s" s="11">
        <v>31793</v>
      </c>
      <c r="L6335" s="17">
        <f>HYPERLINK("http://www.raquest.tax", "www.raquest.tax")</f>
      </c>
      <c r="M6335" s="17">
        <f>HYPERLINK("https://my.pitchbook.com?c=519015-52", "View Company Online")</f>
      </c>
    </row>
    <row r="6336">
      <c r="A6336" t="s" s="10">
        <v>31795</v>
      </c>
      <c r="B6336" t="s" s="10">
        <v>31796</v>
      </c>
      <c r="C6336" t="s" s="10">
        <v>172</v>
      </c>
      <c r="D6336" t="s" s="10">
        <v>173</v>
      </c>
      <c r="E6336" t="s" s="10">
        <v>373</v>
      </c>
      <c r="F6336" s="27">
        <v>45971</v>
      </c>
      <c r="G6336" t="s" s="10">
        <v>4267</v>
      </c>
      <c r="H6336" t="s" s="42">
        <v>30</v>
      </c>
      <c r="I6336" t="s" s="42">
        <v>30</v>
      </c>
      <c r="J6336" t="s" s="10">
        <v>31797</v>
      </c>
      <c r="K6336" t="s" s="10">
        <v>31798</v>
      </c>
      <c r="L6336" s="16">
        <f>HYPERLINK("http://www.rased.ai", "www.rased.ai")</f>
      </c>
      <c r="M6336" s="16">
        <f>HYPERLINK("https://my.pitchbook.com?c=1161205-84", "View Company Online")</f>
      </c>
    </row>
    <row r="6337">
      <c r="A6337" t="s" s="11">
        <v>31800</v>
      </c>
      <c r="B6337" t="s" s="11">
        <v>31801</v>
      </c>
      <c r="C6337" t="s" s="11">
        <v>222</v>
      </c>
      <c r="D6337" t="s" s="11">
        <v>235</v>
      </c>
      <c r="E6337" t="s" s="11">
        <v>414</v>
      </c>
      <c r="F6337" s="28">
        <v>45700</v>
      </c>
      <c r="G6337" t="s" s="11">
        <v>40</v>
      </c>
      <c r="H6337" s="43">
        <v>4.79</v>
      </c>
      <c r="I6337" t="s" s="43">
        <v>30</v>
      </c>
      <c r="J6337" t="s" s="11">
        <v>31802</v>
      </c>
      <c r="K6337" t="s" s="11">
        <v>31803</v>
      </c>
      <c r="L6337" s="17">
        <f>HYPERLINK("http://www.rasmal.io", "www.rasmal.io")</f>
      </c>
      <c r="M6337" s="17">
        <f>HYPERLINK("https://my.pitchbook.com?c=471782-89", "View Company Online")</f>
      </c>
    </row>
    <row r="6338">
      <c r="A6338" t="s" s="10">
        <v>31805</v>
      </c>
      <c r="B6338" t="s" s="10">
        <v>31806</v>
      </c>
      <c r="C6338" t="s" s="10">
        <v>144</v>
      </c>
      <c r="D6338" t="s" s="10">
        <v>38</v>
      </c>
      <c r="E6338" t="s" s="10">
        <v>193</v>
      </c>
      <c r="F6338" s="27">
        <v>45364</v>
      </c>
      <c r="G6338" t="s" s="10">
        <v>607</v>
      </c>
      <c r="H6338" t="s" s="42">
        <v>30</v>
      </c>
      <c r="I6338" t="s" s="42">
        <v>30</v>
      </c>
      <c r="J6338" t="s" s="10">
        <v>31807</v>
      </c>
      <c r="K6338" t="s" s="10">
        <v>31808</v>
      </c>
      <c r="L6338" s="16">
        <f>HYPERLINK("http://www.rauva.com", "www.rauva.com")</f>
      </c>
      <c r="M6338" s="16">
        <f>HYPERLINK("https://my.pitchbook.com?c=498118-33", "View Company Online")</f>
      </c>
    </row>
    <row r="6339">
      <c r="A6339" t="s" s="11">
        <v>31810</v>
      </c>
      <c r="B6339" t="s" s="11">
        <v>31811</v>
      </c>
      <c r="C6339" t="s" s="11">
        <v>222</v>
      </c>
      <c r="D6339" t="s" s="11">
        <v>235</v>
      </c>
      <c r="E6339" t="s" s="11">
        <v>859</v>
      </c>
      <c r="F6339" s="28">
        <v>45839</v>
      </c>
      <c r="G6339" t="s" s="11">
        <v>146</v>
      </c>
      <c r="H6339" t="s" s="43">
        <v>30</v>
      </c>
      <c r="I6339" t="s" s="43">
        <v>30</v>
      </c>
      <c r="J6339" t="s" s="11">
        <v>31812</v>
      </c>
      <c r="K6339" t="s" s="11">
        <v>31813</v>
      </c>
      <c r="L6339" s="17">
        <f>HYPERLINK("http://www.raze.finance", "www.raze.finance")</f>
      </c>
      <c r="M6339" s="17">
        <f>HYPERLINK("https://my.pitchbook.com?c=515012-14", "View Company Online")</f>
      </c>
    </row>
    <row r="6340">
      <c r="A6340" t="s" s="10">
        <v>31815</v>
      </c>
      <c r="B6340" t="s" s="10">
        <v>31816</v>
      </c>
      <c r="C6340" t="s" s="10">
        <v>27</v>
      </c>
      <c r="D6340" t="s" s="10">
        <v>70</v>
      </c>
      <c r="E6340" t="s" s="10">
        <v>62</v>
      </c>
      <c r="F6340" s="27">
        <v>45868</v>
      </c>
      <c r="G6340" t="s" s="10">
        <v>40</v>
      </c>
      <c r="H6340" s="42">
        <v>40</v>
      </c>
      <c r="I6340" t="s" s="42">
        <v>30</v>
      </c>
      <c r="J6340" t="s" s="10">
        <v>31817</v>
      </c>
      <c r="K6340" t="s" s="10">
        <v>31818</v>
      </c>
      <c r="L6340" s="16">
        <f>HYPERLINK("http://www.rd.group", "www.rd.group")</f>
      </c>
      <c r="M6340" s="16">
        <f>HYPERLINK("https://my.pitchbook.com?c=442651-42", "View Company Online")</f>
      </c>
    </row>
    <row r="6341">
      <c r="A6341" t="s" s="11">
        <v>31820</v>
      </c>
      <c r="B6341" t="s" s="11">
        <v>31821</v>
      </c>
      <c r="C6341" t="s" s="11">
        <v>144</v>
      </c>
      <c r="D6341" t="s" s="11">
        <v>297</v>
      </c>
      <c r="E6341" t="s" s="11">
        <v>634</v>
      </c>
      <c r="F6341" s="28">
        <v>45849</v>
      </c>
      <c r="G6341" t="s" s="11">
        <v>584</v>
      </c>
      <c r="H6341" s="43">
        <v>145.55</v>
      </c>
      <c r="I6341" t="s" s="43">
        <v>30</v>
      </c>
      <c r="J6341" t="s" s="11">
        <v>31822</v>
      </c>
      <c r="K6341" t="s" s="11">
        <v>31823</v>
      </c>
      <c r="L6341" s="17">
        <f>HYPERLINK("http://www.re-cap.com", "www.re-cap.com")</f>
      </c>
      <c r="M6341" s="17">
        <f>HYPERLINK("https://my.pitchbook.com?c=466930-63", "View Company Online")</f>
      </c>
    </row>
    <row r="6342">
      <c r="A6342" t="s" s="10">
        <v>31825</v>
      </c>
      <c r="B6342" t="s" s="10">
        <v>31826</v>
      </c>
      <c r="C6342" t="s" s="10">
        <v>37</v>
      </c>
      <c r="D6342" t="s" s="10">
        <v>38</v>
      </c>
      <c r="E6342" t="s" s="10">
        <v>1625</v>
      </c>
      <c r="F6342" s="27">
        <v>45323</v>
      </c>
      <c r="G6342" t="s" s="10">
        <v>607</v>
      </c>
      <c r="H6342" t="s" s="42">
        <v>30</v>
      </c>
      <c r="I6342" t="s" s="42">
        <v>30</v>
      </c>
      <c r="J6342" t="s" s="10">
        <v>31827</v>
      </c>
      <c r="K6342" t="s" s="10">
        <v>31828</v>
      </c>
      <c r="L6342" s="16">
        <f>HYPERLINK("http://www.readylife.com", "www.readylife.com")</f>
      </c>
      <c r="M6342" s="16">
        <f>HYPERLINK("https://my.pitchbook.com?c=502826-50", "View Company Online")</f>
      </c>
    </row>
    <row r="6343">
      <c r="A6343" t="s" s="11">
        <v>31830</v>
      </c>
      <c r="B6343" t="s" s="11">
        <v>31831</v>
      </c>
      <c r="C6343" t="s" s="11">
        <v>222</v>
      </c>
      <c r="D6343" t="s" s="11">
        <v>252</v>
      </c>
      <c r="E6343" t="s" s="11">
        <v>859</v>
      </c>
      <c r="F6343" s="28">
        <v>46001</v>
      </c>
      <c r="G6343" t="s" s="11">
        <v>146</v>
      </c>
      <c r="H6343" s="43">
        <v>29</v>
      </c>
      <c r="I6343" t="s" s="43">
        <v>30</v>
      </c>
      <c r="J6343" t="s" s="11">
        <v>31832</v>
      </c>
      <c r="K6343" t="s" s="11">
        <v>31833</v>
      </c>
      <c r="L6343" s="17">
        <f>HYPERLINK("http://www.real.finance", "www.real.finance")</f>
      </c>
      <c r="M6343" s="17">
        <f>HYPERLINK("https://my.pitchbook.com?c=730015-21", "View Company Online")</f>
      </c>
    </row>
    <row r="6344">
      <c r="A6344" t="s" s="10">
        <v>31835</v>
      </c>
      <c r="B6344" t="s" s="10">
        <v>31836</v>
      </c>
      <c r="C6344" t="s" s="10">
        <v>60</v>
      </c>
      <c r="D6344" t="s" s="10">
        <v>727</v>
      </c>
      <c r="E6344" t="s" s="10">
        <v>3604</v>
      </c>
      <c r="F6344" t="s" s="27">
        <v>30</v>
      </c>
      <c r="G6344" t="s" s="10">
        <v>607</v>
      </c>
      <c r="H6344" t="s" s="42">
        <v>30</v>
      </c>
      <c r="I6344" t="s" s="42">
        <v>30</v>
      </c>
      <c r="J6344" t="s" s="10">
        <v>31837</v>
      </c>
      <c r="K6344" t="s" s="10">
        <v>31838</v>
      </c>
      <c r="L6344" s="16">
        <f>HYPERLINK("http://realbuy.io", "realbuy.io")</f>
      </c>
      <c r="M6344" s="16">
        <f>HYPERLINK("https://my.pitchbook.com?c=509497-21", "View Company Online")</f>
      </c>
    </row>
    <row r="6345">
      <c r="A6345" t="s" s="11">
        <v>31840</v>
      </c>
      <c r="B6345" t="s" s="11">
        <v>31841</v>
      </c>
      <c r="C6345" t="s" s="11">
        <v>60</v>
      </c>
      <c r="D6345" t="s" s="11">
        <v>727</v>
      </c>
      <c r="E6345" t="s" s="11">
        <v>1032</v>
      </c>
      <c r="F6345" s="28">
        <v>45229</v>
      </c>
      <c r="G6345" t="s" s="11">
        <v>40</v>
      </c>
      <c r="H6345" s="43">
        <v>1.8</v>
      </c>
      <c r="I6345" t="s" s="43">
        <v>30</v>
      </c>
      <c r="J6345" t="s" s="11">
        <v>31842</v>
      </c>
      <c r="K6345" t="s" s="11">
        <v>31843</v>
      </c>
      <c r="L6345" s="17">
        <f>HYPERLINK("http://www.realized1031.com", "www.realized1031.com")</f>
      </c>
      <c r="M6345" s="17">
        <f>HYPERLINK("https://my.pitchbook.com?c=233094-16", "View Company Online")</f>
      </c>
    </row>
    <row r="6346">
      <c r="A6346" t="s" s="10">
        <v>31845</v>
      </c>
      <c r="B6346" t="s" s="10">
        <v>31846</v>
      </c>
      <c r="C6346" t="s" s="10">
        <v>222</v>
      </c>
      <c r="D6346" t="s" s="10">
        <v>252</v>
      </c>
      <c r="E6346" t="s" s="10">
        <v>31847</v>
      </c>
      <c r="F6346" s="27">
        <v>45832</v>
      </c>
      <c r="G6346" t="s" s="10">
        <v>607</v>
      </c>
      <c r="H6346" t="s" s="42">
        <v>30</v>
      </c>
      <c r="I6346" t="s" s="42">
        <v>30</v>
      </c>
      <c r="J6346" t="s" s="10">
        <v>31848</v>
      </c>
      <c r="K6346" t="s" s="10">
        <v>31849</v>
      </c>
      <c r="L6346" s="16">
        <f>HYPERLINK("http://www.realizse.com", "www.realizse.com")</f>
      </c>
      <c r="M6346" s="16">
        <f>HYPERLINK("https://my.pitchbook.com?c=535119-49", "View Company Online")</f>
      </c>
    </row>
    <row r="6347">
      <c r="A6347" t="s" s="11">
        <v>31851</v>
      </c>
      <c r="B6347" t="s" s="11">
        <v>31852</v>
      </c>
      <c r="C6347" t="s" s="11">
        <v>27</v>
      </c>
      <c r="D6347" t="s" s="11">
        <v>122</v>
      </c>
      <c r="E6347" t="s" s="11">
        <v>2678</v>
      </c>
      <c r="F6347" s="28">
        <v>45939</v>
      </c>
      <c r="G6347" t="s" s="11">
        <v>4267</v>
      </c>
      <c r="H6347" s="43">
        <v>1.8</v>
      </c>
      <c r="I6347" t="s" s="43">
        <v>30</v>
      </c>
      <c r="J6347" t="s" s="11">
        <v>31853</v>
      </c>
      <c r="K6347" t="s" s="11">
        <v>31854</v>
      </c>
      <c r="L6347" s="17">
        <f>HYPERLINK("http://www.reasy.fr", "www.reasy.fr")</f>
      </c>
      <c r="M6347" s="17">
        <f>HYPERLINK("https://my.pitchbook.com?c=551716-57", "View Company Online")</f>
      </c>
    </row>
    <row r="6348">
      <c r="A6348" t="s" s="10">
        <v>31856</v>
      </c>
      <c r="B6348" t="s" s="10">
        <v>31857</v>
      </c>
      <c r="C6348" t="s" s="10">
        <v>128</v>
      </c>
      <c r="D6348" t="s" s="10">
        <v>129</v>
      </c>
      <c r="E6348" t="s" s="10">
        <v>270</v>
      </c>
      <c r="F6348" s="27">
        <v>45931</v>
      </c>
      <c r="G6348" t="s" s="10">
        <v>4267</v>
      </c>
      <c r="H6348" t="s" s="42">
        <v>30</v>
      </c>
      <c r="I6348" t="s" s="42">
        <v>30</v>
      </c>
      <c r="J6348" t="s" s="10">
        <v>31858</v>
      </c>
      <c r="K6348" t="s" s="10">
        <v>31859</v>
      </c>
      <c r="L6348" t="s" s="10">
        <v>30</v>
      </c>
      <c r="M6348" s="16">
        <f>HYPERLINK("https://my.pitchbook.com?c=1084465-99", "View Company Online")</f>
      </c>
    </row>
    <row r="6349">
      <c r="A6349" t="s" s="11">
        <v>31860</v>
      </c>
      <c r="B6349" t="s" s="11">
        <v>31861</v>
      </c>
      <c r="C6349" t="s" s="11">
        <v>164</v>
      </c>
      <c r="D6349" t="s" s="11">
        <v>165</v>
      </c>
      <c r="E6349" t="s" s="11">
        <v>259</v>
      </c>
      <c r="F6349" s="28">
        <v>46051</v>
      </c>
      <c r="G6349" t="s" s="11">
        <v>146</v>
      </c>
      <c r="H6349" t="s" s="43">
        <v>30</v>
      </c>
      <c r="I6349" t="s" s="43">
        <v>30</v>
      </c>
      <c r="J6349" t="s" s="11">
        <v>31862</v>
      </c>
      <c r="K6349" t="s" s="11">
        <v>31863</v>
      </c>
      <c r="L6349" s="17">
        <f>HYPERLINK("http://www.receiptable.co", "www.receiptable.co")</f>
      </c>
      <c r="M6349" s="17">
        <f>HYPERLINK("https://my.pitchbook.com?c=571711-33", "View Company Online")</f>
      </c>
    </row>
    <row r="6350">
      <c r="A6350" t="s" s="10">
        <v>31865</v>
      </c>
      <c r="B6350" t="s" s="10">
        <v>31866</v>
      </c>
      <c r="C6350" t="s" s="10">
        <v>144</v>
      </c>
      <c r="D6350" t="s" s="10">
        <v>297</v>
      </c>
      <c r="E6350" t="s" s="10">
        <v>634</v>
      </c>
      <c r="F6350" s="27">
        <v>45834</v>
      </c>
      <c r="G6350" t="s" s="10">
        <v>4267</v>
      </c>
      <c r="H6350" s="42">
        <v>4</v>
      </c>
      <c r="I6350" t="s" s="42">
        <v>30</v>
      </c>
      <c r="J6350" t="s" s="10">
        <v>31867</v>
      </c>
      <c r="K6350" t="s" s="10">
        <v>31868</v>
      </c>
      <c r="L6350" s="16">
        <f>HYPERLINK("http://www.nowreceive.com", "www.nowreceive.com")</f>
      </c>
      <c r="M6350" s="16">
        <f>HYPERLINK("https://my.pitchbook.com?c=527373-82", "View Company Online")</f>
      </c>
    </row>
    <row r="6351">
      <c r="A6351" t="s" s="11">
        <v>31870</v>
      </c>
      <c r="B6351" t="s" s="11">
        <v>31871</v>
      </c>
      <c r="C6351" t="s" s="11">
        <v>60</v>
      </c>
      <c r="D6351" t="s" s="11">
        <v>727</v>
      </c>
      <c r="E6351" t="s" s="11">
        <v>137</v>
      </c>
      <c r="F6351" s="28">
        <v>45442</v>
      </c>
      <c r="G6351" t="s" s="11">
        <v>40</v>
      </c>
      <c r="H6351" t="s" s="43">
        <v>30</v>
      </c>
      <c r="I6351" t="s" s="43">
        <v>30</v>
      </c>
      <c r="J6351" t="s" s="11">
        <v>31872</v>
      </c>
      <c r="K6351" t="s" s="11">
        <v>31873</v>
      </c>
      <c r="L6351" s="17">
        <f>HYPERLINK("http://www.rechargecapital.com", "www.rechargecapital.com")</f>
      </c>
      <c r="M6351" s="17">
        <f>HYPERLINK("https://my.pitchbook.com?c=268227-64", "View Company Online")</f>
      </c>
    </row>
    <row r="6352">
      <c r="A6352" t="s" s="10">
        <v>31875</v>
      </c>
      <c r="B6352" t="s" s="10">
        <v>31876</v>
      </c>
      <c r="C6352" t="s" s="10">
        <v>46</v>
      </c>
      <c r="D6352" t="s" s="10">
        <v>47</v>
      </c>
      <c r="E6352" t="s" s="10">
        <v>1652</v>
      </c>
      <c r="F6352" s="27">
        <v>46043</v>
      </c>
      <c r="G6352" t="s" s="10">
        <v>146</v>
      </c>
      <c r="H6352" s="42">
        <v>0.58</v>
      </c>
      <c r="I6352" t="s" s="42">
        <v>30</v>
      </c>
      <c r="J6352" t="s" s="10">
        <v>31877</v>
      </c>
      <c r="K6352" t="s" s="10">
        <v>31878</v>
      </c>
      <c r="L6352" s="16">
        <f>HYPERLINK("http://www.recivu.it", "www.recivu.it")</f>
      </c>
      <c r="M6352" s="16">
        <f>HYPERLINK("https://my.pitchbook.com?c=551361-97", "View Company Online")</f>
      </c>
    </row>
    <row r="6353">
      <c r="A6353" t="s" s="11">
        <v>31880</v>
      </c>
      <c r="B6353" t="s" s="11">
        <v>31881</v>
      </c>
      <c r="C6353" t="s" s="11">
        <v>46</v>
      </c>
      <c r="D6353" t="s" s="11">
        <v>47</v>
      </c>
      <c r="E6353" t="s" s="11">
        <v>253</v>
      </c>
      <c r="F6353" s="28">
        <v>45767</v>
      </c>
      <c r="G6353" t="s" s="11">
        <v>607</v>
      </c>
      <c r="H6353" t="s" s="43">
        <v>30</v>
      </c>
      <c r="I6353" t="s" s="43">
        <v>30</v>
      </c>
      <c r="J6353" t="s" s="11">
        <v>31882</v>
      </c>
      <c r="K6353" t="s" s="11">
        <v>31883</v>
      </c>
      <c r="L6353" s="17">
        <f>HYPERLINK("http://www.recordent.com", "www.recordent.com")</f>
      </c>
      <c r="M6353" s="17">
        <f>HYPERLINK("https://my.pitchbook.com?c=438916-60", "View Company Online")</f>
      </c>
    </row>
    <row r="6354">
      <c r="A6354" t="s" s="10">
        <v>31885</v>
      </c>
      <c r="B6354" t="s" s="10">
        <v>31886</v>
      </c>
      <c r="C6354" t="s" s="10">
        <v>172</v>
      </c>
      <c r="D6354" t="s" s="10">
        <v>1454</v>
      </c>
      <c r="E6354" t="s" s="10">
        <v>373</v>
      </c>
      <c r="F6354" s="27">
        <v>45931</v>
      </c>
      <c r="G6354" t="s" s="10">
        <v>146</v>
      </c>
      <c r="H6354" t="s" s="42">
        <v>30</v>
      </c>
      <c r="I6354" t="s" s="42">
        <v>30</v>
      </c>
      <c r="J6354" t="s" s="10">
        <v>31887</v>
      </c>
      <c r="K6354" t="s" s="10">
        <v>11316</v>
      </c>
      <c r="L6354" s="16">
        <f>HYPERLINK("http://www.tryrecoup.com", "www.tryrecoup.com")</f>
      </c>
      <c r="M6354" s="16">
        <f>HYPERLINK("https://my.pitchbook.com?c=1154205-46", "View Company Online")</f>
      </c>
    </row>
    <row r="6355">
      <c r="A6355" t="s" s="11">
        <v>31889</v>
      </c>
      <c r="B6355" t="s" s="11">
        <v>31890</v>
      </c>
      <c r="C6355" t="s" s="11">
        <v>144</v>
      </c>
      <c r="D6355" t="s" s="11">
        <v>297</v>
      </c>
      <c r="E6355" t="s" s="11">
        <v>414</v>
      </c>
      <c r="F6355" s="28">
        <v>46181</v>
      </c>
      <c r="G6355" t="s" s="11">
        <v>40</v>
      </c>
      <c r="H6355" s="43">
        <v>50</v>
      </c>
      <c r="I6355" t="s" s="43">
        <v>30</v>
      </c>
      <c r="J6355" t="s" s="11">
        <v>31891</v>
      </c>
      <c r="K6355" t="s" s="11">
        <v>31892</v>
      </c>
      <c r="L6355" s="17">
        <f>HYPERLINK("http://www.recurclub.com", "www.recurclub.com")</f>
      </c>
      <c r="M6355" s="17">
        <f>HYPERLINK("https://my.pitchbook.com?c=484724-08", "View Company Online")</f>
      </c>
    </row>
    <row r="6356">
      <c r="A6356" t="s" s="10">
        <v>31894</v>
      </c>
      <c r="B6356" t="s" s="10">
        <v>31895</v>
      </c>
      <c r="C6356" t="s" s="10">
        <v>114</v>
      </c>
      <c r="D6356" t="s" s="10">
        <v>136</v>
      </c>
      <c r="E6356" t="s" s="10">
        <v>253</v>
      </c>
      <c r="F6356" s="27">
        <v>45352</v>
      </c>
      <c r="G6356" t="s" s="10">
        <v>48</v>
      </c>
      <c r="H6356" t="s" s="42">
        <v>30</v>
      </c>
      <c r="I6356" t="s" s="42">
        <v>30</v>
      </c>
      <c r="J6356" t="s" s="10">
        <v>31896</v>
      </c>
      <c r="K6356" t="s" s="10">
        <v>31897</v>
      </c>
      <c r="L6356" s="16">
        <f>HYPERLINK("http://www.redcapital.pe", "www.redcapital.pe")</f>
      </c>
      <c r="M6356" s="16">
        <f>HYPERLINK("https://my.pitchbook.com?c=188102-53", "View Company Online")</f>
      </c>
    </row>
    <row r="6357">
      <c r="A6357" t="s" s="11">
        <v>31899</v>
      </c>
      <c r="B6357" t="s" s="11">
        <v>31900</v>
      </c>
      <c r="C6357" t="s" s="11">
        <v>60</v>
      </c>
      <c r="D6357" t="s" s="11">
        <v>727</v>
      </c>
      <c r="E6357" t="s" s="11">
        <v>2782</v>
      </c>
      <c r="F6357" s="28">
        <v>46234</v>
      </c>
      <c r="G6357" t="s" s="11">
        <v>40</v>
      </c>
      <c r="H6357" s="43">
        <v>1.7</v>
      </c>
      <c r="I6357" t="s" s="43">
        <v>30</v>
      </c>
      <c r="J6357" t="s" s="11">
        <v>31901</v>
      </c>
      <c r="K6357" t="s" s="11">
        <v>31902</v>
      </c>
      <c r="L6357" s="17">
        <f>HYPERLINK("http://www.reental.co", "www.reental.co")</f>
      </c>
      <c r="M6357" s="17">
        <f>HYPERLINK("https://my.pitchbook.com?c=509532-76", "View Company Online")</f>
      </c>
    </row>
    <row r="6358">
      <c r="A6358" t="s" s="10">
        <v>31904</v>
      </c>
      <c r="B6358" t="s" s="10">
        <v>31905</v>
      </c>
      <c r="C6358" t="s" s="10">
        <v>172</v>
      </c>
      <c r="D6358" t="s" s="10">
        <v>173</v>
      </c>
      <c r="E6358" t="s" s="10">
        <v>414</v>
      </c>
      <c r="F6358" s="27">
        <v>45635</v>
      </c>
      <c r="G6358" t="s" s="10">
        <v>146</v>
      </c>
      <c r="H6358" t="s" s="42">
        <v>30</v>
      </c>
      <c r="I6358" t="s" s="42">
        <v>30</v>
      </c>
      <c r="J6358" t="s" s="10">
        <v>31906</v>
      </c>
      <c r="K6358" t="s" s="10">
        <v>31907</v>
      </c>
      <c r="L6358" s="16">
        <f>HYPERLINK("http://www.refineintelligence.com", "www.refineintelligence.com")</f>
      </c>
      <c r="M6358" s="16">
        <f>HYPERLINK("https://my.pitchbook.com?c=506940-67", "View Company Online")</f>
      </c>
    </row>
    <row r="6359">
      <c r="A6359" t="s" s="11">
        <v>31909</v>
      </c>
      <c r="B6359" t="s" s="11">
        <v>31910</v>
      </c>
      <c r="C6359" t="s" s="11">
        <v>128</v>
      </c>
      <c r="D6359" t="s" s="11">
        <v>129</v>
      </c>
      <c r="E6359" t="s" s="11">
        <v>31911</v>
      </c>
      <c r="F6359" s="28">
        <v>45866</v>
      </c>
      <c r="G6359" t="s" s="11">
        <v>4267</v>
      </c>
      <c r="H6359" t="s" s="43">
        <v>30</v>
      </c>
      <c r="I6359" t="s" s="43">
        <v>30</v>
      </c>
      <c r="J6359" t="s" s="11">
        <v>31912</v>
      </c>
      <c r="K6359" t="s" s="11">
        <v>31913</v>
      </c>
      <c r="L6359" s="17">
        <f>HYPERLINK("http://www.refundy.co", "www.refundy.co")</f>
      </c>
      <c r="M6359" s="17">
        <f>HYPERLINK("https://my.pitchbook.com?c=802885-96", "View Company Online")</f>
      </c>
    </row>
    <row r="6360">
      <c r="A6360" t="s" s="10">
        <v>31915</v>
      </c>
      <c r="B6360" t="s" s="10">
        <v>31916</v>
      </c>
      <c r="C6360" t="s" s="10">
        <v>222</v>
      </c>
      <c r="D6360" t="s" s="10">
        <v>235</v>
      </c>
      <c r="E6360" t="s" s="10">
        <v>5015</v>
      </c>
      <c r="F6360" s="27">
        <v>45346</v>
      </c>
      <c r="G6360" t="s" s="10">
        <v>4267</v>
      </c>
      <c r="H6360" s="42">
        <v>0.53</v>
      </c>
      <c r="I6360" t="s" s="42">
        <v>30</v>
      </c>
      <c r="J6360" t="s" s="10">
        <v>31917</v>
      </c>
      <c r="K6360" t="s" s="10">
        <v>31918</v>
      </c>
      <c r="L6360" s="16">
        <f>HYPERLINK("http://www.refycap.com", "www.refycap.com")</f>
      </c>
      <c r="M6360" s="16">
        <f>HYPERLINK("https://my.pitchbook.com?c=589138-12", "View Company Online")</f>
      </c>
    </row>
    <row r="6361">
      <c r="A6361" t="s" s="11">
        <v>31920</v>
      </c>
      <c r="B6361" t="s" s="11">
        <v>31921</v>
      </c>
      <c r="C6361" t="s" s="11">
        <v>46</v>
      </c>
      <c r="D6361" t="s" s="11">
        <v>78</v>
      </c>
      <c r="E6361" t="s" s="11">
        <v>137</v>
      </c>
      <c r="F6361" s="28">
        <v>44573</v>
      </c>
      <c r="G6361" t="s" s="11">
        <v>146</v>
      </c>
      <c r="H6361" s="43">
        <v>82</v>
      </c>
      <c r="I6361" t="s" s="43">
        <v>30</v>
      </c>
      <c r="J6361" t="s" s="11">
        <v>31922</v>
      </c>
      <c r="K6361" t="s" s="11">
        <v>31923</v>
      </c>
      <c r="L6361" s="17">
        <f>HYPERLINK("http://www.refyne.co.in", "www.refyne.co.in")</f>
      </c>
      <c r="M6361" s="17">
        <f>HYPERLINK("https://my.pitchbook.com?c=462035-26", "View Company Online")</f>
      </c>
    </row>
    <row r="6362">
      <c r="A6362" t="s" s="10">
        <v>31925</v>
      </c>
      <c r="B6362" t="s" s="10">
        <v>31926</v>
      </c>
      <c r="C6362" t="s" s="10">
        <v>172</v>
      </c>
      <c r="D6362" t="s" s="10">
        <v>338</v>
      </c>
      <c r="E6362" t="s" s="10">
        <v>137</v>
      </c>
      <c r="F6362" s="27">
        <v>45001</v>
      </c>
      <c r="G6362" t="s" s="10">
        <v>607</v>
      </c>
      <c r="H6362" t="s" s="42">
        <v>30</v>
      </c>
      <c r="I6362" t="s" s="42">
        <v>30</v>
      </c>
      <c r="J6362" t="s" s="10">
        <v>31927</v>
      </c>
      <c r="K6362" t="s" s="10">
        <v>31928</v>
      </c>
      <c r="L6362" s="16">
        <f>HYPERLINK("http://www.regtank.com", "www.regtank.com")</f>
      </c>
      <c r="M6362" s="16">
        <f>HYPERLINK("https://my.pitchbook.com?c=465386-86", "View Company Online")</f>
      </c>
    </row>
    <row r="6363">
      <c r="A6363" t="s" s="11">
        <v>31930</v>
      </c>
      <c r="B6363" t="s" s="11">
        <v>31931</v>
      </c>
      <c r="C6363" t="s" s="11">
        <v>144</v>
      </c>
      <c r="D6363" t="s" s="11">
        <v>38</v>
      </c>
      <c r="E6363" t="s" s="11">
        <v>193</v>
      </c>
      <c r="F6363" s="28">
        <v>46133</v>
      </c>
      <c r="G6363" t="s" s="11">
        <v>607</v>
      </c>
      <c r="H6363" t="s" s="43">
        <v>30</v>
      </c>
      <c r="I6363" t="s" s="43">
        <v>30</v>
      </c>
      <c r="J6363" t="s" s="11">
        <v>31932</v>
      </c>
      <c r="K6363" t="s" s="11">
        <v>31933</v>
      </c>
      <c r="L6363" s="17">
        <f>HYPERLINK("http://www.regxta.com", "www.regxta.com")</f>
      </c>
      <c r="M6363" s="17">
        <f>HYPERLINK("https://my.pitchbook.com?c=470975-68", "View Company Online")</f>
      </c>
    </row>
    <row r="6364">
      <c r="A6364" t="s" s="10">
        <v>31935</v>
      </c>
      <c r="B6364" t="s" s="10">
        <v>31936</v>
      </c>
      <c r="C6364" t="s" s="10">
        <v>60</v>
      </c>
      <c r="D6364" t="s" s="10">
        <v>192</v>
      </c>
      <c r="E6364" t="s" s="10">
        <v>137</v>
      </c>
      <c r="F6364" s="27">
        <v>45573</v>
      </c>
      <c r="G6364" t="s" s="10">
        <v>4267</v>
      </c>
      <c r="H6364" s="42">
        <v>0.91</v>
      </c>
      <c r="I6364" t="s" s="42">
        <v>30</v>
      </c>
      <c r="J6364" t="s" s="10">
        <v>31937</v>
      </c>
      <c r="K6364" t="s" s="10">
        <v>31938</v>
      </c>
      <c r="L6364" s="16">
        <f>HYPERLINK("http://www.reinvent.com.br", "www.reinvent.com.br")</f>
      </c>
      <c r="M6364" s="16">
        <f>HYPERLINK("https://my.pitchbook.com?c=599871-79", "View Company Online")</f>
      </c>
    </row>
    <row r="6365">
      <c r="A6365" t="s" s="11">
        <v>31940</v>
      </c>
      <c r="B6365" t="s" s="11">
        <v>31941</v>
      </c>
      <c r="C6365" t="s" s="11">
        <v>46</v>
      </c>
      <c r="D6365" t="s" s="11">
        <v>47</v>
      </c>
      <c r="E6365" t="s" s="11">
        <v>4273</v>
      </c>
      <c r="F6365" s="28">
        <v>46161</v>
      </c>
      <c r="G6365" t="s" s="11">
        <v>40</v>
      </c>
      <c r="H6365" s="43">
        <v>50</v>
      </c>
      <c r="I6365" t="s" s="43">
        <v>30</v>
      </c>
      <c r="J6365" t="s" s="11">
        <v>31942</v>
      </c>
      <c r="K6365" t="s" s="11">
        <v>31943</v>
      </c>
      <c r="L6365" s="17">
        <f>HYPERLINK("http://www.relayfi.com", "www.relayfi.com")</f>
      </c>
      <c r="M6365" s="17">
        <f>HYPERLINK("https://my.pitchbook.com?c=439345-36", "View Company Online")</f>
      </c>
    </row>
    <row r="6366">
      <c r="A6366" t="s" s="10">
        <v>31945</v>
      </c>
      <c r="B6366" t="s" s="10">
        <v>31946</v>
      </c>
      <c r="C6366" t="s" s="10">
        <v>60</v>
      </c>
      <c r="D6366" t="s" s="10">
        <v>246</v>
      </c>
      <c r="E6366" t="s" s="10">
        <v>116</v>
      </c>
      <c r="F6366" s="27">
        <v>45825</v>
      </c>
      <c r="G6366" t="s" s="10">
        <v>40</v>
      </c>
      <c r="H6366" s="42">
        <v>5</v>
      </c>
      <c r="I6366" t="s" s="42">
        <v>30</v>
      </c>
      <c r="J6366" t="s" s="10">
        <v>31947</v>
      </c>
      <c r="K6366" t="s" s="10">
        <v>31948</v>
      </c>
      <c r="L6366" s="16">
        <f>HYPERLINK("http://www.relief.app", "www.relief.app")</f>
      </c>
      <c r="M6366" s="16">
        <f>HYPERLINK("https://my.pitchbook.com?c=470850-67", "View Company Online")</f>
      </c>
    </row>
    <row r="6367">
      <c r="A6367" t="s" s="11">
        <v>31950</v>
      </c>
      <c r="B6367" t="s" s="11">
        <v>31951</v>
      </c>
      <c r="C6367" t="s" s="11">
        <v>37</v>
      </c>
      <c r="D6367" t="s" s="11">
        <v>304</v>
      </c>
      <c r="E6367" t="s" s="11">
        <v>414</v>
      </c>
      <c r="F6367" s="28">
        <v>45559</v>
      </c>
      <c r="G6367" t="s" s="11">
        <v>146</v>
      </c>
      <c r="H6367" t="s" s="43">
        <v>30</v>
      </c>
      <c r="I6367" t="s" s="43">
        <v>30</v>
      </c>
      <c r="J6367" t="s" s="11">
        <v>31952</v>
      </c>
      <c r="K6367" t="s" s="11">
        <v>31953</v>
      </c>
      <c r="L6367" s="17">
        <f>HYPERLINK("http://www.relif.com", "www.relif.com")</f>
      </c>
      <c r="M6367" s="17">
        <f>HYPERLINK("https://my.pitchbook.com?c=535368-43", "View Company Online")</f>
      </c>
    </row>
    <row r="6368">
      <c r="A6368" t="s" s="10">
        <v>31955</v>
      </c>
      <c r="B6368" t="s" s="10">
        <v>31956</v>
      </c>
      <c r="C6368" t="s" s="10">
        <v>27</v>
      </c>
      <c r="D6368" t="s" s="10">
        <v>28</v>
      </c>
      <c r="E6368" t="s" s="10">
        <v>1032</v>
      </c>
      <c r="F6368" t="s" s="27">
        <v>30</v>
      </c>
      <c r="G6368" t="s" s="10">
        <v>607</v>
      </c>
      <c r="H6368" t="s" s="42">
        <v>30</v>
      </c>
      <c r="I6368" t="s" s="42">
        <v>30</v>
      </c>
      <c r="J6368" t="s" s="10">
        <v>31957</v>
      </c>
      <c r="K6368" t="s" s="10">
        <v>31958</v>
      </c>
      <c r="L6368" s="16">
        <f>HYPERLINK("http://www.rellai.com", "www.rellai.com")</f>
      </c>
      <c r="M6368" s="16">
        <f>HYPERLINK("https://my.pitchbook.com?c=535209-04", "View Company Online")</f>
      </c>
    </row>
    <row r="6369">
      <c r="A6369" t="s" s="11">
        <v>31960</v>
      </c>
      <c r="B6369" t="s" s="11">
        <v>31961</v>
      </c>
      <c r="C6369" t="s" s="11">
        <v>128</v>
      </c>
      <c r="D6369" t="s" s="11">
        <v>129</v>
      </c>
      <c r="E6369" t="s" s="11">
        <v>270</v>
      </c>
      <c r="F6369" s="28">
        <v>43656</v>
      </c>
      <c r="G6369" t="s" s="11">
        <v>48</v>
      </c>
      <c r="H6369" t="s" s="43">
        <v>30</v>
      </c>
      <c r="I6369" t="s" s="43">
        <v>30</v>
      </c>
      <c r="J6369" t="s" s="11">
        <v>31962</v>
      </c>
      <c r="K6369" t="s" s="11">
        <v>31963</v>
      </c>
      <c r="L6369" s="17">
        <f>HYPERLINK("http://www.reloyalty.com", "www.reloyalty.com")</f>
      </c>
      <c r="M6369" s="17">
        <f>HYPERLINK("https://my.pitchbook.com?c=172840-87", "View Company Online")</f>
      </c>
    </row>
    <row r="6370">
      <c r="A6370" t="s" s="10">
        <v>31965</v>
      </c>
      <c r="B6370" t="s" s="10">
        <v>31966</v>
      </c>
      <c r="C6370" t="s" s="10">
        <v>172</v>
      </c>
      <c r="D6370" t="s" s="10">
        <v>1454</v>
      </c>
      <c r="E6370" t="s" s="10">
        <v>9024</v>
      </c>
      <c r="F6370" t="s" s="27">
        <v>30</v>
      </c>
      <c r="G6370" t="s" s="10">
        <v>607</v>
      </c>
      <c r="H6370" t="s" s="42">
        <v>30</v>
      </c>
      <c r="I6370" t="s" s="42">
        <v>30</v>
      </c>
      <c r="J6370" t="s" s="10">
        <v>31967</v>
      </c>
      <c r="K6370" t="s" s="10">
        <v>31968</v>
      </c>
      <c r="L6370" s="16">
        <f>HYPERLINK("http://www.remitrix.com", "www.remitrix.com")</f>
      </c>
      <c r="M6370" s="16">
        <f>HYPERLINK("https://my.pitchbook.com?c=223986-07", "View Company Online")</f>
      </c>
    </row>
    <row r="6371">
      <c r="A6371" t="s" s="11">
        <v>31970</v>
      </c>
      <c r="B6371" t="s" s="11">
        <v>31971</v>
      </c>
      <c r="C6371" t="s" s="11">
        <v>37</v>
      </c>
      <c r="D6371" t="s" s="11">
        <v>304</v>
      </c>
      <c r="E6371" t="s" s="11">
        <v>253</v>
      </c>
      <c r="F6371" s="28">
        <v>45866</v>
      </c>
      <c r="G6371" t="s" s="11">
        <v>607</v>
      </c>
      <c r="H6371" t="s" s="43">
        <v>30</v>
      </c>
      <c r="I6371" t="s" s="43">
        <v>30</v>
      </c>
      <c r="J6371" t="s" s="11">
        <v>31972</v>
      </c>
      <c r="K6371" t="s" s="11">
        <v>31973</v>
      </c>
      <c r="L6371" s="17">
        <f>HYPERLINK("http://www.getremynt.com", "www.getremynt.com")</f>
      </c>
      <c r="M6371" s="17">
        <f>HYPERLINK("https://my.pitchbook.com?c=516130-48", "View Company Online")</f>
      </c>
    </row>
    <row r="6372">
      <c r="A6372" t="s" s="10">
        <v>31975</v>
      </c>
      <c r="B6372" t="s" s="10">
        <v>31976</v>
      </c>
      <c r="C6372" t="s" s="10">
        <v>27</v>
      </c>
      <c r="D6372" t="s" s="10">
        <v>28</v>
      </c>
      <c r="E6372" t="s" s="10">
        <v>31977</v>
      </c>
      <c r="F6372" s="27">
        <v>45992</v>
      </c>
      <c r="G6372" t="s" s="10">
        <v>4267</v>
      </c>
      <c r="H6372" s="42">
        <v>1.5</v>
      </c>
      <c r="I6372" t="s" s="42">
        <v>30</v>
      </c>
      <c r="J6372" t="s" s="10">
        <v>31978</v>
      </c>
      <c r="K6372" t="s" s="10">
        <v>31979</v>
      </c>
      <c r="L6372" s="16">
        <f>HYPERLINK("http://www.renno.pro", "www.renno.pro")</f>
      </c>
      <c r="M6372" s="16">
        <f>HYPERLINK("https://my.pitchbook.com?c=1159501-24", "View Company Online")</f>
      </c>
    </row>
    <row r="6373">
      <c r="A6373" t="s" s="11">
        <v>31981</v>
      </c>
      <c r="B6373" t="s" s="11">
        <v>31982</v>
      </c>
      <c r="C6373" t="s" s="11">
        <v>114</v>
      </c>
      <c r="D6373" t="s" s="11">
        <v>136</v>
      </c>
      <c r="E6373" t="s" s="11">
        <v>137</v>
      </c>
      <c r="F6373" s="28">
        <v>42795</v>
      </c>
      <c r="G6373" t="s" s="11">
        <v>146</v>
      </c>
      <c r="H6373" s="43">
        <v>14.54</v>
      </c>
      <c r="I6373" t="s" s="43">
        <v>30</v>
      </c>
      <c r="J6373" t="s" s="11">
        <v>31983</v>
      </c>
      <c r="K6373" t="s" s="11">
        <v>31984</v>
      </c>
      <c r="L6373" s="17">
        <f>HYPERLINK("http://www.renrenaijia.com", "www.renrenaijia.com")</f>
      </c>
      <c r="M6373" s="17">
        <f>HYPERLINK("https://my.pitchbook.com?c=435143-80", "View Company Online")</f>
      </c>
    </row>
    <row r="6374">
      <c r="A6374" t="s" s="10">
        <v>31986</v>
      </c>
      <c r="B6374" t="s" s="10">
        <v>31987</v>
      </c>
      <c r="C6374" t="s" s="10">
        <v>114</v>
      </c>
      <c r="D6374" t="s" s="10">
        <v>136</v>
      </c>
      <c r="E6374" t="s" s="10">
        <v>137</v>
      </c>
      <c r="F6374" s="27">
        <v>41646</v>
      </c>
      <c r="G6374" t="s" s="10">
        <v>146</v>
      </c>
      <c r="H6374" s="42">
        <v>130</v>
      </c>
      <c r="I6374" t="s" s="42">
        <v>30</v>
      </c>
      <c r="J6374" t="s" s="10">
        <v>31988</v>
      </c>
      <c r="K6374" t="s" s="10">
        <v>31989</v>
      </c>
      <c r="L6374" s="16">
        <f>HYPERLINK("http://www.renrendai.com", "www.renrendai.com")</f>
      </c>
      <c r="M6374" s="16">
        <f>HYPERLINK("https://my.pitchbook.com?c=61010-74", "View Company Online")</f>
      </c>
    </row>
    <row r="6375">
      <c r="A6375" t="s" s="11">
        <v>31991</v>
      </c>
      <c r="B6375" t="s" s="11">
        <v>31992</v>
      </c>
      <c r="C6375" t="s" s="11">
        <v>114</v>
      </c>
      <c r="D6375" t="s" s="11">
        <v>136</v>
      </c>
      <c r="E6375" t="s" s="11">
        <v>137</v>
      </c>
      <c r="F6375" s="28">
        <v>46054</v>
      </c>
      <c r="G6375" t="s" s="11">
        <v>40</v>
      </c>
      <c r="H6375" t="s" s="43">
        <v>30</v>
      </c>
      <c r="I6375" t="s" s="43">
        <v>30</v>
      </c>
      <c r="J6375" t="s" s="11">
        <v>31993</v>
      </c>
      <c r="K6375" t="s" s="11">
        <v>31994</v>
      </c>
      <c r="L6375" s="17">
        <f>HYPERLINK("http://www.renrunkeji.com", "www.renrunkeji.com")</f>
      </c>
      <c r="M6375" s="17">
        <f>HYPERLINK("https://my.pitchbook.com?c=1317249-10", "View Company Online")</f>
      </c>
    </row>
    <row r="6376">
      <c r="A6376" t="s" s="10">
        <v>31996</v>
      </c>
      <c r="B6376" t="s" s="10">
        <v>31997</v>
      </c>
      <c r="C6376" t="s" s="10">
        <v>60</v>
      </c>
      <c r="D6376" t="s" s="10">
        <v>61</v>
      </c>
      <c r="E6376" t="s" s="10">
        <v>137</v>
      </c>
      <c r="F6376" s="27">
        <v>45748</v>
      </c>
      <c r="G6376" t="s" s="10">
        <v>607</v>
      </c>
      <c r="H6376" t="s" s="42">
        <v>30</v>
      </c>
      <c r="I6376" t="s" s="42">
        <v>30</v>
      </c>
      <c r="J6376" t="s" s="10">
        <v>31998</v>
      </c>
      <c r="K6376" t="s" s="10">
        <v>31999</v>
      </c>
      <c r="L6376" s="16">
        <f>HYPERLINK("http://www.rentablo.de", "www.rentablo.de")</f>
      </c>
      <c r="M6376" s="16">
        <f>HYPERLINK("https://my.pitchbook.com?c=500208-85", "View Company Online")</f>
      </c>
    </row>
    <row r="6377">
      <c r="A6377" t="s" s="11">
        <v>32001</v>
      </c>
      <c r="B6377" t="s" s="11">
        <v>32002</v>
      </c>
      <c r="C6377" t="s" s="11">
        <v>37</v>
      </c>
      <c r="D6377" t="s" s="11">
        <v>304</v>
      </c>
      <c r="E6377" t="s" s="11">
        <v>3352</v>
      </c>
      <c r="F6377" t="s" s="28">
        <v>30</v>
      </c>
      <c r="G6377" t="s" s="11">
        <v>607</v>
      </c>
      <c r="H6377" t="s" s="43">
        <v>30</v>
      </c>
      <c r="I6377" t="s" s="43">
        <v>30</v>
      </c>
      <c r="J6377" t="s" s="11">
        <v>32003</v>
      </c>
      <c r="K6377" t="s" s="11">
        <v>32004</v>
      </c>
      <c r="L6377" s="17">
        <f>HYPERLINK("http://www.repatient.com", "www.repatient.com")</f>
      </c>
      <c r="M6377" s="17">
        <f>HYPERLINK("https://my.pitchbook.com?c=442332-46", "View Company Online")</f>
      </c>
    </row>
    <row r="6378">
      <c r="A6378" t="s" s="10">
        <v>32006</v>
      </c>
      <c r="B6378" t="s" s="10">
        <v>32007</v>
      </c>
      <c r="C6378" t="s" s="10">
        <v>46</v>
      </c>
      <c r="D6378" t="s" s="10">
        <v>397</v>
      </c>
      <c r="E6378" t="s" s="10">
        <v>137</v>
      </c>
      <c r="F6378" s="27">
        <v>44256</v>
      </c>
      <c r="G6378" t="s" s="10">
        <v>48</v>
      </c>
      <c r="H6378" t="s" s="42">
        <v>30</v>
      </c>
      <c r="I6378" t="s" s="42">
        <v>30</v>
      </c>
      <c r="J6378" t="s" s="10">
        <v>32008</v>
      </c>
      <c r="K6378" t="s" s="10">
        <v>32009</v>
      </c>
      <c r="L6378" s="16">
        <f>HYPERLINK("http://www.reportability.dk", "www.reportability.dk")</f>
      </c>
      <c r="M6378" s="16">
        <f>HYPERLINK("https://my.pitchbook.com?c=182768-95", "View Company Online")</f>
      </c>
    </row>
    <row r="6379">
      <c r="A6379" t="s" s="11">
        <v>32011</v>
      </c>
      <c r="B6379" t="s" s="11">
        <v>32012</v>
      </c>
      <c r="C6379" t="s" s="11">
        <v>114</v>
      </c>
      <c r="D6379" t="s" s="11">
        <v>115</v>
      </c>
      <c r="E6379" t="s" s="11">
        <v>2782</v>
      </c>
      <c r="F6379" t="s" s="28">
        <v>30</v>
      </c>
      <c r="G6379" t="s" s="11">
        <v>607</v>
      </c>
      <c r="H6379" t="s" s="43">
        <v>30</v>
      </c>
      <c r="I6379" t="s" s="43">
        <v>30</v>
      </c>
      <c r="J6379" t="s" s="11">
        <v>32013</v>
      </c>
      <c r="K6379" t="s" s="11">
        <v>32014</v>
      </c>
      <c r="L6379" s="17">
        <f>HYPERLINK("http://www.requityhomes.com", "www.requityhomes.com")</f>
      </c>
      <c r="M6379" s="17">
        <f>HYPERLINK("https://my.pitchbook.com?c=489644-83", "View Company Online")</f>
      </c>
    </row>
    <row r="6380">
      <c r="A6380" t="s" s="10">
        <v>32016</v>
      </c>
      <c r="B6380" t="s" s="10">
        <v>32017</v>
      </c>
      <c r="C6380" t="s" s="10">
        <v>114</v>
      </c>
      <c r="D6380" t="s" s="10">
        <v>136</v>
      </c>
      <c r="E6380" t="s" s="10">
        <v>253</v>
      </c>
      <c r="F6380" s="27">
        <v>44601</v>
      </c>
      <c r="G6380" t="s" s="10">
        <v>607</v>
      </c>
      <c r="H6380" t="s" s="42">
        <v>30</v>
      </c>
      <c r="I6380" t="s" s="42">
        <v>30</v>
      </c>
      <c r="J6380" t="s" s="10">
        <v>32018</v>
      </c>
      <c r="K6380" t="s" s="10">
        <v>32019</v>
      </c>
      <c r="L6380" s="16">
        <f>HYPERLINK("http://www.restock.id", "www.restock.id")</f>
      </c>
      <c r="M6380" s="16">
        <f>HYPERLINK("https://my.pitchbook.com?c=483212-80", "View Company Online")</f>
      </c>
    </row>
    <row r="6381">
      <c r="A6381" t="s" s="11">
        <v>32021</v>
      </c>
      <c r="B6381" t="s" s="11">
        <v>32022</v>
      </c>
      <c r="C6381" t="s" s="11">
        <v>27</v>
      </c>
      <c r="D6381" t="s" s="11">
        <v>28</v>
      </c>
      <c r="E6381" t="s" s="11">
        <v>373</v>
      </c>
      <c r="F6381" s="28">
        <v>45819</v>
      </c>
      <c r="G6381" t="s" s="11">
        <v>146</v>
      </c>
      <c r="H6381" t="s" s="43">
        <v>30</v>
      </c>
      <c r="I6381" t="s" s="43">
        <v>30</v>
      </c>
      <c r="J6381" t="s" s="11">
        <v>32023</v>
      </c>
      <c r="K6381" t="s" s="11">
        <v>32024</v>
      </c>
      <c r="L6381" s="17">
        <f>HYPERLINK("http://www.retailpath.ai", "www.retailpath.ai")</f>
      </c>
      <c r="M6381" s="17">
        <f>HYPERLINK("https://my.pitchbook.com?c=897333-22", "View Company Online")</f>
      </c>
    </row>
    <row r="6382">
      <c r="A6382" t="s" s="10">
        <v>32026</v>
      </c>
      <c r="B6382" t="s" s="10">
        <v>32027</v>
      </c>
      <c r="C6382" t="s" s="10">
        <v>128</v>
      </c>
      <c r="D6382" t="s" s="10">
        <v>276</v>
      </c>
      <c r="E6382" t="s" s="10">
        <v>193</v>
      </c>
      <c r="F6382" s="27">
        <v>45467</v>
      </c>
      <c r="G6382" t="s" s="10">
        <v>40</v>
      </c>
      <c r="H6382" s="42">
        <v>1.8</v>
      </c>
      <c r="I6382" t="s" s="42">
        <v>30</v>
      </c>
      <c r="J6382" t="s" s="10">
        <v>32028</v>
      </c>
      <c r="K6382" t="s" s="10">
        <v>32029</v>
      </c>
      <c r="L6382" s="16">
        <f>HYPERLINK("http://retorna-web2024.webflow.io", "retorna-web2024.webflow.io")</f>
      </c>
      <c r="M6382" s="16">
        <f>HYPERLINK("https://my.pitchbook.com?c=540017-83", "View Company Online")</f>
      </c>
    </row>
    <row r="6383">
      <c r="A6383" t="s" s="11">
        <v>32031</v>
      </c>
      <c r="B6383" t="s" s="11">
        <v>32032</v>
      </c>
      <c r="C6383" t="s" s="11">
        <v>114</v>
      </c>
      <c r="D6383" t="s" s="11">
        <v>115</v>
      </c>
      <c r="E6383" t="s" s="11">
        <v>26588</v>
      </c>
      <c r="F6383" s="28">
        <v>45817</v>
      </c>
      <c r="G6383" t="s" s="11">
        <v>4267</v>
      </c>
      <c r="H6383" s="43">
        <v>2.2</v>
      </c>
      <c r="I6383" t="s" s="43">
        <v>30</v>
      </c>
      <c r="J6383" t="s" s="11">
        <v>32033</v>
      </c>
      <c r="K6383" t="s" s="11">
        <v>32034</v>
      </c>
      <c r="L6383" s="17">
        <f>HYPERLINK("http://www.retrorate.com", "www.retrorate.com")</f>
      </c>
      <c r="M6383" s="17">
        <f>HYPERLINK("https://my.pitchbook.com?c=680447-44", "View Company Online")</f>
      </c>
    </row>
    <row r="6384">
      <c r="A6384" t="s" s="10">
        <v>32036</v>
      </c>
      <c r="B6384" t="s" s="10">
        <v>32037</v>
      </c>
      <c r="C6384" t="s" s="10">
        <v>27</v>
      </c>
      <c r="D6384" t="s" s="10">
        <v>70</v>
      </c>
      <c r="E6384" t="s" s="10">
        <v>137</v>
      </c>
      <c r="F6384" s="27">
        <v>46224</v>
      </c>
      <c r="G6384" t="s" s="10">
        <v>2051</v>
      </c>
      <c r="H6384" t="s" s="42">
        <v>30</v>
      </c>
      <c r="I6384" t="s" s="42">
        <v>30</v>
      </c>
      <c r="J6384" t="s" s="10">
        <v>32038</v>
      </c>
      <c r="K6384" t="s" s="10">
        <v>30</v>
      </c>
      <c r="L6384" s="16">
        <f>HYPERLINK("http://www.retrypay.com", "www.retrypay.com")</f>
      </c>
      <c r="M6384" s="16">
        <f>HYPERLINK("https://my.pitchbook.com?c=484078-42", "View Company Online")</f>
      </c>
    </row>
    <row r="6385">
      <c r="A6385" t="s" s="11">
        <v>32040</v>
      </c>
      <c r="B6385" t="s" s="11">
        <v>32041</v>
      </c>
      <c r="C6385" t="s" s="11">
        <v>27</v>
      </c>
      <c r="D6385" t="s" s="11">
        <v>28</v>
      </c>
      <c r="E6385" t="s" s="11">
        <v>193</v>
      </c>
      <c r="F6385" s="28">
        <v>45526</v>
      </c>
      <c r="G6385" t="s" s="11">
        <v>4267</v>
      </c>
      <c r="H6385" s="43">
        <v>4.55</v>
      </c>
      <c r="I6385" t="s" s="43">
        <v>30</v>
      </c>
      <c r="J6385" t="s" s="11">
        <v>32042</v>
      </c>
      <c r="K6385" t="s" s="11">
        <v>32043</v>
      </c>
      <c r="L6385" s="17">
        <f>HYPERLINK("http://revenew.co", "revenew.co")</f>
      </c>
      <c r="M6385" s="17">
        <f>HYPERLINK("https://my.pitchbook.com?c=529149-70", "View Company Online")</f>
      </c>
    </row>
    <row r="6386">
      <c r="A6386" t="s" s="10">
        <v>32045</v>
      </c>
      <c r="B6386" t="s" s="10">
        <v>32046</v>
      </c>
      <c r="C6386" t="s" s="10">
        <v>164</v>
      </c>
      <c r="D6386" t="s" s="10">
        <v>206</v>
      </c>
      <c r="E6386" t="s" s="10">
        <v>270</v>
      </c>
      <c r="F6386" s="27">
        <v>45413</v>
      </c>
      <c r="G6386" t="s" s="10">
        <v>607</v>
      </c>
      <c r="H6386" t="s" s="42">
        <v>30</v>
      </c>
      <c r="I6386" t="s" s="42">
        <v>30</v>
      </c>
      <c r="J6386" t="s" s="10">
        <v>32047</v>
      </c>
      <c r="K6386" t="s" s="10">
        <v>32048</v>
      </c>
      <c r="L6386" s="16">
        <f>HYPERLINK("http://www.revenir.ai", "www.revenir.ai")</f>
      </c>
      <c r="M6386" s="16">
        <f>HYPERLINK("https://my.pitchbook.com?c=432774-01", "View Company Online")</f>
      </c>
    </row>
    <row r="6387">
      <c r="A6387" t="s" s="11">
        <v>32050</v>
      </c>
      <c r="B6387" t="s" s="11">
        <v>32051</v>
      </c>
      <c r="C6387" t="s" s="11">
        <v>144</v>
      </c>
      <c r="D6387" t="s" s="11">
        <v>297</v>
      </c>
      <c r="E6387" t="s" s="11">
        <v>634</v>
      </c>
      <c r="F6387" s="28">
        <v>45601</v>
      </c>
      <c r="G6387" t="s" s="11">
        <v>4267</v>
      </c>
      <c r="H6387" s="43">
        <v>2</v>
      </c>
      <c r="I6387" t="s" s="43">
        <v>30</v>
      </c>
      <c r="J6387" t="s" s="11">
        <v>32052</v>
      </c>
      <c r="K6387" t="s" s="11">
        <v>32053</v>
      </c>
      <c r="L6387" s="17">
        <f>HYPERLINK("http://www.revenya.com", "www.revenya.com")</f>
      </c>
      <c r="M6387" s="17">
        <f>HYPERLINK("https://my.pitchbook.com?c=706682-35", "View Company Online")</f>
      </c>
    </row>
    <row r="6388">
      <c r="A6388" t="s" s="10">
        <v>32055</v>
      </c>
      <c r="B6388" t="s" s="10">
        <v>32056</v>
      </c>
      <c r="C6388" t="s" s="10">
        <v>46</v>
      </c>
      <c r="D6388" t="s" s="10">
        <v>397</v>
      </c>
      <c r="E6388" t="s" s="10">
        <v>32057</v>
      </c>
      <c r="F6388" s="27">
        <v>44278</v>
      </c>
      <c r="G6388" t="s" s="10">
        <v>607</v>
      </c>
      <c r="H6388" s="42">
        <v>0.01</v>
      </c>
      <c r="I6388" t="s" s="42">
        <v>30</v>
      </c>
      <c r="J6388" t="s" s="10">
        <v>32058</v>
      </c>
      <c r="K6388" t="s" s="10">
        <v>32059</v>
      </c>
      <c r="L6388" s="16">
        <f>HYPERLINK("http://www.revkeepsoftware.com", "www.revkeepsoftware.com")</f>
      </c>
      <c r="M6388" s="16">
        <f>HYPERLINK("https://my.pitchbook.com?c=458412-85", "View Company Online")</f>
      </c>
    </row>
    <row r="6389">
      <c r="A6389" t="s" s="11">
        <v>32061</v>
      </c>
      <c r="B6389" t="s" s="11">
        <v>32062</v>
      </c>
      <c r="C6389" t="s" s="11">
        <v>27</v>
      </c>
      <c r="D6389" t="s" s="11">
        <v>28</v>
      </c>
      <c r="E6389" t="s" s="11">
        <v>259</v>
      </c>
      <c r="F6389" s="28">
        <v>45575</v>
      </c>
      <c r="G6389" t="s" s="11">
        <v>607</v>
      </c>
      <c r="H6389" t="s" s="43">
        <v>30</v>
      </c>
      <c r="I6389" t="s" s="43">
        <v>30</v>
      </c>
      <c r="J6389" t="s" s="11">
        <v>32063</v>
      </c>
      <c r="K6389" t="s" s="11">
        <v>32064</v>
      </c>
      <c r="L6389" s="17">
        <f>HYPERLINK("http://www.revolv3.com", "www.revolv3.com")</f>
      </c>
      <c r="M6389" s="17">
        <f>HYPERLINK("https://my.pitchbook.com?c=495573-49", "View Company Online")</f>
      </c>
    </row>
    <row r="6390">
      <c r="A6390" t="s" s="10">
        <v>32066</v>
      </c>
      <c r="B6390" t="s" s="10">
        <v>32067</v>
      </c>
      <c r="C6390" t="s" s="10">
        <v>60</v>
      </c>
      <c r="D6390" t="s" s="10">
        <v>246</v>
      </c>
      <c r="E6390" t="s" s="10">
        <v>859</v>
      </c>
      <c r="F6390" s="27">
        <v>45627</v>
      </c>
      <c r="G6390" t="s" s="10">
        <v>146</v>
      </c>
      <c r="H6390" s="42">
        <v>1.82</v>
      </c>
      <c r="I6390" t="s" s="42">
        <v>30</v>
      </c>
      <c r="J6390" t="s" s="10">
        <v>32068</v>
      </c>
      <c r="K6390" t="s" s="10">
        <v>32069</v>
      </c>
      <c r="L6390" s="16">
        <f>HYPERLINK("http://www.revuto.com", "www.revuto.com")</f>
      </c>
      <c r="M6390" s="16">
        <f>HYPERLINK("https://my.pitchbook.com?c=433899-28", "View Company Online")</f>
      </c>
    </row>
    <row r="6391">
      <c r="A6391" t="s" s="11">
        <v>32071</v>
      </c>
      <c r="B6391" t="s" s="11">
        <v>32072</v>
      </c>
      <c r="C6391" t="s" s="11">
        <v>128</v>
      </c>
      <c r="D6391" t="s" s="11">
        <v>129</v>
      </c>
      <c r="E6391" t="s" s="11">
        <v>270</v>
      </c>
      <c r="F6391" s="28">
        <v>46079</v>
      </c>
      <c r="G6391" t="s" s="11">
        <v>4267</v>
      </c>
      <c r="H6391" t="s" s="43">
        <v>30</v>
      </c>
      <c r="I6391" t="s" s="43">
        <v>30</v>
      </c>
      <c r="J6391" t="s" s="11">
        <v>32073</v>
      </c>
      <c r="K6391" t="s" s="11">
        <v>32074</v>
      </c>
      <c r="L6391" s="17">
        <f>HYPERLINK("http://www.rewa.rent", "www.rewa.rent")</f>
      </c>
      <c r="M6391" s="17">
        <f>HYPERLINK("https://my.pitchbook.com?c=1308553-48", "View Company Online")</f>
      </c>
    </row>
    <row r="6392">
      <c r="A6392" t="s" s="10">
        <v>32076</v>
      </c>
      <c r="B6392" t="s" s="10">
        <v>32077</v>
      </c>
      <c r="C6392" t="s" s="10">
        <v>60</v>
      </c>
      <c r="D6392" t="s" s="10">
        <v>192</v>
      </c>
      <c r="E6392" t="s" s="10">
        <v>137</v>
      </c>
      <c r="F6392" s="27">
        <v>45106</v>
      </c>
      <c r="G6392" t="s" s="10">
        <v>40</v>
      </c>
      <c r="H6392" t="s" s="42">
        <v>30</v>
      </c>
      <c r="I6392" t="s" s="42">
        <v>30</v>
      </c>
      <c r="J6392" t="s" s="10">
        <v>32078</v>
      </c>
      <c r="K6392" t="s" s="10">
        <v>32079</v>
      </c>
      <c r="L6392" s="16">
        <f>HYPERLINK("http://www.rexshares.com", "www.rexshares.com")</f>
      </c>
      <c r="M6392" s="16">
        <f>HYPERLINK("https://my.pitchbook.com?c=157400-11", "View Company Online")</f>
      </c>
    </row>
    <row r="6393">
      <c r="A6393" t="s" s="11">
        <v>32081</v>
      </c>
      <c r="B6393" t="s" s="11">
        <v>32082</v>
      </c>
      <c r="C6393" t="s" s="11">
        <v>222</v>
      </c>
      <c r="D6393" t="s" s="11">
        <v>537</v>
      </c>
      <c r="E6393" t="s" s="11">
        <v>253</v>
      </c>
      <c r="F6393" s="28">
        <v>45162</v>
      </c>
      <c r="G6393" t="s" s="11">
        <v>40</v>
      </c>
      <c r="H6393" t="s" s="43">
        <v>30</v>
      </c>
      <c r="I6393" t="s" s="43">
        <v>30</v>
      </c>
      <c r="J6393" t="s" s="11">
        <v>32083</v>
      </c>
      <c r="K6393" t="s" s="11">
        <v>32084</v>
      </c>
      <c r="L6393" s="17">
        <f>HYPERLINK("http://www.rextie.com", "www.rextie.com")</f>
      </c>
      <c r="M6393" s="17">
        <f>HYPERLINK("https://my.pitchbook.com?c=458673-22", "View Company Online")</f>
      </c>
    </row>
    <row r="6394">
      <c r="A6394" t="s" s="10">
        <v>32086</v>
      </c>
      <c r="B6394" t="s" s="10">
        <v>32087</v>
      </c>
      <c r="C6394" t="s" s="10">
        <v>114</v>
      </c>
      <c r="D6394" t="s" s="10">
        <v>136</v>
      </c>
      <c r="E6394" t="s" s="10">
        <v>32088</v>
      </c>
      <c r="F6394" s="27">
        <v>44958</v>
      </c>
      <c r="G6394" t="s" s="10">
        <v>146</v>
      </c>
      <c r="H6394" t="s" s="42">
        <v>30</v>
      </c>
      <c r="I6394" t="s" s="42">
        <v>30</v>
      </c>
      <c r="J6394" t="s" s="10">
        <v>32089</v>
      </c>
      <c r="K6394" t="s" s="10">
        <v>32090</v>
      </c>
      <c r="L6394" s="16">
        <f>HYPERLINK("http://www.rhino-eco.com", "www.rhino-eco.com")</f>
      </c>
      <c r="M6394" s="16">
        <f>HYPERLINK("https://my.pitchbook.com?c=491506-57", "View Company Online")</f>
      </c>
    </row>
    <row r="6395">
      <c r="A6395" t="s" s="11">
        <v>32092</v>
      </c>
      <c r="B6395" t="s" s="11">
        <v>32093</v>
      </c>
      <c r="C6395" t="s" s="11">
        <v>128</v>
      </c>
      <c r="D6395" t="s" s="11">
        <v>129</v>
      </c>
      <c r="E6395" t="s" s="11">
        <v>859</v>
      </c>
      <c r="F6395" s="28">
        <v>46072</v>
      </c>
      <c r="G6395" t="s" s="11">
        <v>4267</v>
      </c>
      <c r="H6395" s="43">
        <v>4</v>
      </c>
      <c r="I6395" t="s" s="43">
        <v>30</v>
      </c>
      <c r="J6395" t="s" s="11">
        <v>32094</v>
      </c>
      <c r="K6395" t="s" s="11">
        <v>32095</v>
      </c>
      <c r="L6395" s="17">
        <f>HYPERLINK("http://rhythmic.io", "rhythmic.io")</f>
      </c>
      <c r="M6395" s="17">
        <f>HYPERLINK("https://my.pitchbook.com?c=1241971-84", "View Company Online")</f>
      </c>
    </row>
    <row r="6396">
      <c r="A6396" t="s" s="10">
        <v>32097</v>
      </c>
      <c r="B6396" t="s" s="10">
        <v>32098</v>
      </c>
      <c r="C6396" t="s" s="10">
        <v>222</v>
      </c>
      <c r="D6396" t="s" s="10">
        <v>223</v>
      </c>
      <c r="E6396" t="s" s="10">
        <v>373</v>
      </c>
      <c r="F6396" s="27">
        <v>45778</v>
      </c>
      <c r="G6396" t="s" s="10">
        <v>40</v>
      </c>
      <c r="H6396" t="s" s="42">
        <v>30</v>
      </c>
      <c r="I6396" t="s" s="42">
        <v>30</v>
      </c>
      <c r="J6396" t="s" s="10">
        <v>32099</v>
      </c>
      <c r="K6396" t="s" s="10">
        <v>32100</v>
      </c>
      <c r="L6396" s="16">
        <f>HYPERLINK("http://www.ridgeline.ai", "www.ridgeline.ai")</f>
      </c>
      <c r="M6396" s="16">
        <f>HYPERLINK("https://my.pitchbook.com?c=279687-88", "View Company Online")</f>
      </c>
    </row>
    <row r="6397">
      <c r="A6397" t="s" s="11">
        <v>32102</v>
      </c>
      <c r="B6397" t="s" s="11">
        <v>32103</v>
      </c>
      <c r="C6397" t="s" s="11">
        <v>164</v>
      </c>
      <c r="D6397" t="s" s="11">
        <v>206</v>
      </c>
      <c r="E6397" t="s" s="11">
        <v>145</v>
      </c>
      <c r="F6397" s="28">
        <v>45980</v>
      </c>
      <c r="G6397" t="s" s="11">
        <v>4267</v>
      </c>
      <c r="H6397" s="43">
        <v>1.74</v>
      </c>
      <c r="I6397" t="s" s="43">
        <v>30</v>
      </c>
      <c r="J6397" t="s" s="11">
        <v>32104</v>
      </c>
      <c r="K6397" t="s" s="11">
        <v>32105</v>
      </c>
      <c r="L6397" s="17">
        <f>HYPERLINK("http://www.rime.finance", "www.rime.finance")</f>
      </c>
      <c r="M6397" s="17">
        <f>HYPERLINK("https://my.pitchbook.com?c=711958-24", "View Company Online")</f>
      </c>
    </row>
    <row r="6398">
      <c r="A6398" t="s" s="10">
        <v>32107</v>
      </c>
      <c r="B6398" t="s" s="10">
        <v>32108</v>
      </c>
      <c r="C6398" t="s" s="10">
        <v>37</v>
      </c>
      <c r="D6398" t="s" s="10">
        <v>38</v>
      </c>
      <c r="E6398" t="s" s="10">
        <v>270</v>
      </c>
      <c r="F6398" s="27">
        <v>46044</v>
      </c>
      <c r="G6398" t="s" s="10">
        <v>40</v>
      </c>
      <c r="H6398" s="42">
        <v>17.79</v>
      </c>
      <c r="I6398" t="s" s="42">
        <v>30</v>
      </c>
      <c r="J6398" t="s" s="10">
        <v>32109</v>
      </c>
      <c r="K6398" t="s" s="10">
        <v>32110</v>
      </c>
      <c r="L6398" s="16">
        <f>HYPERLINK("http://www.riseco.ai", "www.riseco.ai")</f>
      </c>
      <c r="M6398" s="16">
        <f>HYPERLINK("https://my.pitchbook.com?c=572131-90", "View Company Online")</f>
      </c>
    </row>
    <row r="6399">
      <c r="A6399" t="s" s="11">
        <v>32112</v>
      </c>
      <c r="B6399" t="s" s="11">
        <v>32113</v>
      </c>
      <c r="C6399" t="s" s="11">
        <v>37</v>
      </c>
      <c r="D6399" t="s" s="11">
        <v>38</v>
      </c>
      <c r="E6399" t="s" s="11">
        <v>270</v>
      </c>
      <c r="F6399" s="28">
        <v>44927</v>
      </c>
      <c r="G6399" t="s" s="11">
        <v>607</v>
      </c>
      <c r="H6399" t="s" s="43">
        <v>30</v>
      </c>
      <c r="I6399" t="s" s="43">
        <v>30</v>
      </c>
      <c r="J6399" t="s" s="11">
        <v>32114</v>
      </c>
      <c r="K6399" t="s" s="11">
        <v>32115</v>
      </c>
      <c r="L6399" s="17">
        <f>HYPERLINK("http://www.gorise.co", "www.gorise.co")</f>
      </c>
      <c r="M6399" s="17">
        <f>HYPERLINK("https://my.pitchbook.com?c=433471-06", "View Company Online")</f>
      </c>
    </row>
    <row r="6400">
      <c r="A6400" t="s" s="10">
        <v>32117</v>
      </c>
      <c r="B6400" t="s" s="10">
        <v>32118</v>
      </c>
      <c r="C6400" t="s" s="10">
        <v>60</v>
      </c>
      <c r="D6400" t="s" s="10">
        <v>727</v>
      </c>
      <c r="E6400" t="s" s="10">
        <v>193</v>
      </c>
      <c r="F6400" s="27">
        <v>45748</v>
      </c>
      <c r="G6400" t="s" s="10">
        <v>40</v>
      </c>
      <c r="H6400" t="s" s="42">
        <v>30</v>
      </c>
      <c r="I6400" t="s" s="42">
        <v>30</v>
      </c>
      <c r="J6400" t="s" s="10">
        <v>32119</v>
      </c>
      <c r="K6400" t="s" s="10">
        <v>32120</v>
      </c>
      <c r="L6400" s="16">
        <f>HYPERLINK("http://www.risevest.com", "www.risevest.com")</f>
      </c>
      <c r="M6400" s="16">
        <f>HYPERLINK("https://my.pitchbook.com?c=433532-53", "View Company Online")</f>
      </c>
    </row>
    <row r="6401">
      <c r="A6401" t="s" s="11">
        <v>32122</v>
      </c>
      <c r="B6401" t="s" s="11">
        <v>32123</v>
      </c>
      <c r="C6401" t="s" s="11">
        <v>60</v>
      </c>
      <c r="D6401" t="s" s="11">
        <v>246</v>
      </c>
      <c r="E6401" t="s" s="11">
        <v>1093</v>
      </c>
      <c r="F6401" s="28">
        <v>44869</v>
      </c>
      <c r="G6401" t="s" s="11">
        <v>391</v>
      </c>
      <c r="H6401" t="s" s="43">
        <v>30</v>
      </c>
      <c r="I6401" t="s" s="43">
        <v>30</v>
      </c>
      <c r="J6401" t="s" s="11">
        <v>32124</v>
      </c>
      <c r="K6401" t="s" s="11">
        <v>32125</v>
      </c>
      <c r="L6401" s="17">
        <f>HYPERLINK("http://www.risk.nl", "www.risk.nl")</f>
      </c>
      <c r="M6401" s="17">
        <f>HYPERLINK("https://my.pitchbook.com?c=277268-68", "View Company Online")</f>
      </c>
    </row>
    <row r="6402">
      <c r="A6402" t="s" s="10">
        <v>32127</v>
      </c>
      <c r="B6402" t="s" s="10">
        <v>32128</v>
      </c>
      <c r="C6402" t="s" s="10">
        <v>172</v>
      </c>
      <c r="D6402" t="s" s="10">
        <v>338</v>
      </c>
      <c r="E6402" t="s" s="10">
        <v>253</v>
      </c>
      <c r="F6402" s="27">
        <v>45546</v>
      </c>
      <c r="G6402" t="s" s="10">
        <v>607</v>
      </c>
      <c r="H6402" t="s" s="42">
        <v>30</v>
      </c>
      <c r="I6402" t="s" s="42">
        <v>30</v>
      </c>
      <c r="J6402" t="s" s="10">
        <v>32129</v>
      </c>
      <c r="K6402" t="s" s="10">
        <v>32130</v>
      </c>
      <c r="L6402" s="16">
        <f>HYPERLINK("http://www.riskscout.com", "www.riskscout.com")</f>
      </c>
      <c r="M6402" s="16">
        <f>HYPERLINK("https://my.pitchbook.com?c=464428-36", "View Company Online")</f>
      </c>
    </row>
    <row r="6403">
      <c r="A6403" t="s" s="11">
        <v>32132</v>
      </c>
      <c r="B6403" t="s" s="11">
        <v>32133</v>
      </c>
      <c r="C6403" t="s" s="11">
        <v>128</v>
      </c>
      <c r="D6403" t="s" s="11">
        <v>129</v>
      </c>
      <c r="E6403" t="s" s="11">
        <v>253</v>
      </c>
      <c r="F6403" s="28">
        <v>45908</v>
      </c>
      <c r="G6403" t="s" s="11">
        <v>4267</v>
      </c>
      <c r="H6403" s="43">
        <v>1.36</v>
      </c>
      <c r="I6403" t="s" s="43">
        <v>30</v>
      </c>
      <c r="J6403" t="s" s="11">
        <v>32134</v>
      </c>
      <c r="K6403" t="s" s="11">
        <v>32135</v>
      </c>
      <c r="L6403" s="17">
        <f>HYPERLINK("http://respo.io", "respo.io")</f>
      </c>
      <c r="M6403" s="17">
        <f>HYPERLINK("https://my.pitchbook.com?c=742109-86", "View Company Online")</f>
      </c>
    </row>
    <row r="6404">
      <c r="A6404" t="s" s="10">
        <v>32137</v>
      </c>
      <c r="B6404" t="s" s="10">
        <v>32138</v>
      </c>
      <c r="C6404" t="s" s="10">
        <v>114</v>
      </c>
      <c r="D6404" t="s" s="10">
        <v>136</v>
      </c>
      <c r="E6404" t="s" s="10">
        <v>967</v>
      </c>
      <c r="F6404" s="27">
        <v>43328</v>
      </c>
      <c r="G6404" t="s" s="10">
        <v>607</v>
      </c>
      <c r="H6404" t="s" s="42">
        <v>30</v>
      </c>
      <c r="I6404" t="s" s="42">
        <v>30</v>
      </c>
      <c r="J6404" t="s" s="10">
        <v>32139</v>
      </c>
      <c r="K6404" t="s" s="10">
        <v>32140</v>
      </c>
      <c r="L6404" s="16">
        <f>HYPERLINK("http://www.risu.com.br", "www.risu.com.br")</f>
      </c>
      <c r="M6404" s="16">
        <f>HYPERLINK("https://my.pitchbook.com?c=460141-75", "View Company Online")</f>
      </c>
    </row>
    <row r="6405">
      <c r="A6405" t="s" s="11">
        <v>32142</v>
      </c>
      <c r="B6405" t="s" s="11">
        <v>32143</v>
      </c>
      <c r="C6405" t="s" s="11">
        <v>27</v>
      </c>
      <c r="D6405" t="s" s="11">
        <v>122</v>
      </c>
      <c r="E6405" t="s" s="11">
        <v>137</v>
      </c>
      <c r="F6405" s="28">
        <v>45881</v>
      </c>
      <c r="G6405" t="s" s="11">
        <v>4267</v>
      </c>
      <c r="H6405" s="43">
        <v>3</v>
      </c>
      <c r="I6405" t="s" s="43">
        <v>30</v>
      </c>
      <c r="J6405" t="s" s="11">
        <v>32144</v>
      </c>
      <c r="K6405" t="s" s="11">
        <v>32145</v>
      </c>
      <c r="L6405" s="17">
        <f>HYPERLINK("http://www.rivamoney.com", "www.rivamoney.com")</f>
      </c>
      <c r="M6405" s="17">
        <f>HYPERLINK("https://my.pitchbook.com?c=752634-91", "View Company Online")</f>
      </c>
    </row>
    <row r="6406">
      <c r="A6406" t="s" s="10">
        <v>32147</v>
      </c>
      <c r="B6406" t="s" s="10">
        <v>32148</v>
      </c>
      <c r="C6406" t="s" s="10">
        <v>46</v>
      </c>
      <c r="D6406" t="s" s="10">
        <v>78</v>
      </c>
      <c r="E6406" t="s" s="10">
        <v>253</v>
      </c>
      <c r="F6406" s="27">
        <v>46065</v>
      </c>
      <c r="G6406" t="s" s="10">
        <v>4267</v>
      </c>
      <c r="H6406" s="42">
        <v>3.07</v>
      </c>
      <c r="I6406" t="s" s="42">
        <v>30</v>
      </c>
      <c r="J6406" t="s" s="10">
        <v>32149</v>
      </c>
      <c r="K6406" t="s" s="10">
        <v>20178</v>
      </c>
      <c r="L6406" s="16">
        <f>HYPERLINK("http://www.rivage.tech", "www.rivage.tech")</f>
      </c>
      <c r="M6406" s="16">
        <f>HYPERLINK("https://my.pitchbook.com?c=1317163-42", "View Company Online")</f>
      </c>
    </row>
    <row r="6407">
      <c r="A6407" t="s" s="11">
        <v>32151</v>
      </c>
      <c r="B6407" t="s" s="11">
        <v>32152</v>
      </c>
      <c r="C6407" t="s" s="11">
        <v>60</v>
      </c>
      <c r="D6407" t="s" s="11">
        <v>246</v>
      </c>
      <c r="E6407" t="s" s="11">
        <v>193</v>
      </c>
      <c r="F6407" t="s" s="28">
        <v>30</v>
      </c>
      <c r="G6407" t="s" s="11">
        <v>146</v>
      </c>
      <c r="H6407" t="s" s="43">
        <v>30</v>
      </c>
      <c r="I6407" t="s" s="43">
        <v>30</v>
      </c>
      <c r="J6407" t="s" s="11">
        <v>32153</v>
      </c>
      <c r="K6407" t="s" s="11">
        <v>32154</v>
      </c>
      <c r="L6407" s="17">
        <f>HYPERLINK("http://www.rivium.mx", "www.rivium.mx")</f>
      </c>
      <c r="M6407" s="17">
        <f>HYPERLINK("https://my.pitchbook.com?c=464065-75", "View Company Online")</f>
      </c>
    </row>
    <row r="6408">
      <c r="A6408" t="s" s="10">
        <v>32156</v>
      </c>
      <c r="B6408" t="s" s="10">
        <v>32157</v>
      </c>
      <c r="C6408" t="s" s="10">
        <v>114</v>
      </c>
      <c r="D6408" t="s" s="10">
        <v>852</v>
      </c>
      <c r="E6408" t="s" s="10">
        <v>270</v>
      </c>
      <c r="F6408" s="27">
        <v>45742</v>
      </c>
      <c r="G6408" t="s" s="10">
        <v>40</v>
      </c>
      <c r="H6408" s="42">
        <v>4</v>
      </c>
      <c r="I6408" t="s" s="42">
        <v>30</v>
      </c>
      <c r="J6408" t="s" s="10">
        <v>32158</v>
      </c>
      <c r="K6408" t="s" s="10">
        <v>32159</v>
      </c>
      <c r="L6408" s="16">
        <f>HYPERLINK("http://www.rivy.co", "www.rivy.co")</f>
      </c>
      <c r="M6408" s="16">
        <f>HYPERLINK("https://my.pitchbook.com?c=455214-61", "View Company Online")</f>
      </c>
    </row>
    <row r="6409">
      <c r="A6409" t="s" s="11">
        <v>32161</v>
      </c>
      <c r="B6409" t="s" s="11">
        <v>32162</v>
      </c>
      <c r="C6409" t="s" s="11">
        <v>128</v>
      </c>
      <c r="D6409" t="s" s="11">
        <v>276</v>
      </c>
      <c r="E6409" t="s" s="11">
        <v>995</v>
      </c>
      <c r="F6409" s="28">
        <v>46070</v>
      </c>
      <c r="G6409" t="s" s="11">
        <v>4267</v>
      </c>
      <c r="H6409" s="43">
        <v>2</v>
      </c>
      <c r="I6409" t="s" s="43">
        <v>30</v>
      </c>
      <c r="J6409" t="s" s="11">
        <v>32163</v>
      </c>
      <c r="K6409" t="s" s="11">
        <v>32164</v>
      </c>
      <c r="L6409" s="17">
        <f>HYPERLINK("http://www.getrizon.com", "www.getrizon.com")</f>
      </c>
      <c r="M6409" s="17">
        <f>HYPERLINK("https://my.pitchbook.com?c=1154162-26", "View Company Online")</f>
      </c>
    </row>
    <row r="6410">
      <c r="A6410" t="s" s="10">
        <v>32166</v>
      </c>
      <c r="B6410" t="s" s="10">
        <v>32167</v>
      </c>
      <c r="C6410" t="s" s="10">
        <v>114</v>
      </c>
      <c r="D6410" t="s" s="10">
        <v>115</v>
      </c>
      <c r="E6410" t="s" s="10">
        <v>2782</v>
      </c>
      <c r="F6410" s="27">
        <v>45960</v>
      </c>
      <c r="G6410" t="s" s="10">
        <v>40</v>
      </c>
      <c r="H6410" s="42">
        <v>8.97</v>
      </c>
      <c r="I6410" t="s" s="42">
        <v>30</v>
      </c>
      <c r="J6410" t="s" s="10">
        <v>32168</v>
      </c>
      <c r="K6410" t="s" s="10">
        <v>30</v>
      </c>
      <c r="L6410" s="16">
        <f>HYPERLINK("http://www.rlscapital.com", "www.rlscapital.com")</f>
      </c>
      <c r="M6410" s="16">
        <f>HYPERLINK("https://my.pitchbook.com?c=527122-00", "View Company Online")</f>
      </c>
    </row>
    <row r="6411">
      <c r="A6411" t="s" s="11">
        <v>32170</v>
      </c>
      <c r="B6411" t="s" s="11">
        <v>32171</v>
      </c>
      <c r="C6411" t="s" s="11">
        <v>46</v>
      </c>
      <c r="D6411" t="s" s="11">
        <v>47</v>
      </c>
      <c r="E6411" t="s" s="11">
        <v>29</v>
      </c>
      <c r="F6411" s="28">
        <v>44652</v>
      </c>
      <c r="G6411" t="s" s="11">
        <v>4267</v>
      </c>
      <c r="H6411" s="43">
        <v>4</v>
      </c>
      <c r="I6411" t="s" s="43">
        <v>30</v>
      </c>
      <c r="J6411" t="s" s="11">
        <v>32172</v>
      </c>
      <c r="K6411" t="s" s="11">
        <v>32173</v>
      </c>
      <c r="L6411" s="17">
        <f>HYPERLINK("http://www.roadflex.com", "www.roadflex.com")</f>
      </c>
      <c r="M6411" s="17">
        <f>HYPERLINK("https://my.pitchbook.com?c=493660-90", "View Company Online")</f>
      </c>
    </row>
    <row r="6412">
      <c r="A6412" t="s" s="10">
        <v>32175</v>
      </c>
      <c r="B6412" t="s" s="10">
        <v>32176</v>
      </c>
      <c r="C6412" t="s" s="10">
        <v>114</v>
      </c>
      <c r="D6412" t="s" s="10">
        <v>852</v>
      </c>
      <c r="E6412" t="s" s="10">
        <v>270</v>
      </c>
      <c r="F6412" s="27">
        <v>46163</v>
      </c>
      <c r="G6412" t="s" s="10">
        <v>4267</v>
      </c>
      <c r="H6412" s="42">
        <v>8</v>
      </c>
      <c r="I6412" t="s" s="42">
        <v>30</v>
      </c>
      <c r="J6412" t="s" s="10">
        <v>32177</v>
      </c>
      <c r="K6412" t="s" s="10">
        <v>32178</v>
      </c>
      <c r="L6412" s="16">
        <f>HYPERLINK("http://www.robbin.com.br", "www.robbin.com.br")</f>
      </c>
      <c r="M6412" s="16">
        <f>HYPERLINK("https://my.pitchbook.com?c=537553-45", "View Company Online")</f>
      </c>
    </row>
    <row r="6413">
      <c r="A6413" t="s" s="11">
        <v>32180</v>
      </c>
      <c r="B6413" t="s" s="11">
        <v>32181</v>
      </c>
      <c r="C6413" t="s" s="11">
        <v>60</v>
      </c>
      <c r="D6413" t="s" s="11">
        <v>61</v>
      </c>
      <c r="E6413" t="s" s="11">
        <v>859</v>
      </c>
      <c r="F6413" s="28">
        <v>46014</v>
      </c>
      <c r="G6413" t="s" s="11">
        <v>4267</v>
      </c>
      <c r="H6413" s="43">
        <v>1.5</v>
      </c>
      <c r="I6413" t="s" s="43">
        <v>30</v>
      </c>
      <c r="J6413" t="s" s="11">
        <v>32182</v>
      </c>
      <c r="K6413" t="s" s="11">
        <v>32183</v>
      </c>
      <c r="L6413" s="17">
        <f>HYPERLINK("http://userocket.app", "userocket.app")</f>
      </c>
      <c r="M6413" s="17">
        <f>HYPERLINK("https://my.pitchbook.com?c=1237033-18", "View Company Online")</f>
      </c>
    </row>
    <row r="6414">
      <c r="A6414" t="s" s="10">
        <v>32185</v>
      </c>
      <c r="B6414" t="s" s="10">
        <v>32186</v>
      </c>
      <c r="C6414" t="s" s="10">
        <v>27</v>
      </c>
      <c r="D6414" t="s" s="10">
        <v>28</v>
      </c>
      <c r="E6414" t="s" s="10">
        <v>3138</v>
      </c>
      <c r="F6414" s="27">
        <v>45175</v>
      </c>
      <c r="G6414" t="s" s="10">
        <v>31</v>
      </c>
      <c r="H6414" s="42">
        <v>7</v>
      </c>
      <c r="I6414" t="s" s="42">
        <v>30</v>
      </c>
      <c r="J6414" t="s" s="10">
        <v>32187</v>
      </c>
      <c r="K6414" t="s" s="10">
        <v>32188</v>
      </c>
      <c r="L6414" s="16">
        <f>HYPERLINK("http://www.rocketfy.com", "www.rocketfy.com")</f>
      </c>
      <c r="M6414" s="16">
        <f>HYPERLINK("https://my.pitchbook.com?c=489065-86", "View Company Online")</f>
      </c>
    </row>
    <row r="6415">
      <c r="A6415" t="s" s="11">
        <v>32190</v>
      </c>
      <c r="B6415" t="s" s="11">
        <v>32191</v>
      </c>
      <c r="C6415" t="s" s="11">
        <v>60</v>
      </c>
      <c r="D6415" t="s" s="11">
        <v>61</v>
      </c>
      <c r="E6415" t="s" s="11">
        <v>116</v>
      </c>
      <c r="F6415" s="28">
        <v>45989</v>
      </c>
      <c r="G6415" t="s" s="11">
        <v>146</v>
      </c>
      <c r="H6415" t="s" s="43">
        <v>30</v>
      </c>
      <c r="I6415" t="s" s="43">
        <v>30</v>
      </c>
      <c r="J6415" t="s" s="11">
        <v>32192</v>
      </c>
      <c r="K6415" t="s" s="11">
        <v>32193</v>
      </c>
      <c r="L6415" s="17">
        <f>HYPERLINK("http://www.rockflow.ai", "www.rockflow.ai")</f>
      </c>
      <c r="M6415" s="17">
        <f>HYPERLINK("https://my.pitchbook.com?c=484543-36", "View Company Online")</f>
      </c>
    </row>
    <row r="6416">
      <c r="A6416" t="s" s="10">
        <v>32195</v>
      </c>
      <c r="B6416" t="s" s="10">
        <v>32196</v>
      </c>
      <c r="C6416" t="s" s="10">
        <v>46</v>
      </c>
      <c r="D6416" t="s" s="10">
        <v>397</v>
      </c>
      <c r="E6416" t="s" s="10">
        <v>373</v>
      </c>
      <c r="F6416" s="27">
        <v>45639</v>
      </c>
      <c r="G6416" t="s" s="10">
        <v>4267</v>
      </c>
      <c r="H6416" t="s" s="42">
        <v>30</v>
      </c>
      <c r="I6416" t="s" s="42">
        <v>30</v>
      </c>
      <c r="J6416" t="s" s="10">
        <v>32197</v>
      </c>
      <c r="K6416" t="s" s="10">
        <v>32198</v>
      </c>
      <c r="L6416" s="16">
        <f>HYPERLINK("http://www.rockhopper.co", "www.rockhopper.co")</f>
      </c>
      <c r="M6416" s="16">
        <f>HYPERLINK("https://my.pitchbook.com?c=534783-70", "View Company Online")</f>
      </c>
    </row>
    <row r="6417">
      <c r="A6417" t="s" s="11">
        <v>32200</v>
      </c>
      <c r="B6417" t="s" s="11">
        <v>32201</v>
      </c>
      <c r="C6417" t="s" s="11">
        <v>128</v>
      </c>
      <c r="D6417" t="s" s="11">
        <v>199</v>
      </c>
      <c r="E6417" t="s" s="11">
        <v>13939</v>
      </c>
      <c r="F6417" s="28">
        <v>44421</v>
      </c>
      <c r="G6417" t="s" s="11">
        <v>40</v>
      </c>
      <c r="H6417" s="43">
        <v>1.38</v>
      </c>
      <c r="I6417" t="s" s="43">
        <v>30</v>
      </c>
      <c r="J6417" t="s" s="11">
        <v>32202</v>
      </c>
      <c r="K6417" t="s" s="11">
        <v>32203</v>
      </c>
      <c r="L6417" s="17">
        <f>HYPERLINK("http://www.rollet.hu", "www.rollet.hu")</f>
      </c>
      <c r="M6417" s="17">
        <f>HYPERLINK("https://my.pitchbook.com?c=225677-62", "View Company Online")</f>
      </c>
    </row>
    <row r="6418">
      <c r="A6418" t="s" s="10">
        <v>32205</v>
      </c>
      <c r="B6418" t="s" s="10">
        <v>32206</v>
      </c>
      <c r="C6418" t="s" s="10">
        <v>172</v>
      </c>
      <c r="D6418" t="s" s="10">
        <v>1454</v>
      </c>
      <c r="E6418" t="s" s="10">
        <v>137</v>
      </c>
      <c r="F6418" s="27">
        <v>43140</v>
      </c>
      <c r="G6418" t="s" s="10">
        <v>146</v>
      </c>
      <c r="H6418" t="s" s="42">
        <v>30</v>
      </c>
      <c r="I6418" t="s" s="42">
        <v>30</v>
      </c>
      <c r="J6418" t="s" s="10">
        <v>32207</v>
      </c>
      <c r="K6418" t="s" s="10">
        <v>32208</v>
      </c>
      <c r="L6418" s="16">
        <f>HYPERLINK("http://www.romacredit.com", "www.romacredit.com")</f>
      </c>
      <c r="M6418" s="16">
        <f>HYPERLINK("https://my.pitchbook.com?c=438257-71", "View Company Online")</f>
      </c>
    </row>
    <row r="6419">
      <c r="A6419" t="s" s="11">
        <v>32210</v>
      </c>
      <c r="B6419" t="s" s="11">
        <v>32211</v>
      </c>
      <c r="C6419" t="s" s="11">
        <v>114</v>
      </c>
      <c r="D6419" t="s" s="11">
        <v>136</v>
      </c>
      <c r="E6419" t="s" s="11">
        <v>137</v>
      </c>
      <c r="F6419" s="28">
        <v>43129</v>
      </c>
      <c r="G6419" t="s" s="11">
        <v>146</v>
      </c>
      <c r="H6419" s="43">
        <v>23.3</v>
      </c>
      <c r="I6419" t="s" s="43">
        <v>30</v>
      </c>
      <c r="J6419" t="s" s="11">
        <v>32212</v>
      </c>
      <c r="K6419" t="s" s="11">
        <v>32213</v>
      </c>
      <c r="L6419" s="17">
        <f>HYPERLINK("http://www.rjs.com", "www.rjs.com")</f>
      </c>
      <c r="M6419" s="17">
        <f>HYPERLINK("https://my.pitchbook.com?c=224489-44", "View Company Online")</f>
      </c>
    </row>
    <row r="6420">
      <c r="A6420" t="s" s="10">
        <v>32215</v>
      </c>
      <c r="B6420" t="s" s="10">
        <v>32216</v>
      </c>
      <c r="C6420" t="s" s="10">
        <v>46</v>
      </c>
      <c r="D6420" t="s" s="10">
        <v>397</v>
      </c>
      <c r="E6420" t="s" s="10">
        <v>1964</v>
      </c>
      <c r="F6420" s="27">
        <v>45142</v>
      </c>
      <c r="G6420" t="s" s="10">
        <v>40</v>
      </c>
      <c r="H6420" t="s" s="42">
        <v>30</v>
      </c>
      <c r="I6420" t="s" s="42">
        <v>30</v>
      </c>
      <c r="J6420" t="s" s="10">
        <v>32217</v>
      </c>
      <c r="K6420" t="s" s="10">
        <v>32218</v>
      </c>
      <c r="L6420" s="16">
        <f>HYPERLINK("http://www.rys.com", "www.rys.com")</f>
      </c>
      <c r="M6420" s="16">
        <f>HYPERLINK("https://my.pitchbook.com?c=342148-96", "View Company Online")</f>
      </c>
    </row>
    <row r="6421">
      <c r="A6421" t="s" s="11">
        <v>32220</v>
      </c>
      <c r="B6421" t="s" s="11">
        <v>32221</v>
      </c>
      <c r="C6421" t="s" s="11">
        <v>60</v>
      </c>
      <c r="D6421" t="s" s="11">
        <v>727</v>
      </c>
      <c r="E6421" t="s" s="11">
        <v>759</v>
      </c>
      <c r="F6421" s="28">
        <v>42202</v>
      </c>
      <c r="G6421" t="s" s="11">
        <v>146</v>
      </c>
      <c r="H6421" s="43">
        <v>32</v>
      </c>
      <c r="I6421" t="s" s="43">
        <v>30</v>
      </c>
      <c r="J6421" t="s" s="11">
        <v>32222</v>
      </c>
      <c r="K6421" t="s" s="11">
        <v>32223</v>
      </c>
      <c r="L6421" s="17">
        <f>HYPERLINK("http://www.rongzi.com", "www.rongzi.com")</f>
      </c>
      <c r="M6421" s="17">
        <f>HYPERLINK("https://my.pitchbook.com?c=120416-77", "View Company Online")</f>
      </c>
    </row>
    <row r="6422">
      <c r="A6422" t="s" s="10">
        <v>32225</v>
      </c>
      <c r="B6422" t="s" s="10">
        <v>32226</v>
      </c>
      <c r="C6422" t="s" s="10">
        <v>144</v>
      </c>
      <c r="D6422" t="s" s="10">
        <v>297</v>
      </c>
      <c r="E6422" t="s" s="10">
        <v>2782</v>
      </c>
      <c r="F6422" s="27">
        <v>45848</v>
      </c>
      <c r="G6422" t="s" s="10">
        <v>146</v>
      </c>
      <c r="H6422" t="s" s="42">
        <v>30</v>
      </c>
      <c r="I6422" t="s" s="42">
        <v>30</v>
      </c>
      <c r="J6422" t="s" s="10">
        <v>32227</v>
      </c>
      <c r="K6422" t="s" s="10">
        <v>32228</v>
      </c>
      <c r="L6422" s="16">
        <f>HYPERLINK("http://www.roomiy.com", "www.roomiy.com")</f>
      </c>
      <c r="M6422" s="16">
        <f>HYPERLINK("https://my.pitchbook.com?c=894164-32", "View Company Online")</f>
      </c>
    </row>
    <row r="6423">
      <c r="A6423" t="s" s="11">
        <v>32230</v>
      </c>
      <c r="B6423" t="s" s="11">
        <v>32231</v>
      </c>
      <c r="C6423" t="s" s="11">
        <v>27</v>
      </c>
      <c r="D6423" t="s" s="11">
        <v>70</v>
      </c>
      <c r="E6423" t="s" s="11">
        <v>137</v>
      </c>
      <c r="F6423" s="28">
        <v>46023</v>
      </c>
      <c r="G6423" t="s" s="11">
        <v>4267</v>
      </c>
      <c r="H6423" t="s" s="43">
        <v>30</v>
      </c>
      <c r="I6423" t="s" s="43">
        <v>30</v>
      </c>
      <c r="J6423" t="s" s="11">
        <v>32232</v>
      </c>
      <c r="K6423" t="s" s="11">
        <v>32233</v>
      </c>
      <c r="L6423" s="17">
        <f>HYPERLINK("http://www.useroot.com", "www.useroot.com")</f>
      </c>
      <c r="M6423" s="17">
        <f>HYPERLINK("https://my.pitchbook.com?c=1156375-36", "View Company Online")</f>
      </c>
    </row>
    <row r="6424">
      <c r="A6424" t="s" s="10">
        <v>32235</v>
      </c>
      <c r="B6424" t="s" s="10">
        <v>32236</v>
      </c>
      <c r="C6424" t="s" s="10">
        <v>114</v>
      </c>
      <c r="D6424" t="s" s="10">
        <v>136</v>
      </c>
      <c r="E6424" t="s" s="10">
        <v>16640</v>
      </c>
      <c r="F6424" s="27">
        <v>45015</v>
      </c>
      <c r="G6424" t="s" s="10">
        <v>40</v>
      </c>
      <c r="H6424" s="42">
        <v>3.44</v>
      </c>
      <c r="I6424" t="s" s="42">
        <v>30</v>
      </c>
      <c r="J6424" t="s" s="10">
        <v>32237</v>
      </c>
      <c r="K6424" t="s" s="10">
        <v>32238</v>
      </c>
      <c r="L6424" s="16">
        <f>HYPERLINK("http://www.rootenergy.co.kr", "www.rootenergy.co.kr")</f>
      </c>
      <c r="M6424" s="16">
        <f>HYPERLINK("https://my.pitchbook.com?c=469433-44", "View Company Online")</f>
      </c>
    </row>
    <row r="6425">
      <c r="A6425" t="s" s="11">
        <v>32240</v>
      </c>
      <c r="B6425" t="s" s="11">
        <v>32241</v>
      </c>
      <c r="C6425" t="s" s="11">
        <v>114</v>
      </c>
      <c r="D6425" t="s" s="11">
        <v>136</v>
      </c>
      <c r="E6425" t="s" s="11">
        <v>4075</v>
      </c>
      <c r="F6425" s="28">
        <v>44880</v>
      </c>
      <c r="G6425" t="s" s="11">
        <v>4267</v>
      </c>
      <c r="H6425" s="43">
        <v>1</v>
      </c>
      <c r="I6425" t="s" s="43">
        <v>30</v>
      </c>
      <c r="J6425" t="s" s="11">
        <v>32242</v>
      </c>
      <c r="K6425" t="s" s="11">
        <v>32243</v>
      </c>
      <c r="L6425" s="17">
        <f>HYPERLINK("http://www.rootopia.vn", "www.rootopia.vn")</f>
      </c>
      <c r="M6425" s="17">
        <f>HYPERLINK("https://my.pitchbook.com?c=510205-78", "View Company Online")</f>
      </c>
    </row>
    <row r="6426">
      <c r="A6426" t="s" s="10">
        <v>32245</v>
      </c>
      <c r="B6426" t="s" s="10">
        <v>32246</v>
      </c>
      <c r="C6426" t="s" s="10">
        <v>46</v>
      </c>
      <c r="D6426" t="s" s="10">
        <v>397</v>
      </c>
      <c r="E6426" t="s" s="10">
        <v>137</v>
      </c>
      <c r="F6426" s="27">
        <v>45623</v>
      </c>
      <c r="G6426" t="s" s="10">
        <v>40</v>
      </c>
      <c r="H6426" s="42">
        <v>4.3</v>
      </c>
      <c r="I6426" t="s" s="42">
        <v>30</v>
      </c>
      <c r="J6426" t="s" s="10">
        <v>32247</v>
      </c>
      <c r="K6426" t="s" s="10">
        <v>32248</v>
      </c>
      <c r="L6426" s="16">
        <f>HYPERLINK("http://www.roumit.com", "www.roumit.com")</f>
      </c>
      <c r="M6426" s="16">
        <f>HYPERLINK("https://my.pitchbook.com?c=500698-72", "View Company Online")</f>
      </c>
    </row>
    <row r="6427">
      <c r="A6427" t="s" s="11">
        <v>32250</v>
      </c>
      <c r="B6427" t="s" s="11">
        <v>32251</v>
      </c>
      <c r="C6427" t="s" s="11">
        <v>128</v>
      </c>
      <c r="D6427" t="s" s="11">
        <v>276</v>
      </c>
      <c r="E6427" t="s" s="11">
        <v>1065</v>
      </c>
      <c r="F6427" t="s" s="28">
        <v>30</v>
      </c>
      <c r="G6427" t="s" s="11">
        <v>271</v>
      </c>
      <c r="H6427" s="43">
        <v>0.01</v>
      </c>
      <c r="I6427" t="s" s="43">
        <v>30</v>
      </c>
      <c r="J6427" t="s" s="11">
        <v>32252</v>
      </c>
      <c r="K6427" t="s" s="11">
        <v>32253</v>
      </c>
      <c r="L6427" s="17">
        <f>HYPERLINK("http://www.route.money", "www.route.money")</f>
      </c>
      <c r="M6427" s="17">
        <f>HYPERLINK("https://my.pitchbook.com?c=525387-07", "View Company Online")</f>
      </c>
    </row>
    <row r="6428">
      <c r="A6428" t="s" s="10">
        <v>32255</v>
      </c>
      <c r="B6428" t="s" s="10">
        <v>32256</v>
      </c>
      <c r="C6428" t="s" s="10">
        <v>27</v>
      </c>
      <c r="D6428" t="s" s="10">
        <v>28</v>
      </c>
      <c r="E6428" t="s" s="10">
        <v>373</v>
      </c>
      <c r="F6428" s="27">
        <v>45931</v>
      </c>
      <c r="G6428" t="s" s="10">
        <v>146</v>
      </c>
      <c r="H6428" s="42">
        <v>2</v>
      </c>
      <c r="I6428" t="s" s="42">
        <v>30</v>
      </c>
      <c r="J6428" t="s" s="10">
        <v>32257</v>
      </c>
      <c r="K6428" t="s" s="10">
        <v>32258</v>
      </c>
      <c r="L6428" s="16">
        <f>HYPERLINK("http://www.routesense.ai", "www.routesense.ai")</f>
      </c>
      <c r="M6428" s="16">
        <f>HYPERLINK("https://my.pitchbook.com?c=1153326-43", "View Company Online")</f>
      </c>
    </row>
    <row r="6429">
      <c r="A6429" t="s" s="11">
        <v>32260</v>
      </c>
      <c r="B6429" t="s" s="11">
        <v>32261</v>
      </c>
      <c r="C6429" t="s" s="11">
        <v>222</v>
      </c>
      <c r="D6429" t="s" s="11">
        <v>235</v>
      </c>
      <c r="E6429" t="s" s="11">
        <v>373</v>
      </c>
      <c r="F6429" s="28">
        <v>46112</v>
      </c>
      <c r="G6429" t="s" s="11">
        <v>40</v>
      </c>
      <c r="H6429" s="43">
        <v>3.3</v>
      </c>
      <c r="I6429" t="s" s="43">
        <v>30</v>
      </c>
      <c r="J6429" t="s" s="11">
        <v>32262</v>
      </c>
      <c r="K6429" t="s" s="11">
        <v>32263</v>
      </c>
      <c r="L6429" s="17">
        <f>HYPERLINK("http://www.trustrowan.com", "www.trustrowan.com")</f>
      </c>
      <c r="M6429" s="17">
        <f>HYPERLINK("https://my.pitchbook.com?c=588667-24", "View Company Online")</f>
      </c>
    </row>
    <row r="6430">
      <c r="A6430" t="s" s="10">
        <v>32265</v>
      </c>
      <c r="B6430" t="s" s="10">
        <v>32266</v>
      </c>
      <c r="C6430" t="s" s="10">
        <v>222</v>
      </c>
      <c r="D6430" t="s" s="10">
        <v>252</v>
      </c>
      <c r="E6430" t="s" s="10">
        <v>253</v>
      </c>
      <c r="F6430" s="27">
        <v>45202</v>
      </c>
      <c r="G6430" t="s" s="10">
        <v>146</v>
      </c>
      <c r="H6430" s="42">
        <v>10</v>
      </c>
      <c r="I6430" t="s" s="42">
        <v>30</v>
      </c>
      <c r="J6430" t="s" s="10">
        <v>32267</v>
      </c>
      <c r="K6430" t="s" s="10">
        <v>32268</v>
      </c>
      <c r="L6430" s="16">
        <f>HYPERLINK("http://www.rqdclearing.com", "www.rqdclearing.com")</f>
      </c>
      <c r="M6430" s="16">
        <f>HYPERLINK("https://my.pitchbook.com?c=503143-12", "View Company Online")</f>
      </c>
    </row>
    <row r="6431">
      <c r="A6431" t="s" s="11">
        <v>32270</v>
      </c>
      <c r="B6431" t="s" s="11">
        <v>32271</v>
      </c>
      <c r="C6431" t="s" s="11">
        <v>60</v>
      </c>
      <c r="D6431" t="s" s="11">
        <v>246</v>
      </c>
      <c r="E6431" t="s" s="11">
        <v>3527</v>
      </c>
      <c r="F6431" t="s" s="28">
        <v>30</v>
      </c>
      <c r="G6431" t="s" s="11">
        <v>48</v>
      </c>
      <c r="H6431" t="s" s="43">
        <v>30</v>
      </c>
      <c r="I6431" t="s" s="43">
        <v>30</v>
      </c>
      <c r="J6431" t="s" s="11">
        <v>32272</v>
      </c>
      <c r="K6431" t="s" s="11">
        <v>32273</v>
      </c>
      <c r="L6431" s="17">
        <f>HYPERLINK("http://www.rtc.pe", "www.rtc.pe")</f>
      </c>
      <c r="M6431" s="17">
        <f>HYPERLINK("https://my.pitchbook.com?c=232097-68", "View Company Online")</f>
      </c>
    </row>
    <row r="6432">
      <c r="A6432" t="s" s="10">
        <v>32275</v>
      </c>
      <c r="B6432" t="s" s="10">
        <v>32276</v>
      </c>
      <c r="C6432" t="s" s="10">
        <v>114</v>
      </c>
      <c r="D6432" t="s" s="10">
        <v>136</v>
      </c>
      <c r="E6432" t="s" s="10">
        <v>759</v>
      </c>
      <c r="F6432" s="27">
        <v>44851</v>
      </c>
      <c r="G6432" t="s" s="10">
        <v>4267</v>
      </c>
      <c r="H6432" t="s" s="42">
        <v>30</v>
      </c>
      <c r="I6432" t="s" s="42">
        <v>30</v>
      </c>
      <c r="J6432" t="s" s="10">
        <v>32277</v>
      </c>
      <c r="K6432" t="s" s="10">
        <v>30</v>
      </c>
      <c r="L6432" s="16">
        <f>HYPERLINK("http://www.rubapay.com", "www.rubapay.com")</f>
      </c>
      <c r="M6432" s="16">
        <f>HYPERLINK("https://my.pitchbook.com?c=510638-77", "View Company Online")</f>
      </c>
    </row>
    <row r="6433">
      <c r="A6433" t="s" s="11">
        <v>32279</v>
      </c>
      <c r="B6433" t="s" s="11">
        <v>32280</v>
      </c>
      <c r="C6433" t="s" s="11">
        <v>172</v>
      </c>
      <c r="D6433" t="s" s="11">
        <v>173</v>
      </c>
      <c r="E6433" t="s" s="11">
        <v>916</v>
      </c>
      <c r="F6433" s="28">
        <v>46175</v>
      </c>
      <c r="G6433" t="s" s="11">
        <v>607</v>
      </c>
      <c r="H6433" t="s" s="43">
        <v>30</v>
      </c>
      <c r="I6433" t="s" s="43">
        <v>30</v>
      </c>
      <c r="J6433" t="s" s="11">
        <v>32281</v>
      </c>
      <c r="K6433" t="s" s="11">
        <v>17210</v>
      </c>
      <c r="L6433" s="17">
        <f>HYPERLINK("http://www.rubilabs.io", "www.rubilabs.io")</f>
      </c>
      <c r="M6433" s="17">
        <f>HYPERLINK("https://my.pitchbook.com?c=519969-16", "View Company Online")</f>
      </c>
    </row>
    <row r="6434">
      <c r="A6434" t="s" s="10">
        <v>32283</v>
      </c>
      <c r="B6434" t="s" s="10">
        <v>32284</v>
      </c>
      <c r="C6434" t="s" s="10">
        <v>222</v>
      </c>
      <c r="D6434" t="s" s="10">
        <v>252</v>
      </c>
      <c r="E6434" t="s" s="10">
        <v>32285</v>
      </c>
      <c r="F6434" s="27">
        <v>46015</v>
      </c>
      <c r="G6434" t="s" s="10">
        <v>146</v>
      </c>
      <c r="H6434" s="42">
        <v>1</v>
      </c>
      <c r="I6434" t="s" s="42">
        <v>30</v>
      </c>
      <c r="J6434" t="s" s="10">
        <v>32286</v>
      </c>
      <c r="K6434" t="s" s="10">
        <v>32287</v>
      </c>
      <c r="L6434" s="16">
        <f>HYPERLINK("http://www.rudiq.com", "www.rudiq.com")</f>
      </c>
      <c r="M6434" s="16">
        <f>HYPERLINK("https://my.pitchbook.com?c=895393-27", "View Company Online")</f>
      </c>
    </row>
    <row r="6435">
      <c r="A6435" t="s" s="11">
        <v>32289</v>
      </c>
      <c r="B6435" t="s" s="11">
        <v>32290</v>
      </c>
      <c r="C6435" t="s" s="11">
        <v>60</v>
      </c>
      <c r="D6435" t="s" s="11">
        <v>192</v>
      </c>
      <c r="E6435" t="s" s="11">
        <v>137</v>
      </c>
      <c r="F6435" s="28">
        <v>46001</v>
      </c>
      <c r="G6435" t="s" s="11">
        <v>4267</v>
      </c>
      <c r="H6435" s="43">
        <v>1</v>
      </c>
      <c r="I6435" t="s" s="43">
        <v>30</v>
      </c>
      <c r="J6435" t="s" s="11">
        <v>32291</v>
      </c>
      <c r="K6435" t="s" s="11">
        <v>30</v>
      </c>
      <c r="L6435" s="17">
        <f>HYPERLINK("http://www.rudowealth.com", "www.rudowealth.com")</f>
      </c>
      <c r="M6435" s="17">
        <f>HYPERLINK("https://my.pitchbook.com?c=570126-07", "View Company Online")</f>
      </c>
    </row>
    <row r="6436">
      <c r="A6436" t="s" s="10">
        <v>32293</v>
      </c>
      <c r="B6436" t="s" s="10">
        <v>32294</v>
      </c>
      <c r="C6436" t="s" s="10">
        <v>164</v>
      </c>
      <c r="D6436" t="s" s="10">
        <v>165</v>
      </c>
      <c r="E6436" t="s" s="10">
        <v>1065</v>
      </c>
      <c r="F6436" s="27">
        <v>45929</v>
      </c>
      <c r="G6436" t="s" s="10">
        <v>4267</v>
      </c>
      <c r="H6436" s="42">
        <v>5</v>
      </c>
      <c r="I6436" t="s" s="42">
        <v>30</v>
      </c>
      <c r="J6436" t="s" s="10">
        <v>32295</v>
      </c>
      <c r="K6436" t="s" s="10">
        <v>32296</v>
      </c>
      <c r="L6436" s="16">
        <f>HYPERLINK("http://www.rugr.com", "www.rugr.com")</f>
      </c>
      <c r="M6436" s="16">
        <f>HYPERLINK("https://my.pitchbook.com?c=1083623-05", "View Company Online")</f>
      </c>
    </row>
    <row r="6437">
      <c r="A6437" t="s" s="11">
        <v>32298</v>
      </c>
      <c r="B6437" t="s" s="11">
        <v>32299</v>
      </c>
      <c r="C6437" t="s" s="11">
        <v>46</v>
      </c>
      <c r="D6437" t="s" s="11">
        <v>915</v>
      </c>
      <c r="E6437" t="s" s="11">
        <v>137</v>
      </c>
      <c r="F6437" s="28">
        <v>43364</v>
      </c>
      <c r="G6437" t="s" s="11">
        <v>4267</v>
      </c>
      <c r="H6437" s="43">
        <v>0.29</v>
      </c>
      <c r="I6437" t="s" s="43">
        <v>30</v>
      </c>
      <c r="J6437" t="s" s="11">
        <v>32300</v>
      </c>
      <c r="K6437" t="s" s="11">
        <v>32301</v>
      </c>
      <c r="L6437" t="s" s="11">
        <v>30</v>
      </c>
      <c r="M6437" s="17">
        <f>HYPERLINK("https://my.pitchbook.com?c=233158-96", "View Company Online")</f>
      </c>
    </row>
    <row r="6438">
      <c r="A6438" t="s" s="10">
        <v>32302</v>
      </c>
      <c r="B6438" t="s" s="10">
        <v>32303</v>
      </c>
      <c r="C6438" t="s" s="10">
        <v>27</v>
      </c>
      <c r="D6438" t="s" s="10">
        <v>28</v>
      </c>
      <c r="E6438" t="s" s="10">
        <v>967</v>
      </c>
      <c r="F6438" s="27">
        <v>45053</v>
      </c>
      <c r="G6438" t="s" s="10">
        <v>4267</v>
      </c>
      <c r="H6438" t="s" s="42">
        <v>30</v>
      </c>
      <c r="I6438" t="s" s="42">
        <v>30</v>
      </c>
      <c r="J6438" t="s" s="10">
        <v>32304</v>
      </c>
      <c r="K6438" t="s" s="10">
        <v>30</v>
      </c>
      <c r="L6438" s="16">
        <f>HYPERLINK("http://runninglab.co.kr", "runninglab.co.kr")</f>
      </c>
      <c r="M6438" s="16">
        <f>HYPERLINK("https://my.pitchbook.com?c=502901-83", "View Company Online")</f>
      </c>
    </row>
    <row r="6439">
      <c r="A6439" t="s" s="11">
        <v>32306</v>
      </c>
      <c r="B6439" t="s" s="11">
        <v>32307</v>
      </c>
      <c r="C6439" t="s" s="11">
        <v>37</v>
      </c>
      <c r="D6439" t="s" s="11">
        <v>304</v>
      </c>
      <c r="E6439" t="s" s="11">
        <v>137</v>
      </c>
      <c r="F6439" s="28">
        <v>46001</v>
      </c>
      <c r="G6439" t="s" s="11">
        <v>31</v>
      </c>
      <c r="H6439" s="43">
        <v>35.06</v>
      </c>
      <c r="I6439" t="s" s="43">
        <v>30</v>
      </c>
      <c r="J6439" t="s" s="11">
        <v>32308</v>
      </c>
      <c r="K6439" t="s" s="11">
        <v>32309</v>
      </c>
      <c r="L6439" s="17">
        <f>HYPERLINK("http://www.rupeeredee.com", "www.rupeeredee.com")</f>
      </c>
      <c r="M6439" s="17">
        <f>HYPERLINK("https://my.pitchbook.com?c=336684-34", "View Company Online")</f>
      </c>
    </row>
    <row r="6440">
      <c r="A6440" t="s" s="10">
        <v>32311</v>
      </c>
      <c r="B6440" t="s" s="10">
        <v>32312</v>
      </c>
      <c r="C6440" t="s" s="10">
        <v>114</v>
      </c>
      <c r="D6440" t="s" s="10">
        <v>136</v>
      </c>
      <c r="E6440" t="s" s="10">
        <v>32313</v>
      </c>
      <c r="F6440" s="27">
        <v>43009</v>
      </c>
      <c r="G6440" t="s" s="10">
        <v>146</v>
      </c>
      <c r="H6440" s="42">
        <v>10</v>
      </c>
      <c r="I6440" t="s" s="42">
        <v>30</v>
      </c>
      <c r="J6440" t="s" s="10">
        <v>32314</v>
      </c>
      <c r="K6440" t="s" s="10">
        <v>32315</v>
      </c>
      <c r="L6440" s="16">
        <f>HYPERLINK("http://www.rupiahplus.com", "www.rupiahplus.com")</f>
      </c>
      <c r="M6440" s="16">
        <f>HYPERLINK("https://my.pitchbook.com?c=185362-57", "View Company Online")</f>
      </c>
    </row>
    <row r="6441">
      <c r="A6441" t="s" s="11">
        <v>32317</v>
      </c>
      <c r="B6441" t="s" s="11">
        <v>32318</v>
      </c>
      <c r="C6441" t="s" s="11">
        <v>37</v>
      </c>
      <c r="D6441" t="s" s="11">
        <v>304</v>
      </c>
      <c r="E6441" t="s" s="11">
        <v>859</v>
      </c>
      <c r="F6441" s="28">
        <v>45943</v>
      </c>
      <c r="G6441" t="s" s="11">
        <v>146</v>
      </c>
      <c r="H6441" s="43">
        <v>13</v>
      </c>
      <c r="I6441" t="s" s="43">
        <v>30</v>
      </c>
      <c r="J6441" t="s" s="11">
        <v>32319</v>
      </c>
      <c r="K6441" t="s" s="11">
        <v>32320</v>
      </c>
      <c r="L6441" s="17">
        <f>HYPERLINK("http://www.rupicard.com", "www.rupicard.com")</f>
      </c>
      <c r="M6441" s="17">
        <f>HYPERLINK("https://my.pitchbook.com?c=527321-89", "View Company Online")</f>
      </c>
    </row>
    <row r="6442">
      <c r="A6442" t="s" s="10">
        <v>32322</v>
      </c>
      <c r="B6442" t="s" s="10">
        <v>32323</v>
      </c>
      <c r="C6442" t="s" s="10">
        <v>114</v>
      </c>
      <c r="D6442" t="s" s="10">
        <v>115</v>
      </c>
      <c r="E6442" t="s" s="10">
        <v>2782</v>
      </c>
      <c r="F6442" t="s" s="27">
        <v>30</v>
      </c>
      <c r="G6442" t="s" s="10">
        <v>4267</v>
      </c>
      <c r="H6442" t="s" s="42">
        <v>30</v>
      </c>
      <c r="I6442" t="s" s="42">
        <v>30</v>
      </c>
      <c r="J6442" t="s" s="10">
        <v>32324</v>
      </c>
      <c r="K6442" t="s" s="10">
        <v>32325</v>
      </c>
      <c r="L6442" s="16">
        <f>HYPERLINK("http://www.ruuf.com.tr", "www.ruuf.com.tr")</f>
      </c>
      <c r="M6442" s="16">
        <f>HYPERLINK("https://my.pitchbook.com?c=501574-60", "View Company Online")</f>
      </c>
    </row>
    <row r="6443">
      <c r="A6443" t="s" s="11">
        <v>32327</v>
      </c>
      <c r="B6443" t="s" s="11">
        <v>32328</v>
      </c>
      <c r="C6443" t="s" s="11">
        <v>128</v>
      </c>
      <c r="D6443" t="s" s="11">
        <v>276</v>
      </c>
      <c r="E6443" t="s" s="11">
        <v>62</v>
      </c>
      <c r="F6443" s="28">
        <v>46058</v>
      </c>
      <c r="G6443" t="s" s="11">
        <v>146</v>
      </c>
      <c r="H6443" s="43">
        <v>4.6</v>
      </c>
      <c r="I6443" t="s" s="43">
        <v>30</v>
      </c>
      <c r="J6443" t="s" s="11">
        <v>32329</v>
      </c>
      <c r="K6443" t="s" s="11">
        <v>32330</v>
      </c>
      <c r="L6443" s="17">
        <f>HYPERLINK("http://www.ruvo.com", "www.ruvo.com")</f>
      </c>
      <c r="M6443" s="17">
        <f>HYPERLINK("https://my.pitchbook.com?c=938615-32", "View Company Online")</f>
      </c>
    </row>
    <row r="6444">
      <c r="A6444" t="s" s="10">
        <v>32332</v>
      </c>
      <c r="B6444" t="s" s="10">
        <v>32333</v>
      </c>
      <c r="C6444" t="s" s="10">
        <v>60</v>
      </c>
      <c r="D6444" t="s" s="10">
        <v>727</v>
      </c>
      <c r="E6444" t="s" s="10">
        <v>859</v>
      </c>
      <c r="F6444" s="27">
        <v>45962</v>
      </c>
      <c r="G6444" t="s" s="10">
        <v>146</v>
      </c>
      <c r="H6444" t="s" s="42">
        <v>30</v>
      </c>
      <c r="I6444" t="s" s="42">
        <v>30</v>
      </c>
      <c r="J6444" t="s" s="10">
        <v>32334</v>
      </c>
      <c r="K6444" t="s" s="10">
        <v>32335</v>
      </c>
      <c r="L6444" s="16">
        <f>HYPERLINK("http://www.rwalayer.com", "www.rwalayer.com")</f>
      </c>
      <c r="M6444" s="16">
        <f>HYPERLINK("https://my.pitchbook.com?c=1159499-80", "View Company Online")</f>
      </c>
    </row>
    <row r="6445">
      <c r="A6445" t="s" s="11">
        <v>32337</v>
      </c>
      <c r="B6445" t="s" s="11">
        <v>32338</v>
      </c>
      <c r="C6445" t="s" s="11">
        <v>164</v>
      </c>
      <c r="D6445" t="s" s="11">
        <v>165</v>
      </c>
      <c r="E6445" t="s" s="11">
        <v>253</v>
      </c>
      <c r="F6445" s="28">
        <v>45047</v>
      </c>
      <c r="G6445" t="s" s="11">
        <v>146</v>
      </c>
      <c r="H6445" t="s" s="43">
        <v>30</v>
      </c>
      <c r="I6445" t="s" s="43">
        <v>30</v>
      </c>
      <c r="J6445" t="s" s="11">
        <v>32339</v>
      </c>
      <c r="K6445" t="s" s="11">
        <v>32340</v>
      </c>
      <c r="L6445" s="17">
        <f>HYPERLINK("http://www.saaspay.com", "www.saaspay.com")</f>
      </c>
      <c r="M6445" s="17">
        <f>HYPERLINK("https://my.pitchbook.com?c=527637-88", "View Company Online")</f>
      </c>
    </row>
    <row r="6446">
      <c r="A6446" t="s" s="10">
        <v>32342</v>
      </c>
      <c r="B6446" t="s" s="10">
        <v>32343</v>
      </c>
      <c r="C6446" t="s" s="10">
        <v>222</v>
      </c>
      <c r="D6446" t="s" s="10">
        <v>223</v>
      </c>
      <c r="E6446" t="s" s="10">
        <v>253</v>
      </c>
      <c r="F6446" s="27">
        <v>44896</v>
      </c>
      <c r="G6446" t="s" s="10">
        <v>146</v>
      </c>
      <c r="H6446" t="s" s="42">
        <v>30</v>
      </c>
      <c r="I6446" t="s" s="42">
        <v>30</v>
      </c>
      <c r="J6446" t="s" s="10">
        <v>32344</v>
      </c>
      <c r="K6446" t="s" s="10">
        <v>32345</v>
      </c>
      <c r="L6446" s="16">
        <f>HYPERLINK("http://www.sacra.com", "www.sacra.com")</f>
      </c>
      <c r="M6446" s="16">
        <f>HYPERLINK("https://my.pitchbook.com?c=437405-68", "View Company Online")</f>
      </c>
    </row>
    <row r="6447">
      <c r="A6447" t="s" s="11">
        <v>32347</v>
      </c>
      <c r="B6447" t="s" s="11">
        <v>32348</v>
      </c>
      <c r="C6447" t="s" s="11">
        <v>37</v>
      </c>
      <c r="D6447" t="s" s="11">
        <v>304</v>
      </c>
      <c r="E6447" t="s" s="11">
        <v>2782</v>
      </c>
      <c r="F6447" s="28">
        <v>45473</v>
      </c>
      <c r="G6447" t="s" s="11">
        <v>48</v>
      </c>
      <c r="H6447" t="s" s="43">
        <v>30</v>
      </c>
      <c r="I6447" t="s" s="43">
        <v>30</v>
      </c>
      <c r="J6447" t="s" s="11">
        <v>32349</v>
      </c>
      <c r="K6447" t="s" s="11">
        <v>15036</v>
      </c>
      <c r="L6447" s="17">
        <f>HYPERLINK("http://www.safelyfinance.co", "www.safelyfinance.co")</f>
      </c>
      <c r="M6447" s="17">
        <f>HYPERLINK("https://my.pitchbook.com?c=279629-65", "View Company Online")</f>
      </c>
    </row>
    <row r="6448">
      <c r="A6448" t="s" s="10">
        <v>32351</v>
      </c>
      <c r="B6448" t="s" s="10">
        <v>32352</v>
      </c>
      <c r="C6448" t="s" s="10">
        <v>46</v>
      </c>
      <c r="D6448" t="s" s="10">
        <v>915</v>
      </c>
      <c r="E6448" t="s" s="10">
        <v>32353</v>
      </c>
      <c r="F6448" s="27">
        <v>45002</v>
      </c>
      <c r="G6448" t="s" s="10">
        <v>40</v>
      </c>
      <c r="H6448" s="42">
        <v>0.39</v>
      </c>
      <c r="I6448" t="s" s="42">
        <v>30</v>
      </c>
      <c r="J6448" t="s" s="10">
        <v>32354</v>
      </c>
      <c r="K6448" t="s" s="10">
        <v>32355</v>
      </c>
      <c r="L6448" s="16">
        <f>HYPERLINK("http://www.safiosolutions.com", "www.safiosolutions.com")</f>
      </c>
      <c r="M6448" s="16">
        <f>HYPERLINK("https://my.pitchbook.com?c=226346-95", "View Company Online")</f>
      </c>
    </row>
    <row r="6449">
      <c r="A6449" t="s" s="11">
        <v>32357</v>
      </c>
      <c r="B6449" t="s" s="11">
        <v>32358</v>
      </c>
      <c r="C6449" t="s" s="11">
        <v>60</v>
      </c>
      <c r="D6449" t="s" s="11">
        <v>727</v>
      </c>
      <c r="E6449" t="s" s="11">
        <v>2782</v>
      </c>
      <c r="F6449" s="28">
        <v>46062</v>
      </c>
      <c r="G6449" t="s" s="11">
        <v>4267</v>
      </c>
      <c r="H6449" s="43">
        <v>15.2</v>
      </c>
      <c r="I6449" t="s" s="43">
        <v>30</v>
      </c>
      <c r="J6449" t="s" s="11">
        <v>32359</v>
      </c>
      <c r="K6449" t="s" s="11">
        <v>32360</v>
      </c>
      <c r="L6449" s="17">
        <f>HYPERLINK("http://www.safqah.co", "www.safqah.co")</f>
      </c>
      <c r="M6449" s="17">
        <f>HYPERLINK("https://my.pitchbook.com?c=1241196-85", "View Company Online")</f>
      </c>
    </row>
    <row r="6450">
      <c r="A6450" t="s" s="10">
        <v>32362</v>
      </c>
      <c r="B6450" t="s" s="10">
        <v>32363</v>
      </c>
      <c r="C6450" t="s" s="10">
        <v>60</v>
      </c>
      <c r="D6450" t="s" s="10">
        <v>192</v>
      </c>
      <c r="E6450" t="s" s="10">
        <v>29</v>
      </c>
      <c r="F6450" s="27">
        <v>45980</v>
      </c>
      <c r="G6450" t="s" s="10">
        <v>4267</v>
      </c>
      <c r="H6450" s="42">
        <v>1</v>
      </c>
      <c r="I6450" t="s" s="42">
        <v>30</v>
      </c>
      <c r="J6450" t="s" s="10">
        <v>32364</v>
      </c>
      <c r="K6450" t="s" s="10">
        <v>32365</v>
      </c>
      <c r="L6450" s="16">
        <f>HYPERLINK("http://www.sahmalgo.com", "www.sahmalgo.com")</f>
      </c>
      <c r="M6450" s="16">
        <f>HYPERLINK("https://my.pitchbook.com?c=819984-79", "View Company Online")</f>
      </c>
    </row>
    <row r="6451">
      <c r="A6451" t="s" s="11">
        <v>32367</v>
      </c>
      <c r="B6451" t="s" s="11">
        <v>32368</v>
      </c>
      <c r="C6451" t="s" s="11">
        <v>60</v>
      </c>
      <c r="D6451" t="s" s="11">
        <v>246</v>
      </c>
      <c r="E6451" t="s" s="11">
        <v>32369</v>
      </c>
      <c r="F6451" s="28">
        <v>46147</v>
      </c>
      <c r="G6451" t="s" s="11">
        <v>2051</v>
      </c>
      <c r="H6451" t="s" s="43">
        <v>30</v>
      </c>
      <c r="I6451" t="s" s="43">
        <v>30</v>
      </c>
      <c r="J6451" t="s" s="11">
        <v>32370</v>
      </c>
      <c r="K6451" t="s" s="11">
        <v>30</v>
      </c>
      <c r="L6451" s="17">
        <f>HYPERLINK("http://sail.money", "sail.money")</f>
      </c>
      <c r="M6451" s="17">
        <f>HYPERLINK("https://my.pitchbook.com?c=640477-99", "View Company Online")</f>
      </c>
    </row>
    <row r="6452">
      <c r="A6452" t="s" s="10">
        <v>32372</v>
      </c>
      <c r="B6452" t="s" s="10">
        <v>32373</v>
      </c>
      <c r="C6452" t="s" s="10">
        <v>60</v>
      </c>
      <c r="D6452" t="s" s="10">
        <v>192</v>
      </c>
      <c r="E6452" t="s" s="10">
        <v>4803</v>
      </c>
      <c r="F6452" s="27">
        <v>46104</v>
      </c>
      <c r="G6452" t="s" s="10">
        <v>607</v>
      </c>
      <c r="H6452" t="s" s="42">
        <v>30</v>
      </c>
      <c r="I6452" t="s" s="42">
        <v>30</v>
      </c>
      <c r="J6452" t="s" s="10">
        <v>32374</v>
      </c>
      <c r="K6452" t="s" s="10">
        <v>32375</v>
      </c>
      <c r="L6452" s="16">
        <f>HYPERLINK("http://www.savewithsail.com", "www.savewithsail.com")</f>
      </c>
      <c r="M6452" s="16">
        <f>HYPERLINK("https://my.pitchbook.com?c=608713-75", "View Company Online")</f>
      </c>
    </row>
    <row r="6453">
      <c r="A6453" t="s" s="11">
        <v>32377</v>
      </c>
      <c r="B6453" t="s" s="11">
        <v>32378</v>
      </c>
      <c r="C6453" t="s" s="11">
        <v>46</v>
      </c>
      <c r="D6453" t="s" s="11">
        <v>78</v>
      </c>
      <c r="E6453" t="s" s="11">
        <v>253</v>
      </c>
      <c r="F6453" t="s" s="28">
        <v>30</v>
      </c>
      <c r="G6453" t="s" s="11">
        <v>607</v>
      </c>
      <c r="H6453" t="s" s="43">
        <v>30</v>
      </c>
      <c r="I6453" t="s" s="43">
        <v>30</v>
      </c>
      <c r="J6453" t="s" s="11">
        <v>32379</v>
      </c>
      <c r="K6453" t="s" s="11">
        <v>32380</v>
      </c>
      <c r="L6453" s="17">
        <f>HYPERLINK("http://www.salarium.ro", "www.salarium.ro")</f>
      </c>
      <c r="M6453" s="17">
        <f>HYPERLINK("https://my.pitchbook.com?c=491778-10", "View Company Online")</f>
      </c>
    </row>
    <row r="6454">
      <c r="A6454" t="s" s="10">
        <v>32382</v>
      </c>
      <c r="B6454" t="s" s="10">
        <v>32383</v>
      </c>
      <c r="C6454" t="s" s="10">
        <v>114</v>
      </c>
      <c r="D6454" t="s" s="10">
        <v>136</v>
      </c>
      <c r="E6454" t="s" s="10">
        <v>137</v>
      </c>
      <c r="F6454" s="27">
        <v>46043</v>
      </c>
      <c r="G6454" t="s" s="10">
        <v>31</v>
      </c>
      <c r="H6454" s="42">
        <v>618.54</v>
      </c>
      <c r="I6454" t="s" s="42">
        <v>30</v>
      </c>
      <c r="J6454" t="s" s="10">
        <v>32384</v>
      </c>
      <c r="K6454" t="s" s="10">
        <v>32385</v>
      </c>
      <c r="L6454" s="16">
        <f>HYPERLINK("http://www.salaryfinance.com", "www.salaryfinance.com")</f>
      </c>
      <c r="M6454" s="16">
        <f>HYPERLINK("https://my.pitchbook.com?c=133085-35", "View Company Online")</f>
      </c>
    </row>
    <row r="6455">
      <c r="A6455" t="s" s="11">
        <v>32387</v>
      </c>
      <c r="B6455" t="s" s="11">
        <v>32388</v>
      </c>
      <c r="C6455" t="s" s="11">
        <v>46</v>
      </c>
      <c r="D6455" t="s" s="11">
        <v>78</v>
      </c>
      <c r="E6455" t="s" s="11">
        <v>193</v>
      </c>
      <c r="F6455" s="28">
        <v>45566</v>
      </c>
      <c r="G6455" t="s" s="11">
        <v>146</v>
      </c>
      <c r="H6455" t="s" s="43">
        <v>30</v>
      </c>
      <c r="I6455" t="s" s="43">
        <v>30</v>
      </c>
      <c r="J6455" t="s" s="11">
        <v>32389</v>
      </c>
      <c r="K6455" t="s" s="11">
        <v>32390</v>
      </c>
      <c r="L6455" s="17">
        <f>HYPERLINK("http://www.salary-hero.com", "www.salary-hero.com")</f>
      </c>
      <c r="M6455" s="17">
        <f>HYPERLINK("https://my.pitchbook.com?c=494678-71", "View Company Online")</f>
      </c>
    </row>
    <row r="6456">
      <c r="A6456" t="s" s="10">
        <v>32392</v>
      </c>
      <c r="B6456" t="s" s="10">
        <v>32393</v>
      </c>
      <c r="C6456" t="s" s="10">
        <v>164</v>
      </c>
      <c r="D6456" t="s" s="10">
        <v>206</v>
      </c>
      <c r="E6456" t="s" s="10">
        <v>137</v>
      </c>
      <c r="F6456" s="27">
        <v>46082</v>
      </c>
      <c r="G6456" t="s" s="10">
        <v>146</v>
      </c>
      <c r="H6456" t="s" s="42">
        <v>30</v>
      </c>
      <c r="I6456" t="s" s="42">
        <v>30</v>
      </c>
      <c r="J6456" t="s" s="10">
        <v>32394</v>
      </c>
      <c r="K6456" t="s" s="10">
        <v>32395</v>
      </c>
      <c r="L6456" s="16">
        <f>HYPERLINK("http://www.saldi.tech", "www.saldi.tech")</f>
      </c>
      <c r="M6456" s="16">
        <f>HYPERLINK("https://my.pitchbook.com?c=1325838-79", "View Company Online")</f>
      </c>
    </row>
    <row r="6457">
      <c r="A6457" t="s" s="11">
        <v>32397</v>
      </c>
      <c r="B6457" t="s" s="11">
        <v>32398</v>
      </c>
      <c r="C6457" t="s" s="11">
        <v>27</v>
      </c>
      <c r="D6457" t="s" s="11">
        <v>28</v>
      </c>
      <c r="E6457" t="s" s="11">
        <v>6240</v>
      </c>
      <c r="F6457" s="28">
        <v>45349</v>
      </c>
      <c r="G6457" t="s" s="11">
        <v>391</v>
      </c>
      <c r="H6457" t="s" s="43">
        <v>30</v>
      </c>
      <c r="I6457" t="s" s="43">
        <v>30</v>
      </c>
      <c r="J6457" t="s" s="11">
        <v>32399</v>
      </c>
      <c r="K6457" t="s" s="11">
        <v>30</v>
      </c>
      <c r="L6457" s="17">
        <f>HYPERLINK("http://www.salescloud.is", "www.salescloud.is")</f>
      </c>
      <c r="M6457" s="17">
        <f>HYPERLINK("https://my.pitchbook.com?c=492598-63", "View Company Online")</f>
      </c>
    </row>
    <row r="6458">
      <c r="A6458" t="s" s="10">
        <v>32401</v>
      </c>
      <c r="B6458" t="s" s="10">
        <v>32402</v>
      </c>
      <c r="C6458" t="s" s="10">
        <v>27</v>
      </c>
      <c r="D6458" t="s" s="10">
        <v>28</v>
      </c>
      <c r="E6458" t="s" s="10">
        <v>973</v>
      </c>
      <c r="F6458" s="27">
        <v>45931</v>
      </c>
      <c r="G6458" t="s" s="10">
        <v>146</v>
      </c>
      <c r="H6458" t="s" s="42">
        <v>30</v>
      </c>
      <c r="I6458" t="s" s="42">
        <v>30</v>
      </c>
      <c r="J6458" t="s" s="10">
        <v>32403</v>
      </c>
      <c r="K6458" t="s" s="10">
        <v>32404</v>
      </c>
      <c r="L6458" s="16">
        <f>HYPERLINK("http://salesfine.co", "salesfine.co")</f>
      </c>
      <c r="M6458" s="16">
        <f>HYPERLINK("https://my.pitchbook.com?c=645595-30", "View Company Online")</f>
      </c>
    </row>
    <row r="6459">
      <c r="A6459" t="s" s="11">
        <v>32406</v>
      </c>
      <c r="B6459" t="s" s="11">
        <v>32407</v>
      </c>
      <c r="C6459" t="s" s="11">
        <v>60</v>
      </c>
      <c r="D6459" t="s" s="11">
        <v>420</v>
      </c>
      <c r="E6459" t="s" s="11">
        <v>137</v>
      </c>
      <c r="F6459" s="28">
        <v>44635</v>
      </c>
      <c r="G6459" t="s" s="11">
        <v>146</v>
      </c>
      <c r="H6459" s="43">
        <v>12</v>
      </c>
      <c r="I6459" t="s" s="43">
        <v>30</v>
      </c>
      <c r="J6459" t="s" s="11">
        <v>32408</v>
      </c>
      <c r="K6459" t="s" s="11">
        <v>32409</v>
      </c>
      <c r="L6459" s="17">
        <f>HYPERLINK("http://www.sallus.com", "www.sallus.com")</f>
      </c>
      <c r="M6459" s="17">
        <f>HYPERLINK("https://my.pitchbook.com?c=481671-28", "View Company Online")</f>
      </c>
    </row>
    <row r="6460">
      <c r="A6460" t="s" s="10">
        <v>32411</v>
      </c>
      <c r="B6460" t="s" s="10">
        <v>32412</v>
      </c>
      <c r="C6460" t="s" s="10">
        <v>46</v>
      </c>
      <c r="D6460" t="s" s="10">
        <v>78</v>
      </c>
      <c r="E6460" t="s" s="10">
        <v>116</v>
      </c>
      <c r="F6460" s="27">
        <v>46143</v>
      </c>
      <c r="G6460" t="s" s="10">
        <v>607</v>
      </c>
      <c r="H6460" t="s" s="42">
        <v>30</v>
      </c>
      <c r="I6460" t="s" s="42">
        <v>30</v>
      </c>
      <c r="J6460" t="s" s="10">
        <v>32413</v>
      </c>
      <c r="K6460" t="s" s="10">
        <v>32414</v>
      </c>
      <c r="L6460" s="16">
        <f>HYPERLINK("http://www.meet-sally.com", "www.meet-sally.com")</f>
      </c>
      <c r="M6460" s="16">
        <f>HYPERLINK("https://my.pitchbook.com?c=558071-29", "View Company Online")</f>
      </c>
    </row>
    <row r="6461">
      <c r="A6461" t="s" s="11">
        <v>32416</v>
      </c>
      <c r="B6461" t="s" s="11">
        <v>32417</v>
      </c>
      <c r="C6461" t="s" s="11">
        <v>37</v>
      </c>
      <c r="D6461" t="s" s="11">
        <v>304</v>
      </c>
      <c r="E6461" t="s" s="11">
        <v>116</v>
      </c>
      <c r="F6461" s="28">
        <v>46132</v>
      </c>
      <c r="G6461" t="s" s="11">
        <v>40</v>
      </c>
      <c r="H6461" s="43">
        <v>60</v>
      </c>
      <c r="I6461" t="s" s="43">
        <v>30</v>
      </c>
      <c r="J6461" t="s" s="11">
        <v>32418</v>
      </c>
      <c r="K6461" t="s" s="11">
        <v>32419</v>
      </c>
      <c r="L6461" s="17">
        <f>HYPERLINK("http://salmon.group", "salmon.group")</f>
      </c>
      <c r="M6461" s="17">
        <f>HYPERLINK("https://my.pitchbook.com?c=512155-27", "View Company Online")</f>
      </c>
    </row>
    <row r="6462">
      <c r="A6462" t="s" s="10">
        <v>32421</v>
      </c>
      <c r="B6462" t="s" s="10">
        <v>32422</v>
      </c>
      <c r="C6462" t="s" s="10">
        <v>114</v>
      </c>
      <c r="D6462" t="s" s="10">
        <v>1386</v>
      </c>
      <c r="E6462" t="s" s="10">
        <v>137</v>
      </c>
      <c r="F6462" s="27">
        <v>45565</v>
      </c>
      <c r="G6462" t="s" s="10">
        <v>607</v>
      </c>
      <c r="H6462" t="s" s="42">
        <v>30</v>
      </c>
      <c r="I6462" t="s" s="42">
        <v>30</v>
      </c>
      <c r="J6462" t="s" s="10">
        <v>32423</v>
      </c>
      <c r="K6462" t="s" s="10">
        <v>32424</v>
      </c>
      <c r="L6462" s="16">
        <f>HYPERLINK("http://www.salusfintech.com", "www.salusfintech.com")</f>
      </c>
      <c r="M6462" s="16">
        <f>HYPERLINK("https://my.pitchbook.com?c=513197-11", "View Company Online")</f>
      </c>
    </row>
    <row r="6463">
      <c r="A6463" t="s" s="11">
        <v>32426</v>
      </c>
      <c r="B6463" t="s" s="11">
        <v>32427</v>
      </c>
      <c r="C6463" t="s" s="11">
        <v>172</v>
      </c>
      <c r="D6463" t="s" s="11">
        <v>173</v>
      </c>
      <c r="E6463" t="s" s="11">
        <v>1207</v>
      </c>
      <c r="F6463" s="28">
        <v>45383</v>
      </c>
      <c r="G6463" t="s" s="11">
        <v>607</v>
      </c>
      <c r="H6463" t="s" s="43">
        <v>30</v>
      </c>
      <c r="I6463" t="s" s="43">
        <v>30</v>
      </c>
      <c r="J6463" t="s" s="11">
        <v>32428</v>
      </c>
      <c r="K6463" t="s" s="11">
        <v>32429</v>
      </c>
      <c r="L6463" s="17">
        <f>HYPERLINK("http://www.salv.com", "www.salv.com")</f>
      </c>
      <c r="M6463" s="17">
        <f>HYPERLINK("https://my.pitchbook.com?c=327166-75", "View Company Online")</f>
      </c>
    </row>
    <row r="6464">
      <c r="A6464" t="s" s="10">
        <v>32431</v>
      </c>
      <c r="B6464" t="s" s="10">
        <v>32432</v>
      </c>
      <c r="C6464" t="s" s="10">
        <v>37</v>
      </c>
      <c r="D6464" t="s" s="10">
        <v>38</v>
      </c>
      <c r="E6464" t="s" s="10">
        <v>2824</v>
      </c>
      <c r="F6464" s="27">
        <v>45510</v>
      </c>
      <c r="G6464" t="s" s="10">
        <v>2051</v>
      </c>
      <c r="H6464" t="s" s="42">
        <v>30</v>
      </c>
      <c r="I6464" t="s" s="42">
        <v>30</v>
      </c>
      <c r="J6464" t="s" s="10">
        <v>32433</v>
      </c>
      <c r="K6464" t="s" s="10">
        <v>30</v>
      </c>
      <c r="L6464" s="16">
        <f>HYPERLINK("http://www.samlinogroup.com", "www.samlinogroup.com")</f>
      </c>
      <c r="M6464" s="16">
        <f>HYPERLINK("https://my.pitchbook.com?c=157761-28", "View Company Online")</f>
      </c>
    </row>
    <row r="6465">
      <c r="A6465" t="s" s="11">
        <v>32435</v>
      </c>
      <c r="B6465" t="s" s="11">
        <v>32436</v>
      </c>
      <c r="C6465" t="s" s="11">
        <v>37</v>
      </c>
      <c r="D6465" t="s" s="11">
        <v>304</v>
      </c>
      <c r="E6465" t="s" s="11">
        <v>270</v>
      </c>
      <c r="F6465" s="28">
        <v>44621</v>
      </c>
      <c r="G6465" t="s" s="11">
        <v>64</v>
      </c>
      <c r="H6465" s="43">
        <v>497.46</v>
      </c>
      <c r="I6465" t="s" s="43">
        <v>30</v>
      </c>
      <c r="J6465" t="s" s="11">
        <v>32437</v>
      </c>
      <c r="K6465" t="s" s="11">
        <v>32438</v>
      </c>
      <c r="L6465" s="17">
        <f>HYPERLINK("http://www.smycloud.com", "www.smycloud.com")</f>
      </c>
      <c r="M6465" s="17">
        <f>HYPERLINK("https://my.pitchbook.com?c=179432-74", "View Company Online")</f>
      </c>
    </row>
    <row r="6466">
      <c r="A6466" t="s" s="10">
        <v>32440</v>
      </c>
      <c r="B6466" t="s" s="10">
        <v>32441</v>
      </c>
      <c r="C6466" t="s" s="10">
        <v>46</v>
      </c>
      <c r="D6466" t="s" s="10">
        <v>397</v>
      </c>
      <c r="E6466" t="s" s="10">
        <v>29</v>
      </c>
      <c r="F6466" s="27">
        <v>46036</v>
      </c>
      <c r="G6466" t="s" s="10">
        <v>607</v>
      </c>
      <c r="H6466" t="s" s="42">
        <v>30</v>
      </c>
      <c r="I6466" t="s" s="42">
        <v>30</v>
      </c>
      <c r="J6466" t="s" s="10">
        <v>32442</v>
      </c>
      <c r="K6466" t="s" s="10">
        <v>32443</v>
      </c>
      <c r="L6466" s="16">
        <f>HYPERLINK("http://sanadk.ai", "sanadk.ai")</f>
      </c>
      <c r="M6466" s="16">
        <f>HYPERLINK("https://my.pitchbook.com?c=1326644-20", "View Company Online")</f>
      </c>
    </row>
    <row r="6467">
      <c r="A6467" t="s" s="11">
        <v>32445</v>
      </c>
      <c r="B6467" t="s" s="11">
        <v>32446</v>
      </c>
      <c r="C6467" t="s" s="11">
        <v>222</v>
      </c>
      <c r="D6467" t="s" s="11">
        <v>223</v>
      </c>
      <c r="E6467" t="s" s="11">
        <v>137</v>
      </c>
      <c r="F6467" t="s" s="28">
        <v>30</v>
      </c>
      <c r="G6467" t="s" s="11">
        <v>4267</v>
      </c>
      <c r="H6467" s="43">
        <v>1.5</v>
      </c>
      <c r="I6467" t="s" s="43">
        <v>30</v>
      </c>
      <c r="J6467" t="s" s="11">
        <v>32447</v>
      </c>
      <c r="K6467" t="s" s="11">
        <v>21524</v>
      </c>
      <c r="L6467" s="17">
        <f>HYPERLINK("http://www.sandiainsights.com", "www.sandiainsights.com")</f>
      </c>
      <c r="M6467" s="17">
        <f>HYPERLINK("https://my.pitchbook.com?c=820768-24", "View Company Online")</f>
      </c>
    </row>
    <row r="6468">
      <c r="A6468" t="s" s="10">
        <v>32449</v>
      </c>
      <c r="B6468" t="s" s="10">
        <v>32450</v>
      </c>
      <c r="C6468" t="s" s="10">
        <v>46</v>
      </c>
      <c r="D6468" t="s" s="10">
        <v>47</v>
      </c>
      <c r="E6468" t="s" s="10">
        <v>493</v>
      </c>
      <c r="F6468" t="s" s="27">
        <v>30</v>
      </c>
      <c r="G6468" t="s" s="10">
        <v>271</v>
      </c>
      <c r="H6468" s="42">
        <v>0.52</v>
      </c>
      <c r="I6468" t="s" s="42">
        <v>30</v>
      </c>
      <c r="J6468" t="s" s="10">
        <v>32451</v>
      </c>
      <c r="K6468" t="s" s="10">
        <v>19241</v>
      </c>
      <c r="L6468" s="16">
        <f>HYPERLINK("http://sanifu.ai", "sanifu.ai")</f>
      </c>
      <c r="M6468" s="16">
        <f>HYPERLINK("https://my.pitchbook.com?c=501485-86", "View Company Online")</f>
      </c>
    </row>
    <row r="6469">
      <c r="A6469" t="s" s="11">
        <v>32453</v>
      </c>
      <c r="B6469" t="s" s="11">
        <v>32454</v>
      </c>
      <c r="C6469" t="s" s="11">
        <v>144</v>
      </c>
      <c r="D6469" t="s" s="11">
        <v>297</v>
      </c>
      <c r="E6469" t="s" s="11">
        <v>859</v>
      </c>
      <c r="F6469" s="28">
        <v>45806</v>
      </c>
      <c r="G6469" t="s" s="11">
        <v>146</v>
      </c>
      <c r="H6469" t="s" s="43">
        <v>30</v>
      </c>
      <c r="I6469" t="s" s="43">
        <v>30</v>
      </c>
      <c r="J6469" t="s" s="11">
        <v>32455</v>
      </c>
      <c r="K6469" t="s" s="11">
        <v>32456</v>
      </c>
      <c r="L6469" s="17">
        <f>HYPERLINK("http://sansbank.io", "sansbank.io")</f>
      </c>
      <c r="M6469" s="17">
        <f>HYPERLINK("https://my.pitchbook.com?c=622017-73", "View Company Online")</f>
      </c>
    </row>
    <row r="6470">
      <c r="A6470" t="s" s="10">
        <v>32458</v>
      </c>
      <c r="B6470" t="s" s="10">
        <v>32459</v>
      </c>
      <c r="C6470" t="s" s="10">
        <v>27</v>
      </c>
      <c r="D6470" t="s" s="10">
        <v>28</v>
      </c>
      <c r="E6470" t="s" s="10">
        <v>414</v>
      </c>
      <c r="F6470" s="27">
        <v>46065</v>
      </c>
      <c r="G6470" t="s" s="10">
        <v>4267</v>
      </c>
      <c r="H6470" s="42">
        <v>7.6</v>
      </c>
      <c r="I6470" t="s" s="42">
        <v>30</v>
      </c>
      <c r="J6470" t="s" s="10">
        <v>32460</v>
      </c>
      <c r="K6470" t="s" s="10">
        <v>32461</v>
      </c>
      <c r="L6470" s="16">
        <f>HYPERLINK("http://www.santehq.com", "www.santehq.com")</f>
      </c>
      <c r="M6470" s="16">
        <f>HYPERLINK("https://my.pitchbook.com?c=534525-76", "View Company Online")</f>
      </c>
    </row>
    <row r="6471">
      <c r="A6471" t="s" s="11">
        <v>32463</v>
      </c>
      <c r="B6471" t="s" s="11">
        <v>32464</v>
      </c>
      <c r="C6471" t="s" s="11">
        <v>60</v>
      </c>
      <c r="D6471" t="s" s="11">
        <v>61</v>
      </c>
      <c r="E6471" t="s" s="11">
        <v>137</v>
      </c>
      <c r="F6471" s="28">
        <v>45013</v>
      </c>
      <c r="G6471" t="s" s="11">
        <v>4267</v>
      </c>
      <c r="H6471" s="43">
        <v>2.5</v>
      </c>
      <c r="I6471" t="s" s="43">
        <v>30</v>
      </c>
      <c r="J6471" t="s" s="11">
        <v>32465</v>
      </c>
      <c r="K6471" t="s" s="11">
        <v>32466</v>
      </c>
      <c r="L6471" s="17">
        <f>HYPERLINK("http://www.sarnafinance.com", "www.sarnafinance.com")</f>
      </c>
      <c r="M6471" s="17">
        <f>HYPERLINK("https://my.pitchbook.com?c=522379-99", "View Company Online")</f>
      </c>
    </row>
    <row r="6472">
      <c r="A6472" t="s" s="10">
        <v>32468</v>
      </c>
      <c r="B6472" t="s" s="10">
        <v>32469</v>
      </c>
      <c r="C6472" t="s" s="10">
        <v>222</v>
      </c>
      <c r="D6472" t="s" s="10">
        <v>252</v>
      </c>
      <c r="E6472" t="s" s="10">
        <v>253</v>
      </c>
      <c r="F6472" s="27">
        <v>45013</v>
      </c>
      <c r="G6472" t="s" s="10">
        <v>4267</v>
      </c>
      <c r="H6472" s="42">
        <v>2.5</v>
      </c>
      <c r="I6472" t="s" s="42">
        <v>30</v>
      </c>
      <c r="J6472" t="s" s="10">
        <v>32470</v>
      </c>
      <c r="K6472" t="s" s="10">
        <v>32471</v>
      </c>
      <c r="L6472" s="16">
        <f>HYPERLINK("http://www.sarna.io", "www.sarna.io")</f>
      </c>
      <c r="M6472" s="16">
        <f>HYPERLINK("https://my.pitchbook.com?c=522378-10", "View Company Online")</f>
      </c>
    </row>
    <row r="6473">
      <c r="A6473" t="s" s="11">
        <v>32473</v>
      </c>
      <c r="B6473" t="s" s="11">
        <v>32474</v>
      </c>
      <c r="C6473" t="s" s="11">
        <v>60</v>
      </c>
      <c r="D6473" t="s" s="11">
        <v>246</v>
      </c>
      <c r="E6473" t="s" s="11">
        <v>193</v>
      </c>
      <c r="F6473" s="28">
        <v>45274</v>
      </c>
      <c r="G6473" t="s" s="11">
        <v>607</v>
      </c>
      <c r="H6473" t="s" s="43">
        <v>30</v>
      </c>
      <c r="I6473" t="s" s="43">
        <v>30</v>
      </c>
      <c r="J6473" t="s" s="11">
        <v>32475</v>
      </c>
      <c r="K6473" t="s" s="11">
        <v>32476</v>
      </c>
      <c r="L6473" s="17">
        <f>HYPERLINK("http://www.sarwa.co", "www.sarwa.co")</f>
      </c>
      <c r="M6473" s="17">
        <f>HYPERLINK("https://my.pitchbook.com?c=227053-27", "View Company Online")</f>
      </c>
    </row>
    <row r="6474">
      <c r="A6474" t="s" s="10">
        <v>32478</v>
      </c>
      <c r="B6474" t="s" s="10">
        <v>32479</v>
      </c>
      <c r="C6474" t="s" s="10">
        <v>27</v>
      </c>
      <c r="D6474" t="s" s="10">
        <v>70</v>
      </c>
      <c r="E6474" t="s" s="10">
        <v>859</v>
      </c>
      <c r="F6474" t="s" s="27">
        <v>30</v>
      </c>
      <c r="G6474" t="s" s="10">
        <v>48</v>
      </c>
      <c r="H6474" t="s" s="42">
        <v>30</v>
      </c>
      <c r="I6474" t="s" s="42">
        <v>30</v>
      </c>
      <c r="J6474" t="s" s="10">
        <v>32480</v>
      </c>
      <c r="K6474" t="s" s="10">
        <v>30</v>
      </c>
      <c r="L6474" s="16">
        <f>HYPERLINK("http://www.saturnx.money", "www.saturnx.money")</f>
      </c>
      <c r="M6474" s="16">
        <f>HYPERLINK("https://my.pitchbook.com?c=865729-81", "View Company Online")</f>
      </c>
    </row>
    <row r="6475">
      <c r="A6475" t="s" s="11">
        <v>32482</v>
      </c>
      <c r="B6475" t="s" s="11">
        <v>32483</v>
      </c>
      <c r="C6475" t="s" s="11">
        <v>60</v>
      </c>
      <c r="D6475" t="s" s="11">
        <v>432</v>
      </c>
      <c r="E6475" t="s" s="11">
        <v>2695</v>
      </c>
      <c r="F6475" s="28">
        <v>45971</v>
      </c>
      <c r="G6475" t="s" s="11">
        <v>4267</v>
      </c>
      <c r="H6475" t="s" s="43">
        <v>30</v>
      </c>
      <c r="I6475" t="s" s="43">
        <v>30</v>
      </c>
      <c r="J6475" t="s" s="11">
        <v>32484</v>
      </c>
      <c r="K6475" t="s" s="11">
        <v>32485</v>
      </c>
      <c r="L6475" s="17">
        <f>HYPERLINK("http://www.savahq.com", "www.savahq.com")</f>
      </c>
      <c r="M6475" s="17">
        <f>HYPERLINK("https://my.pitchbook.com?c=1153812-43", "View Company Online")</f>
      </c>
    </row>
    <row r="6476">
      <c r="A6476" t="s" s="10">
        <v>32487</v>
      </c>
      <c r="B6476" t="s" s="10">
        <v>32488</v>
      </c>
      <c r="C6476" t="s" s="10">
        <v>46</v>
      </c>
      <c r="D6476" t="s" s="10">
        <v>47</v>
      </c>
      <c r="E6476" t="s" s="10">
        <v>373</v>
      </c>
      <c r="F6476" t="s" s="27">
        <v>30</v>
      </c>
      <c r="G6476" t="s" s="10">
        <v>607</v>
      </c>
      <c r="H6476" s="42">
        <v>0.03</v>
      </c>
      <c r="I6476" t="s" s="42">
        <v>30</v>
      </c>
      <c r="J6476" t="s" s="10">
        <v>32489</v>
      </c>
      <c r="K6476" t="s" s="10">
        <v>32490</v>
      </c>
      <c r="L6476" s="16">
        <f>HYPERLINK("http://www.sava.africa", "www.sava.africa")</f>
      </c>
      <c r="M6476" s="16">
        <f>HYPERLINK("https://my.pitchbook.com?c=493619-14", "View Company Online")</f>
      </c>
    </row>
    <row r="6477">
      <c r="A6477" t="s" s="11">
        <v>32492</v>
      </c>
      <c r="B6477" t="s" s="11">
        <v>32493</v>
      </c>
      <c r="C6477" t="s" s="11">
        <v>37</v>
      </c>
      <c r="D6477" t="s" s="11">
        <v>38</v>
      </c>
      <c r="E6477" t="s" s="11">
        <v>270</v>
      </c>
      <c r="F6477" s="28">
        <v>45910</v>
      </c>
      <c r="G6477" t="s" s="11">
        <v>40</v>
      </c>
      <c r="H6477" t="s" s="43">
        <v>30</v>
      </c>
      <c r="I6477" t="s" s="43">
        <v>30</v>
      </c>
      <c r="J6477" t="s" s="11">
        <v>32494</v>
      </c>
      <c r="K6477" t="s" s="11">
        <v>32495</v>
      </c>
      <c r="L6477" s="17">
        <f>HYPERLINK("http://www.joinsave.com", "www.joinsave.com")</f>
      </c>
      <c r="M6477" s="17">
        <f>HYPERLINK("https://my.pitchbook.com?c=439062-85", "View Company Online")</f>
      </c>
    </row>
    <row r="6478">
      <c r="A6478" t="s" s="10">
        <v>32497</v>
      </c>
      <c r="B6478" t="s" s="10">
        <v>32498</v>
      </c>
      <c r="C6478" t="s" s="10">
        <v>60</v>
      </c>
      <c r="D6478" t="s" s="10">
        <v>727</v>
      </c>
      <c r="E6478" t="s" s="10">
        <v>137</v>
      </c>
      <c r="F6478" s="27">
        <v>45785</v>
      </c>
      <c r="G6478" t="s" s="10">
        <v>4267</v>
      </c>
      <c r="H6478" s="42">
        <v>2.5</v>
      </c>
      <c r="I6478" t="s" s="42">
        <v>30</v>
      </c>
      <c r="J6478" t="s" s="10">
        <v>32499</v>
      </c>
      <c r="K6478" t="s" s="10">
        <v>32500</v>
      </c>
      <c r="L6478" s="16">
        <f>HYPERLINK("http://www.savea.com", "www.savea.com")</f>
      </c>
      <c r="M6478" s="16">
        <f>HYPERLINK("https://my.pitchbook.com?c=820431-55", "View Company Online")</f>
      </c>
    </row>
    <row r="6479">
      <c r="A6479" t="s" s="11">
        <v>32502</v>
      </c>
      <c r="B6479" t="s" s="11">
        <v>32503</v>
      </c>
      <c r="C6479" t="s" s="11">
        <v>60</v>
      </c>
      <c r="D6479" t="s" s="11">
        <v>420</v>
      </c>
      <c r="E6479" t="s" s="11">
        <v>253</v>
      </c>
      <c r="F6479" s="28">
        <v>43495</v>
      </c>
      <c r="G6479" t="s" s="11">
        <v>607</v>
      </c>
      <c r="H6479" s="43">
        <v>0.25</v>
      </c>
      <c r="I6479" t="s" s="43">
        <v>30</v>
      </c>
      <c r="J6479" t="s" s="11">
        <v>32504</v>
      </c>
      <c r="K6479" t="s" s="11">
        <v>32505</v>
      </c>
      <c r="L6479" s="17">
        <f>HYPERLINK("http://www.saveday.com", "www.saveday.com")</f>
      </c>
      <c r="M6479" s="17">
        <f>HYPERLINK("https://my.pitchbook.com?c=166435-75", "View Company Online")</f>
      </c>
    </row>
    <row r="6480">
      <c r="A6480" t="s" s="10">
        <v>32507</v>
      </c>
      <c r="B6480" t="s" s="10">
        <v>32508</v>
      </c>
      <c r="C6480" t="s" s="10">
        <v>114</v>
      </c>
      <c r="D6480" t="s" s="10">
        <v>136</v>
      </c>
      <c r="E6480" t="s" s="10">
        <v>32509</v>
      </c>
      <c r="F6480" s="27">
        <v>45770</v>
      </c>
      <c r="G6480" t="s" s="10">
        <v>40</v>
      </c>
      <c r="H6480" s="42">
        <v>4.3</v>
      </c>
      <c r="I6480" t="s" s="42">
        <v>30</v>
      </c>
      <c r="J6480" t="s" s="10">
        <v>32510</v>
      </c>
      <c r="K6480" t="s" s="10">
        <v>32511</v>
      </c>
      <c r="L6480" s="16">
        <f>HYPERLINK("http://www.savein.money", "www.savein.money")</f>
      </c>
      <c r="M6480" s="16">
        <f>HYPERLINK("https://my.pitchbook.com?c=466686-73", "View Company Online")</f>
      </c>
    </row>
    <row r="6481">
      <c r="A6481" t="s" s="11">
        <v>32513</v>
      </c>
      <c r="B6481" t="s" s="11">
        <v>32514</v>
      </c>
      <c r="C6481" t="s" s="11">
        <v>60</v>
      </c>
      <c r="D6481" t="s" s="11">
        <v>246</v>
      </c>
      <c r="E6481" t="s" s="11">
        <v>253</v>
      </c>
      <c r="F6481" s="28">
        <v>46200</v>
      </c>
      <c r="G6481" t="s" s="11">
        <v>2051</v>
      </c>
      <c r="H6481" t="s" s="43">
        <v>30</v>
      </c>
      <c r="I6481" t="s" s="43">
        <v>30</v>
      </c>
      <c r="J6481" t="s" s="11">
        <v>32515</v>
      </c>
      <c r="K6481" t="s" s="11">
        <v>30</v>
      </c>
      <c r="L6481" s="17">
        <f>HYPERLINK("http://www.savle.net", "www.savle.net")</f>
      </c>
      <c r="M6481" s="17">
        <f>HYPERLINK("https://my.pitchbook.com?c=470818-63", "View Company Online")</f>
      </c>
    </row>
    <row r="6482">
      <c r="A6482" t="s" s="10">
        <v>32517</v>
      </c>
      <c r="B6482" t="s" s="10">
        <v>32518</v>
      </c>
      <c r="C6482" t="s" s="10">
        <v>128</v>
      </c>
      <c r="D6482" t="s" s="10">
        <v>276</v>
      </c>
      <c r="E6482" t="s" s="10">
        <v>414</v>
      </c>
      <c r="F6482" s="27">
        <v>44672</v>
      </c>
      <c r="G6482" t="s" s="10">
        <v>4267</v>
      </c>
      <c r="H6482" s="42">
        <v>7.96</v>
      </c>
      <c r="I6482" t="s" s="42">
        <v>30</v>
      </c>
      <c r="J6482" t="s" s="10">
        <v>32519</v>
      </c>
      <c r="K6482" t="s" s="10">
        <v>30</v>
      </c>
      <c r="L6482" s="16">
        <f>HYPERLINK("http://www.savvii.ca", "www.savvii.ca")</f>
      </c>
      <c r="M6482" s="16">
        <f>HYPERLINK("https://my.pitchbook.com?c=495607-24", "View Company Online")</f>
      </c>
    </row>
    <row r="6483">
      <c r="A6483" t="s" s="11">
        <v>32521</v>
      </c>
      <c r="B6483" t="s" s="11">
        <v>32522</v>
      </c>
      <c r="C6483" t="s" s="11">
        <v>114</v>
      </c>
      <c r="D6483" t="s" s="11">
        <v>1386</v>
      </c>
      <c r="E6483" t="s" s="11">
        <v>32523</v>
      </c>
      <c r="F6483" s="28">
        <v>44832</v>
      </c>
      <c r="G6483" t="s" s="11">
        <v>607</v>
      </c>
      <c r="H6483" t="s" s="43">
        <v>30</v>
      </c>
      <c r="I6483" t="s" s="43">
        <v>30</v>
      </c>
      <c r="J6483" t="s" s="11">
        <v>32524</v>
      </c>
      <c r="K6483" t="s" s="11">
        <v>32525</v>
      </c>
      <c r="L6483" s="17">
        <f>HYPERLINK("http://www.savvyy.ai", "www.savvyy.ai")</f>
      </c>
      <c r="M6483" s="17">
        <f>HYPERLINK("https://my.pitchbook.com?c=225873-55", "View Company Online")</f>
      </c>
    </row>
    <row r="6484">
      <c r="A6484" t="s" s="10">
        <v>32527</v>
      </c>
      <c r="B6484" t="s" s="10">
        <v>32528</v>
      </c>
      <c r="C6484" t="s" s="10">
        <v>37</v>
      </c>
      <c r="D6484" t="s" s="10">
        <v>38</v>
      </c>
      <c r="E6484" t="s" s="10">
        <v>995</v>
      </c>
      <c r="F6484" t="s" s="27">
        <v>30</v>
      </c>
      <c r="G6484" t="s" s="10">
        <v>48</v>
      </c>
      <c r="H6484" t="s" s="42">
        <v>30</v>
      </c>
      <c r="I6484" t="s" s="42">
        <v>30</v>
      </c>
      <c r="J6484" t="s" s="10">
        <v>32529</v>
      </c>
      <c r="K6484" t="s" s="10">
        <v>32530</v>
      </c>
      <c r="L6484" s="16">
        <f>HYPERLINK("http://www.scallopx.com", "www.scallopx.com")</f>
      </c>
      <c r="M6484" s="16">
        <f>HYPERLINK("https://my.pitchbook.com?c=464283-37", "View Company Online")</f>
      </c>
    </row>
    <row r="6485">
      <c r="A6485" t="s" s="11">
        <v>32532</v>
      </c>
      <c r="B6485" t="s" s="11">
        <v>32533</v>
      </c>
      <c r="C6485" t="s" s="11">
        <v>46</v>
      </c>
      <c r="D6485" t="s" s="11">
        <v>915</v>
      </c>
      <c r="E6485" t="s" s="11">
        <v>137</v>
      </c>
      <c r="F6485" t="s" s="28">
        <v>30</v>
      </c>
      <c r="G6485" t="s" s="11">
        <v>146</v>
      </c>
      <c r="H6485" t="s" s="43">
        <v>30</v>
      </c>
      <c r="I6485" t="s" s="43">
        <v>30</v>
      </c>
      <c r="J6485" t="s" s="11">
        <v>32534</v>
      </c>
      <c r="K6485" t="s" s="11">
        <v>32535</v>
      </c>
      <c r="L6485" s="17">
        <f>HYPERLINK("http://www.scaylor.com", "www.scaylor.com")</f>
      </c>
      <c r="M6485" s="17">
        <f>HYPERLINK("https://my.pitchbook.com?c=739693-72", "View Company Online")</f>
      </c>
    </row>
    <row r="6486">
      <c r="A6486" t="s" s="10">
        <v>32537</v>
      </c>
      <c r="B6486" t="s" s="10">
        <v>32538</v>
      </c>
      <c r="C6486" t="s" s="10">
        <v>222</v>
      </c>
      <c r="D6486" t="s" s="10">
        <v>223</v>
      </c>
      <c r="E6486" t="s" s="10">
        <v>634</v>
      </c>
      <c r="F6486" s="27">
        <v>45993</v>
      </c>
      <c r="G6486" t="s" s="10">
        <v>607</v>
      </c>
      <c r="H6486" t="s" s="42">
        <v>30</v>
      </c>
      <c r="I6486" t="s" s="42">
        <v>30</v>
      </c>
      <c r="J6486" t="s" s="10">
        <v>32539</v>
      </c>
      <c r="K6486" t="s" s="10">
        <v>32540</v>
      </c>
      <c r="L6486" s="16">
        <f>HYPERLINK("http://www.scenario-x.ai", "www.scenario-x.ai")</f>
      </c>
      <c r="M6486" s="16">
        <f>HYPERLINK("https://my.pitchbook.com?c=523247-95", "View Company Online")</f>
      </c>
    </row>
    <row r="6487">
      <c r="A6487" t="s" s="11">
        <v>32542</v>
      </c>
      <c r="B6487" t="s" s="11">
        <v>32543</v>
      </c>
      <c r="C6487" t="s" s="11">
        <v>60</v>
      </c>
      <c r="D6487" t="s" s="11">
        <v>192</v>
      </c>
      <c r="E6487" t="s" s="11">
        <v>253</v>
      </c>
      <c r="F6487" s="28">
        <v>45589</v>
      </c>
      <c r="G6487" t="s" s="11">
        <v>607</v>
      </c>
      <c r="H6487" t="s" s="43">
        <v>30</v>
      </c>
      <c r="I6487" t="s" s="43">
        <v>30</v>
      </c>
      <c r="J6487" t="s" s="11">
        <v>32544</v>
      </c>
      <c r="K6487" t="s" s="11">
        <v>32545</v>
      </c>
      <c r="L6487" s="17">
        <f>HYPERLINK("http://scifincap.com", "scifincap.com")</f>
      </c>
      <c r="M6487" s="17">
        <f>HYPERLINK("https://my.pitchbook.com?c=465345-01", "View Company Online")</f>
      </c>
    </row>
    <row r="6488">
      <c r="A6488" t="s" s="10">
        <v>32547</v>
      </c>
      <c r="B6488" t="s" s="10">
        <v>32548</v>
      </c>
      <c r="C6488" t="s" s="10">
        <v>172</v>
      </c>
      <c r="D6488" t="s" s="10">
        <v>1454</v>
      </c>
      <c r="E6488" t="s" s="10">
        <v>759</v>
      </c>
      <c r="F6488" s="27">
        <v>43103</v>
      </c>
      <c r="G6488" t="s" s="10">
        <v>607</v>
      </c>
      <c r="H6488" t="s" s="42">
        <v>30</v>
      </c>
      <c r="I6488" t="s" s="42">
        <v>30</v>
      </c>
      <c r="J6488" t="s" s="10">
        <v>32549</v>
      </c>
      <c r="K6488" t="s" s="10">
        <v>32550</v>
      </c>
      <c r="L6488" s="16">
        <f>HYPERLINK("http://www.scorista.ru", "www.scorista.ru")</f>
      </c>
      <c r="M6488" s="16">
        <f>HYPERLINK("https://my.pitchbook.com?c=96988-51", "View Company Online")</f>
      </c>
    </row>
    <row r="6489">
      <c r="A6489" t="s" s="11">
        <v>32552</v>
      </c>
      <c r="B6489" t="s" s="11">
        <v>32553</v>
      </c>
      <c r="C6489" t="s" s="11">
        <v>144</v>
      </c>
      <c r="D6489" t="s" s="11">
        <v>297</v>
      </c>
      <c r="E6489" t="s" s="11">
        <v>137</v>
      </c>
      <c r="F6489" s="28">
        <v>45281</v>
      </c>
      <c r="G6489" t="s" s="11">
        <v>4267</v>
      </c>
      <c r="H6489" s="43">
        <v>0.5</v>
      </c>
      <c r="I6489" t="s" s="43">
        <v>30</v>
      </c>
      <c r="J6489" t="s" s="11">
        <v>32554</v>
      </c>
      <c r="K6489" t="s" s="11">
        <v>32555</v>
      </c>
      <c r="L6489" s="17">
        <f>HYPERLINK("http://www.scrambleup.com", "www.scrambleup.com")</f>
      </c>
      <c r="M6489" s="17">
        <f>HYPERLINK("https://my.pitchbook.com?c=491419-09", "View Company Online")</f>
      </c>
    </row>
    <row r="6490">
      <c r="A6490" t="s" s="10">
        <v>32557</v>
      </c>
      <c r="B6490" t="s" s="10">
        <v>32558</v>
      </c>
      <c r="C6490" t="s" s="10">
        <v>172</v>
      </c>
      <c r="D6490" t="s" s="10">
        <v>1454</v>
      </c>
      <c r="E6490" t="s" s="10">
        <v>32559</v>
      </c>
      <c r="F6490" s="27">
        <v>43252</v>
      </c>
      <c r="G6490" t="s" s="10">
        <v>607</v>
      </c>
      <c r="H6490" t="s" s="42">
        <v>30</v>
      </c>
      <c r="I6490" t="s" s="42">
        <v>30</v>
      </c>
      <c r="J6490" t="s" s="10">
        <v>32560</v>
      </c>
      <c r="K6490" t="s" s="10">
        <v>32561</v>
      </c>
      <c r="L6490" s="16">
        <f>HYPERLINK("http://nauphilus.io", "nauphilus.io")</f>
      </c>
      <c r="M6490" s="16">
        <f>HYPERLINK("https://my.pitchbook.com?c=343579-33", "View Company Online")</f>
      </c>
    </row>
    <row r="6491">
      <c r="A6491" t="s" s="11">
        <v>32563</v>
      </c>
      <c r="B6491" t="s" s="11">
        <v>32564</v>
      </c>
      <c r="C6491" t="s" s="11">
        <v>46</v>
      </c>
      <c r="D6491" t="s" s="11">
        <v>47</v>
      </c>
      <c r="E6491" t="s" s="11">
        <v>32565</v>
      </c>
      <c r="F6491" s="28">
        <v>46133</v>
      </c>
      <c r="G6491" t="s" s="11">
        <v>4267</v>
      </c>
      <c r="H6491" s="43">
        <v>8.73</v>
      </c>
      <c r="I6491" t="s" s="43">
        <v>30</v>
      </c>
      <c r="J6491" t="s" s="11">
        <v>32566</v>
      </c>
      <c r="K6491" t="s" s="11">
        <v>32567</v>
      </c>
      <c r="L6491" s="17">
        <f>HYPERLINK("http://www.seapoint.co", "www.seapoint.co")</f>
      </c>
      <c r="M6491" s="17">
        <f>HYPERLINK("https://my.pitchbook.com?c=791825-50", "View Company Online")</f>
      </c>
    </row>
    <row r="6492">
      <c r="A6492" t="s" s="10">
        <v>32569</v>
      </c>
      <c r="B6492" t="s" s="10">
        <v>32570</v>
      </c>
      <c r="C6492" t="s" s="10">
        <v>222</v>
      </c>
      <c r="D6492" t="s" s="10">
        <v>537</v>
      </c>
      <c r="E6492" t="s" s="10">
        <v>253</v>
      </c>
      <c r="F6492" s="27">
        <v>44972</v>
      </c>
      <c r="G6492" t="s" s="10">
        <v>4267</v>
      </c>
      <c r="H6492" t="s" s="42">
        <v>30</v>
      </c>
      <c r="I6492" t="s" s="42">
        <v>30</v>
      </c>
      <c r="J6492" t="s" s="10">
        <v>32571</v>
      </c>
      <c r="K6492" t="s" s="10">
        <v>32572</v>
      </c>
      <c r="L6492" s="16">
        <f>HYPERLINK("http://www.secondstax.com", "www.secondstax.com")</f>
      </c>
      <c r="M6492" s="16">
        <f>HYPERLINK("https://my.pitchbook.com?c=491029-48", "View Company Online")</f>
      </c>
    </row>
    <row r="6493">
      <c r="A6493" t="s" s="11">
        <v>32574</v>
      </c>
      <c r="B6493" t="s" s="11">
        <v>32575</v>
      </c>
      <c r="C6493" t="s" s="11">
        <v>27</v>
      </c>
      <c r="D6493" t="s" s="11">
        <v>28</v>
      </c>
      <c r="E6493" t="s" s="11">
        <v>29</v>
      </c>
      <c r="F6493" s="28">
        <v>46093</v>
      </c>
      <c r="G6493" t="s" s="11">
        <v>40</v>
      </c>
      <c r="H6493" s="43">
        <v>1.75</v>
      </c>
      <c r="I6493" t="s" s="43">
        <v>30</v>
      </c>
      <c r="J6493" t="s" s="11">
        <v>32576</v>
      </c>
      <c r="K6493" t="s" s="11">
        <v>30</v>
      </c>
      <c r="L6493" s="17">
        <f>HYPERLINK("http://www.securely.io", "www.securely.io")</f>
      </c>
      <c r="M6493" s="17">
        <f>HYPERLINK("https://my.pitchbook.com?c=718160-41", "View Company Online")</f>
      </c>
    </row>
    <row r="6494">
      <c r="A6494" t="s" s="10">
        <v>32578</v>
      </c>
      <c r="B6494" t="s" s="10">
        <v>32579</v>
      </c>
      <c r="C6494" t="s" s="10">
        <v>27</v>
      </c>
      <c r="D6494" t="s" s="10">
        <v>28</v>
      </c>
      <c r="E6494" t="s" s="10">
        <v>414</v>
      </c>
      <c r="F6494" s="27">
        <v>45796</v>
      </c>
      <c r="G6494" t="s" s="10">
        <v>40</v>
      </c>
      <c r="H6494" s="42">
        <v>6</v>
      </c>
      <c r="I6494" t="s" s="42">
        <v>30</v>
      </c>
      <c r="J6494" t="s" s="10">
        <v>32580</v>
      </c>
      <c r="K6494" t="s" s="10">
        <v>32581</v>
      </c>
      <c r="L6494" s="16">
        <f>HYPERLINK("http://www.securely.group", "www.securely.group")</f>
      </c>
      <c r="M6494" s="16">
        <f>HYPERLINK("https://my.pitchbook.com?c=840296-35", "View Company Online")</f>
      </c>
    </row>
    <row r="6495">
      <c r="A6495" t="s" s="11">
        <v>32583</v>
      </c>
      <c r="B6495" t="s" s="11">
        <v>32584</v>
      </c>
      <c r="C6495" t="s" s="11">
        <v>222</v>
      </c>
      <c r="D6495" t="s" s="11">
        <v>252</v>
      </c>
      <c r="E6495" t="s" s="11">
        <v>859</v>
      </c>
      <c r="F6495" s="28">
        <v>46211</v>
      </c>
      <c r="G6495" t="s" s="11">
        <v>1589</v>
      </c>
      <c r="H6495" s="43">
        <v>225</v>
      </c>
      <c r="I6495" t="s" s="43">
        <v>30</v>
      </c>
      <c r="J6495" t="s" s="11">
        <v>32585</v>
      </c>
      <c r="K6495" t="s" s="11">
        <v>32586</v>
      </c>
      <c r="L6495" s="17">
        <f>HYPERLINK("http://www.securitize.io", "www.securitize.io")</f>
      </c>
      <c r="M6495" s="17">
        <f>HYPERLINK("https://my.pitchbook.com?c=227068-12", "View Company Online")</f>
      </c>
    </row>
    <row r="6496">
      <c r="A6496" t="s" s="10">
        <v>32588</v>
      </c>
      <c r="B6496" t="s" s="10">
        <v>32589</v>
      </c>
      <c r="C6496" t="s" s="10">
        <v>60</v>
      </c>
      <c r="D6496" t="s" s="10">
        <v>192</v>
      </c>
      <c r="E6496" t="s" s="10">
        <v>137</v>
      </c>
      <c r="F6496" s="27">
        <v>44343</v>
      </c>
      <c r="G6496" t="s" s="10">
        <v>146</v>
      </c>
      <c r="H6496" s="42">
        <v>3.64</v>
      </c>
      <c r="I6496" t="s" s="42">
        <v>30</v>
      </c>
      <c r="J6496" t="s" s="10">
        <v>32590</v>
      </c>
      <c r="K6496" t="s" s="10">
        <v>32591</v>
      </c>
      <c r="L6496" s="16">
        <f>HYPERLINK("http://www.seedblink.com", "www.seedblink.com")</f>
      </c>
      <c r="M6496" s="16">
        <f>HYPERLINK("https://my.pitchbook.com?c=433062-55", "View Company Online")</f>
      </c>
    </row>
    <row r="6497">
      <c r="A6497" t="s" s="11">
        <v>32593</v>
      </c>
      <c r="B6497" t="s" s="11">
        <v>32594</v>
      </c>
      <c r="C6497" t="s" s="11">
        <v>60</v>
      </c>
      <c r="D6497" t="s" s="11">
        <v>192</v>
      </c>
      <c r="E6497" t="s" s="11">
        <v>137</v>
      </c>
      <c r="F6497" s="28">
        <v>44650</v>
      </c>
      <c r="G6497" t="s" s="11">
        <v>40</v>
      </c>
      <c r="H6497" s="43">
        <v>6</v>
      </c>
      <c r="I6497" t="s" s="43">
        <v>30</v>
      </c>
      <c r="J6497" t="s" s="11">
        <v>32595</v>
      </c>
      <c r="K6497" t="s" s="11">
        <v>32596</v>
      </c>
      <c r="L6497" s="17">
        <f>HYPERLINK("http://www.seedbox.ph", "www.seedbox.ph")</f>
      </c>
      <c r="M6497" s="17">
        <f>HYPERLINK("https://my.pitchbook.com?c=494421-22", "View Company Online")</f>
      </c>
    </row>
    <row r="6498">
      <c r="A6498" t="s" s="10">
        <v>32598</v>
      </c>
      <c r="B6498" t="s" s="10">
        <v>32599</v>
      </c>
      <c r="C6498" t="s" s="10">
        <v>114</v>
      </c>
      <c r="D6498" t="s" s="10">
        <v>136</v>
      </c>
      <c r="E6498" t="s" s="10">
        <v>253</v>
      </c>
      <c r="F6498" t="s" s="27">
        <v>30</v>
      </c>
      <c r="G6498" t="s" s="10">
        <v>146</v>
      </c>
      <c r="H6498" t="s" s="42">
        <v>30</v>
      </c>
      <c r="I6498" t="s" s="42">
        <v>30</v>
      </c>
      <c r="J6498" t="s" s="10">
        <v>32600</v>
      </c>
      <c r="K6498" t="s" s="10">
        <v>32601</v>
      </c>
      <c r="L6498" s="16">
        <f>HYPERLINK("http://www.theseedfi.com", "www.theseedfi.com")</f>
      </c>
      <c r="M6498" s="16">
        <f>HYPERLINK("https://my.pitchbook.com?c=897239-35", "View Company Online")</f>
      </c>
    </row>
    <row r="6499">
      <c r="A6499" t="s" s="11">
        <v>32603</v>
      </c>
      <c r="B6499" t="s" s="11">
        <v>32604</v>
      </c>
      <c r="C6499" t="s" s="11">
        <v>144</v>
      </c>
      <c r="D6499" t="s" s="11">
        <v>297</v>
      </c>
      <c r="E6499" t="s" s="11">
        <v>253</v>
      </c>
      <c r="F6499" t="s" s="28">
        <v>30</v>
      </c>
      <c r="G6499" t="s" s="11">
        <v>146</v>
      </c>
      <c r="H6499" t="s" s="43">
        <v>30</v>
      </c>
      <c r="I6499" t="s" s="43">
        <v>30</v>
      </c>
      <c r="J6499" t="s" s="11">
        <v>32605</v>
      </c>
      <c r="K6499" t="s" s="11">
        <v>32606</v>
      </c>
      <c r="L6499" s="17">
        <f>HYPERLINK("http://www.seedflex.com", "www.seedflex.com")</f>
      </c>
      <c r="M6499" s="17">
        <f>HYPERLINK("https://my.pitchbook.com?c=562666-87", "View Company Online")</f>
      </c>
    </row>
    <row r="6500">
      <c r="A6500" t="s" s="10">
        <v>32608</v>
      </c>
      <c r="B6500" t="s" s="10">
        <v>32609</v>
      </c>
      <c r="C6500" t="s" s="10">
        <v>60</v>
      </c>
      <c r="D6500" t="s" s="10">
        <v>192</v>
      </c>
      <c r="E6500" t="s" s="10">
        <v>32610</v>
      </c>
      <c r="F6500" s="27">
        <v>45705</v>
      </c>
      <c r="G6500" t="s" s="10">
        <v>4267</v>
      </c>
      <c r="H6500" t="s" s="42">
        <v>30</v>
      </c>
      <c r="I6500" t="s" s="42">
        <v>30</v>
      </c>
      <c r="J6500" t="s" s="10">
        <v>32611</v>
      </c>
      <c r="K6500" t="s" s="10">
        <v>32612</v>
      </c>
      <c r="L6500" s="16">
        <f>HYPERLINK("http://seeds.finance", "seeds.finance")</f>
      </c>
      <c r="M6500" s="16">
        <f>HYPERLINK("https://my.pitchbook.com?c=529099-48", "View Company Online")</f>
      </c>
    </row>
    <row r="6501">
      <c r="A6501" t="s" s="11">
        <v>32614</v>
      </c>
      <c r="B6501" t="s" s="11">
        <v>32615</v>
      </c>
      <c r="C6501" t="s" s="11">
        <v>60</v>
      </c>
      <c r="D6501" t="s" s="11">
        <v>432</v>
      </c>
      <c r="E6501" t="s" s="11">
        <v>253</v>
      </c>
      <c r="F6501" s="28">
        <v>45663</v>
      </c>
      <c r="G6501" t="s" s="11">
        <v>40</v>
      </c>
      <c r="H6501" s="43">
        <v>10</v>
      </c>
      <c r="I6501" t="s" s="43">
        <v>30</v>
      </c>
      <c r="J6501" t="s" s="11">
        <v>32616</v>
      </c>
      <c r="K6501" t="s" s="11">
        <v>32617</v>
      </c>
      <c r="L6501" s="17">
        <f>HYPERLINK("http://useseeds.com", "useseeds.com")</f>
      </c>
      <c r="M6501" s="17">
        <f>HYPERLINK("https://my.pitchbook.com?c=471324-79", "View Company Online")</f>
      </c>
    </row>
    <row r="6502">
      <c r="A6502" t="s" s="10">
        <v>32619</v>
      </c>
      <c r="B6502" t="s" s="10">
        <v>32620</v>
      </c>
      <c r="C6502" t="s" s="10">
        <v>222</v>
      </c>
      <c r="D6502" t="s" s="10">
        <v>223</v>
      </c>
      <c r="E6502" t="s" s="10">
        <v>367</v>
      </c>
      <c r="F6502" s="27">
        <v>44406</v>
      </c>
      <c r="G6502" t="s" s="10">
        <v>146</v>
      </c>
      <c r="H6502" t="s" s="42">
        <v>30</v>
      </c>
      <c r="I6502" t="s" s="42">
        <v>30</v>
      </c>
      <c r="J6502" t="s" s="10">
        <v>32621</v>
      </c>
      <c r="K6502" t="s" s="10">
        <v>32622</v>
      </c>
      <c r="L6502" s="16">
        <f>HYPERLINK("http://www.seeyii.com", "www.seeyii.com")</f>
      </c>
      <c r="M6502" s="16">
        <f>HYPERLINK("https://my.pitchbook.com?c=436660-21", "View Company Online")</f>
      </c>
    </row>
    <row r="6503">
      <c r="A6503" t="s" s="11">
        <v>32624</v>
      </c>
      <c r="B6503" t="s" s="11">
        <v>32625</v>
      </c>
      <c r="C6503" t="s" s="11">
        <v>46</v>
      </c>
      <c r="D6503" t="s" s="11">
        <v>397</v>
      </c>
      <c r="E6503" t="s" s="11">
        <v>3604</v>
      </c>
      <c r="F6503" s="28">
        <v>46031</v>
      </c>
      <c r="G6503" t="s" s="11">
        <v>146</v>
      </c>
      <c r="H6503" s="43">
        <v>0.75</v>
      </c>
      <c r="I6503" t="s" s="43">
        <v>30</v>
      </c>
      <c r="J6503" t="s" s="11">
        <v>32626</v>
      </c>
      <c r="K6503" t="s" s="11">
        <v>32627</v>
      </c>
      <c r="L6503" s="17">
        <f>HYPERLINK("http://www.seg.tax", "www.seg.tax")</f>
      </c>
      <c r="M6503" s="17">
        <f>HYPERLINK("https://my.pitchbook.com?c=894768-58", "View Company Online")</f>
      </c>
    </row>
    <row r="6504">
      <c r="A6504" t="s" s="10">
        <v>32629</v>
      </c>
      <c r="B6504" t="s" s="10">
        <v>32630</v>
      </c>
      <c r="C6504" t="s" s="10">
        <v>164</v>
      </c>
      <c r="D6504" t="s" s="10">
        <v>165</v>
      </c>
      <c r="E6504" t="s" s="10">
        <v>634</v>
      </c>
      <c r="F6504" s="27">
        <v>44927</v>
      </c>
      <c r="G6504" t="s" s="10">
        <v>607</v>
      </c>
      <c r="H6504" t="s" s="42">
        <v>30</v>
      </c>
      <c r="I6504" t="s" s="42">
        <v>30</v>
      </c>
      <c r="J6504" t="s" s="10">
        <v>32631</v>
      </c>
      <c r="K6504" t="s" s="10">
        <v>32632</v>
      </c>
      <c r="L6504" s="16">
        <f>HYPERLINK("http://www.slsolutions.io", "www.slsolutions.io")</f>
      </c>
      <c r="M6504" s="16">
        <f>HYPERLINK("https://my.pitchbook.com?c=490802-23", "View Company Online")</f>
      </c>
    </row>
    <row r="6505">
      <c r="A6505" t="s" s="11">
        <v>32634</v>
      </c>
      <c r="B6505" t="s" s="11">
        <v>32635</v>
      </c>
      <c r="C6505" t="s" s="11">
        <v>37</v>
      </c>
      <c r="D6505" t="s" s="11">
        <v>38</v>
      </c>
      <c r="E6505" t="s" s="11">
        <v>634</v>
      </c>
      <c r="F6505" s="28">
        <v>45996</v>
      </c>
      <c r="G6505" t="s" s="11">
        <v>4267</v>
      </c>
      <c r="H6505" s="43">
        <v>0.4</v>
      </c>
      <c r="I6505" t="s" s="43">
        <v>30</v>
      </c>
      <c r="J6505" t="s" s="11">
        <v>32636</v>
      </c>
      <c r="K6505" t="s" s="11">
        <v>32637</v>
      </c>
      <c r="L6505" s="17">
        <f>HYPERLINK("http://www.selfin.app", "www.selfin.app")</f>
      </c>
      <c r="M6505" s="17">
        <f>HYPERLINK("https://my.pitchbook.com?c=1131636-61", "View Company Online")</f>
      </c>
    </row>
    <row r="6506">
      <c r="A6506" t="s" s="10">
        <v>32639</v>
      </c>
      <c r="B6506" t="s" s="10">
        <v>32640</v>
      </c>
      <c r="C6506" t="s" s="10">
        <v>222</v>
      </c>
      <c r="D6506" t="s" s="10">
        <v>252</v>
      </c>
      <c r="E6506" t="s" s="10">
        <v>1713</v>
      </c>
      <c r="F6506" s="27">
        <v>46213</v>
      </c>
      <c r="G6506" t="s" s="10">
        <v>4267</v>
      </c>
      <c r="H6506" t="s" s="42">
        <v>30</v>
      </c>
      <c r="I6506" t="s" s="42">
        <v>30</v>
      </c>
      <c r="J6506" t="s" s="10">
        <v>32641</v>
      </c>
      <c r="K6506" t="s" s="10">
        <v>32642</v>
      </c>
      <c r="L6506" s="16">
        <f>HYPERLINK("http://www.semiliquid.com", "www.semiliquid.com")</f>
      </c>
      <c r="M6506" s="16">
        <f>HYPERLINK("https://my.pitchbook.com?c=1231451-02", "View Company Online")</f>
      </c>
    </row>
    <row r="6507">
      <c r="A6507" t="s" s="11">
        <v>32644</v>
      </c>
      <c r="B6507" t="s" s="11">
        <v>32645</v>
      </c>
      <c r="C6507" t="s" s="11">
        <v>144</v>
      </c>
      <c r="D6507" t="s" s="11">
        <v>297</v>
      </c>
      <c r="E6507" t="s" s="11">
        <v>759</v>
      </c>
      <c r="F6507" s="28">
        <v>44984</v>
      </c>
      <c r="G6507" t="s" s="11">
        <v>48</v>
      </c>
      <c r="H6507" t="s" s="43">
        <v>30</v>
      </c>
      <c r="I6507" t="s" s="43">
        <v>30</v>
      </c>
      <c r="J6507" t="s" s="11">
        <v>32646</v>
      </c>
      <c r="K6507" t="s" s="11">
        <v>32647</v>
      </c>
      <c r="L6507" s="17">
        <f>HYPERLINK("http://www.sempli.co", "www.sempli.co")</f>
      </c>
      <c r="M6507" s="17">
        <f>HYPERLINK("https://my.pitchbook.com?c=170327-44", "View Company Online")</f>
      </c>
    </row>
    <row r="6508">
      <c r="A6508" t="s" s="10">
        <v>32649</v>
      </c>
      <c r="B6508" t="s" s="10">
        <v>32650</v>
      </c>
      <c r="C6508" t="s" s="10">
        <v>222</v>
      </c>
      <c r="D6508" t="s" s="10">
        <v>235</v>
      </c>
      <c r="E6508" t="s" s="10">
        <v>5015</v>
      </c>
      <c r="F6508" s="27">
        <v>45292</v>
      </c>
      <c r="G6508" t="s" s="10">
        <v>146</v>
      </c>
      <c r="H6508" t="s" s="42">
        <v>30</v>
      </c>
      <c r="I6508" t="s" s="42">
        <v>30</v>
      </c>
      <c r="J6508" t="s" s="10">
        <v>32651</v>
      </c>
      <c r="K6508" t="s" s="10">
        <v>32652</v>
      </c>
      <c r="L6508" s="16">
        <f>HYPERLINK("http://www.senken.io", "www.senken.io")</f>
      </c>
      <c r="M6508" s="16">
        <f>HYPERLINK("https://my.pitchbook.com?c=515541-61", "View Company Online")</f>
      </c>
    </row>
    <row r="6509">
      <c r="A6509" t="s" s="11">
        <v>32654</v>
      </c>
      <c r="B6509" t="s" s="11">
        <v>32655</v>
      </c>
      <c r="C6509" t="s" s="11">
        <v>60</v>
      </c>
      <c r="D6509" t="s" s="11">
        <v>432</v>
      </c>
      <c r="E6509" t="s" s="11">
        <v>414</v>
      </c>
      <c r="F6509" s="28">
        <v>45426</v>
      </c>
      <c r="G6509" t="s" s="11">
        <v>40</v>
      </c>
      <c r="H6509" t="s" s="43">
        <v>30</v>
      </c>
      <c r="I6509" t="s" s="43">
        <v>30</v>
      </c>
      <c r="J6509" t="s" s="11">
        <v>32656</v>
      </c>
      <c r="K6509" t="s" s="11">
        <v>32657</v>
      </c>
      <c r="L6509" s="17">
        <f>HYPERLINK("http://www.sensedeal.cn", "www.sensedeal.cn")</f>
      </c>
      <c r="M6509" s="17">
        <f>HYPERLINK("https://my.pitchbook.com?c=431352-82", "View Company Online")</f>
      </c>
    </row>
    <row r="6510">
      <c r="A6510" t="s" s="10">
        <v>32659</v>
      </c>
      <c r="B6510" t="s" s="10">
        <v>32660</v>
      </c>
      <c r="C6510" t="s" s="10">
        <v>27</v>
      </c>
      <c r="D6510" t="s" s="10">
        <v>28</v>
      </c>
      <c r="E6510" t="s" s="10">
        <v>4236</v>
      </c>
      <c r="F6510" s="27">
        <v>45315</v>
      </c>
      <c r="G6510" t="s" s="10">
        <v>607</v>
      </c>
      <c r="H6510" t="s" s="42">
        <v>30</v>
      </c>
      <c r="I6510" t="s" s="42">
        <v>30</v>
      </c>
      <c r="J6510" t="s" s="10">
        <v>32661</v>
      </c>
      <c r="K6510" t="s" s="10">
        <v>32662</v>
      </c>
      <c r="L6510" s="16">
        <f>HYPERLINK("http://www.sensepass.com", "www.sensepass.com")</f>
      </c>
      <c r="M6510" s="16">
        <f>HYPERLINK("https://my.pitchbook.com?c=471103-48", "View Company Online")</f>
      </c>
    </row>
    <row r="6511">
      <c r="A6511" t="s" s="11">
        <v>32664</v>
      </c>
      <c r="B6511" t="s" s="11">
        <v>32665</v>
      </c>
      <c r="C6511" t="s" s="11">
        <v>164</v>
      </c>
      <c r="D6511" t="s" s="11">
        <v>165</v>
      </c>
      <c r="E6511" t="s" s="11">
        <v>414</v>
      </c>
      <c r="F6511" s="28">
        <v>45313</v>
      </c>
      <c r="G6511" t="s" s="11">
        <v>146</v>
      </c>
      <c r="H6511" s="43">
        <v>14.04</v>
      </c>
      <c r="I6511" t="s" s="43">
        <v>30</v>
      </c>
      <c r="J6511" t="s" s="11">
        <v>32666</v>
      </c>
      <c r="K6511" t="s" s="11">
        <v>32667</v>
      </c>
      <c r="L6511" s="17">
        <f>HYPERLINK("http://www.senses-ai.com", "www.senses-ai.com")</f>
      </c>
      <c r="M6511" s="17">
        <f>HYPERLINK("https://my.pitchbook.com?c=455142-70", "View Company Online")</f>
      </c>
    </row>
    <row r="6512">
      <c r="A6512" t="s" s="10">
        <v>32669</v>
      </c>
      <c r="B6512" t="s" s="10">
        <v>32670</v>
      </c>
      <c r="C6512" t="s" s="10">
        <v>60</v>
      </c>
      <c r="D6512" t="s" s="10">
        <v>727</v>
      </c>
      <c r="E6512" t="s" s="10">
        <v>137</v>
      </c>
      <c r="F6512" s="27">
        <v>45636</v>
      </c>
      <c r="G6512" t="s" s="10">
        <v>40</v>
      </c>
      <c r="H6512" t="s" s="42">
        <v>30</v>
      </c>
      <c r="I6512" t="s" s="42">
        <v>30</v>
      </c>
      <c r="J6512" t="s" s="10">
        <v>32671</v>
      </c>
      <c r="K6512" t="s" s="10">
        <v>32672</v>
      </c>
      <c r="L6512" s="16">
        <f>HYPERLINK("http://www.seoulexchange.kr", "www.seoulexchange.kr")</f>
      </c>
      <c r="M6512" s="16">
        <f>HYPERLINK("https://my.pitchbook.com?c=470561-50", "View Company Online")</f>
      </c>
    </row>
    <row r="6513">
      <c r="A6513" t="s" s="11">
        <v>32674</v>
      </c>
      <c r="B6513" t="s" s="11">
        <v>32675</v>
      </c>
      <c r="C6513" t="s" s="11">
        <v>60</v>
      </c>
      <c r="D6513" t="s" s="11">
        <v>727</v>
      </c>
      <c r="E6513" t="s" s="11">
        <v>482</v>
      </c>
      <c r="F6513" s="28">
        <v>45503</v>
      </c>
      <c r="G6513" t="s" s="11">
        <v>40</v>
      </c>
      <c r="H6513" s="43">
        <v>0.79</v>
      </c>
      <c r="I6513" t="s" s="43">
        <v>30</v>
      </c>
      <c r="J6513" t="s" s="11">
        <v>32676</v>
      </c>
      <c r="K6513" t="s" s="11">
        <v>32677</v>
      </c>
      <c r="L6513" s="17">
        <f>HYPERLINK("http://www.seoulpi.io", "www.seoulpi.io")</f>
      </c>
      <c r="M6513" s="17">
        <f>HYPERLINK("https://my.pitchbook.com?c=535196-80", "View Company Online")</f>
      </c>
    </row>
    <row r="6514">
      <c r="A6514" t="s" s="10">
        <v>32679</v>
      </c>
      <c r="B6514" t="s" s="10">
        <v>32680</v>
      </c>
      <c r="C6514" t="s" s="10">
        <v>27</v>
      </c>
      <c r="D6514" t="s" s="10">
        <v>28</v>
      </c>
      <c r="E6514" t="s" s="10">
        <v>270</v>
      </c>
      <c r="F6514" s="27">
        <v>45813</v>
      </c>
      <c r="G6514" t="s" s="10">
        <v>607</v>
      </c>
      <c r="H6514" s="42">
        <v>0.05</v>
      </c>
      <c r="I6514" t="s" s="42">
        <v>30</v>
      </c>
      <c r="J6514" t="s" s="10">
        <v>32681</v>
      </c>
      <c r="K6514" t="s" s="10">
        <v>32682</v>
      </c>
      <c r="L6514" s="16">
        <f>HYPERLINK("http://www.serapay.co", "www.serapay.co")</f>
      </c>
      <c r="M6514" s="16">
        <f>HYPERLINK("https://my.pitchbook.com?c=623338-12", "View Company Online")</f>
      </c>
    </row>
    <row r="6515">
      <c r="A6515" t="s" s="11">
        <v>32684</v>
      </c>
      <c r="B6515" t="s" s="11">
        <v>32685</v>
      </c>
      <c r="C6515" t="s" s="11">
        <v>222</v>
      </c>
      <c r="D6515" t="s" s="11">
        <v>252</v>
      </c>
      <c r="E6515" t="s" s="11">
        <v>2782</v>
      </c>
      <c r="F6515" s="28">
        <v>45469</v>
      </c>
      <c r="G6515" t="s" s="11">
        <v>146</v>
      </c>
      <c r="H6515" s="43">
        <v>31</v>
      </c>
      <c r="I6515" t="s" s="43">
        <v>30</v>
      </c>
      <c r="J6515" t="s" s="11">
        <v>32686</v>
      </c>
      <c r="K6515" t="s" s="11">
        <v>32687</v>
      </c>
      <c r="L6515" s="17">
        <f>HYPERLINK("http://www.setpoint.io", "www.setpoint.io")</f>
      </c>
      <c r="M6515" s="17">
        <f>HYPERLINK("https://my.pitchbook.com?c=495425-62", "View Company Online")</f>
      </c>
    </row>
    <row r="6516">
      <c r="A6516" t="s" s="10">
        <v>32689</v>
      </c>
      <c r="B6516" t="s" s="10">
        <v>32690</v>
      </c>
      <c r="C6516" t="s" s="10">
        <v>144</v>
      </c>
      <c r="D6516" t="s" s="10">
        <v>297</v>
      </c>
      <c r="E6516" t="s" s="10">
        <v>29</v>
      </c>
      <c r="F6516" s="27">
        <v>45050</v>
      </c>
      <c r="G6516" t="s" s="10">
        <v>4267</v>
      </c>
      <c r="H6516" s="42">
        <v>79.5</v>
      </c>
      <c r="I6516" t="s" s="42">
        <v>30</v>
      </c>
      <c r="J6516" t="s" s="10">
        <v>32691</v>
      </c>
      <c r="K6516" t="s" s="10">
        <v>32692</v>
      </c>
      <c r="L6516" s="16">
        <f>HYPERLINK("http://setscale.com", "setscale.com")</f>
      </c>
      <c r="M6516" s="16">
        <f>HYPERLINK("https://my.pitchbook.com?c=494707-33", "View Company Online")</f>
      </c>
    </row>
    <row r="6517">
      <c r="A6517" t="s" s="11">
        <v>32694</v>
      </c>
      <c r="B6517" t="s" s="11">
        <v>32695</v>
      </c>
      <c r="C6517" t="s" s="11">
        <v>46</v>
      </c>
      <c r="D6517" t="s" s="11">
        <v>47</v>
      </c>
      <c r="E6517" t="s" s="11">
        <v>259</v>
      </c>
      <c r="F6517" s="28">
        <v>45549</v>
      </c>
      <c r="G6517" t="s" s="11">
        <v>4267</v>
      </c>
      <c r="H6517" s="43">
        <v>0.04</v>
      </c>
      <c r="I6517" t="s" s="43">
        <v>30</v>
      </c>
      <c r="J6517" t="s" s="11">
        <v>32696</v>
      </c>
      <c r="K6517" t="s" s="11">
        <v>32697</v>
      </c>
      <c r="L6517" s="17">
        <f>HYPERLINK("http://www.settle-payments.com", "www.settle-payments.com")</f>
      </c>
      <c r="M6517" s="17">
        <f>HYPERLINK("https://my.pitchbook.com?c=600014-62", "View Company Online")</f>
      </c>
    </row>
    <row r="6518">
      <c r="A6518" t="s" s="10">
        <v>32699</v>
      </c>
      <c r="B6518" t="s" s="10">
        <v>32700</v>
      </c>
      <c r="C6518" t="s" s="10">
        <v>128</v>
      </c>
      <c r="D6518" t="s" s="10">
        <v>276</v>
      </c>
      <c r="E6518" t="s" s="10">
        <v>414</v>
      </c>
      <c r="F6518" s="27">
        <v>46054</v>
      </c>
      <c r="G6518" t="s" s="10">
        <v>146</v>
      </c>
      <c r="H6518" t="s" s="42">
        <v>30</v>
      </c>
      <c r="I6518" t="s" s="42">
        <v>30</v>
      </c>
      <c r="J6518" t="s" s="10">
        <v>32701</v>
      </c>
      <c r="K6518" t="s" s="10">
        <v>32702</v>
      </c>
      <c r="L6518" s="16">
        <f>HYPERLINK("http://www.sevamoney.com", "www.sevamoney.com")</f>
      </c>
      <c r="M6518" s="16">
        <f>HYPERLINK("https://my.pitchbook.com?c=721118-89", "View Company Online")</f>
      </c>
    </row>
    <row r="6519">
      <c r="A6519" t="s" s="11">
        <v>32704</v>
      </c>
      <c r="B6519" t="s" s="11">
        <v>32705</v>
      </c>
      <c r="C6519" t="s" s="11">
        <v>46</v>
      </c>
      <c r="D6519" t="s" s="11">
        <v>47</v>
      </c>
      <c r="E6519" t="s" s="11">
        <v>270</v>
      </c>
      <c r="F6519" s="28">
        <v>46226</v>
      </c>
      <c r="G6519" t="s" s="11">
        <v>40</v>
      </c>
      <c r="H6519" t="s" s="43">
        <v>30</v>
      </c>
      <c r="I6519" t="s" s="43">
        <v>30</v>
      </c>
      <c r="J6519" t="s" s="11">
        <v>32706</v>
      </c>
      <c r="K6519" t="s" s="11">
        <v>32707</v>
      </c>
      <c r="L6519" s="17">
        <f>HYPERLINK("http://www.sevi.io", "www.sevi.io")</f>
      </c>
      <c r="M6519" s="17">
        <f>HYPERLINK("https://my.pitchbook.com?c=531022-15", "View Company Online")</f>
      </c>
    </row>
    <row r="6520">
      <c r="A6520" t="s" s="10">
        <v>32709</v>
      </c>
      <c r="B6520" t="s" s="10">
        <v>32710</v>
      </c>
      <c r="C6520" t="s" s="10">
        <v>164</v>
      </c>
      <c r="D6520" t="s" s="10">
        <v>165</v>
      </c>
      <c r="E6520" t="s" s="10">
        <v>4517</v>
      </c>
      <c r="F6520" s="27">
        <v>44453</v>
      </c>
      <c r="G6520" t="s" s="10">
        <v>4267</v>
      </c>
      <c r="H6520" s="42">
        <v>0.17</v>
      </c>
      <c r="I6520" t="s" s="42">
        <v>30</v>
      </c>
      <c r="J6520" t="s" s="10">
        <v>32711</v>
      </c>
      <c r="K6520" t="s" s="10">
        <v>32712</v>
      </c>
      <c r="L6520" s="16">
        <f>HYPERLINK("http://www.shadhinbd.com", "www.shadhinbd.com")</f>
      </c>
      <c r="M6520" s="16">
        <f>HYPERLINK("https://my.pitchbook.com?c=494318-08", "View Company Online")</f>
      </c>
    </row>
    <row r="6521">
      <c r="A6521" t="s" s="11">
        <v>32714</v>
      </c>
      <c r="B6521" t="s" s="11">
        <v>32715</v>
      </c>
      <c r="C6521" t="s" s="11">
        <v>222</v>
      </c>
      <c r="D6521" t="s" s="11">
        <v>223</v>
      </c>
      <c r="E6521" t="s" s="11">
        <v>367</v>
      </c>
      <c r="F6521" s="28">
        <v>44368</v>
      </c>
      <c r="G6521" t="s" s="11">
        <v>146</v>
      </c>
      <c r="H6521" t="s" s="43">
        <v>30</v>
      </c>
      <c r="I6521" t="s" s="43">
        <v>30</v>
      </c>
      <c r="J6521" t="s" s="11">
        <v>32716</v>
      </c>
      <c r="K6521" t="s" s="11">
        <v>32717</v>
      </c>
      <c r="L6521" s="17">
        <f>HYPERLINK("http://www.shannonai.com", "www.shannonai.com")</f>
      </c>
      <c r="M6521" s="17">
        <f>HYPERLINK("https://my.pitchbook.com?c=234140-77", "View Company Online")</f>
      </c>
    </row>
    <row r="6522">
      <c r="A6522" t="s" s="10">
        <v>32719</v>
      </c>
      <c r="B6522" t="s" s="10">
        <v>32720</v>
      </c>
      <c r="C6522" t="s" s="10">
        <v>37</v>
      </c>
      <c r="D6522" t="s" s="10">
        <v>304</v>
      </c>
      <c r="E6522" t="s" s="10">
        <v>158</v>
      </c>
      <c r="F6522" s="27">
        <v>45197</v>
      </c>
      <c r="G6522" t="s" s="10">
        <v>146</v>
      </c>
      <c r="H6522" t="s" s="42">
        <v>30</v>
      </c>
      <c r="I6522" t="s" s="42">
        <v>30</v>
      </c>
      <c r="J6522" t="s" s="10">
        <v>32721</v>
      </c>
      <c r="K6522" t="s" s="10">
        <v>32722</v>
      </c>
      <c r="L6522" s="16">
        <f>HYPERLINK("http://www.shara.co", "www.shara.co")</f>
      </c>
      <c r="M6522" s="16">
        <f>HYPERLINK("https://my.pitchbook.com?c=437809-87", "View Company Online")</f>
      </c>
    </row>
    <row r="6523">
      <c r="A6523" t="s" s="11">
        <v>32724</v>
      </c>
      <c r="B6523" t="s" s="11">
        <v>32725</v>
      </c>
      <c r="C6523" t="s" s="11">
        <v>164</v>
      </c>
      <c r="D6523" t="s" s="11">
        <v>206</v>
      </c>
      <c r="E6523" t="s" s="11">
        <v>7678</v>
      </c>
      <c r="F6523" s="28">
        <v>45292</v>
      </c>
      <c r="G6523" t="s" s="11">
        <v>4267</v>
      </c>
      <c r="H6523" t="s" s="43">
        <v>30</v>
      </c>
      <c r="I6523" t="s" s="43">
        <v>30</v>
      </c>
      <c r="J6523" t="s" s="11">
        <v>32726</v>
      </c>
      <c r="K6523" t="s" s="11">
        <v>32727</v>
      </c>
      <c r="L6523" s="17">
        <f>HYPERLINK("http://www.shareable.vc", "www.shareable.vc")</f>
      </c>
      <c r="M6523" s="17">
        <f>HYPERLINK("https://my.pitchbook.com?c=552127-60", "View Company Online")</f>
      </c>
    </row>
    <row r="6524">
      <c r="A6524" t="s" s="10">
        <v>32729</v>
      </c>
      <c r="B6524" t="s" s="10">
        <v>32730</v>
      </c>
      <c r="C6524" t="s" s="10">
        <v>60</v>
      </c>
      <c r="D6524" t="s" s="10">
        <v>192</v>
      </c>
      <c r="E6524" t="s" s="10">
        <v>759</v>
      </c>
      <c r="F6524" s="27">
        <v>46148</v>
      </c>
      <c r="G6524" t="s" s="10">
        <v>2051</v>
      </c>
      <c r="H6524" t="s" s="42">
        <v>30</v>
      </c>
      <c r="I6524" t="s" s="42">
        <v>30</v>
      </c>
      <c r="J6524" t="s" s="10">
        <v>32731</v>
      </c>
      <c r="K6524" t="s" s="10">
        <v>30</v>
      </c>
      <c r="L6524" s="16">
        <f>HYPERLINK("http://www.sharenett.com", "www.sharenett.com")</f>
      </c>
      <c r="M6524" s="16">
        <f>HYPERLINK("https://my.pitchbook.com?c=163459-54", "View Company Online")</f>
      </c>
    </row>
    <row r="6525">
      <c r="A6525" t="s" s="11">
        <v>32733</v>
      </c>
      <c r="B6525" t="s" s="11">
        <v>32734</v>
      </c>
      <c r="C6525" t="s" s="11">
        <v>164</v>
      </c>
      <c r="D6525" t="s" s="11">
        <v>165</v>
      </c>
      <c r="E6525" t="s" s="11">
        <v>27905</v>
      </c>
      <c r="F6525" s="28">
        <v>45475</v>
      </c>
      <c r="G6525" t="s" s="11">
        <v>4267</v>
      </c>
      <c r="H6525" t="s" s="43">
        <v>30</v>
      </c>
      <c r="I6525" t="s" s="43">
        <v>30</v>
      </c>
      <c r="J6525" t="s" s="11">
        <v>32735</v>
      </c>
      <c r="K6525" t="s" s="11">
        <v>32736</v>
      </c>
      <c r="L6525" s="17">
        <f>HYPERLINK("http://www.gosharpei.com", "www.gosharpei.com")</f>
      </c>
      <c r="M6525" s="17">
        <f>HYPERLINK("https://my.pitchbook.com?c=535936-06", "View Company Online")</f>
      </c>
    </row>
    <row r="6526">
      <c r="A6526" t="s" s="10">
        <v>32738</v>
      </c>
      <c r="B6526" t="s" s="10">
        <v>32739</v>
      </c>
      <c r="C6526" t="s" s="10">
        <v>222</v>
      </c>
      <c r="D6526" t="s" s="10">
        <v>223</v>
      </c>
      <c r="E6526" t="s" s="10">
        <v>6920</v>
      </c>
      <c r="F6526" s="27">
        <v>45658</v>
      </c>
      <c r="G6526" t="s" s="10">
        <v>607</v>
      </c>
      <c r="H6526" t="s" s="42">
        <v>30</v>
      </c>
      <c r="I6526" t="s" s="42">
        <v>30</v>
      </c>
      <c r="J6526" t="s" s="10">
        <v>32740</v>
      </c>
      <c r="K6526" t="s" s="10">
        <v>32741</v>
      </c>
      <c r="L6526" s="16">
        <f>HYPERLINK("http://www.sharpgrid.com", "www.sharpgrid.com")</f>
      </c>
      <c r="M6526" s="16">
        <f>HYPERLINK("https://my.pitchbook.com?c=518093-38", "View Company Online")</f>
      </c>
    </row>
    <row r="6527">
      <c r="A6527" t="s" s="11">
        <v>32743</v>
      </c>
      <c r="B6527" t="s" s="11">
        <v>32744</v>
      </c>
      <c r="C6527" t="s" s="11">
        <v>222</v>
      </c>
      <c r="D6527" t="s" s="11">
        <v>223</v>
      </c>
      <c r="E6527" t="s" s="11">
        <v>414</v>
      </c>
      <c r="F6527" s="28">
        <v>45689</v>
      </c>
      <c r="G6527" t="s" s="11">
        <v>40</v>
      </c>
      <c r="H6527" t="s" s="43">
        <v>30</v>
      </c>
      <c r="I6527" t="s" s="43">
        <v>30</v>
      </c>
      <c r="J6527" t="s" s="11">
        <v>32745</v>
      </c>
      <c r="K6527" t="s" s="11">
        <v>32746</v>
      </c>
      <c r="L6527" s="17">
        <f>HYPERLINK("http://www.sheltonai.com", "www.sheltonai.com")</f>
      </c>
      <c r="M6527" s="17">
        <f>HYPERLINK("https://my.pitchbook.com?c=492619-15", "View Company Online")</f>
      </c>
    </row>
    <row r="6528">
      <c r="A6528" t="s" s="10">
        <v>32748</v>
      </c>
      <c r="B6528" t="s" s="10">
        <v>32749</v>
      </c>
      <c r="C6528" t="s" s="10">
        <v>164</v>
      </c>
      <c r="D6528" t="s" s="10">
        <v>165</v>
      </c>
      <c r="E6528" t="s" s="10">
        <v>1207</v>
      </c>
      <c r="F6528" s="27">
        <v>44729</v>
      </c>
      <c r="G6528" t="s" s="10">
        <v>40</v>
      </c>
      <c r="H6528" s="42">
        <v>14.92</v>
      </c>
      <c r="I6528" t="s" s="42">
        <v>30</v>
      </c>
      <c r="J6528" t="s" s="10">
        <v>32750</v>
      </c>
      <c r="K6528" t="s" s="10">
        <v>32751</v>
      </c>
      <c r="L6528" s="16">
        <f>HYPERLINK("http://www.shenglisoft.cn", "www.shenglisoft.cn")</f>
      </c>
      <c r="M6528" s="16">
        <f>HYPERLINK("https://my.pitchbook.com?c=399161-98", "View Company Online")</f>
      </c>
    </row>
    <row r="6529">
      <c r="A6529" t="s" s="11">
        <v>32753</v>
      </c>
      <c r="B6529" t="s" s="11">
        <v>32754</v>
      </c>
      <c r="C6529" t="s" s="11">
        <v>114</v>
      </c>
      <c r="D6529" t="s" s="11">
        <v>852</v>
      </c>
      <c r="E6529" t="s" s="11">
        <v>29854</v>
      </c>
      <c r="F6529" s="28">
        <v>45200</v>
      </c>
      <c r="G6529" t="s" s="11">
        <v>40</v>
      </c>
      <c r="H6529" t="s" s="43">
        <v>30</v>
      </c>
      <c r="I6529" t="s" s="43">
        <v>30</v>
      </c>
      <c r="J6529" t="s" s="11">
        <v>32755</v>
      </c>
      <c r="K6529" t="s" s="11">
        <v>32756</v>
      </c>
      <c r="L6529" s="17">
        <f>HYPERLINK("http://www.shenmajr.com", "www.shenmajr.com")</f>
      </c>
      <c r="M6529" s="17">
        <f>HYPERLINK("https://my.pitchbook.com?c=169761-70", "View Company Online")</f>
      </c>
    </row>
    <row r="6530">
      <c r="A6530" t="s" s="10">
        <v>32758</v>
      </c>
      <c r="B6530" t="s" s="10">
        <v>32759</v>
      </c>
      <c r="C6530" t="s" s="10">
        <v>222</v>
      </c>
      <c r="D6530" t="s" s="10">
        <v>223</v>
      </c>
      <c r="E6530" t="s" s="10">
        <v>373</v>
      </c>
      <c r="F6530" s="27">
        <v>45931</v>
      </c>
      <c r="G6530" t="s" s="10">
        <v>146</v>
      </c>
      <c r="H6530" t="s" s="42">
        <v>30</v>
      </c>
      <c r="I6530" t="s" s="42">
        <v>30</v>
      </c>
      <c r="J6530" t="s" s="10">
        <v>32760</v>
      </c>
      <c r="K6530" t="s" s="10">
        <v>32761</v>
      </c>
      <c r="L6530" s="16">
        <f>HYPERLINK("http://www.sherlockai.app", "www.sherlockai.app")</f>
      </c>
      <c r="M6530" s="16">
        <f>HYPERLINK("https://my.pitchbook.com?c=1153776-97", "View Company Online")</f>
      </c>
    </row>
    <row r="6531">
      <c r="A6531" t="s" s="11">
        <v>32763</v>
      </c>
      <c r="B6531" t="s" s="11">
        <v>32764</v>
      </c>
      <c r="C6531" t="s" s="11">
        <v>60</v>
      </c>
      <c r="D6531" t="s" s="11">
        <v>432</v>
      </c>
      <c r="E6531" t="s" s="11">
        <v>253</v>
      </c>
      <c r="F6531" s="28">
        <v>46070</v>
      </c>
      <c r="G6531" t="s" s="11">
        <v>4267</v>
      </c>
      <c r="H6531" s="43">
        <v>3.79</v>
      </c>
      <c r="I6531" t="s" s="43">
        <v>30</v>
      </c>
      <c r="J6531" t="s" s="11">
        <v>32765</v>
      </c>
      <c r="K6531" t="s" s="11">
        <v>32766</v>
      </c>
      <c r="L6531" s="17">
        <f>HYPERLINK("http://www.sherpaswealth.com", "www.sherpaswealth.com")</f>
      </c>
      <c r="M6531" s="17">
        <f>HYPERLINK("https://my.pitchbook.com?c=552841-93", "View Company Online")</f>
      </c>
    </row>
    <row r="6532">
      <c r="A6532" t="s" s="10">
        <v>32768</v>
      </c>
      <c r="B6532" t="s" s="10">
        <v>32769</v>
      </c>
      <c r="C6532" t="s" s="10">
        <v>114</v>
      </c>
      <c r="D6532" t="s" s="10">
        <v>852</v>
      </c>
      <c r="E6532" t="s" s="10">
        <v>137</v>
      </c>
      <c r="F6532" s="27">
        <v>45530</v>
      </c>
      <c r="G6532" t="s" s="10">
        <v>40</v>
      </c>
      <c r="H6532" s="42">
        <v>23.13</v>
      </c>
      <c r="I6532" t="s" s="42">
        <v>30</v>
      </c>
      <c r="J6532" t="s" s="10">
        <v>32770</v>
      </c>
      <c r="K6532" t="s" s="10">
        <v>32771</v>
      </c>
      <c r="L6532" s="16">
        <f>HYPERLINK("http://www.shift.com.au", "www.shift.com.au")</f>
      </c>
      <c r="M6532" s="16">
        <f>HYPERLINK("https://my.pitchbook.com?c=170946-82", "View Company Online")</f>
      </c>
    </row>
    <row r="6533">
      <c r="A6533" t="s" s="11">
        <v>32773</v>
      </c>
      <c r="B6533" t="s" s="11">
        <v>32774</v>
      </c>
      <c r="C6533" t="s" s="11">
        <v>164</v>
      </c>
      <c r="D6533" t="s" s="11">
        <v>206</v>
      </c>
      <c r="E6533" t="s" s="11">
        <v>373</v>
      </c>
      <c r="F6533" s="28">
        <v>45896</v>
      </c>
      <c r="G6533" t="s" s="11">
        <v>4267</v>
      </c>
      <c r="H6533" s="43">
        <v>1</v>
      </c>
      <c r="I6533" t="s" s="43">
        <v>30</v>
      </c>
      <c r="J6533" t="s" s="11">
        <v>32775</v>
      </c>
      <c r="K6533" t="s" s="11">
        <v>30</v>
      </c>
      <c r="L6533" s="17">
        <f>HYPERLINK("http://www.shiftmate.ai", "www.shiftmate.ai")</f>
      </c>
      <c r="M6533" s="17">
        <f>HYPERLINK("https://my.pitchbook.com?c=915786-37", "View Company Online")</f>
      </c>
    </row>
    <row r="6534">
      <c r="A6534" t="s" s="10">
        <v>32777</v>
      </c>
      <c r="B6534" t="s" s="10">
        <v>32778</v>
      </c>
      <c r="C6534" t="s" s="10">
        <v>27</v>
      </c>
      <c r="D6534" t="s" s="10">
        <v>70</v>
      </c>
      <c r="E6534" t="s" s="10">
        <v>62</v>
      </c>
      <c r="F6534" s="27">
        <v>46104</v>
      </c>
      <c r="G6534" t="s" s="10">
        <v>40</v>
      </c>
      <c r="H6534" t="s" s="42">
        <v>30</v>
      </c>
      <c r="I6534" t="s" s="42">
        <v>30</v>
      </c>
      <c r="J6534" t="s" s="10">
        <v>32779</v>
      </c>
      <c r="K6534" t="s" s="10">
        <v>32780</v>
      </c>
      <c r="L6534" s="16">
        <f>HYPERLINK("http://www.shiga.io", "www.shiga.io")</f>
      </c>
      <c r="M6534" s="16">
        <f>HYPERLINK("https://my.pitchbook.com?c=608157-64", "View Company Online")</f>
      </c>
    </row>
    <row r="6535">
      <c r="A6535" t="s" s="11">
        <v>32782</v>
      </c>
      <c r="B6535" t="s" s="11">
        <v>32783</v>
      </c>
      <c r="C6535" t="s" s="11">
        <v>46</v>
      </c>
      <c r="D6535" t="s" s="11">
        <v>397</v>
      </c>
      <c r="E6535" t="s" s="11">
        <v>270</v>
      </c>
      <c r="F6535" s="28">
        <v>45642</v>
      </c>
      <c r="G6535" t="s" s="11">
        <v>4267</v>
      </c>
      <c r="H6535" s="43">
        <v>0.01</v>
      </c>
      <c r="I6535" t="s" s="43">
        <v>30</v>
      </c>
      <c r="J6535" t="s" s="11">
        <v>32784</v>
      </c>
      <c r="K6535" t="s" s="11">
        <v>24289</v>
      </c>
      <c r="L6535" s="17">
        <f>HYPERLINK("http://www.shopbook.lk", "www.shopbook.lk")</f>
      </c>
      <c r="M6535" s="17">
        <f>HYPERLINK("https://my.pitchbook.com?c=551373-76", "View Company Online")</f>
      </c>
    </row>
    <row r="6536">
      <c r="A6536" t="s" s="10">
        <v>32786</v>
      </c>
      <c r="B6536" t="s" s="10">
        <v>32787</v>
      </c>
      <c r="C6536" t="s" s="10">
        <v>114</v>
      </c>
      <c r="D6536" t="s" s="10">
        <v>870</v>
      </c>
      <c r="E6536" t="s" s="10">
        <v>137</v>
      </c>
      <c r="F6536" s="27">
        <v>45874</v>
      </c>
      <c r="G6536" t="s" s="10">
        <v>607</v>
      </c>
      <c r="H6536" t="s" s="42">
        <v>30</v>
      </c>
      <c r="I6536" t="s" s="42">
        <v>30</v>
      </c>
      <c r="J6536" t="s" s="10">
        <v>32788</v>
      </c>
      <c r="K6536" t="s" s="10">
        <v>32789</v>
      </c>
      <c r="L6536" s="16">
        <f>HYPERLINK("http://www.shopokoa.com", "www.shopokoa.com")</f>
      </c>
      <c r="M6536" s="16">
        <f>HYPERLINK("https://my.pitchbook.com?c=532568-89", "View Company Online")</f>
      </c>
    </row>
    <row r="6537">
      <c r="A6537" t="s" s="11">
        <v>32791</v>
      </c>
      <c r="B6537" t="s" s="11">
        <v>32792</v>
      </c>
      <c r="C6537" t="s" s="11">
        <v>164</v>
      </c>
      <c r="D6537" t="s" s="11">
        <v>165</v>
      </c>
      <c r="E6537" t="s" s="11">
        <v>13479</v>
      </c>
      <c r="F6537" s="28">
        <v>44588</v>
      </c>
      <c r="G6537" t="s" s="11">
        <v>146</v>
      </c>
      <c r="H6537" t="s" s="43">
        <v>30</v>
      </c>
      <c r="I6537" t="s" s="43">
        <v>30</v>
      </c>
      <c r="J6537" t="s" s="11">
        <v>32793</v>
      </c>
      <c r="K6537" t="s" s="11">
        <v>32794</v>
      </c>
      <c r="L6537" s="17">
        <f>HYPERLINK("http://www.shumingdata.com", "www.shumingdata.com")</f>
      </c>
      <c r="M6537" s="17">
        <f>HYPERLINK("https://my.pitchbook.com?c=439324-21", "View Company Online")</f>
      </c>
    </row>
    <row r="6538">
      <c r="A6538" t="s" s="10">
        <v>32796</v>
      </c>
      <c r="B6538" t="s" s="10">
        <v>32797</v>
      </c>
      <c r="C6538" t="s" s="10">
        <v>46</v>
      </c>
      <c r="D6538" t="s" s="10">
        <v>47</v>
      </c>
      <c r="E6538" t="s" s="10">
        <v>373</v>
      </c>
      <c r="F6538" s="27">
        <v>46023</v>
      </c>
      <c r="G6538" t="s" s="10">
        <v>607</v>
      </c>
      <c r="H6538" t="s" s="42">
        <v>30</v>
      </c>
      <c r="I6538" t="s" s="42">
        <v>30</v>
      </c>
      <c r="J6538" t="s" s="10">
        <v>32798</v>
      </c>
      <c r="K6538" t="s" s="10">
        <v>32799</v>
      </c>
      <c r="L6538" s="16">
        <f>HYPERLINK("http://www.sibill.com", "www.sibill.com")</f>
      </c>
      <c r="M6538" s="16">
        <f>HYPERLINK("https://my.pitchbook.com?c=483555-88", "View Company Online")</f>
      </c>
    </row>
    <row r="6539">
      <c r="A6539" t="s" s="11">
        <v>32801</v>
      </c>
      <c r="B6539" t="s" s="11">
        <v>32802</v>
      </c>
      <c r="C6539" t="s" s="11">
        <v>222</v>
      </c>
      <c r="D6539" t="s" s="11">
        <v>223</v>
      </c>
      <c r="E6539" t="s" s="11">
        <v>373</v>
      </c>
      <c r="F6539" s="28">
        <v>45839</v>
      </c>
      <c r="G6539" t="s" s="11">
        <v>146</v>
      </c>
      <c r="H6539" t="s" s="43">
        <v>30</v>
      </c>
      <c r="I6539" t="s" s="43">
        <v>30</v>
      </c>
      <c r="J6539" t="s" s="11">
        <v>32803</v>
      </c>
      <c r="K6539" t="s" s="11">
        <v>32804</v>
      </c>
      <c r="L6539" s="17">
        <f>HYPERLINK("http://www.usesieve.com", "www.usesieve.com")</f>
      </c>
      <c r="M6539" s="17">
        <f>HYPERLINK("https://my.pitchbook.com?c=819016-21", "View Company Online")</f>
      </c>
    </row>
    <row r="6540">
      <c r="A6540" t="s" s="10">
        <v>32806</v>
      </c>
      <c r="B6540" t="s" s="10">
        <v>32807</v>
      </c>
      <c r="C6540" t="s" s="10">
        <v>46</v>
      </c>
      <c r="D6540" t="s" s="10">
        <v>47</v>
      </c>
      <c r="E6540" t="s" s="10">
        <v>193</v>
      </c>
      <c r="F6540" s="27">
        <v>46112</v>
      </c>
      <c r="G6540" t="s" s="10">
        <v>146</v>
      </c>
      <c r="H6540" s="42">
        <v>20.2</v>
      </c>
      <c r="I6540" t="s" s="42">
        <v>30</v>
      </c>
      <c r="J6540" t="s" s="10">
        <v>32808</v>
      </c>
      <c r="K6540" t="s" s="10">
        <v>32809</v>
      </c>
      <c r="L6540" s="16">
        <f>HYPERLINK("http://www.sifi.app", "www.sifi.app")</f>
      </c>
      <c r="M6540" s="16">
        <f>HYPERLINK("https://my.pitchbook.com?c=491218-39", "View Company Online")</f>
      </c>
    </row>
    <row r="6541">
      <c r="A6541" t="s" s="11">
        <v>32811</v>
      </c>
      <c r="B6541" t="s" s="11">
        <v>32812</v>
      </c>
      <c r="C6541" t="s" s="11">
        <v>46</v>
      </c>
      <c r="D6541" t="s" s="11">
        <v>47</v>
      </c>
      <c r="E6541" t="s" s="11">
        <v>2184</v>
      </c>
      <c r="F6541" s="28">
        <v>44820</v>
      </c>
      <c r="G6541" t="s" s="11">
        <v>40</v>
      </c>
      <c r="H6541" t="s" s="43">
        <v>30</v>
      </c>
      <c r="I6541" t="s" s="43">
        <v>30</v>
      </c>
      <c r="J6541" t="s" s="11">
        <v>32813</v>
      </c>
      <c r="K6541" t="s" s="11">
        <v>32814</v>
      </c>
      <c r="L6541" s="17">
        <f>HYPERLINK("http://www.sigmamind.ai", "www.sigmamind.ai")</f>
      </c>
      <c r="M6541" s="17">
        <f>HYPERLINK("https://my.pitchbook.com?c=498481-93", "View Company Online")</f>
      </c>
    </row>
    <row r="6542">
      <c r="A6542" t="s" s="10">
        <v>32816</v>
      </c>
      <c r="B6542" t="s" s="10">
        <v>32817</v>
      </c>
      <c r="C6542" t="s" s="10">
        <v>172</v>
      </c>
      <c r="D6542" t="s" s="10">
        <v>173</v>
      </c>
      <c r="E6542" t="s" s="10">
        <v>367</v>
      </c>
      <c r="F6542" s="27">
        <v>46111</v>
      </c>
      <c r="G6542" t="s" s="10">
        <v>4267</v>
      </c>
      <c r="H6542" s="42">
        <v>1.5</v>
      </c>
      <c r="I6542" t="s" s="42">
        <v>30</v>
      </c>
      <c r="J6542" t="s" s="10">
        <v>32818</v>
      </c>
      <c r="K6542" t="s" s="10">
        <v>32819</v>
      </c>
      <c r="L6542" s="16">
        <f>HYPERLINK("http://www.sign3.ai", "www.sign3.ai")</f>
      </c>
      <c r="M6542" s="16">
        <f>HYPERLINK("https://my.pitchbook.com?c=645296-14", "View Company Online")</f>
      </c>
    </row>
    <row r="6543">
      <c r="A6543" t="s" s="11">
        <v>32821</v>
      </c>
      <c r="B6543" t="s" s="11">
        <v>32822</v>
      </c>
      <c r="C6543" t="s" s="11">
        <v>222</v>
      </c>
      <c r="D6543" t="s" s="11">
        <v>223</v>
      </c>
      <c r="E6543" t="s" s="11">
        <v>193</v>
      </c>
      <c r="F6543" s="28">
        <v>45884</v>
      </c>
      <c r="G6543" t="s" s="11">
        <v>146</v>
      </c>
      <c r="H6543" s="43">
        <v>3.8</v>
      </c>
      <c r="I6543" t="s" s="43">
        <v>30</v>
      </c>
      <c r="J6543" t="s" s="11">
        <v>32823</v>
      </c>
      <c r="K6543" t="s" s="11">
        <v>32824</v>
      </c>
      <c r="L6543" s="17">
        <f>HYPERLINK("http://www.signalrank.com", "www.signalrank.com")</f>
      </c>
      <c r="M6543" s="17">
        <f>HYPERLINK("https://my.pitchbook.com?c=484653-34", "View Company Online")</f>
      </c>
    </row>
    <row r="6544">
      <c r="A6544" t="s" s="10">
        <v>32826</v>
      </c>
      <c r="B6544" t="s" s="10">
        <v>32827</v>
      </c>
      <c r="C6544" t="s" s="10">
        <v>27</v>
      </c>
      <c r="D6544" t="s" s="10">
        <v>70</v>
      </c>
      <c r="E6544" t="s" s="10">
        <v>311</v>
      </c>
      <c r="F6544" s="27">
        <v>46059</v>
      </c>
      <c r="G6544" t="s" s="10">
        <v>607</v>
      </c>
      <c r="H6544" t="s" s="42">
        <v>30</v>
      </c>
      <c r="I6544" t="s" s="42">
        <v>30</v>
      </c>
      <c r="J6544" t="s" s="10">
        <v>32828</v>
      </c>
      <c r="K6544" t="s" s="10">
        <v>32829</v>
      </c>
      <c r="L6544" s="16">
        <f>HYPERLINK("http://www.getsignet.xyz", "www.getsignet.xyz")</f>
      </c>
      <c r="M6544" s="16">
        <f>HYPERLINK("https://my.pitchbook.com?c=1153349-83", "View Company Online")</f>
      </c>
    </row>
    <row r="6545">
      <c r="A6545" t="s" s="11">
        <v>32831</v>
      </c>
      <c r="B6545" t="s" s="11">
        <v>32832</v>
      </c>
      <c r="C6545" t="s" s="11">
        <v>222</v>
      </c>
      <c r="D6545" t="s" s="11">
        <v>235</v>
      </c>
      <c r="E6545" t="s" s="11">
        <v>6595</v>
      </c>
      <c r="F6545" s="28">
        <v>46083</v>
      </c>
      <c r="G6545" t="s" s="11">
        <v>271</v>
      </c>
      <c r="H6545" s="43">
        <v>0.06</v>
      </c>
      <c r="I6545" t="s" s="43">
        <v>30</v>
      </c>
      <c r="J6545" t="s" s="11">
        <v>32833</v>
      </c>
      <c r="K6545" t="s" s="11">
        <v>32834</v>
      </c>
      <c r="L6545" s="17">
        <f>HYPERLINK("http://www.sphi.io", "www.sphi.io")</f>
      </c>
      <c r="M6545" s="17">
        <f>HYPERLINK("https://my.pitchbook.com?c=433117-81", "View Company Online")</f>
      </c>
    </row>
    <row r="6546">
      <c r="A6546" t="s" s="10">
        <v>32836</v>
      </c>
      <c r="B6546" t="s" s="10">
        <v>32837</v>
      </c>
      <c r="C6546" t="s" s="10">
        <v>222</v>
      </c>
      <c r="D6546" t="s" s="10">
        <v>223</v>
      </c>
      <c r="E6546" t="s" s="10">
        <v>414</v>
      </c>
      <c r="F6546" s="27">
        <v>45658</v>
      </c>
      <c r="G6546" t="s" s="10">
        <v>146</v>
      </c>
      <c r="H6546" t="s" s="42">
        <v>30</v>
      </c>
      <c r="I6546" t="s" s="42">
        <v>30</v>
      </c>
      <c r="J6546" t="s" s="10">
        <v>32838</v>
      </c>
      <c r="K6546" t="s" s="10">
        <v>32839</v>
      </c>
      <c r="L6546" s="16">
        <f>HYPERLINK("http://www.silta.finance", "www.silta.finance")</f>
      </c>
      <c r="M6546" s="16">
        <f>HYPERLINK("https://my.pitchbook.com?c=497334-34", "View Company Online")</f>
      </c>
    </row>
    <row r="6547">
      <c r="A6547" t="s" s="11">
        <v>32841</v>
      </c>
      <c r="B6547" t="s" s="11">
        <v>32842</v>
      </c>
      <c r="C6547" t="s" s="11">
        <v>46</v>
      </c>
      <c r="D6547" t="s" s="11">
        <v>47</v>
      </c>
      <c r="E6547" t="s" s="11">
        <v>1162</v>
      </c>
      <c r="F6547" s="28">
        <v>43287</v>
      </c>
      <c r="G6547" t="s" s="11">
        <v>146</v>
      </c>
      <c r="H6547" s="43">
        <v>40.71</v>
      </c>
      <c r="I6547" t="s" s="43">
        <v>30</v>
      </c>
      <c r="J6547" t="s" s="11">
        <v>32843</v>
      </c>
      <c r="K6547" t="s" s="11">
        <v>32844</v>
      </c>
      <c r="L6547" s="17">
        <f>HYPERLINK("http://www.yinchengku.com", "www.yinchengku.com")</f>
      </c>
      <c r="M6547" s="17">
        <f>HYPERLINK("https://my.pitchbook.com?c=167636-17", "View Company Online")</f>
      </c>
    </row>
    <row r="6548">
      <c r="A6548" t="s" s="10">
        <v>32846</v>
      </c>
      <c r="B6548" t="s" s="10">
        <v>32847</v>
      </c>
      <c r="C6548" t="s" s="10">
        <v>172</v>
      </c>
      <c r="D6548" t="s" s="10">
        <v>173</v>
      </c>
      <c r="E6548" t="s" s="10">
        <v>4207</v>
      </c>
      <c r="F6548" s="27">
        <v>45341</v>
      </c>
      <c r="G6548" t="s" s="10">
        <v>607</v>
      </c>
      <c r="H6548" t="s" s="42">
        <v>30</v>
      </c>
      <c r="I6548" t="s" s="42">
        <v>30</v>
      </c>
      <c r="J6548" t="s" s="10">
        <v>32848</v>
      </c>
      <c r="K6548" t="s" s="10">
        <v>32849</v>
      </c>
      <c r="L6548" s="16">
        <f>HYPERLINK("http://www.sosgolpe.com.br", "www.sosgolpe.com.br")</f>
      </c>
      <c r="M6548" s="16">
        <f>HYPERLINK("https://my.pitchbook.com?c=527817-07", "View Company Online")</f>
      </c>
    </row>
    <row r="6549">
      <c r="A6549" t="s" s="11">
        <v>32851</v>
      </c>
      <c r="B6549" t="s" s="11">
        <v>32852</v>
      </c>
      <c r="C6549" t="s" s="11">
        <v>222</v>
      </c>
      <c r="D6549" t="s" s="11">
        <v>223</v>
      </c>
      <c r="E6549" t="s" s="11">
        <v>373</v>
      </c>
      <c r="F6549" s="28">
        <v>44754</v>
      </c>
      <c r="G6549" t="s" s="11">
        <v>40</v>
      </c>
      <c r="H6549" s="43">
        <v>0.62</v>
      </c>
      <c r="I6549" t="s" s="43">
        <v>30</v>
      </c>
      <c r="J6549" t="s" s="11">
        <v>32853</v>
      </c>
      <c r="K6549" t="s" s="11">
        <v>32854</v>
      </c>
      <c r="L6549" s="17">
        <f>HYPERLINK("http://www.simfin.com", "www.simfin.com")</f>
      </c>
      <c r="M6549" s="17">
        <f>HYPERLINK("https://my.pitchbook.com?c=306787-69", "View Company Online")</f>
      </c>
    </row>
    <row r="6550">
      <c r="A6550" t="s" s="10">
        <v>32856</v>
      </c>
      <c r="B6550" t="s" s="10">
        <v>32857</v>
      </c>
      <c r="C6550" t="s" s="10">
        <v>27</v>
      </c>
      <c r="D6550" t="s" s="10">
        <v>28</v>
      </c>
      <c r="E6550" t="s" s="10">
        <v>259</v>
      </c>
      <c r="F6550" s="27">
        <v>44348</v>
      </c>
      <c r="G6550" t="s" s="10">
        <v>40</v>
      </c>
      <c r="H6550" t="s" s="42">
        <v>30</v>
      </c>
      <c r="I6550" t="s" s="42">
        <v>30</v>
      </c>
      <c r="J6550" t="s" s="10">
        <v>32858</v>
      </c>
      <c r="K6550" t="s" s="10">
        <v>32859</v>
      </c>
      <c r="L6550" s="16">
        <f>HYPERLINK("http://www.simpaisa.com", "www.simpaisa.com")</f>
      </c>
      <c r="M6550" s="16">
        <f>HYPERLINK("https://my.pitchbook.com?c=230121-37", "View Company Online")</f>
      </c>
    </row>
    <row r="6551">
      <c r="A6551" t="s" s="11">
        <v>32861</v>
      </c>
      <c r="B6551" t="s" s="11">
        <v>32862</v>
      </c>
      <c r="C6551" t="s" s="11">
        <v>114</v>
      </c>
      <c r="D6551" t="s" s="11">
        <v>852</v>
      </c>
      <c r="E6551" t="s" s="11">
        <v>759</v>
      </c>
      <c r="F6551" s="28">
        <v>44041</v>
      </c>
      <c r="G6551" t="s" s="11">
        <v>48</v>
      </c>
      <c r="H6551" t="s" s="43">
        <v>30</v>
      </c>
      <c r="I6551" t="s" s="43">
        <v>30</v>
      </c>
      <c r="J6551" t="s" s="11">
        <v>32863</v>
      </c>
      <c r="K6551" t="s" s="11">
        <v>32864</v>
      </c>
      <c r="L6551" s="17">
        <f>HYPERLINK("http://www.simplefinance.ru", "www.simplefinance.ru")</f>
      </c>
      <c r="M6551" s="17">
        <f>HYPERLINK("https://my.pitchbook.com?c=174726-64", "View Company Online")</f>
      </c>
    </row>
    <row r="6552">
      <c r="A6552" t="s" s="10">
        <v>32866</v>
      </c>
      <c r="B6552" t="s" s="10">
        <v>32867</v>
      </c>
      <c r="C6552" t="s" s="10">
        <v>37</v>
      </c>
      <c r="D6552" t="s" s="10">
        <v>304</v>
      </c>
      <c r="E6552" t="s" s="10">
        <v>253</v>
      </c>
      <c r="F6552" s="27">
        <v>45444</v>
      </c>
      <c r="G6552" t="s" s="10">
        <v>146</v>
      </c>
      <c r="H6552" t="s" s="42">
        <v>30</v>
      </c>
      <c r="I6552" t="s" s="42">
        <v>30</v>
      </c>
      <c r="J6552" t="s" s="10">
        <v>32868</v>
      </c>
      <c r="K6552" t="s" s="10">
        <v>32869</v>
      </c>
      <c r="L6552" s="16">
        <f>HYPERLINK("http://www.simplifipay.com", "www.simplifipay.com")</f>
      </c>
      <c r="M6552" s="16">
        <f>HYPERLINK("https://my.pitchbook.com?c=471000-07", "View Company Online")</f>
      </c>
    </row>
    <row r="6553">
      <c r="A6553" t="s" s="11">
        <v>32871</v>
      </c>
      <c r="B6553" t="s" s="11">
        <v>32872</v>
      </c>
      <c r="C6553" t="s" s="11">
        <v>27</v>
      </c>
      <c r="D6553" t="s" s="11">
        <v>28</v>
      </c>
      <c r="E6553" t="s" s="11">
        <v>193</v>
      </c>
      <c r="F6553" s="28">
        <v>45880</v>
      </c>
      <c r="G6553" t="s" s="11">
        <v>31</v>
      </c>
      <c r="H6553" s="43">
        <v>0.5</v>
      </c>
      <c r="I6553" t="s" s="43">
        <v>30</v>
      </c>
      <c r="J6553" t="s" s="11">
        <v>32873</v>
      </c>
      <c r="K6553" t="s" s="11">
        <v>32874</v>
      </c>
      <c r="L6553" s="17">
        <f>HYPERLINK("http://www.simpliphy.com", "www.simpliphy.com")</f>
      </c>
      <c r="M6553" s="17">
        <f>HYPERLINK("https://my.pitchbook.com?c=235267-30", "View Company Online")</f>
      </c>
    </row>
    <row r="6554">
      <c r="A6554" t="s" s="10">
        <v>32876</v>
      </c>
      <c r="B6554" t="s" s="10">
        <v>32877</v>
      </c>
      <c r="C6554" t="s" s="10">
        <v>60</v>
      </c>
      <c r="D6554" t="s" s="10">
        <v>192</v>
      </c>
      <c r="E6554" t="s" s="10">
        <v>29</v>
      </c>
      <c r="F6554" s="27">
        <v>45597</v>
      </c>
      <c r="G6554" t="s" s="10">
        <v>146</v>
      </c>
      <c r="H6554" s="42">
        <v>0.03</v>
      </c>
      <c r="I6554" t="s" s="42">
        <v>30</v>
      </c>
      <c r="J6554" t="s" s="10">
        <v>32878</v>
      </c>
      <c r="K6554" t="s" s="10">
        <v>30</v>
      </c>
      <c r="L6554" s="16">
        <f>HYPERLINK("http://www.simply-global.com", "www.simply-global.com")</f>
      </c>
      <c r="M6554" s="16">
        <f>HYPERLINK("https://my.pitchbook.com?c=571670-92", "View Company Online")</f>
      </c>
    </row>
    <row r="6555">
      <c r="A6555" t="s" s="11">
        <v>32880</v>
      </c>
      <c r="B6555" t="s" s="11">
        <v>32881</v>
      </c>
      <c r="C6555" t="s" s="11">
        <v>60</v>
      </c>
      <c r="D6555" t="s" s="11">
        <v>246</v>
      </c>
      <c r="E6555" t="s" s="11">
        <v>414</v>
      </c>
      <c r="F6555" s="28">
        <v>45918</v>
      </c>
      <c r="G6555" t="s" s="11">
        <v>4267</v>
      </c>
      <c r="H6555" s="43">
        <v>4.8</v>
      </c>
      <c r="I6555" t="s" s="43">
        <v>30</v>
      </c>
      <c r="J6555" t="s" s="11">
        <v>32882</v>
      </c>
      <c r="K6555" t="s" s="11">
        <v>32883</v>
      </c>
      <c r="L6555" s="17">
        <f>HYPERLINK("http://www.sindbad.tech", "www.sindbad.tech")</f>
      </c>
      <c r="M6555" s="17">
        <f>HYPERLINK("https://my.pitchbook.com?c=1012906-36", "View Company Online")</f>
      </c>
    </row>
    <row r="6556">
      <c r="A6556" t="s" s="10">
        <v>32885</v>
      </c>
      <c r="B6556" t="s" s="10">
        <v>32886</v>
      </c>
      <c r="C6556" t="s" s="10">
        <v>172</v>
      </c>
      <c r="D6556" t="s" s="10">
        <v>338</v>
      </c>
      <c r="E6556" t="s" s="10">
        <v>859</v>
      </c>
      <c r="F6556" s="27">
        <v>45344</v>
      </c>
      <c r="G6556" t="s" s="10">
        <v>146</v>
      </c>
      <c r="H6556" s="42">
        <v>2.2</v>
      </c>
      <c r="I6556" t="s" s="42">
        <v>30</v>
      </c>
      <c r="J6556" t="s" s="10">
        <v>32887</v>
      </c>
      <c r="K6556" t="s" s="10">
        <v>32888</v>
      </c>
      <c r="L6556" s="16">
        <f>HYPERLINK("http://www.thesingularity.network", "www.thesingularity.network")</f>
      </c>
      <c r="M6556" s="16">
        <f>HYPERLINK("https://my.pitchbook.com?c=529606-27", "View Company Online")</f>
      </c>
    </row>
    <row r="6557">
      <c r="A6557" t="s" s="11">
        <v>32890</v>
      </c>
      <c r="B6557" t="s" s="11">
        <v>32891</v>
      </c>
      <c r="C6557" t="s" s="11">
        <v>172</v>
      </c>
      <c r="D6557" t="s" s="11">
        <v>1454</v>
      </c>
      <c r="E6557" t="s" s="11">
        <v>373</v>
      </c>
      <c r="F6557" s="28">
        <v>46010</v>
      </c>
      <c r="G6557" t="s" s="11">
        <v>4267</v>
      </c>
      <c r="H6557" s="43">
        <v>1.2</v>
      </c>
      <c r="I6557" t="s" s="43">
        <v>30</v>
      </c>
      <c r="J6557" t="s" s="11">
        <v>32892</v>
      </c>
      <c r="K6557" t="s" s="11">
        <v>32893</v>
      </c>
      <c r="L6557" s="17">
        <f>HYPERLINK("http://www.besinky.com", "www.besinky.com")</f>
      </c>
      <c r="M6557" s="17">
        <f>HYPERLINK("https://my.pitchbook.com?c=847317-43", "View Company Online")</f>
      </c>
    </row>
    <row r="6558">
      <c r="A6558" t="s" s="10">
        <v>32895</v>
      </c>
      <c r="B6558" t="s" s="10">
        <v>32896</v>
      </c>
      <c r="C6558" t="s" s="10">
        <v>60</v>
      </c>
      <c r="D6558" t="s" s="10">
        <v>61</v>
      </c>
      <c r="E6558" t="s" s="10">
        <v>1082</v>
      </c>
      <c r="F6558" s="27">
        <v>45717</v>
      </c>
      <c r="G6558" t="s" s="10">
        <v>146</v>
      </c>
      <c r="H6558" t="s" s="42">
        <v>30</v>
      </c>
      <c r="I6558" t="s" s="42">
        <v>30</v>
      </c>
      <c r="J6558" t="s" s="10">
        <v>32897</v>
      </c>
      <c r="K6558" t="s" s="10">
        <v>16348</v>
      </c>
      <c r="L6558" s="16">
        <f>HYPERLINK("http://www.six-invest.com.au", "www.six-invest.com.au")</f>
      </c>
      <c r="M6558" s="16">
        <f>HYPERLINK("https://my.pitchbook.com?c=599742-91", "View Company Online")</f>
      </c>
    </row>
    <row r="6559">
      <c r="A6559" t="s" s="11">
        <v>32899</v>
      </c>
      <c r="B6559" t="s" s="11">
        <v>32900</v>
      </c>
      <c r="C6559" t="s" s="11">
        <v>46</v>
      </c>
      <c r="D6559" t="s" s="11">
        <v>397</v>
      </c>
      <c r="E6559" t="s" s="11">
        <v>137</v>
      </c>
      <c r="F6559" s="28">
        <v>45790</v>
      </c>
      <c r="G6559" t="s" s="11">
        <v>146</v>
      </c>
      <c r="H6559" s="43">
        <v>0.69</v>
      </c>
      <c r="I6559" t="s" s="43">
        <v>30</v>
      </c>
      <c r="J6559" t="s" s="11">
        <v>32901</v>
      </c>
      <c r="K6559" t="s" s="11">
        <v>30</v>
      </c>
      <c r="L6559" t="s" s="11">
        <v>30</v>
      </c>
      <c r="M6559" s="17">
        <f>HYPERLINK("https://my.pitchbook.com?c=820828-27", "View Company Online")</f>
      </c>
    </row>
    <row r="6560">
      <c r="A6560" t="s" s="10">
        <v>32902</v>
      </c>
      <c r="B6560" t="s" s="10">
        <v>32903</v>
      </c>
      <c r="C6560" t="s" s="10">
        <v>60</v>
      </c>
      <c r="D6560" t="s" s="10">
        <v>246</v>
      </c>
      <c r="E6560" t="s" s="10">
        <v>373</v>
      </c>
      <c r="F6560" s="27">
        <v>45667</v>
      </c>
      <c r="G6560" t="s" s="10">
        <v>146</v>
      </c>
      <c r="H6560" s="42">
        <v>0.09</v>
      </c>
      <c r="I6560" t="s" s="42">
        <v>30</v>
      </c>
      <c r="J6560" t="s" s="10">
        <v>32904</v>
      </c>
      <c r="K6560" t="s" s="10">
        <v>32905</v>
      </c>
      <c r="L6560" s="16">
        <f>HYPERLINK("http://www.skattio.se", "www.skattio.se")</f>
      </c>
      <c r="M6560" s="16">
        <f>HYPERLINK("https://my.pitchbook.com?c=537424-75", "View Company Online")</f>
      </c>
    </row>
    <row r="6561">
      <c r="A6561" t="s" s="11">
        <v>32907</v>
      </c>
      <c r="B6561" t="s" s="11">
        <v>32908</v>
      </c>
      <c r="C6561" t="s" s="11">
        <v>128</v>
      </c>
      <c r="D6561" t="s" s="11">
        <v>199</v>
      </c>
      <c r="E6561" t="s" s="11">
        <v>1800</v>
      </c>
      <c r="F6561" s="28">
        <v>46226</v>
      </c>
      <c r="G6561" t="s" s="11">
        <v>40</v>
      </c>
      <c r="H6561" t="s" s="43">
        <v>30</v>
      </c>
      <c r="I6561" t="s" s="43">
        <v>30</v>
      </c>
      <c r="J6561" t="s" s="11">
        <v>32909</v>
      </c>
      <c r="K6561" t="s" s="11">
        <v>32910</v>
      </c>
      <c r="L6561" s="17">
        <f>HYPERLINK("http://skipcash.app", "skipcash.app")</f>
      </c>
      <c r="M6561" s="17">
        <f>HYPERLINK("https://my.pitchbook.com?c=465595-66", "View Company Online")</f>
      </c>
    </row>
    <row r="6562">
      <c r="A6562" t="s" s="10">
        <v>32912</v>
      </c>
      <c r="B6562" t="s" s="10">
        <v>32913</v>
      </c>
      <c r="C6562" t="s" s="10">
        <v>60</v>
      </c>
      <c r="D6562" t="s" s="10">
        <v>192</v>
      </c>
      <c r="E6562" t="s" s="10">
        <v>373</v>
      </c>
      <c r="F6562" t="s" s="27">
        <v>30</v>
      </c>
      <c r="G6562" t="s" s="10">
        <v>48</v>
      </c>
      <c r="H6562" t="s" s="42">
        <v>30</v>
      </c>
      <c r="I6562" t="s" s="42">
        <v>30</v>
      </c>
      <c r="J6562" t="s" s="10">
        <v>32914</v>
      </c>
      <c r="K6562" t="s" s="10">
        <v>32915</v>
      </c>
      <c r="L6562" s="16">
        <f>HYPERLINK("http://www.skytrading.io", "www.skytrading.io")</f>
      </c>
      <c r="M6562" s="16">
        <f>HYPERLINK("https://my.pitchbook.com?c=519534-82", "View Company Online")</f>
      </c>
    </row>
    <row r="6563">
      <c r="A6563" t="s" s="11">
        <v>32917</v>
      </c>
      <c r="B6563" t="s" s="11">
        <v>32918</v>
      </c>
      <c r="C6563" t="s" s="11">
        <v>164</v>
      </c>
      <c r="D6563" t="s" s="11">
        <v>206</v>
      </c>
      <c r="E6563" t="s" s="11">
        <v>634</v>
      </c>
      <c r="F6563" s="28">
        <v>46006</v>
      </c>
      <c r="G6563" t="s" s="11">
        <v>146</v>
      </c>
      <c r="H6563" s="43">
        <v>0.2</v>
      </c>
      <c r="I6563" t="s" s="43">
        <v>30</v>
      </c>
      <c r="J6563" t="s" s="11">
        <v>32919</v>
      </c>
      <c r="K6563" t="s" s="11">
        <v>32920</v>
      </c>
      <c r="L6563" s="17">
        <f>HYPERLINK("http://www.skyblueanalytics.com", "www.skyblueanalytics.com")</f>
      </c>
      <c r="M6563" s="17">
        <f>HYPERLINK("https://my.pitchbook.com?c=539069-05", "View Company Online")</f>
      </c>
    </row>
    <row r="6564">
      <c r="A6564" t="s" s="10">
        <v>32922</v>
      </c>
      <c r="B6564" t="s" s="10">
        <v>32923</v>
      </c>
      <c r="C6564" t="s" s="10">
        <v>164</v>
      </c>
      <c r="D6564" t="s" s="10">
        <v>206</v>
      </c>
      <c r="E6564" t="s" s="10">
        <v>414</v>
      </c>
      <c r="F6564" s="27">
        <v>46106</v>
      </c>
      <c r="G6564" t="s" s="10">
        <v>607</v>
      </c>
      <c r="H6564" t="s" s="42">
        <v>30</v>
      </c>
      <c r="I6564" t="s" s="42">
        <v>30</v>
      </c>
      <c r="J6564" t="s" s="10">
        <v>32924</v>
      </c>
      <c r="K6564" t="s" s="10">
        <v>32925</v>
      </c>
      <c r="L6564" s="16">
        <f>HYPERLINK("http://www.skyfire.xyz", "www.skyfire.xyz")</f>
      </c>
      <c r="M6564" s="16">
        <f>HYPERLINK("https://my.pitchbook.com?c=501563-35", "View Company Online")</f>
      </c>
    </row>
    <row r="6565">
      <c r="A6565" t="s" s="11">
        <v>32927</v>
      </c>
      <c r="B6565" t="s" s="11">
        <v>32928</v>
      </c>
      <c r="C6565" t="s" s="11">
        <v>128</v>
      </c>
      <c r="D6565" t="s" s="11">
        <v>276</v>
      </c>
      <c r="E6565" t="s" s="11">
        <v>137</v>
      </c>
      <c r="F6565" s="28">
        <v>45154</v>
      </c>
      <c r="G6565" t="s" s="11">
        <v>138</v>
      </c>
      <c r="H6565" t="s" s="43">
        <v>30</v>
      </c>
      <c r="I6565" t="s" s="43">
        <v>30</v>
      </c>
      <c r="J6565" t="s" s="11">
        <v>32929</v>
      </c>
      <c r="K6565" t="s" s="11">
        <v>30</v>
      </c>
      <c r="L6565" s="17">
        <f>HYPERLINK("http://www.slashpay.app", "www.slashpay.app")</f>
      </c>
      <c r="M6565" s="17">
        <f>HYPERLINK("https://my.pitchbook.com?c=533442-34", "View Company Online")</f>
      </c>
    </row>
    <row r="6566">
      <c r="A6566" t="s" s="10">
        <v>32931</v>
      </c>
      <c r="B6566" t="s" s="10">
        <v>32932</v>
      </c>
      <c r="C6566" t="s" s="10">
        <v>37</v>
      </c>
      <c r="D6566" t="s" s="10">
        <v>304</v>
      </c>
      <c r="E6566" t="s" s="10">
        <v>137</v>
      </c>
      <c r="F6566" s="27">
        <v>45901</v>
      </c>
      <c r="G6566" t="s" s="10">
        <v>146</v>
      </c>
      <c r="H6566" t="s" s="42">
        <v>30</v>
      </c>
      <c r="I6566" t="s" s="42">
        <v>30</v>
      </c>
      <c r="J6566" t="s" s="10">
        <v>32933</v>
      </c>
      <c r="K6566" t="s" s="10">
        <v>32934</v>
      </c>
      <c r="L6566" s="16">
        <f>HYPERLINK("http://www.slicepay.com.br", "www.slicepay.com.br")</f>
      </c>
      <c r="M6566" s="16">
        <f>HYPERLINK("https://my.pitchbook.com?c=969848-92", "View Company Online")</f>
      </c>
    </row>
    <row r="6567">
      <c r="A6567" t="s" s="11">
        <v>32936</v>
      </c>
      <c r="B6567" t="s" s="11">
        <v>32937</v>
      </c>
      <c r="C6567" t="s" s="11">
        <v>164</v>
      </c>
      <c r="D6567" t="s" s="11">
        <v>165</v>
      </c>
      <c r="E6567" t="s" s="11">
        <v>18044</v>
      </c>
      <c r="F6567" t="s" s="28">
        <v>30</v>
      </c>
      <c r="G6567" t="s" s="11">
        <v>48</v>
      </c>
      <c r="H6567" t="s" s="43">
        <v>30</v>
      </c>
      <c r="I6567" t="s" s="43">
        <v>30</v>
      </c>
      <c r="J6567" t="s" s="11">
        <v>32938</v>
      </c>
      <c r="K6567" t="s" s="11">
        <v>32939</v>
      </c>
      <c r="L6567" s="17">
        <f>HYPERLINK("http://sliceinsurance.com", "sliceinsurance.com")</f>
      </c>
      <c r="M6567" s="17">
        <f>HYPERLINK("https://my.pitchbook.com?c=156127-87", "View Company Online")</f>
      </c>
    </row>
    <row r="6568">
      <c r="A6568" t="s" s="10">
        <v>32941</v>
      </c>
      <c r="B6568" t="s" s="10">
        <v>32942</v>
      </c>
      <c r="C6568" t="s" s="10">
        <v>60</v>
      </c>
      <c r="D6568" t="s" s="10">
        <v>727</v>
      </c>
      <c r="E6568" t="s" s="10">
        <v>253</v>
      </c>
      <c r="F6568" s="27">
        <v>44627</v>
      </c>
      <c r="G6568" t="s" s="10">
        <v>48</v>
      </c>
      <c r="H6568" t="s" s="42">
        <v>30</v>
      </c>
      <c r="I6568" t="s" s="42">
        <v>30</v>
      </c>
      <c r="J6568" t="s" s="10">
        <v>32943</v>
      </c>
      <c r="K6568" t="s" s="10">
        <v>32944</v>
      </c>
      <c r="L6568" s="16">
        <f>HYPERLINK("http://slice.capital", "slice.capital")</f>
      </c>
      <c r="M6568" s="16">
        <f>HYPERLINK("https://my.pitchbook.com?c=121401-01", "View Company Online")</f>
      </c>
    </row>
    <row r="6569">
      <c r="A6569" t="s" s="11">
        <v>32946</v>
      </c>
      <c r="B6569" t="s" s="11">
        <v>32947</v>
      </c>
      <c r="C6569" t="s" s="11">
        <v>222</v>
      </c>
      <c r="D6569" t="s" s="11">
        <v>235</v>
      </c>
      <c r="E6569" t="s" s="11">
        <v>137</v>
      </c>
      <c r="F6569" s="28">
        <v>46050</v>
      </c>
      <c r="G6569" t="s" s="11">
        <v>146</v>
      </c>
      <c r="H6569" s="43">
        <v>25</v>
      </c>
      <c r="I6569" t="s" s="43">
        <v>30</v>
      </c>
      <c r="J6569" t="s" s="11">
        <v>32948</v>
      </c>
      <c r="K6569" t="s" s="11">
        <v>32949</v>
      </c>
      <c r="L6569" s="17">
        <f>HYPERLINK("http://www.sliceglobal.com", "www.sliceglobal.com")</f>
      </c>
      <c r="M6569" s="17">
        <f>HYPERLINK("https://my.pitchbook.com?c=571425-13", "View Company Online")</f>
      </c>
    </row>
    <row r="6570">
      <c r="A6570" t="s" s="10">
        <v>32951</v>
      </c>
      <c r="B6570" t="s" s="10">
        <v>32952</v>
      </c>
      <c r="C6570" t="s" s="10">
        <v>114</v>
      </c>
      <c r="D6570" t="s" s="10">
        <v>136</v>
      </c>
      <c r="E6570" t="s" s="10">
        <v>137</v>
      </c>
      <c r="F6570" s="27">
        <v>44866</v>
      </c>
      <c r="G6570" t="s" s="10">
        <v>146</v>
      </c>
      <c r="H6570" t="s" s="42">
        <v>30</v>
      </c>
      <c r="I6570" t="s" s="42">
        <v>30</v>
      </c>
      <c r="J6570" t="s" s="10">
        <v>32953</v>
      </c>
      <c r="K6570" t="s" s="10">
        <v>32954</v>
      </c>
      <c r="L6570" s="16">
        <f>HYPERLINK("http://www.smally.me", "www.smally.me")</f>
      </c>
      <c r="M6570" s="16">
        <f>HYPERLINK("https://my.pitchbook.com?c=515064-52", "View Company Online")</f>
      </c>
    </row>
    <row r="6571">
      <c r="A6571" t="s" s="11">
        <v>32956</v>
      </c>
      <c r="B6571" t="s" s="11">
        <v>32957</v>
      </c>
      <c r="C6571" t="s" s="11">
        <v>60</v>
      </c>
      <c r="D6571" t="s" s="11">
        <v>246</v>
      </c>
      <c r="E6571" t="s" s="11">
        <v>270</v>
      </c>
      <c r="F6571" t="s" s="28">
        <v>30</v>
      </c>
      <c r="G6571" t="s" s="11">
        <v>40</v>
      </c>
      <c r="H6571" s="43">
        <v>0.19</v>
      </c>
      <c r="I6571" t="s" s="43">
        <v>30</v>
      </c>
      <c r="J6571" t="s" s="11">
        <v>32958</v>
      </c>
      <c r="K6571" t="s" s="11">
        <v>32959</v>
      </c>
      <c r="L6571" s="17">
        <f>HYPERLINK("http://www.smart-idea-apps.com", "www.smart-idea-apps.com")</f>
      </c>
      <c r="M6571" s="17">
        <f>HYPERLINK("https://my.pitchbook.com?c=462581-65", "View Company Online")</f>
      </c>
    </row>
    <row r="6572">
      <c r="A6572" t="s" s="10">
        <v>32961</v>
      </c>
      <c r="B6572" t="s" s="10">
        <v>32962</v>
      </c>
      <c r="C6572" t="s" s="10">
        <v>164</v>
      </c>
      <c r="D6572" t="s" s="10">
        <v>206</v>
      </c>
      <c r="E6572" t="s" s="10">
        <v>3911</v>
      </c>
      <c r="F6572" s="27">
        <v>44279</v>
      </c>
      <c r="G6572" t="s" s="10">
        <v>40</v>
      </c>
      <c r="H6572" t="s" s="42">
        <v>30</v>
      </c>
      <c r="I6572" t="s" s="42">
        <v>30</v>
      </c>
      <c r="J6572" t="s" s="10">
        <v>32963</v>
      </c>
      <c r="K6572" t="s" s="10">
        <v>32964</v>
      </c>
      <c r="L6572" s="16">
        <f>HYPERLINK("http://www.smarttrade.co.jp", "www.smarttrade.co.jp")</f>
      </c>
      <c r="M6572" s="16">
        <f>HYPERLINK("https://my.pitchbook.com?c=183031-30", "View Company Online")</f>
      </c>
    </row>
    <row r="6573">
      <c r="A6573" t="s" s="11">
        <v>32966</v>
      </c>
      <c r="B6573" t="s" s="11">
        <v>32967</v>
      </c>
      <c r="C6573" t="s" s="11">
        <v>60</v>
      </c>
      <c r="D6573" t="s" s="11">
        <v>432</v>
      </c>
      <c r="E6573" t="s" s="11">
        <v>137</v>
      </c>
      <c r="F6573" t="s" s="28">
        <v>30</v>
      </c>
      <c r="G6573" t="s" s="11">
        <v>48</v>
      </c>
      <c r="H6573" t="s" s="43">
        <v>30</v>
      </c>
      <c r="I6573" t="s" s="43">
        <v>30</v>
      </c>
      <c r="J6573" t="s" s="11">
        <v>32968</v>
      </c>
      <c r="K6573" t="s" s="11">
        <v>32969</v>
      </c>
      <c r="L6573" s="17">
        <f>HYPERLINK("http://www.smartbrain.com.br", "www.smartbrain.com.br")</f>
      </c>
      <c r="M6573" s="17">
        <f>HYPERLINK("https://my.pitchbook.com?c=491733-01", "View Company Online")</f>
      </c>
    </row>
    <row r="6574">
      <c r="A6574" t="s" s="10">
        <v>32971</v>
      </c>
      <c r="B6574" t="s" s="10">
        <v>32972</v>
      </c>
      <c r="C6574" t="s" s="10">
        <v>60</v>
      </c>
      <c r="D6574" t="s" s="10">
        <v>432</v>
      </c>
      <c r="E6574" t="s" s="10">
        <v>373</v>
      </c>
      <c r="F6574" s="27">
        <v>46243</v>
      </c>
      <c r="G6574" t="s" s="10">
        <v>2051</v>
      </c>
      <c r="H6574" t="s" s="42">
        <v>30</v>
      </c>
      <c r="I6574" t="s" s="42">
        <v>30</v>
      </c>
      <c r="J6574" t="s" s="10">
        <v>32973</v>
      </c>
      <c r="K6574" t="s" s="10">
        <v>30</v>
      </c>
      <c r="L6574" s="16">
        <f>HYPERLINK("http://www.smartdatawealth.com", "www.smartdatawealth.com")</f>
      </c>
      <c r="M6574" s="16">
        <f>HYPERLINK("https://my.pitchbook.com?c=694358-02", "View Company Online")</f>
      </c>
    </row>
    <row r="6575">
      <c r="A6575" t="s" s="11">
        <v>32975</v>
      </c>
      <c r="B6575" t="s" s="11">
        <v>32976</v>
      </c>
      <c r="C6575" t="s" s="11">
        <v>114</v>
      </c>
      <c r="D6575" t="s" s="11">
        <v>136</v>
      </c>
      <c r="E6575" t="s" s="11">
        <v>253</v>
      </c>
      <c r="F6575" s="28">
        <v>45992</v>
      </c>
      <c r="G6575" t="s" s="11">
        <v>146</v>
      </c>
      <c r="H6575" s="43">
        <v>0.05</v>
      </c>
      <c r="I6575" t="s" s="43">
        <v>30</v>
      </c>
      <c r="J6575" t="s" s="11">
        <v>32977</v>
      </c>
      <c r="K6575" t="s" s="11">
        <v>32978</v>
      </c>
      <c r="L6575" s="17">
        <f>HYPERLINK("http://www.smartfy.tech", "www.smartfy.tech")</f>
      </c>
      <c r="M6575" s="17">
        <f>HYPERLINK("https://my.pitchbook.com?c=1317240-55", "View Company Online")</f>
      </c>
    </row>
    <row r="6576">
      <c r="A6576" t="s" s="10">
        <v>32980</v>
      </c>
      <c r="B6576" t="s" s="10">
        <v>32981</v>
      </c>
      <c r="C6576" t="s" s="10">
        <v>27</v>
      </c>
      <c r="D6576" t="s" s="10">
        <v>28</v>
      </c>
      <c r="E6576" t="s" s="10">
        <v>2411</v>
      </c>
      <c r="F6576" s="27">
        <v>44880</v>
      </c>
      <c r="G6576" t="s" s="10">
        <v>146</v>
      </c>
      <c r="H6576" s="42">
        <v>30</v>
      </c>
      <c r="I6576" t="s" s="42">
        <v>30</v>
      </c>
      <c r="J6576" t="s" s="10">
        <v>32982</v>
      </c>
      <c r="K6576" t="s" s="10">
        <v>32983</v>
      </c>
      <c r="L6576" s="16">
        <f>HYPERLINK("http://www.smartpayvn.com", "www.smartpayvn.com")</f>
      </c>
      <c r="M6576" s="16">
        <f>HYPERLINK("https://my.pitchbook.com?c=484884-01", "View Company Online")</f>
      </c>
    </row>
    <row r="6577">
      <c r="A6577" t="s" s="11">
        <v>32985</v>
      </c>
      <c r="B6577" t="s" s="11">
        <v>32986</v>
      </c>
      <c r="C6577" t="s" s="11">
        <v>46</v>
      </c>
      <c r="D6577" t="s" s="11">
        <v>915</v>
      </c>
      <c r="E6577" t="s" s="11">
        <v>253</v>
      </c>
      <c r="F6577" s="28">
        <v>46091</v>
      </c>
      <c r="G6577" t="s" s="11">
        <v>4267</v>
      </c>
      <c r="H6577" s="43">
        <v>0.73</v>
      </c>
      <c r="I6577" t="s" s="43">
        <v>30</v>
      </c>
      <c r="J6577" t="s" s="11">
        <v>32987</v>
      </c>
      <c r="K6577" t="s" s="11">
        <v>32988</v>
      </c>
      <c r="L6577" s="17">
        <f>HYPERLINK("http://www.smartproperty.com", "www.smartproperty.com")</f>
      </c>
      <c r="M6577" s="17">
        <f>HYPERLINK("https://my.pitchbook.com?c=158697-82", "View Company Online")</f>
      </c>
    </row>
    <row r="6578">
      <c r="A6578" t="s" s="10">
        <v>32990</v>
      </c>
      <c r="B6578" t="s" s="10">
        <v>32991</v>
      </c>
      <c r="C6578" t="s" s="10">
        <v>172</v>
      </c>
      <c r="D6578" t="s" s="10">
        <v>338</v>
      </c>
      <c r="E6578" t="s" s="10">
        <v>253</v>
      </c>
      <c r="F6578" t="s" s="27">
        <v>30</v>
      </c>
      <c r="G6578" t="s" s="10">
        <v>607</v>
      </c>
      <c r="H6578" t="s" s="42">
        <v>30</v>
      </c>
      <c r="I6578" t="s" s="42">
        <v>30</v>
      </c>
      <c r="J6578" t="s" s="10">
        <v>32992</v>
      </c>
      <c r="K6578" t="s" s="10">
        <v>32993</v>
      </c>
      <c r="L6578" s="16">
        <f>HYPERLINK("http://www.smart-ria.com", "www.smart-ria.com")</f>
      </c>
      <c r="M6578" s="16">
        <f>HYPERLINK("https://my.pitchbook.com?c=171523-54", "View Company Online")</f>
      </c>
    </row>
    <row r="6579">
      <c r="A6579" t="s" s="11">
        <v>32995</v>
      </c>
      <c r="B6579" t="s" s="11">
        <v>32996</v>
      </c>
      <c r="C6579" t="s" s="11">
        <v>144</v>
      </c>
      <c r="D6579" t="s" s="11">
        <v>297</v>
      </c>
      <c r="E6579" t="s" s="11">
        <v>367</v>
      </c>
      <c r="F6579" s="28">
        <v>45778</v>
      </c>
      <c r="G6579" t="s" s="11">
        <v>31</v>
      </c>
      <c r="H6579" s="43">
        <v>10.48</v>
      </c>
      <c r="I6579" t="s" s="43">
        <v>30</v>
      </c>
      <c r="J6579" t="s" s="11">
        <v>32997</v>
      </c>
      <c r="K6579" t="s" s="11">
        <v>32998</v>
      </c>
      <c r="L6579" s="17">
        <f>HYPERLINK("http://www.smeo.pl", "www.smeo.pl")</f>
      </c>
      <c r="M6579" s="17">
        <f>HYPERLINK("https://my.pitchbook.com?c=453418-21", "View Company Online")</f>
      </c>
    </row>
    <row r="6580">
      <c r="A6580" t="s" s="10">
        <v>33000</v>
      </c>
      <c r="B6580" t="s" s="10">
        <v>33001</v>
      </c>
      <c r="C6580" t="s" s="10">
        <v>27</v>
      </c>
      <c r="D6580" t="s" s="10">
        <v>28</v>
      </c>
      <c r="E6580" t="s" s="10">
        <v>200</v>
      </c>
      <c r="F6580" s="27">
        <v>44860</v>
      </c>
      <c r="G6580" t="s" s="10">
        <v>27352</v>
      </c>
      <c r="H6580" s="42">
        <v>1.2</v>
      </c>
      <c r="I6580" t="s" s="42">
        <v>30</v>
      </c>
      <c r="J6580" t="s" s="10">
        <v>33002</v>
      </c>
      <c r="K6580" t="s" s="10">
        <v>33003</v>
      </c>
      <c r="L6580" s="16">
        <f>HYPERLINK("http://www.smooth.tech", "www.smooth.tech")</f>
      </c>
      <c r="M6580" s="16">
        <f>HYPERLINK("https://my.pitchbook.com?c=95221-00", "View Company Online")</f>
      </c>
    </row>
    <row r="6581">
      <c r="A6581" t="s" s="11">
        <v>33005</v>
      </c>
      <c r="B6581" t="s" s="11">
        <v>33006</v>
      </c>
      <c r="C6581" t="s" s="11">
        <v>46</v>
      </c>
      <c r="D6581" t="s" s="11">
        <v>47</v>
      </c>
      <c r="E6581" t="s" s="11">
        <v>33007</v>
      </c>
      <c r="F6581" s="28">
        <v>45105</v>
      </c>
      <c r="G6581" t="s" s="11">
        <v>146</v>
      </c>
      <c r="H6581" s="43">
        <v>1.19</v>
      </c>
      <c r="I6581" t="s" s="43">
        <v>30</v>
      </c>
      <c r="J6581" t="s" s="11">
        <v>33008</v>
      </c>
      <c r="K6581" t="s" s="11">
        <v>33009</v>
      </c>
      <c r="L6581" s="17">
        <f>HYPERLINK("http://www.snabfinance.com", "www.snabfinance.com")</f>
      </c>
      <c r="M6581" s="17">
        <f>HYPERLINK("https://my.pitchbook.com?c=490242-79", "View Company Online")</f>
      </c>
    </row>
    <row r="6582">
      <c r="A6582" t="s" s="10">
        <v>33011</v>
      </c>
      <c r="B6582" t="s" s="10">
        <v>33012</v>
      </c>
      <c r="C6582" t="s" s="10">
        <v>46</v>
      </c>
      <c r="D6582" t="s" s="10">
        <v>47</v>
      </c>
      <c r="E6582" t="s" s="10">
        <v>259</v>
      </c>
      <c r="F6582" s="27">
        <v>44958</v>
      </c>
      <c r="G6582" t="s" s="10">
        <v>146</v>
      </c>
      <c r="H6582" t="s" s="42">
        <v>30</v>
      </c>
      <c r="I6582" t="s" s="42">
        <v>30</v>
      </c>
      <c r="J6582" t="s" s="10">
        <v>33013</v>
      </c>
      <c r="K6582" t="s" s="10">
        <v>33014</v>
      </c>
      <c r="L6582" s="16">
        <f>HYPERLINK("http://www.snapb2b.com", "www.snapb2b.com")</f>
      </c>
      <c r="M6582" s="16">
        <f>HYPERLINK("https://my.pitchbook.com?c=455522-59", "View Company Online")</f>
      </c>
    </row>
    <row r="6583">
      <c r="A6583" t="s" s="11">
        <v>33016</v>
      </c>
      <c r="B6583" t="s" s="11">
        <v>33017</v>
      </c>
      <c r="C6583" t="s" s="11">
        <v>27</v>
      </c>
      <c r="D6583" t="s" s="11">
        <v>28</v>
      </c>
      <c r="E6583" t="s" s="11">
        <v>253</v>
      </c>
      <c r="F6583" s="28">
        <v>44811</v>
      </c>
      <c r="G6583" t="s" s="11">
        <v>146</v>
      </c>
      <c r="H6583" s="43">
        <v>2.5</v>
      </c>
      <c r="I6583" t="s" s="43">
        <v>30</v>
      </c>
      <c r="J6583" t="s" s="11">
        <v>33018</v>
      </c>
      <c r="K6583" t="s" s="11">
        <v>33019</v>
      </c>
      <c r="L6583" s="17">
        <f>HYPERLINK("http://www.snappretail.io", "www.snappretail.io")</f>
      </c>
      <c r="M6583" s="17">
        <f>HYPERLINK("https://my.pitchbook.com?c=502714-63", "View Company Online")</f>
      </c>
    </row>
    <row r="6584">
      <c r="A6584" t="s" s="10">
        <v>33021</v>
      </c>
      <c r="B6584" t="s" s="10">
        <v>33022</v>
      </c>
      <c r="C6584" t="s" s="10">
        <v>60</v>
      </c>
      <c r="D6584" t="s" s="10">
        <v>192</v>
      </c>
      <c r="E6584" t="s" s="10">
        <v>253</v>
      </c>
      <c r="F6584" s="27">
        <v>45504</v>
      </c>
      <c r="G6584" t="s" s="10">
        <v>40</v>
      </c>
      <c r="H6584" s="42">
        <v>5</v>
      </c>
      <c r="I6584" t="s" s="42">
        <v>30</v>
      </c>
      <c r="J6584" t="s" s="10">
        <v>33023</v>
      </c>
      <c r="K6584" t="s" s="10">
        <v>33024</v>
      </c>
      <c r="L6584" s="16">
        <f>HYPERLINK("http://www.snaptrade.com", "www.snaptrade.com")</f>
      </c>
      <c r="M6584" s="16">
        <f>HYPERLINK("https://my.pitchbook.com?c=300301-39", "View Company Online")</f>
      </c>
    </row>
    <row r="6585">
      <c r="A6585" t="s" s="11">
        <v>33026</v>
      </c>
      <c r="B6585" t="s" s="11">
        <v>33027</v>
      </c>
      <c r="C6585" t="s" s="11">
        <v>60</v>
      </c>
      <c r="D6585" t="s" s="11">
        <v>192</v>
      </c>
      <c r="E6585" t="s" s="11">
        <v>137</v>
      </c>
      <c r="F6585" s="28">
        <v>45444</v>
      </c>
      <c r="G6585" t="s" s="11">
        <v>48</v>
      </c>
      <c r="H6585" t="s" s="43">
        <v>30</v>
      </c>
      <c r="I6585" t="s" s="43">
        <v>30</v>
      </c>
      <c r="J6585" t="s" s="11">
        <v>33028</v>
      </c>
      <c r="K6585" t="s" s="11">
        <v>33029</v>
      </c>
      <c r="L6585" s="17">
        <f>HYPERLINK("http://www.snowballwealth.com", "www.snowballwealth.com")</f>
      </c>
      <c r="M6585" s="17">
        <f>HYPERLINK("https://my.pitchbook.com?c=265128-22", "View Company Online")</f>
      </c>
    </row>
    <row r="6586">
      <c r="A6586" t="s" s="10">
        <v>33031</v>
      </c>
      <c r="B6586" t="s" s="10">
        <v>33032</v>
      </c>
      <c r="C6586" t="s" s="10">
        <v>114</v>
      </c>
      <c r="D6586" t="s" s="10">
        <v>136</v>
      </c>
      <c r="E6586" t="s" s="10">
        <v>137</v>
      </c>
      <c r="F6586" s="27">
        <v>45748</v>
      </c>
      <c r="G6586" t="s" s="10">
        <v>40</v>
      </c>
      <c r="H6586" t="s" s="42">
        <v>30</v>
      </c>
      <c r="I6586" t="s" s="42">
        <v>30</v>
      </c>
      <c r="J6586" t="s" s="10">
        <v>33033</v>
      </c>
      <c r="K6586" t="s" s="10">
        <v>33034</v>
      </c>
      <c r="L6586" s="16">
        <f>HYPERLINK("http://www.scc.inc", "www.scc.inc")</f>
      </c>
      <c r="M6586" s="16">
        <f>HYPERLINK("https://my.pitchbook.com?c=504027-01", "View Company Online")</f>
      </c>
    </row>
    <row r="6587">
      <c r="A6587" t="s" s="11">
        <v>33036</v>
      </c>
      <c r="B6587" t="s" s="11">
        <v>33037</v>
      </c>
      <c r="C6587" t="s" s="11">
        <v>60</v>
      </c>
      <c r="D6587" t="s" s="11">
        <v>246</v>
      </c>
      <c r="E6587" t="s" s="11">
        <v>1652</v>
      </c>
      <c r="F6587" s="28">
        <v>45444</v>
      </c>
      <c r="G6587" t="s" s="11">
        <v>4267</v>
      </c>
      <c r="H6587" s="43">
        <v>0.81</v>
      </c>
      <c r="I6587" t="s" s="43">
        <v>30</v>
      </c>
      <c r="J6587" t="s" s="11">
        <v>33038</v>
      </c>
      <c r="K6587" t="s" s="11">
        <v>33039</v>
      </c>
      <c r="L6587" s="17">
        <f>HYPERLINK("http://www.mijnsofie.nl", "www.mijnsofie.nl")</f>
      </c>
      <c r="M6587" s="17">
        <f>HYPERLINK("https://my.pitchbook.com?c=600741-82", "View Company Online")</f>
      </c>
    </row>
    <row r="6588">
      <c r="A6588" t="s" s="10">
        <v>33041</v>
      </c>
      <c r="B6588" t="s" s="10">
        <v>33042</v>
      </c>
      <c r="C6588" t="s" s="10">
        <v>60</v>
      </c>
      <c r="D6588" t="s" s="10">
        <v>432</v>
      </c>
      <c r="E6588" t="s" s="10">
        <v>414</v>
      </c>
      <c r="F6588" s="27">
        <v>46065</v>
      </c>
      <c r="G6588" t="s" s="10">
        <v>4267</v>
      </c>
      <c r="H6588" s="42">
        <v>6.8</v>
      </c>
      <c r="I6588" t="s" s="42">
        <v>30</v>
      </c>
      <c r="J6588" t="s" s="10">
        <v>33043</v>
      </c>
      <c r="K6588" t="s" s="10">
        <v>33044</v>
      </c>
      <c r="L6588" s="16">
        <f>HYPERLINK("http://www.sofistic.ai", "www.sofistic.ai")</f>
      </c>
      <c r="M6588" s="16">
        <f>HYPERLINK("https://my.pitchbook.com?c=759634-30", "View Company Online")</f>
      </c>
    </row>
    <row r="6589">
      <c r="A6589" t="s" s="11">
        <v>33046</v>
      </c>
      <c r="B6589" t="s" s="11">
        <v>33047</v>
      </c>
      <c r="C6589" t="s" s="11">
        <v>46</v>
      </c>
      <c r="D6589" t="s" s="11">
        <v>397</v>
      </c>
      <c r="E6589" t="s" s="11">
        <v>253</v>
      </c>
      <c r="F6589" s="28">
        <v>44386</v>
      </c>
      <c r="G6589" t="s" s="11">
        <v>4267</v>
      </c>
      <c r="H6589" s="43">
        <v>2.65</v>
      </c>
      <c r="I6589" t="s" s="43">
        <v>30</v>
      </c>
      <c r="J6589" t="s" s="11">
        <v>33048</v>
      </c>
      <c r="K6589" t="s" s="11">
        <v>33049</v>
      </c>
      <c r="L6589" s="17">
        <f>HYPERLINK("http://www.softledger.com", "www.softledger.com")</f>
      </c>
      <c r="M6589" s="17">
        <f>HYPERLINK("https://my.pitchbook.com?c=234938-53", "View Company Online")</f>
      </c>
    </row>
    <row r="6590">
      <c r="A6590" t="s" s="10">
        <v>33051</v>
      </c>
      <c r="B6590" t="s" s="10">
        <v>33052</v>
      </c>
      <c r="C6590" t="s" s="10">
        <v>114</v>
      </c>
      <c r="D6590" t="s" s="10">
        <v>852</v>
      </c>
      <c r="E6590" t="s" s="10">
        <v>193</v>
      </c>
      <c r="F6590" s="27">
        <v>45401</v>
      </c>
      <c r="G6590" t="s" s="10">
        <v>4267</v>
      </c>
      <c r="H6590" s="42">
        <v>1.08</v>
      </c>
      <c r="I6590" t="s" s="42">
        <v>30</v>
      </c>
      <c r="J6590" t="s" s="10">
        <v>33053</v>
      </c>
      <c r="K6590" t="s" s="10">
        <v>33054</v>
      </c>
      <c r="L6590" s="16">
        <f>HYPERLINK("http://www.softloans.io", "www.softloans.io")</f>
      </c>
      <c r="M6590" s="16">
        <f>HYPERLINK("https://my.pitchbook.com?c=517913-47", "View Company Online")</f>
      </c>
    </row>
    <row r="6591">
      <c r="A6591" t="s" s="11">
        <v>33056</v>
      </c>
      <c r="B6591" t="s" s="11">
        <v>33057</v>
      </c>
      <c r="C6591" t="s" s="11">
        <v>114</v>
      </c>
      <c r="D6591" t="s" s="11">
        <v>870</v>
      </c>
      <c r="E6591" t="s" s="11">
        <v>16640</v>
      </c>
      <c r="F6591" s="28">
        <v>45503</v>
      </c>
      <c r="G6591" t="s" s="11">
        <v>146</v>
      </c>
      <c r="H6591" t="s" s="43">
        <v>30</v>
      </c>
      <c r="I6591" t="s" s="43">
        <v>30</v>
      </c>
      <c r="J6591" t="s" s="11">
        <v>33058</v>
      </c>
      <c r="K6591" t="s" s="11">
        <v>33059</v>
      </c>
      <c r="L6591" s="17">
        <f>HYPERLINK("http://www.solara.energy", "www.solara.energy")</f>
      </c>
      <c r="M6591" s="17">
        <f>HYPERLINK("https://my.pitchbook.com?c=522082-09", "View Company Online")</f>
      </c>
    </row>
    <row r="6592">
      <c r="A6592" t="s" s="10">
        <v>33061</v>
      </c>
      <c r="B6592" t="s" s="10">
        <v>33062</v>
      </c>
      <c r="C6592" t="s" s="10">
        <v>27</v>
      </c>
      <c r="D6592" t="s" s="10">
        <v>28</v>
      </c>
      <c r="E6592" t="s" s="10">
        <v>33063</v>
      </c>
      <c r="F6592" s="27">
        <v>46057</v>
      </c>
      <c r="G6592" t="s" s="10">
        <v>40</v>
      </c>
      <c r="H6592" t="s" s="42">
        <v>30</v>
      </c>
      <c r="I6592" t="s" s="42">
        <v>30</v>
      </c>
      <c r="J6592" t="s" s="10">
        <v>33064</v>
      </c>
      <c r="K6592" t="s" s="10">
        <v>33065</v>
      </c>
      <c r="L6592" s="16">
        <f>HYPERLINK("http://www.solarize.de", "www.solarize.de")</f>
      </c>
      <c r="M6592" s="16">
        <f>HYPERLINK("https://my.pitchbook.com?c=481744-81", "View Company Online")</f>
      </c>
    </row>
    <row r="6593">
      <c r="A6593" t="s" s="11">
        <v>33067</v>
      </c>
      <c r="B6593" t="s" s="11">
        <v>33068</v>
      </c>
      <c r="C6593" t="s" s="11">
        <v>114</v>
      </c>
      <c r="D6593" t="s" s="11">
        <v>870</v>
      </c>
      <c r="E6593" t="s" s="11">
        <v>5015</v>
      </c>
      <c r="F6593" s="28">
        <v>45595</v>
      </c>
      <c r="G6593" t="s" s="11">
        <v>40</v>
      </c>
      <c r="H6593" s="43">
        <v>11.25</v>
      </c>
      <c r="I6593" t="s" s="43">
        <v>30</v>
      </c>
      <c r="J6593" t="s" s="11">
        <v>33069</v>
      </c>
      <c r="K6593" t="s" s="11">
        <v>33070</v>
      </c>
      <c r="L6593" s="17">
        <f>HYPERLINK("http://www.landing.solfacil.com.br", "www.landing.solfacil.com.br")</f>
      </c>
      <c r="M6593" s="17">
        <f>HYPERLINK("https://my.pitchbook.com?c=433724-68", "View Company Online")</f>
      </c>
    </row>
    <row r="6594">
      <c r="A6594" t="s" s="10">
        <v>33072</v>
      </c>
      <c r="B6594" t="s" s="10">
        <v>33073</v>
      </c>
      <c r="C6594" t="s" s="10">
        <v>164</v>
      </c>
      <c r="D6594" t="s" s="10">
        <v>206</v>
      </c>
      <c r="E6594" t="s" s="10">
        <v>253</v>
      </c>
      <c r="F6594" s="27">
        <v>45444</v>
      </c>
      <c r="G6594" t="s" s="10">
        <v>4267</v>
      </c>
      <c r="H6594" t="s" s="42">
        <v>30</v>
      </c>
      <c r="I6594" t="s" s="42">
        <v>30</v>
      </c>
      <c r="J6594" t="s" s="10">
        <v>33074</v>
      </c>
      <c r="K6594" t="s" s="10">
        <v>33075</v>
      </c>
      <c r="L6594" s="16">
        <f>HYPERLINK("http://www.djoin.id", "www.djoin.id")</f>
      </c>
      <c r="M6594" s="16">
        <f>HYPERLINK("https://my.pitchbook.com?c=501954-49", "View Company Online")</f>
      </c>
    </row>
    <row r="6595">
      <c r="A6595" t="s" s="11">
        <v>33077</v>
      </c>
      <c r="B6595" t="s" s="11">
        <v>33078</v>
      </c>
      <c r="C6595" t="s" s="11">
        <v>114</v>
      </c>
      <c r="D6595" t="s" s="11">
        <v>870</v>
      </c>
      <c r="E6595" t="s" s="11">
        <v>193</v>
      </c>
      <c r="F6595" s="28">
        <v>45516</v>
      </c>
      <c r="G6595" t="s" s="11">
        <v>40</v>
      </c>
      <c r="H6595" s="43">
        <v>5</v>
      </c>
      <c r="I6595" t="s" s="43">
        <v>30</v>
      </c>
      <c r="J6595" t="s" s="11">
        <v>33079</v>
      </c>
      <c r="K6595" t="s" s="11">
        <v>33080</v>
      </c>
      <c r="L6595" s="17">
        <f>HYPERLINK("http://www.solva.kz", "www.solva.kz")</f>
      </c>
      <c r="M6595" s="17">
        <f>HYPERLINK("https://my.pitchbook.com?c=549867-43", "View Company Online")</f>
      </c>
    </row>
    <row r="6596">
      <c r="A6596" t="s" s="10">
        <v>33082</v>
      </c>
      <c r="B6596" t="s" s="10">
        <v>33083</v>
      </c>
      <c r="C6596" t="s" s="10">
        <v>164</v>
      </c>
      <c r="D6596" t="s" s="10">
        <v>165</v>
      </c>
      <c r="E6596" t="s" s="10">
        <v>623</v>
      </c>
      <c r="F6596" t="s" s="27">
        <v>30</v>
      </c>
      <c r="G6596" t="s" s="10">
        <v>48</v>
      </c>
      <c r="H6596" t="s" s="42">
        <v>30</v>
      </c>
      <c r="I6596" t="s" s="42">
        <v>30</v>
      </c>
      <c r="J6596" t="s" s="10">
        <v>33084</v>
      </c>
      <c r="K6596" t="s" s="10">
        <v>33085</v>
      </c>
      <c r="L6596" s="16">
        <f>HYPERLINK("http://www.solven.pe", "www.solven.pe")</f>
      </c>
      <c r="M6596" s="16">
        <f>HYPERLINK("https://my.pitchbook.com?c=171991-54", "View Company Online")</f>
      </c>
    </row>
    <row r="6597">
      <c r="A6597" t="s" s="11">
        <v>33087</v>
      </c>
      <c r="B6597" t="s" s="11">
        <v>33088</v>
      </c>
      <c r="C6597" t="s" s="11">
        <v>60</v>
      </c>
      <c r="D6597" t="s" s="11">
        <v>192</v>
      </c>
      <c r="E6597" t="s" s="11">
        <v>8393</v>
      </c>
      <c r="F6597" s="28">
        <v>46149</v>
      </c>
      <c r="G6597" t="s" s="11">
        <v>40</v>
      </c>
      <c r="H6597" s="43">
        <v>10</v>
      </c>
      <c r="I6597" t="s" s="43">
        <v>30</v>
      </c>
      <c r="J6597" t="s" s="11">
        <v>33089</v>
      </c>
      <c r="K6597" t="s" s="11">
        <v>33090</v>
      </c>
      <c r="L6597" s="17">
        <f>HYPERLINK("http://www.solventglobal.com", "www.solventglobal.com")</f>
      </c>
      <c r="M6597" s="17">
        <f>HYPERLINK("https://my.pitchbook.com?c=537530-95", "View Company Online")</f>
      </c>
    </row>
    <row r="6598">
      <c r="A6598" t="s" s="10">
        <v>33092</v>
      </c>
      <c r="B6598" t="s" s="10">
        <v>33093</v>
      </c>
      <c r="C6598" t="s" s="10">
        <v>46</v>
      </c>
      <c r="D6598" t="s" s="10">
        <v>47</v>
      </c>
      <c r="E6598" t="s" s="10">
        <v>3191</v>
      </c>
      <c r="F6598" s="27">
        <v>46066</v>
      </c>
      <c r="G6598" t="s" s="10">
        <v>40</v>
      </c>
      <c r="H6598" s="42">
        <v>25</v>
      </c>
      <c r="I6598" t="s" s="42">
        <v>30</v>
      </c>
      <c r="J6598" t="s" s="10">
        <v>33094</v>
      </c>
      <c r="K6598" t="s" s="10">
        <v>33095</v>
      </c>
      <c r="L6598" s="16">
        <f>HYPERLINK("http://solvento.ai", "solvento.ai")</f>
      </c>
      <c r="M6598" s="16">
        <f>HYPERLINK("https://my.pitchbook.com?c=489006-37", "View Company Online")</f>
      </c>
    </row>
    <row r="6599">
      <c r="A6599" t="s" s="11">
        <v>33097</v>
      </c>
      <c r="B6599" t="s" s="11">
        <v>33098</v>
      </c>
      <c r="C6599" t="s" s="11">
        <v>46</v>
      </c>
      <c r="D6599" t="s" s="11">
        <v>47</v>
      </c>
      <c r="E6599" t="s" s="11">
        <v>253</v>
      </c>
      <c r="F6599" s="28">
        <v>45243</v>
      </c>
      <c r="G6599" t="s" s="11">
        <v>4267</v>
      </c>
      <c r="H6599" s="43">
        <v>9.56</v>
      </c>
      <c r="I6599" t="s" s="43">
        <v>30</v>
      </c>
      <c r="J6599" t="s" s="11">
        <v>33099</v>
      </c>
      <c r="K6599" t="s" s="11">
        <v>33100</v>
      </c>
      <c r="L6599" s="17">
        <f>HYPERLINK("http://www.solvimon.com", "www.solvimon.com")</f>
      </c>
      <c r="M6599" s="17">
        <f>HYPERLINK("https://my.pitchbook.com?c=527532-94", "View Company Online")</f>
      </c>
    </row>
    <row r="6600">
      <c r="A6600" t="s" s="10">
        <v>33102</v>
      </c>
      <c r="B6600" t="s" s="10">
        <v>33103</v>
      </c>
      <c r="C6600" t="s" s="10">
        <v>172</v>
      </c>
      <c r="D6600" t="s" s="10">
        <v>173</v>
      </c>
      <c r="E6600" t="s" s="10">
        <v>137</v>
      </c>
      <c r="F6600" s="27">
        <v>46023</v>
      </c>
      <c r="G6600" t="s" s="10">
        <v>146</v>
      </c>
      <c r="H6600" t="s" s="42">
        <v>30</v>
      </c>
      <c r="I6600" t="s" s="42">
        <v>30</v>
      </c>
      <c r="J6600" t="s" s="10">
        <v>33104</v>
      </c>
      <c r="K6600" t="s" s="10">
        <v>22732</v>
      </c>
      <c r="L6600" s="16">
        <f>HYPERLINK("http://www.joinsonar.com", "www.joinsonar.com")</f>
      </c>
      <c r="M6600" s="16">
        <f>HYPERLINK("https://my.pitchbook.com?c=722763-91", "View Company Online")</f>
      </c>
    </row>
    <row r="6601">
      <c r="A6601" t="s" s="11">
        <v>33106</v>
      </c>
      <c r="B6601" t="s" s="11">
        <v>33107</v>
      </c>
      <c r="C6601" t="s" s="11">
        <v>60</v>
      </c>
      <c r="D6601" t="s" s="11">
        <v>727</v>
      </c>
      <c r="E6601" t="s" s="11">
        <v>33108</v>
      </c>
      <c r="F6601" s="28">
        <v>45292</v>
      </c>
      <c r="G6601" t="s" s="11">
        <v>146</v>
      </c>
      <c r="H6601" t="s" s="43">
        <v>30</v>
      </c>
      <c r="I6601" t="s" s="43">
        <v>30</v>
      </c>
      <c r="J6601" t="s" s="11">
        <v>33109</v>
      </c>
      <c r="K6601" t="s" s="11">
        <v>33110</v>
      </c>
      <c r="L6601" s="17">
        <f>HYPERLINK("http://www.sonomo.com", "www.sonomo.com")</f>
      </c>
      <c r="M6601" s="17">
        <f>HYPERLINK("https://my.pitchbook.com?c=470442-07", "View Company Online")</f>
      </c>
    </row>
    <row r="6602">
      <c r="A6602" t="s" s="10">
        <v>33112</v>
      </c>
      <c r="B6602" t="s" s="10">
        <v>33113</v>
      </c>
      <c r="C6602" t="s" s="10">
        <v>60</v>
      </c>
      <c r="D6602" t="s" s="10">
        <v>432</v>
      </c>
      <c r="E6602" t="s" s="10">
        <v>253</v>
      </c>
      <c r="F6602" s="27">
        <v>45689</v>
      </c>
      <c r="G6602" t="s" s="10">
        <v>146</v>
      </c>
      <c r="H6602" t="s" s="42">
        <v>30</v>
      </c>
      <c r="I6602" t="s" s="42">
        <v>30</v>
      </c>
      <c r="J6602" t="s" s="10">
        <v>33114</v>
      </c>
      <c r="K6602" t="s" s="10">
        <v>33115</v>
      </c>
      <c r="L6602" s="16">
        <f>HYPERLINK("http://www.sopiad.com", "www.sopiad.com")</f>
      </c>
      <c r="M6602" s="16">
        <f>HYPERLINK("https://my.pitchbook.com?c=470873-80", "View Company Online")</f>
      </c>
    </row>
    <row r="6603">
      <c r="A6603" t="s" s="11">
        <v>33117</v>
      </c>
      <c r="B6603" t="s" s="11">
        <v>33118</v>
      </c>
      <c r="C6603" t="s" s="11">
        <v>27</v>
      </c>
      <c r="D6603" t="s" s="11">
        <v>28</v>
      </c>
      <c r="E6603" t="s" s="11">
        <v>30</v>
      </c>
      <c r="F6603" s="28">
        <v>46174</v>
      </c>
      <c r="G6603" t="s" s="11">
        <v>146</v>
      </c>
      <c r="H6603" t="s" s="43">
        <v>30</v>
      </c>
      <c r="I6603" t="s" s="43">
        <v>30</v>
      </c>
      <c r="J6603" t="s" s="11">
        <v>33119</v>
      </c>
      <c r="K6603" t="s" s="11">
        <v>33120</v>
      </c>
      <c r="L6603" s="17">
        <f>HYPERLINK("http://www.mysorbet.io", "www.mysorbet.io")</f>
      </c>
      <c r="M6603" s="17">
        <f>HYPERLINK("https://my.pitchbook.com?c=571495-24", "View Company Online")</f>
      </c>
    </row>
    <row r="6604">
      <c r="A6604" t="s" s="10">
        <v>33122</v>
      </c>
      <c r="B6604" t="s" s="10">
        <v>33123</v>
      </c>
      <c r="C6604" t="s" s="10">
        <v>46</v>
      </c>
      <c r="D6604" t="s" s="10">
        <v>397</v>
      </c>
      <c r="E6604" t="s" s="10">
        <v>373</v>
      </c>
      <c r="F6604" s="27">
        <v>45962</v>
      </c>
      <c r="G6604" t="s" s="10">
        <v>146</v>
      </c>
      <c r="H6604" t="s" s="42">
        <v>30</v>
      </c>
      <c r="I6604" t="s" s="42">
        <v>30</v>
      </c>
      <c r="J6604" t="s" s="10">
        <v>33124</v>
      </c>
      <c r="K6604" t="s" s="10">
        <v>33125</v>
      </c>
      <c r="L6604" s="16">
        <f>HYPERLINK("http://www.sosreforma.com.br", "www.sosreforma.com.br")</f>
      </c>
      <c r="M6604" s="16">
        <f>HYPERLINK("https://my.pitchbook.com?c=1162767-43", "View Company Online")</f>
      </c>
    </row>
    <row r="6605">
      <c r="A6605" t="s" s="11">
        <v>33127</v>
      </c>
      <c r="B6605" t="s" s="11">
        <v>33128</v>
      </c>
      <c r="C6605" t="s" s="11">
        <v>172</v>
      </c>
      <c r="D6605" t="s" s="11">
        <v>1454</v>
      </c>
      <c r="E6605" t="s" s="11">
        <v>22911</v>
      </c>
      <c r="F6605" s="28">
        <v>42736</v>
      </c>
      <c r="G6605" t="s" s="11">
        <v>146</v>
      </c>
      <c r="H6605" s="43">
        <v>5</v>
      </c>
      <c r="I6605" t="s" s="43">
        <v>30</v>
      </c>
      <c r="J6605" t="s" s="11">
        <v>33129</v>
      </c>
      <c r="K6605" t="s" s="11">
        <v>33130</v>
      </c>
      <c r="L6605" s="17">
        <f>HYPERLINK("http://www.soudang.com", "www.soudang.com")</f>
      </c>
      <c r="M6605" s="17">
        <f>HYPERLINK("https://my.pitchbook.com?c=167828-41", "View Company Online")</f>
      </c>
    </row>
    <row r="6606">
      <c r="A6606" t="s" s="10">
        <v>33132</v>
      </c>
      <c r="B6606" t="s" s="10">
        <v>33133</v>
      </c>
      <c r="C6606" t="s" s="10">
        <v>144</v>
      </c>
      <c r="D6606" t="s" s="10">
        <v>297</v>
      </c>
      <c r="E6606" t="s" s="10">
        <v>137</v>
      </c>
      <c r="F6606" s="27">
        <v>46161</v>
      </c>
      <c r="G6606" t="s" s="10">
        <v>31</v>
      </c>
      <c r="H6606" s="42">
        <v>0.65</v>
      </c>
      <c r="I6606" t="s" s="42">
        <v>30</v>
      </c>
      <c r="J6606" t="s" s="10">
        <v>33134</v>
      </c>
      <c r="K6606" t="s" s="10">
        <v>30</v>
      </c>
      <c r="L6606" s="16">
        <f>HYPERLINK("http://www.southstarcapital.com", "www.southstarcapital.com")</f>
      </c>
      <c r="M6606" s="16">
        <f>HYPERLINK("https://my.pitchbook.com?c=55959-40", "View Company Online")</f>
      </c>
    </row>
    <row r="6607">
      <c r="A6607" t="s" s="11">
        <v>33136</v>
      </c>
      <c r="B6607" t="s" s="11">
        <v>33137</v>
      </c>
      <c r="C6607" t="s" s="11">
        <v>27</v>
      </c>
      <c r="D6607" t="s" s="11">
        <v>70</v>
      </c>
      <c r="E6607" t="s" s="11">
        <v>2184</v>
      </c>
      <c r="F6607" s="28">
        <v>44361</v>
      </c>
      <c r="G6607" t="s" s="11">
        <v>40</v>
      </c>
      <c r="H6607" s="43">
        <v>0.66</v>
      </c>
      <c r="I6607" t="s" s="43">
        <v>30</v>
      </c>
      <c r="J6607" t="s" s="11">
        <v>33138</v>
      </c>
      <c r="K6607" t="s" s="11">
        <v>33139</v>
      </c>
      <c r="L6607" s="17">
        <f>HYPERLINK("http://www.sparcpay.com", "www.sparcpay.com")</f>
      </c>
      <c r="M6607" s="17">
        <f>HYPERLINK("https://my.pitchbook.com?c=462658-51", "View Company Online")</f>
      </c>
    </row>
    <row r="6608">
      <c r="A6608" t="s" s="10">
        <v>33141</v>
      </c>
      <c r="B6608" t="s" s="10">
        <v>33142</v>
      </c>
      <c r="C6608" t="s" s="10">
        <v>164</v>
      </c>
      <c r="D6608" t="s" s="10">
        <v>206</v>
      </c>
      <c r="E6608" t="s" s="10">
        <v>137</v>
      </c>
      <c r="F6608" s="27">
        <v>45763</v>
      </c>
      <c r="G6608" t="s" s="10">
        <v>40</v>
      </c>
      <c r="H6608" s="42">
        <v>5</v>
      </c>
      <c r="I6608" t="s" s="42">
        <v>30</v>
      </c>
      <c r="J6608" t="s" s="10">
        <v>33143</v>
      </c>
      <c r="K6608" t="s" s="10">
        <v>33144</v>
      </c>
      <c r="L6608" s="16">
        <f>HYPERLINK("http://www.tryspare.com", "www.tryspare.com")</f>
      </c>
      <c r="M6608" s="16">
        <f>HYPERLINK("https://my.pitchbook.com?c=235049-50", "View Company Online")</f>
      </c>
    </row>
    <row r="6609">
      <c r="A6609" t="s" s="11">
        <v>33146</v>
      </c>
      <c r="B6609" t="s" s="11">
        <v>33147</v>
      </c>
      <c r="C6609" t="s" s="11">
        <v>27</v>
      </c>
      <c r="D6609" t="s" s="11">
        <v>28</v>
      </c>
      <c r="E6609" t="s" s="11">
        <v>33148</v>
      </c>
      <c r="F6609" s="28">
        <v>43985</v>
      </c>
      <c r="G6609" t="s" s="11">
        <v>146</v>
      </c>
      <c r="H6609" t="s" s="43">
        <v>30</v>
      </c>
      <c r="I6609" t="s" s="43">
        <v>30</v>
      </c>
      <c r="J6609" t="s" s="11">
        <v>33149</v>
      </c>
      <c r="K6609" t="s" s="11">
        <v>33150</v>
      </c>
      <c r="L6609" s="17">
        <f>HYPERLINK("http://www.paywithspare.com", "www.paywithspare.com")</f>
      </c>
      <c r="M6609" s="17">
        <f>HYPERLINK("https://my.pitchbook.com?c=236897-38", "View Company Online")</f>
      </c>
    </row>
    <row r="6610">
      <c r="A6610" t="s" s="10">
        <v>33152</v>
      </c>
      <c r="B6610" t="s" s="10">
        <v>33153</v>
      </c>
      <c r="C6610" t="s" s="10">
        <v>37</v>
      </c>
      <c r="D6610" t="s" s="10">
        <v>38</v>
      </c>
      <c r="E6610" t="s" s="10">
        <v>270</v>
      </c>
      <c r="F6610" s="27">
        <v>45200</v>
      </c>
      <c r="G6610" t="s" s="10">
        <v>607</v>
      </c>
      <c r="H6610" t="s" s="42">
        <v>30</v>
      </c>
      <c r="I6610" t="s" s="42">
        <v>30</v>
      </c>
      <c r="J6610" t="s" s="10">
        <v>33154</v>
      </c>
      <c r="K6610" t="s" s="10">
        <v>33155</v>
      </c>
      <c r="L6610" s="16">
        <f>HYPERLINK("http://www.sparkle.ng", "www.sparkle.ng")</f>
      </c>
      <c r="M6610" s="16">
        <f>HYPERLINK("https://my.pitchbook.com?c=438191-74", "View Company Online")</f>
      </c>
    </row>
    <row r="6611">
      <c r="A6611" t="s" s="11">
        <v>33157</v>
      </c>
      <c r="B6611" t="s" s="11">
        <v>33158</v>
      </c>
      <c r="C6611" t="s" s="11">
        <v>46</v>
      </c>
      <c r="D6611" t="s" s="11">
        <v>397</v>
      </c>
      <c r="E6611" t="s" s="11">
        <v>493</v>
      </c>
      <c r="F6611" s="28">
        <v>45721</v>
      </c>
      <c r="G6611" t="s" s="11">
        <v>146</v>
      </c>
      <c r="H6611" t="s" s="43">
        <v>30</v>
      </c>
      <c r="I6611" t="s" s="43">
        <v>30</v>
      </c>
      <c r="J6611" t="s" s="11">
        <v>33159</v>
      </c>
      <c r="K6611" t="s" s="11">
        <v>33160</v>
      </c>
      <c r="L6611" s="17">
        <f>HYPERLINK("http://www.sparkreceipt.com", "www.sparkreceipt.com")</f>
      </c>
      <c r="M6611" s="17">
        <f>HYPERLINK("https://my.pitchbook.com?c=634520-17", "View Company Online")</f>
      </c>
    </row>
    <row r="6612">
      <c r="A6612" t="s" s="10">
        <v>33162</v>
      </c>
      <c r="B6612" t="s" s="10">
        <v>33163</v>
      </c>
      <c r="C6612" t="s" s="10">
        <v>46</v>
      </c>
      <c r="D6612" t="s" s="10">
        <v>47</v>
      </c>
      <c r="E6612" t="s" s="10">
        <v>33164</v>
      </c>
      <c r="F6612" s="27">
        <v>45202</v>
      </c>
      <c r="G6612" t="s" s="10">
        <v>4267</v>
      </c>
      <c r="H6612" s="42">
        <v>3.1</v>
      </c>
      <c r="I6612" t="s" s="42">
        <v>30</v>
      </c>
      <c r="J6612" t="s" s="10">
        <v>33165</v>
      </c>
      <c r="K6612" t="s" s="10">
        <v>33166</v>
      </c>
      <c r="L6612" s="16">
        <f>HYPERLINK("http://www.usesparx.com", "www.usesparx.com")</f>
      </c>
      <c r="M6612" s="16">
        <f>HYPERLINK("https://my.pitchbook.com?c=522951-31", "View Company Online")</f>
      </c>
    </row>
    <row r="6613">
      <c r="A6613" t="s" s="11">
        <v>33168</v>
      </c>
      <c r="B6613" t="s" s="11">
        <v>33169</v>
      </c>
      <c r="C6613" t="s" s="11">
        <v>37</v>
      </c>
      <c r="D6613" t="s" s="11">
        <v>304</v>
      </c>
      <c r="E6613" t="s" s="11">
        <v>270</v>
      </c>
      <c r="F6613" s="28">
        <v>43504</v>
      </c>
      <c r="G6613" t="s" s="11">
        <v>4267</v>
      </c>
      <c r="H6613" s="43">
        <v>0.3</v>
      </c>
      <c r="I6613" t="s" s="43">
        <v>30</v>
      </c>
      <c r="J6613" t="s" s="11">
        <v>33170</v>
      </c>
      <c r="K6613" t="s" s="11">
        <v>33171</v>
      </c>
      <c r="L6613" s="17">
        <f>HYPERLINK("http://speanluy.net", "speanluy.net")</f>
      </c>
      <c r="M6613" s="17">
        <f>HYPERLINK("https://my.pitchbook.com?c=434721-25", "View Company Online")</f>
      </c>
    </row>
    <row r="6614">
      <c r="A6614" t="s" s="10">
        <v>33173</v>
      </c>
      <c r="B6614" t="s" s="10">
        <v>33174</v>
      </c>
      <c r="C6614" t="s" s="10">
        <v>128</v>
      </c>
      <c r="D6614" t="s" s="10">
        <v>199</v>
      </c>
      <c r="E6614" t="s" s="10">
        <v>137</v>
      </c>
      <c r="F6614" s="27">
        <v>44927</v>
      </c>
      <c r="G6614" t="s" s="10">
        <v>607</v>
      </c>
      <c r="H6614" s="42">
        <v>0.12</v>
      </c>
      <c r="I6614" t="s" s="42">
        <v>30</v>
      </c>
      <c r="J6614" t="s" s="10">
        <v>33175</v>
      </c>
      <c r="K6614" t="s" s="10">
        <v>33176</v>
      </c>
      <c r="L6614" s="16">
        <f>HYPERLINK("http://www.spendebt.com", "www.spendebt.com")</f>
      </c>
      <c r="M6614" s="16">
        <f>HYPERLINK("https://my.pitchbook.com?c=167251-78", "View Company Online")</f>
      </c>
    </row>
    <row r="6615">
      <c r="A6615" t="s" s="11">
        <v>33178</v>
      </c>
      <c r="B6615" t="s" s="11">
        <v>33179</v>
      </c>
      <c r="C6615" t="s" s="11">
        <v>60</v>
      </c>
      <c r="D6615" t="s" s="11">
        <v>246</v>
      </c>
      <c r="E6615" t="s" s="11">
        <v>1054</v>
      </c>
      <c r="F6615" s="28">
        <v>43756</v>
      </c>
      <c r="G6615" t="s" s="11">
        <v>146</v>
      </c>
      <c r="H6615" t="s" s="43">
        <v>30</v>
      </c>
      <c r="I6615" t="s" s="43">
        <v>30</v>
      </c>
      <c r="J6615" t="s" s="11">
        <v>33180</v>
      </c>
      <c r="K6615" t="s" s="11">
        <v>33181</v>
      </c>
      <c r="L6615" s="17">
        <f>HYPERLINK("http://www.spendee.com", "www.spendee.com")</f>
      </c>
      <c r="M6615" s="17">
        <f>HYPERLINK("https://my.pitchbook.com?c=183562-84", "View Company Online")</f>
      </c>
    </row>
    <row r="6616">
      <c r="A6616" t="s" s="10">
        <v>33183</v>
      </c>
      <c r="B6616" t="s" s="10">
        <v>33184</v>
      </c>
      <c r="C6616" t="s" s="10">
        <v>46</v>
      </c>
      <c r="D6616" t="s" s="10">
        <v>47</v>
      </c>
      <c r="E6616" t="s" s="10">
        <v>373</v>
      </c>
      <c r="F6616" s="27">
        <v>45243</v>
      </c>
      <c r="G6616" t="s" s="10">
        <v>40</v>
      </c>
      <c r="H6616" t="s" s="42">
        <v>30</v>
      </c>
      <c r="I6616" t="s" s="42">
        <v>30</v>
      </c>
      <c r="J6616" t="s" s="10">
        <v>33185</v>
      </c>
      <c r="K6616" t="s" s="10">
        <v>33186</v>
      </c>
      <c r="L6616" s="16">
        <f>HYPERLINK("http://www.spendit.kr", "www.spendit.kr")</f>
      </c>
      <c r="M6616" s="16">
        <f>HYPERLINK("https://my.pitchbook.com?c=466089-31", "View Company Online")</f>
      </c>
    </row>
    <row r="6617">
      <c r="A6617" t="s" s="11">
        <v>33188</v>
      </c>
      <c r="B6617" t="s" s="11">
        <v>33189</v>
      </c>
      <c r="C6617" t="s" s="11">
        <v>60</v>
      </c>
      <c r="D6617" t="s" s="11">
        <v>246</v>
      </c>
      <c r="E6617" t="s" s="11">
        <v>270</v>
      </c>
      <c r="F6617" s="28">
        <v>46204</v>
      </c>
      <c r="G6617" t="s" s="11">
        <v>4267</v>
      </c>
      <c r="H6617" s="43">
        <v>2.8</v>
      </c>
      <c r="I6617" t="s" s="43">
        <v>30</v>
      </c>
      <c r="J6617" t="s" s="11">
        <v>33190</v>
      </c>
      <c r="K6617" t="s" s="11">
        <v>33191</v>
      </c>
      <c r="L6617" s="17">
        <f>HYPERLINK("http://www.spense.tech", "www.spense.tech")</f>
      </c>
      <c r="M6617" s="17">
        <f>HYPERLINK("https://my.pitchbook.com?c=862721-47", "View Company Online")</f>
      </c>
    </row>
    <row r="6618">
      <c r="A6618" t="s" s="10">
        <v>33193</v>
      </c>
      <c r="B6618" t="s" s="10">
        <v>33194</v>
      </c>
      <c r="C6618" t="s" s="10">
        <v>27</v>
      </c>
      <c r="D6618" t="s" s="10">
        <v>28</v>
      </c>
      <c r="E6618" t="s" s="10">
        <v>259</v>
      </c>
      <c r="F6618" s="27">
        <v>45637</v>
      </c>
      <c r="G6618" t="s" s="10">
        <v>146</v>
      </c>
      <c r="H6618" s="42">
        <v>5</v>
      </c>
      <c r="I6618" t="s" s="42">
        <v>30</v>
      </c>
      <c r="J6618" t="s" s="10">
        <v>33195</v>
      </c>
      <c r="K6618" t="s" s="10">
        <v>33196</v>
      </c>
      <c r="L6618" s="16">
        <f>HYPERLINK("http://www.spherepay.co", "www.spherepay.co")</f>
      </c>
      <c r="M6618" s="16">
        <f>HYPERLINK("https://my.pitchbook.com?c=541278-46", "View Company Online")</f>
      </c>
    </row>
    <row r="6619">
      <c r="A6619" t="s" s="11">
        <v>33198</v>
      </c>
      <c r="B6619" t="s" s="11">
        <v>33199</v>
      </c>
      <c r="C6619" t="s" s="11">
        <v>222</v>
      </c>
      <c r="D6619" t="s" s="11">
        <v>252</v>
      </c>
      <c r="E6619" t="s" s="11">
        <v>629</v>
      </c>
      <c r="F6619" s="28">
        <v>46006</v>
      </c>
      <c r="G6619" t="s" s="11">
        <v>607</v>
      </c>
      <c r="H6619" t="s" s="43">
        <v>30</v>
      </c>
      <c r="I6619" t="s" s="43">
        <v>30</v>
      </c>
      <c r="J6619" t="s" s="11">
        <v>33200</v>
      </c>
      <c r="K6619" t="s" s="11">
        <v>33201</v>
      </c>
      <c r="L6619" s="17">
        <f>HYPERLINK("http://www.sphx.io", "www.sphx.io")</f>
      </c>
      <c r="M6619" s="17">
        <f>HYPERLINK("https://my.pitchbook.com?c=663756-04", "View Company Online")</f>
      </c>
    </row>
    <row r="6620">
      <c r="A6620" t="s" s="10">
        <v>33203</v>
      </c>
      <c r="B6620" t="s" s="10">
        <v>33204</v>
      </c>
      <c r="C6620" t="s" s="10">
        <v>164</v>
      </c>
      <c r="D6620" t="s" s="10">
        <v>206</v>
      </c>
      <c r="E6620" t="s" s="10">
        <v>137</v>
      </c>
      <c r="F6620" s="27">
        <v>46108</v>
      </c>
      <c r="G6620" t="s" s="10">
        <v>4267</v>
      </c>
      <c r="H6620" t="s" s="42">
        <v>30</v>
      </c>
      <c r="I6620" t="s" s="42">
        <v>30</v>
      </c>
      <c r="J6620" t="s" s="10">
        <v>33205</v>
      </c>
      <c r="K6620" t="s" s="10">
        <v>33206</v>
      </c>
      <c r="L6620" s="16">
        <f>HYPERLINK("http://www.gospidr.com", "www.gospidr.com")</f>
      </c>
      <c r="M6620" s="16">
        <f>HYPERLINK("https://my.pitchbook.com?c=651640-24", "View Company Online")</f>
      </c>
    </row>
    <row r="6621">
      <c r="A6621" t="s" s="11">
        <v>33208</v>
      </c>
      <c r="B6621" t="s" s="11">
        <v>33209</v>
      </c>
      <c r="C6621" t="s" s="11">
        <v>164</v>
      </c>
      <c r="D6621" t="s" s="11">
        <v>206</v>
      </c>
      <c r="E6621" t="s" s="11">
        <v>270</v>
      </c>
      <c r="F6621" s="28">
        <v>45904</v>
      </c>
      <c r="G6621" t="s" s="11">
        <v>40</v>
      </c>
      <c r="H6621" t="s" s="43">
        <v>30</v>
      </c>
      <c r="I6621" t="s" s="43">
        <v>30</v>
      </c>
      <c r="J6621" t="s" s="11">
        <v>33210</v>
      </c>
      <c r="K6621" t="s" s="11">
        <v>33211</v>
      </c>
      <c r="L6621" s="17">
        <f>HYPERLINK("http://www.spinwheel.io", "www.spinwheel.io")</f>
      </c>
      <c r="M6621" s="17">
        <f>HYPERLINK("https://my.pitchbook.com?c=442622-98", "View Company Online")</f>
      </c>
    </row>
    <row r="6622">
      <c r="A6622" t="s" s="10">
        <v>33213</v>
      </c>
      <c r="B6622" t="s" s="10">
        <v>33214</v>
      </c>
      <c r="C6622" t="s" s="10">
        <v>222</v>
      </c>
      <c r="D6622" t="s" s="10">
        <v>223</v>
      </c>
      <c r="E6622" t="s" s="10">
        <v>373</v>
      </c>
      <c r="F6622" s="27">
        <v>45301</v>
      </c>
      <c r="G6622" t="s" s="10">
        <v>4267</v>
      </c>
      <c r="H6622" s="42">
        <v>1.78</v>
      </c>
      <c r="I6622" t="s" s="42">
        <v>30</v>
      </c>
      <c r="J6622" t="s" s="10">
        <v>33215</v>
      </c>
      <c r="K6622" t="s" s="10">
        <v>33216</v>
      </c>
      <c r="L6622" s="16">
        <f>HYPERLINK("http://www.splinedata.com", "www.splinedata.com")</f>
      </c>
      <c r="M6622" s="16">
        <f>HYPERLINK("https://my.pitchbook.com?c=539210-98", "View Company Online")</f>
      </c>
    </row>
    <row r="6623">
      <c r="A6623" t="s" s="11">
        <v>33218</v>
      </c>
      <c r="B6623" t="s" s="11">
        <v>33219</v>
      </c>
      <c r="C6623" t="s" s="11">
        <v>128</v>
      </c>
      <c r="D6623" t="s" s="11">
        <v>199</v>
      </c>
      <c r="E6623" t="s" s="11">
        <v>116</v>
      </c>
      <c r="F6623" s="28">
        <v>46102</v>
      </c>
      <c r="G6623" t="s" s="11">
        <v>4267</v>
      </c>
      <c r="H6623" t="s" s="43">
        <v>30</v>
      </c>
      <c r="I6623" t="s" s="43">
        <v>30</v>
      </c>
      <c r="J6623" t="s" s="11">
        <v>33220</v>
      </c>
      <c r="K6623" t="s" s="11">
        <v>33221</v>
      </c>
      <c r="L6623" s="17">
        <f>HYPERLINK("http://www.spotpay.ai", "www.spotpay.ai")</f>
      </c>
      <c r="M6623" s="17">
        <f>HYPERLINK("https://my.pitchbook.com?c=1158146-02", "View Company Online")</f>
      </c>
    </row>
    <row r="6624">
      <c r="A6624" t="s" s="10">
        <v>33223</v>
      </c>
      <c r="B6624" t="s" s="10">
        <v>33224</v>
      </c>
      <c r="C6624" t="s" s="10">
        <v>164</v>
      </c>
      <c r="D6624" t="s" s="10">
        <v>206</v>
      </c>
      <c r="E6624" t="s" s="10">
        <v>414</v>
      </c>
      <c r="F6624" s="27">
        <v>45961</v>
      </c>
      <c r="G6624" t="s" s="10">
        <v>4267</v>
      </c>
      <c r="H6624" t="s" s="42">
        <v>30</v>
      </c>
      <c r="I6624" t="s" s="42">
        <v>30</v>
      </c>
      <c r="J6624" t="s" s="10">
        <v>33225</v>
      </c>
      <c r="K6624" t="s" s="10">
        <v>30</v>
      </c>
      <c r="L6624" s="16">
        <f>HYPERLINK("http://www.spresso.ai", "www.spresso.ai")</f>
      </c>
      <c r="M6624" s="16">
        <f>HYPERLINK("https://my.pitchbook.com?c=522684-73", "View Company Online")</f>
      </c>
    </row>
    <row r="6625">
      <c r="A6625" t="s" s="11">
        <v>33227</v>
      </c>
      <c r="B6625" t="s" s="11">
        <v>33228</v>
      </c>
      <c r="C6625" t="s" s="11">
        <v>144</v>
      </c>
      <c r="D6625" t="s" s="11">
        <v>297</v>
      </c>
      <c r="E6625" t="s" s="11">
        <v>259</v>
      </c>
      <c r="F6625" s="28">
        <v>45292</v>
      </c>
      <c r="G6625" t="s" s="11">
        <v>2051</v>
      </c>
      <c r="H6625" t="s" s="43">
        <v>30</v>
      </c>
      <c r="I6625" t="s" s="43">
        <v>30</v>
      </c>
      <c r="J6625" t="s" s="11">
        <v>33229</v>
      </c>
      <c r="K6625" t="s" s="11">
        <v>30</v>
      </c>
      <c r="L6625" s="17">
        <f>HYPERLINK("http://www.mholleman.com", "www.mholleman.com")</f>
      </c>
      <c r="M6625" s="17">
        <f>HYPERLINK("https://my.pitchbook.com?c=467685-55", "View Company Online")</f>
      </c>
    </row>
    <row r="6626">
      <c r="A6626" t="s" s="10">
        <v>33231</v>
      </c>
      <c r="B6626" t="s" s="10">
        <v>33232</v>
      </c>
      <c r="C6626" t="s" s="10">
        <v>164</v>
      </c>
      <c r="D6626" t="s" s="10">
        <v>206</v>
      </c>
      <c r="E6626" t="s" s="10">
        <v>253</v>
      </c>
      <c r="F6626" s="27">
        <v>45618</v>
      </c>
      <c r="G6626" t="s" s="10">
        <v>146</v>
      </c>
      <c r="H6626" s="42">
        <v>8.47</v>
      </c>
      <c r="I6626" t="s" s="42">
        <v>30</v>
      </c>
      <c r="J6626" t="s" s="10">
        <v>33233</v>
      </c>
      <c r="K6626" t="s" s="10">
        <v>33234</v>
      </c>
      <c r="L6626" s="16">
        <f>HYPERLINK("http://www.squaredash.com", "www.squaredash.com")</f>
      </c>
      <c r="M6626" s="16">
        <f>HYPERLINK("https://my.pitchbook.com?c=507307-42", "View Company Online")</f>
      </c>
    </row>
    <row r="6627">
      <c r="A6627" t="s" s="11">
        <v>33236</v>
      </c>
      <c r="B6627" t="s" s="11">
        <v>33237</v>
      </c>
      <c r="C6627" t="s" s="11">
        <v>37</v>
      </c>
      <c r="D6627" t="s" s="11">
        <v>304</v>
      </c>
      <c r="E6627" t="s" s="11">
        <v>967</v>
      </c>
      <c r="F6627" s="28">
        <v>46082</v>
      </c>
      <c r="G6627" t="s" s="11">
        <v>40</v>
      </c>
      <c r="H6627" t="s" s="43">
        <v>30</v>
      </c>
      <c r="I6627" t="s" s="43">
        <v>30</v>
      </c>
      <c r="J6627" t="s" s="11">
        <v>33238</v>
      </c>
      <c r="K6627" t="s" s="11">
        <v>33239</v>
      </c>
      <c r="L6627" s="17">
        <f>HYPERLINK("http://www.ssomee.com", "www.ssomee.com")</f>
      </c>
      <c r="M6627" s="17">
        <f>HYPERLINK("https://my.pitchbook.com?c=497806-12", "View Company Online")</f>
      </c>
    </row>
    <row r="6628">
      <c r="A6628" t="s" s="10">
        <v>33241</v>
      </c>
      <c r="B6628" t="s" s="10">
        <v>33242</v>
      </c>
      <c r="C6628" t="s" s="10">
        <v>27</v>
      </c>
      <c r="D6628" t="s" s="10">
        <v>70</v>
      </c>
      <c r="E6628" t="s" s="10">
        <v>859</v>
      </c>
      <c r="F6628" s="27">
        <v>45869</v>
      </c>
      <c r="G6628" t="s" s="10">
        <v>4267</v>
      </c>
      <c r="H6628" s="42">
        <v>28</v>
      </c>
      <c r="I6628" t="s" s="42">
        <v>30</v>
      </c>
      <c r="J6628" t="s" s="10">
        <v>33243</v>
      </c>
      <c r="K6628" t="s" s="10">
        <v>33244</v>
      </c>
      <c r="L6628" s="16">
        <f>HYPERLINK("http://www.stable.xyz", "www.stable.xyz")</f>
      </c>
      <c r="M6628" s="16">
        <f>HYPERLINK("https://my.pitchbook.com?c=865543-69", "View Company Online")</f>
      </c>
    </row>
    <row r="6629">
      <c r="A6629" t="s" s="11">
        <v>33246</v>
      </c>
      <c r="B6629" t="s" s="11">
        <v>33247</v>
      </c>
      <c r="C6629" t="s" s="11">
        <v>164</v>
      </c>
      <c r="D6629" t="s" s="11">
        <v>165</v>
      </c>
      <c r="E6629" t="s" s="11">
        <v>859</v>
      </c>
      <c r="F6629" s="28">
        <v>45964</v>
      </c>
      <c r="G6629" t="s" s="11">
        <v>146</v>
      </c>
      <c r="H6629" s="43">
        <v>21.5</v>
      </c>
      <c r="I6629" t="s" s="43">
        <v>30</v>
      </c>
      <c r="J6629" t="s" s="11">
        <v>33248</v>
      </c>
      <c r="K6629" t="s" s="11">
        <v>33249</v>
      </c>
      <c r="L6629" s="17">
        <f>HYPERLINK("http://www.stablecore.com", "www.stablecore.com")</f>
      </c>
      <c r="M6629" s="17">
        <f>HYPERLINK("https://my.pitchbook.com?c=770249-44", "View Company Online")</f>
      </c>
    </row>
    <row r="6630">
      <c r="A6630" t="s" s="10">
        <v>33251</v>
      </c>
      <c r="B6630" t="s" s="10">
        <v>33252</v>
      </c>
      <c r="C6630" t="s" s="10">
        <v>27</v>
      </c>
      <c r="D6630" t="s" s="10">
        <v>70</v>
      </c>
      <c r="E6630" t="s" s="10">
        <v>859</v>
      </c>
      <c r="F6630" s="27">
        <v>45924</v>
      </c>
      <c r="G6630" t="s" s="10">
        <v>40</v>
      </c>
      <c r="H6630" s="42">
        <v>3.62</v>
      </c>
      <c r="I6630" t="s" s="42">
        <v>30</v>
      </c>
      <c r="J6630" t="s" s="10">
        <v>33253</v>
      </c>
      <c r="K6630" t="s" s="10">
        <v>33254</v>
      </c>
      <c r="L6630" s="16">
        <f>HYPERLINK("http://www.stablecorp.ca", "www.stablecorp.ca")</f>
      </c>
      <c r="M6630" s="16">
        <f>HYPERLINK("https://my.pitchbook.com?c=431651-35", "View Company Online")</f>
      </c>
    </row>
    <row r="6631">
      <c r="A6631" t="s" s="11">
        <v>33256</v>
      </c>
      <c r="B6631" t="s" s="11">
        <v>33257</v>
      </c>
      <c r="C6631" t="s" s="11">
        <v>222</v>
      </c>
      <c r="D6631" t="s" s="11">
        <v>252</v>
      </c>
      <c r="E6631" t="s" s="11">
        <v>859</v>
      </c>
      <c r="F6631" s="28">
        <v>45748</v>
      </c>
      <c r="G6631" t="s" s="11">
        <v>146</v>
      </c>
      <c r="H6631" t="s" s="43">
        <v>30</v>
      </c>
      <c r="I6631" t="s" s="43">
        <v>30</v>
      </c>
      <c r="J6631" t="s" s="11">
        <v>33258</v>
      </c>
      <c r="K6631" t="s" s="11">
        <v>33259</v>
      </c>
      <c r="L6631" s="17">
        <f>HYPERLINK("http://www.stackingdao.com", "www.stackingdao.com")</f>
      </c>
      <c r="M6631" s="17">
        <f>HYPERLINK("https://my.pitchbook.com?c=588649-78", "View Company Online")</f>
      </c>
    </row>
    <row r="6632">
      <c r="A6632" t="s" s="10">
        <v>33261</v>
      </c>
      <c r="B6632" t="s" s="10">
        <v>33262</v>
      </c>
      <c r="C6632" t="s" s="10">
        <v>46</v>
      </c>
      <c r="D6632" t="s" s="10">
        <v>397</v>
      </c>
      <c r="E6632" t="s" s="10">
        <v>373</v>
      </c>
      <c r="F6632" s="27">
        <v>46072</v>
      </c>
      <c r="G6632" t="s" s="10">
        <v>146</v>
      </c>
      <c r="H6632" s="42">
        <v>23</v>
      </c>
      <c r="I6632" t="s" s="42">
        <v>30</v>
      </c>
      <c r="J6632" t="s" s="10">
        <v>33263</v>
      </c>
      <c r="K6632" t="s" s="10">
        <v>33264</v>
      </c>
      <c r="L6632" s="16">
        <f>HYPERLINK("http://www.stacks.ai", "www.stacks.ai")</f>
      </c>
      <c r="M6632" s="16">
        <f>HYPERLINK("https://my.pitchbook.com?c=700772-23", "View Company Online")</f>
      </c>
    </row>
    <row r="6633">
      <c r="A6633" t="s" s="11">
        <v>33266</v>
      </c>
      <c r="B6633" t="s" s="11">
        <v>33267</v>
      </c>
      <c r="C6633" t="s" s="11">
        <v>27</v>
      </c>
      <c r="D6633" t="s" s="11">
        <v>28</v>
      </c>
      <c r="E6633" t="s" s="11">
        <v>629</v>
      </c>
      <c r="F6633" s="28">
        <v>45828</v>
      </c>
      <c r="G6633" t="s" s="11">
        <v>4267</v>
      </c>
      <c r="H6633" s="43">
        <v>4.2</v>
      </c>
      <c r="I6633" t="s" s="43">
        <v>30</v>
      </c>
      <c r="J6633" t="s" s="11">
        <v>33268</v>
      </c>
      <c r="K6633" t="s" s="11">
        <v>33269</v>
      </c>
      <c r="L6633" s="17">
        <f>HYPERLINK("http://www.stackup.fi", "www.stackup.fi")</f>
      </c>
      <c r="M6633" s="17">
        <f>HYPERLINK("https://my.pitchbook.com?c=501469-66", "View Company Online")</f>
      </c>
    </row>
    <row r="6634">
      <c r="A6634" t="s" s="10">
        <v>33271</v>
      </c>
      <c r="B6634" t="s" s="10">
        <v>33272</v>
      </c>
      <c r="C6634" t="s" s="10">
        <v>60</v>
      </c>
      <c r="D6634" t="s" s="10">
        <v>61</v>
      </c>
      <c r="E6634" t="s" s="10">
        <v>193</v>
      </c>
      <c r="F6634" t="s" s="27">
        <v>30</v>
      </c>
      <c r="G6634" t="s" s="10">
        <v>607</v>
      </c>
      <c r="H6634" t="s" s="42">
        <v>30</v>
      </c>
      <c r="I6634" t="s" s="42">
        <v>30</v>
      </c>
      <c r="J6634" t="s" s="10">
        <v>33273</v>
      </c>
      <c r="K6634" t="s" s="10">
        <v>33274</v>
      </c>
      <c r="L6634" s="16">
        <f>HYPERLINK("http://www.hellostake.com", "www.hellostake.com")</f>
      </c>
      <c r="M6634" s="16">
        <f>HYPERLINK("https://my.pitchbook.com?c=326359-81", "View Company Online")</f>
      </c>
    </row>
    <row r="6635">
      <c r="A6635" t="s" s="11">
        <v>33276</v>
      </c>
      <c r="B6635" t="s" s="11">
        <v>33277</v>
      </c>
      <c r="C6635" t="s" s="11">
        <v>60</v>
      </c>
      <c r="D6635" t="s" s="11">
        <v>727</v>
      </c>
      <c r="E6635" t="s" s="11">
        <v>33278</v>
      </c>
      <c r="F6635" s="28">
        <v>46070</v>
      </c>
      <c r="G6635" t="s" s="11">
        <v>40</v>
      </c>
      <c r="H6635" s="43">
        <v>31</v>
      </c>
      <c r="I6635" t="s" s="43">
        <v>30</v>
      </c>
      <c r="J6635" t="s" s="11">
        <v>33279</v>
      </c>
      <c r="K6635" t="s" s="11">
        <v>33280</v>
      </c>
      <c r="L6635" s="17">
        <f>HYPERLINK("http://www.getstake.com", "www.getstake.com")</f>
      </c>
      <c r="M6635" s="17">
        <f>HYPERLINK("https://my.pitchbook.com?c=458071-75", "View Company Online")</f>
      </c>
    </row>
    <row r="6636">
      <c r="A6636" t="s" s="10">
        <v>33282</v>
      </c>
      <c r="B6636" t="s" s="10">
        <v>33283</v>
      </c>
      <c r="C6636" t="s" s="10">
        <v>46</v>
      </c>
      <c r="D6636" t="s" s="10">
        <v>47</v>
      </c>
      <c r="E6636" t="s" s="10">
        <v>108</v>
      </c>
      <c r="F6636" s="27">
        <v>45202</v>
      </c>
      <c r="G6636" t="s" s="10">
        <v>40</v>
      </c>
      <c r="H6636" s="42">
        <v>61</v>
      </c>
      <c r="I6636" t="s" s="42">
        <v>30</v>
      </c>
      <c r="J6636" t="s" s="10">
        <v>33284</v>
      </c>
      <c r="K6636" t="s" s="10">
        <v>33285</v>
      </c>
      <c r="L6636" s="16">
        <f>HYPERLINK("http://www.stampli.com", "www.stampli.com")</f>
      </c>
      <c r="M6636" s="16">
        <f>HYPERLINK("https://my.pitchbook.com?c=166405-33", "View Company Online")</f>
      </c>
    </row>
    <row r="6637">
      <c r="A6637" t="s" s="11">
        <v>33287</v>
      </c>
      <c r="B6637" t="s" s="11">
        <v>33288</v>
      </c>
      <c r="C6637" t="s" s="11">
        <v>46</v>
      </c>
      <c r="D6637" t="s" s="11">
        <v>397</v>
      </c>
      <c r="E6637" t="s" s="11">
        <v>4479</v>
      </c>
      <c r="F6637" s="28">
        <v>45280</v>
      </c>
      <c r="G6637" t="s" s="11">
        <v>2651</v>
      </c>
      <c r="H6637" s="43">
        <v>0.1</v>
      </c>
      <c r="I6637" t="s" s="43">
        <v>30</v>
      </c>
      <c r="J6637" t="s" s="11">
        <v>33289</v>
      </c>
      <c r="K6637" t="s" s="11">
        <v>33290</v>
      </c>
      <c r="L6637" s="17">
        <f>HYPERLINK("http://www.standardcarbon.ai", "www.standardcarbon.ai")</f>
      </c>
      <c r="M6637" s="17">
        <f>HYPERLINK("https://my.pitchbook.com?c=529252-12", "View Company Online")</f>
      </c>
    </row>
    <row r="6638">
      <c r="A6638" t="s" s="10">
        <v>33292</v>
      </c>
      <c r="B6638" t="s" s="10">
        <v>33293</v>
      </c>
      <c r="C6638" t="s" s="10">
        <v>128</v>
      </c>
      <c r="D6638" t="s" s="10">
        <v>199</v>
      </c>
      <c r="E6638" t="s" s="10">
        <v>859</v>
      </c>
      <c r="F6638" t="s" s="27">
        <v>30</v>
      </c>
      <c r="G6638" t="s" s="10">
        <v>30</v>
      </c>
      <c r="H6638" t="s" s="42">
        <v>30</v>
      </c>
      <c r="I6638" t="s" s="42">
        <v>30</v>
      </c>
      <c r="J6638" t="s" s="10">
        <v>33294</v>
      </c>
      <c r="K6638" t="s" s="10">
        <v>33295</v>
      </c>
      <c r="L6638" s="16">
        <f>HYPERLINK("http://standardmoney.com", "standardmoney.com")</f>
      </c>
      <c r="M6638" s="16">
        <f>HYPERLINK("https://my.pitchbook.com?c=1158521-23", "View Company Online")</f>
      </c>
    </row>
    <row r="6639">
      <c r="A6639" t="s" s="11">
        <v>33297</v>
      </c>
      <c r="B6639" t="s" s="11">
        <v>33298</v>
      </c>
      <c r="C6639" t="s" s="11">
        <v>164</v>
      </c>
      <c r="D6639" t="s" s="11">
        <v>206</v>
      </c>
      <c r="E6639" t="s" s="11">
        <v>137</v>
      </c>
      <c r="F6639" s="28">
        <v>43713</v>
      </c>
      <c r="G6639" t="s" s="11">
        <v>146</v>
      </c>
      <c r="H6639" s="43">
        <v>3</v>
      </c>
      <c r="I6639" t="s" s="43">
        <v>30</v>
      </c>
      <c r="J6639" t="s" s="11">
        <v>33299</v>
      </c>
      <c r="K6639" t="s" s="11">
        <v>33300</v>
      </c>
      <c r="L6639" s="17">
        <f>HYPERLINK("http://starcaveglobal.com", "starcaveglobal.com")</f>
      </c>
      <c r="M6639" s="17">
        <f>HYPERLINK("https://my.pitchbook.com?c=280062-64", "View Company Online")</f>
      </c>
    </row>
    <row r="6640">
      <c r="A6640" t="s" s="10">
        <v>33302</v>
      </c>
      <c r="B6640" t="s" s="10">
        <v>33303</v>
      </c>
      <c r="C6640" t="s" s="10">
        <v>60</v>
      </c>
      <c r="D6640" t="s" s="10">
        <v>432</v>
      </c>
      <c r="E6640" t="s" s="10">
        <v>634</v>
      </c>
      <c r="F6640" s="27">
        <v>46023</v>
      </c>
      <c r="G6640" t="s" s="10">
        <v>4267</v>
      </c>
      <c r="H6640" t="s" s="42">
        <v>30</v>
      </c>
      <c r="I6640" t="s" s="42">
        <v>30</v>
      </c>
      <c r="J6640" t="s" s="10">
        <v>33304</v>
      </c>
      <c r="K6640" t="s" s="10">
        <v>33305</v>
      </c>
      <c r="L6640" s="16">
        <f>HYPERLINK("http://www.stargazr.ai", "www.stargazr.ai")</f>
      </c>
      <c r="M6640" s="16">
        <f>HYPERLINK("https://my.pitchbook.com?c=436232-44", "View Company Online")</f>
      </c>
    </row>
    <row r="6641">
      <c r="A6641" t="s" s="11">
        <v>33307</v>
      </c>
      <c r="B6641" t="s" s="11">
        <v>33308</v>
      </c>
      <c r="C6641" t="s" s="11">
        <v>164</v>
      </c>
      <c r="D6641" t="s" s="11">
        <v>206</v>
      </c>
      <c r="E6641" t="s" s="11">
        <v>116</v>
      </c>
      <c r="F6641" s="28">
        <v>45931</v>
      </c>
      <c r="G6641" t="s" s="11">
        <v>40</v>
      </c>
      <c r="H6641" t="s" s="43">
        <v>30</v>
      </c>
      <c r="I6641" t="s" s="43">
        <v>30</v>
      </c>
      <c r="J6641" t="s" s="11">
        <v>33309</v>
      </c>
      <c r="K6641" t="s" s="11">
        <v>33310</v>
      </c>
      <c r="L6641" s="17">
        <f>HYPERLINK("http://www.get-starlight.com", "www.get-starlight.com")</f>
      </c>
      <c r="M6641" s="17">
        <f>HYPERLINK("https://my.pitchbook.com?c=538188-40", "View Company Online")</f>
      </c>
    </row>
    <row r="6642">
      <c r="A6642" t="s" s="10">
        <v>33312</v>
      </c>
      <c r="B6642" t="s" s="10">
        <v>33313</v>
      </c>
      <c r="C6642" t="s" s="10">
        <v>46</v>
      </c>
      <c r="D6642" t="s" s="10">
        <v>397</v>
      </c>
      <c r="E6642" t="s" s="10">
        <v>137</v>
      </c>
      <c r="F6642" s="27">
        <v>45870</v>
      </c>
      <c r="G6642" t="s" s="10">
        <v>40</v>
      </c>
      <c r="H6642" t="s" s="42">
        <v>30</v>
      </c>
      <c r="I6642" t="s" s="42">
        <v>30</v>
      </c>
      <c r="J6642" t="s" s="10">
        <v>33314</v>
      </c>
      <c r="K6642" t="s" s="10">
        <v>33315</v>
      </c>
      <c r="L6642" s="16">
        <f>HYPERLINK("http://www.staxiom.com", "www.staxiom.com")</f>
      </c>
      <c r="M6642" s="16">
        <f>HYPERLINK("https://my.pitchbook.com?c=912945-97", "View Company Online")</f>
      </c>
    </row>
    <row r="6643">
      <c r="A6643" t="s" s="11">
        <v>33317</v>
      </c>
      <c r="B6643" t="s" s="11">
        <v>33318</v>
      </c>
      <c r="C6643" t="s" s="11">
        <v>60</v>
      </c>
      <c r="D6643" t="s" s="11">
        <v>420</v>
      </c>
      <c r="E6643" t="s" s="11">
        <v>137</v>
      </c>
      <c r="F6643" t="s" s="28">
        <v>30</v>
      </c>
      <c r="G6643" t="s" s="11">
        <v>607</v>
      </c>
      <c r="H6643" t="s" s="43">
        <v>30</v>
      </c>
      <c r="I6643" t="s" s="43">
        <v>30</v>
      </c>
      <c r="J6643" t="s" s="11">
        <v>33319</v>
      </c>
      <c r="K6643" t="s" s="11">
        <v>33320</v>
      </c>
      <c r="L6643" s="17">
        <f>HYPERLINK("http://www.stay.com.br", "www.stay.com.br")</f>
      </c>
      <c r="M6643" s="17">
        <f>HYPERLINK("https://my.pitchbook.com?c=571589-47", "View Company Online")</f>
      </c>
    </row>
    <row r="6644">
      <c r="A6644" t="s" s="10">
        <v>33322</v>
      </c>
      <c r="B6644" t="s" s="10">
        <v>33323</v>
      </c>
      <c r="C6644" t="s" s="10">
        <v>27</v>
      </c>
      <c r="D6644" t="s" s="10">
        <v>70</v>
      </c>
      <c r="E6644" t="s" s="10">
        <v>859</v>
      </c>
      <c r="F6644" s="27">
        <v>46065</v>
      </c>
      <c r="G6644" t="s" s="10">
        <v>146</v>
      </c>
      <c r="H6644" t="s" s="42">
        <v>30</v>
      </c>
      <c r="I6644" t="s" s="42">
        <v>30</v>
      </c>
      <c r="J6644" t="s" s="10">
        <v>33324</v>
      </c>
      <c r="K6644" t="s" s="10">
        <v>33325</v>
      </c>
      <c r="L6644" s="16">
        <f>HYPERLINK("http://www.stbl.com", "www.stbl.com")</f>
      </c>
      <c r="M6644" s="16">
        <f>HYPERLINK("https://my.pitchbook.com?c=769741-03", "View Company Online")</f>
      </c>
    </row>
    <row r="6645">
      <c r="A6645" t="s" s="11">
        <v>33327</v>
      </c>
      <c r="B6645" t="s" s="11">
        <v>33328</v>
      </c>
      <c r="C6645" t="s" s="11">
        <v>114</v>
      </c>
      <c r="D6645" t="s" s="11">
        <v>852</v>
      </c>
      <c r="E6645" t="s" s="11">
        <v>137</v>
      </c>
      <c r="F6645" t="s" s="28">
        <v>30</v>
      </c>
      <c r="G6645" t="s" s="11">
        <v>607</v>
      </c>
      <c r="H6645" t="s" s="43">
        <v>30</v>
      </c>
      <c r="I6645" t="s" s="43">
        <v>30</v>
      </c>
      <c r="J6645" t="s" s="11">
        <v>33329</v>
      </c>
      <c r="K6645" t="s" s="11">
        <v>33330</v>
      </c>
      <c r="L6645" s="17">
        <f>HYPERLINK("http://www.step4business.com", "www.step4business.com")</f>
      </c>
      <c r="M6645" s="17">
        <f>HYPERLINK("https://my.pitchbook.com?c=483337-18", "View Company Online")</f>
      </c>
    </row>
    <row r="6646">
      <c r="A6646" t="s" s="10">
        <v>33332</v>
      </c>
      <c r="B6646" t="s" s="10">
        <v>33333</v>
      </c>
      <c r="C6646" t="s" s="10">
        <v>114</v>
      </c>
      <c r="D6646" t="s" s="10">
        <v>136</v>
      </c>
      <c r="E6646" t="s" s="10">
        <v>253</v>
      </c>
      <c r="F6646" s="27">
        <v>45945</v>
      </c>
      <c r="G6646" t="s" s="10">
        <v>40</v>
      </c>
      <c r="H6646" s="42">
        <v>2.95</v>
      </c>
      <c r="I6646" t="s" s="42">
        <v>30</v>
      </c>
      <c r="J6646" t="s" s="10">
        <v>33334</v>
      </c>
      <c r="K6646" t="s" s="10">
        <v>33335</v>
      </c>
      <c r="L6646" s="16">
        <f>HYPERLINK("http://www.gosteward.com", "www.gosteward.com")</f>
      </c>
      <c r="M6646" s="16">
        <f>HYPERLINK("https://my.pitchbook.com?c=453397-51", "View Company Online")</f>
      </c>
    </row>
    <row r="6647">
      <c r="A6647" t="s" s="11">
        <v>33337</v>
      </c>
      <c r="B6647" t="s" s="11">
        <v>33338</v>
      </c>
      <c r="C6647" t="s" s="11">
        <v>27</v>
      </c>
      <c r="D6647" t="s" s="11">
        <v>28</v>
      </c>
      <c r="E6647" t="s" s="11">
        <v>193</v>
      </c>
      <c r="F6647" s="28">
        <v>45839</v>
      </c>
      <c r="G6647" t="s" s="11">
        <v>40</v>
      </c>
      <c r="H6647" t="s" s="43">
        <v>30</v>
      </c>
      <c r="I6647" t="s" s="43">
        <v>30</v>
      </c>
      <c r="J6647" t="s" s="11">
        <v>33339</v>
      </c>
      <c r="K6647" t="s" s="11">
        <v>33340</v>
      </c>
      <c r="L6647" s="17">
        <f>HYPERLINK("http://www.sticitt.com", "www.sticitt.com")</f>
      </c>
      <c r="M6647" s="17">
        <f>HYPERLINK("https://my.pitchbook.com?c=435753-91", "View Company Online")</f>
      </c>
    </row>
    <row r="6648">
      <c r="A6648" t="s" s="10">
        <v>33342</v>
      </c>
      <c r="B6648" t="s" s="10">
        <v>33343</v>
      </c>
      <c r="C6648" t="s" s="10">
        <v>164</v>
      </c>
      <c r="D6648" t="s" s="10">
        <v>206</v>
      </c>
      <c r="E6648" t="s" s="10">
        <v>137</v>
      </c>
      <c r="F6648" s="27">
        <v>45754</v>
      </c>
      <c r="G6648" t="s" s="10">
        <v>40</v>
      </c>
      <c r="H6648" s="42">
        <v>55</v>
      </c>
      <c r="I6648" t="s" s="42">
        <v>30</v>
      </c>
      <c r="J6648" t="s" s="10">
        <v>33344</v>
      </c>
      <c r="K6648" t="s" s="10">
        <v>33345</v>
      </c>
      <c r="L6648" s="16">
        <f>HYPERLINK("http://www.stitch.money", "www.stitch.money")</f>
      </c>
      <c r="M6648" s="16">
        <f>HYPERLINK("https://my.pitchbook.com?c=453481-30", "View Company Online")</f>
      </c>
    </row>
    <row r="6649">
      <c r="A6649" t="s" s="11">
        <v>33347</v>
      </c>
      <c r="B6649" t="s" s="11">
        <v>33348</v>
      </c>
      <c r="C6649" t="s" s="11">
        <v>164</v>
      </c>
      <c r="D6649" t="s" s="11">
        <v>206</v>
      </c>
      <c r="E6649" t="s" s="11">
        <v>373</v>
      </c>
      <c r="F6649" s="28">
        <v>46084</v>
      </c>
      <c r="G6649" t="s" s="11">
        <v>146</v>
      </c>
      <c r="H6649" s="43">
        <v>25</v>
      </c>
      <c r="I6649" t="s" s="43">
        <v>30</v>
      </c>
      <c r="J6649" t="s" s="11">
        <v>33349</v>
      </c>
      <c r="K6649" t="s" s="11">
        <v>33350</v>
      </c>
      <c r="L6649" s="17">
        <f>HYPERLINK("http://www.stitch.co", "www.stitch.co")</f>
      </c>
      <c r="M6649" s="17">
        <f>HYPERLINK("https://my.pitchbook.com?c=517806-37", "View Company Online")</f>
      </c>
    </row>
    <row r="6650">
      <c r="A6650" t="s" s="10">
        <v>33352</v>
      </c>
      <c r="B6650" t="s" s="10">
        <v>33353</v>
      </c>
      <c r="C6650" t="s" s="10">
        <v>222</v>
      </c>
      <c r="D6650" t="s" s="10">
        <v>223</v>
      </c>
      <c r="E6650" t="s" s="10">
        <v>137</v>
      </c>
      <c r="F6650" s="27">
        <v>43726</v>
      </c>
      <c r="G6650" t="s" s="10">
        <v>4267</v>
      </c>
      <c r="H6650" s="42">
        <v>0.36</v>
      </c>
      <c r="I6650" t="s" s="42">
        <v>30</v>
      </c>
      <c r="J6650" t="s" s="10">
        <v>33354</v>
      </c>
      <c r="K6650" t="s" s="10">
        <v>33355</v>
      </c>
      <c r="L6650" s="16">
        <f>HYPERLINK("http://www.stockcalc.com", "www.stockcalc.com")</f>
      </c>
      <c r="M6650" s="16">
        <f>HYPERLINK("https://my.pitchbook.com?c=295135-75", "View Company Online")</f>
      </c>
    </row>
    <row r="6651">
      <c r="A6651" t="s" s="11">
        <v>33357</v>
      </c>
      <c r="B6651" t="s" s="11">
        <v>33358</v>
      </c>
      <c r="C6651" t="s" s="11">
        <v>60</v>
      </c>
      <c r="D6651" t="s" s="11">
        <v>192</v>
      </c>
      <c r="E6651" t="s" s="11">
        <v>137</v>
      </c>
      <c r="F6651" s="28">
        <v>45013</v>
      </c>
      <c r="G6651" t="s" s="11">
        <v>40</v>
      </c>
      <c r="H6651" s="43">
        <v>0.03</v>
      </c>
      <c r="I6651" t="s" s="43">
        <v>30</v>
      </c>
      <c r="J6651" t="s" s="11">
        <v>33359</v>
      </c>
      <c r="K6651" t="s" s="11">
        <v>30</v>
      </c>
      <c r="L6651" s="17">
        <f>HYPERLINK("http://www.StockKings.com", "www.StockKings.com")</f>
      </c>
      <c r="M6651" s="17">
        <f>HYPERLINK("https://my.pitchbook.com?c=172370-44", "View Company Online")</f>
      </c>
    </row>
    <row r="6652">
      <c r="A6652" t="s" s="10">
        <v>33361</v>
      </c>
      <c r="B6652" t="s" s="10">
        <v>33362</v>
      </c>
      <c r="C6652" t="s" s="10">
        <v>128</v>
      </c>
      <c r="D6652" t="s" s="10">
        <v>129</v>
      </c>
      <c r="E6652" t="s" s="10">
        <v>270</v>
      </c>
      <c r="F6652" t="s" s="27">
        <v>30</v>
      </c>
      <c r="G6652" t="s" s="10">
        <v>48</v>
      </c>
      <c r="H6652" t="s" s="42">
        <v>30</v>
      </c>
      <c r="I6652" t="s" s="42">
        <v>30</v>
      </c>
      <c r="J6652" t="s" s="10">
        <v>33363</v>
      </c>
      <c r="K6652" t="s" s="10">
        <v>33364</v>
      </c>
      <c r="L6652" s="16">
        <f>HYPERLINK("http://www.stockperks.com", "www.stockperks.com")</f>
      </c>
      <c r="M6652" s="16">
        <f>HYPERLINK("https://my.pitchbook.com?c=458063-11", "View Company Online")</f>
      </c>
    </row>
    <row r="6653">
      <c r="A6653" t="s" s="11">
        <v>33366</v>
      </c>
      <c r="B6653" t="s" s="11">
        <v>33367</v>
      </c>
      <c r="C6653" t="s" s="11">
        <v>172</v>
      </c>
      <c r="D6653" t="s" s="11">
        <v>1454</v>
      </c>
      <c r="E6653" t="s" s="11">
        <v>137</v>
      </c>
      <c r="F6653" s="28">
        <v>43143</v>
      </c>
      <c r="G6653" t="s" s="11">
        <v>146</v>
      </c>
      <c r="H6653" s="43">
        <v>1</v>
      </c>
      <c r="I6653" t="s" s="43">
        <v>30</v>
      </c>
      <c r="J6653" t="s" s="11">
        <v>33368</v>
      </c>
      <c r="K6653" t="s" s="11">
        <v>30</v>
      </c>
      <c r="L6653" s="17">
        <f>HYPERLINK("http://www.stockshield.com", "www.stockshield.com")</f>
      </c>
      <c r="M6653" s="17">
        <f>HYPERLINK("https://my.pitchbook.com?c=104722-39", "View Company Online")</f>
      </c>
    </row>
    <row r="6654">
      <c r="A6654" t="s" s="10">
        <v>33370</v>
      </c>
      <c r="B6654" t="s" s="10">
        <v>33371</v>
      </c>
      <c r="C6654" t="s" s="10">
        <v>27</v>
      </c>
      <c r="D6654" t="s" s="10">
        <v>70</v>
      </c>
      <c r="E6654" t="s" s="10">
        <v>253</v>
      </c>
      <c r="F6654" s="27">
        <v>44495</v>
      </c>
      <c r="G6654" t="s" s="10">
        <v>146</v>
      </c>
      <c r="H6654" s="42">
        <v>410</v>
      </c>
      <c r="I6654" t="s" s="42">
        <v>30</v>
      </c>
      <c r="J6654" t="s" s="10">
        <v>33372</v>
      </c>
      <c r="K6654" t="s" s="10">
        <v>33373</v>
      </c>
      <c r="L6654" s="16">
        <f>HYPERLINK("http://www.storfund.com", "www.storfund.com")</f>
      </c>
      <c r="M6654" s="16">
        <f>HYPERLINK("https://my.pitchbook.com?c=458552-26", "View Company Online")</f>
      </c>
    </row>
    <row r="6655">
      <c r="A6655" t="s" s="11">
        <v>33375</v>
      </c>
      <c r="B6655" t="s" s="11">
        <v>33376</v>
      </c>
      <c r="C6655" t="s" s="11">
        <v>27</v>
      </c>
      <c r="D6655" t="s" s="11">
        <v>28</v>
      </c>
      <c r="E6655" t="s" s="11">
        <v>253</v>
      </c>
      <c r="F6655" s="28">
        <v>44853</v>
      </c>
      <c r="G6655" t="s" s="11">
        <v>40</v>
      </c>
      <c r="H6655" s="43">
        <v>1.96</v>
      </c>
      <c r="I6655" t="s" s="43">
        <v>30</v>
      </c>
      <c r="J6655" t="s" s="11">
        <v>33377</v>
      </c>
      <c r="K6655" t="s" s="11">
        <v>33378</v>
      </c>
      <c r="L6655" s="17">
        <f>HYPERLINK("http://straal.com", "straal.com")</f>
      </c>
      <c r="M6655" s="17">
        <f>HYPERLINK("https://my.pitchbook.com?c=366551-47", "View Company Online")</f>
      </c>
    </row>
    <row r="6656">
      <c r="A6656" t="s" s="10">
        <v>33380</v>
      </c>
      <c r="B6656" t="s" s="10">
        <v>33381</v>
      </c>
      <c r="C6656" t="s" s="10">
        <v>27</v>
      </c>
      <c r="D6656" t="s" s="10">
        <v>70</v>
      </c>
      <c r="E6656" t="s" s="10">
        <v>345</v>
      </c>
      <c r="F6656" s="27">
        <v>45777</v>
      </c>
      <c r="G6656" t="s" s="10">
        <v>4267</v>
      </c>
      <c r="H6656" t="s" s="42">
        <v>30</v>
      </c>
      <c r="I6656" t="s" s="42">
        <v>30</v>
      </c>
      <c r="J6656" t="s" s="10">
        <v>33382</v>
      </c>
      <c r="K6656" t="s" s="10">
        <v>33383</v>
      </c>
      <c r="L6656" s="16">
        <f>HYPERLINK("http://www.straddle.com", "www.straddle.com")</f>
      </c>
      <c r="M6656" s="16">
        <f>HYPERLINK("https://my.pitchbook.com?c=620481-52", "View Company Online")</f>
      </c>
    </row>
    <row r="6657">
      <c r="A6657" t="s" s="11">
        <v>33385</v>
      </c>
      <c r="B6657" t="s" s="11">
        <v>33386</v>
      </c>
      <c r="C6657" t="s" s="11">
        <v>27</v>
      </c>
      <c r="D6657" t="s" s="11">
        <v>70</v>
      </c>
      <c r="E6657" t="s" s="11">
        <v>414</v>
      </c>
      <c r="F6657" s="28">
        <v>45962</v>
      </c>
      <c r="G6657" t="s" s="11">
        <v>40</v>
      </c>
      <c r="H6657" t="s" s="43">
        <v>30</v>
      </c>
      <c r="I6657" t="s" s="43">
        <v>30</v>
      </c>
      <c r="J6657" t="s" s="11">
        <v>33387</v>
      </c>
      <c r="K6657" t="s" s="11">
        <v>33388</v>
      </c>
      <c r="L6657" s="17">
        <f>HYPERLINK("http://www.straitsx.com", "www.straitsx.com")</f>
      </c>
      <c r="M6657" s="17">
        <f>HYPERLINK("https://my.pitchbook.com?c=1153760-32", "View Company Online")</f>
      </c>
    </row>
    <row r="6658">
      <c r="A6658" t="s" s="10">
        <v>33390</v>
      </c>
      <c r="B6658" t="s" s="10">
        <v>33391</v>
      </c>
      <c r="C6658" t="s" s="10">
        <v>222</v>
      </c>
      <c r="D6658" t="s" s="10">
        <v>223</v>
      </c>
      <c r="E6658" t="s" s="10">
        <v>916</v>
      </c>
      <c r="F6658" s="27">
        <v>45828</v>
      </c>
      <c r="G6658" t="s" s="10">
        <v>146</v>
      </c>
      <c r="H6658" s="42">
        <v>10</v>
      </c>
      <c r="I6658" t="s" s="42">
        <v>30</v>
      </c>
      <c r="J6658" t="s" s="10">
        <v>33392</v>
      </c>
      <c r="K6658" t="s" s="10">
        <v>33393</v>
      </c>
      <c r="L6658" s="16">
        <f>HYPERLINK("http://www.fiscal.ai", "www.fiscal.ai")</f>
      </c>
      <c r="M6658" s="16">
        <f>HYPERLINK("https://my.pitchbook.com?c=522522-19", "View Company Online")</f>
      </c>
    </row>
    <row r="6659">
      <c r="A6659" t="s" s="11">
        <v>33395</v>
      </c>
      <c r="B6659" t="s" s="11">
        <v>33396</v>
      </c>
      <c r="C6659" t="s" s="11">
        <v>46</v>
      </c>
      <c r="D6659" t="s" s="11">
        <v>47</v>
      </c>
      <c r="E6659" t="s" s="11">
        <v>373</v>
      </c>
      <c r="F6659" s="28">
        <v>46154</v>
      </c>
      <c r="G6659" t="s" s="11">
        <v>4267</v>
      </c>
      <c r="H6659" s="43">
        <v>9.2</v>
      </c>
      <c r="I6659" t="s" s="43">
        <v>30</v>
      </c>
      <c r="J6659" t="s" s="11">
        <v>33397</v>
      </c>
      <c r="K6659" t="s" s="11">
        <v>33398</v>
      </c>
      <c r="L6659" s="17">
        <f>HYPERLINK("http://www.streampay.sa", "www.streampay.sa")</f>
      </c>
      <c r="M6659" s="17">
        <f>HYPERLINK("https://my.pitchbook.com?c=971925-49", "View Company Online")</f>
      </c>
    </row>
    <row r="6660">
      <c r="A6660" t="s" s="10">
        <v>33400</v>
      </c>
      <c r="B6660" t="s" s="10">
        <v>33401</v>
      </c>
      <c r="C6660" t="s" s="10">
        <v>27</v>
      </c>
      <c r="D6660" t="s" s="10">
        <v>70</v>
      </c>
      <c r="E6660" t="s" s="10">
        <v>108</v>
      </c>
      <c r="F6660" s="27">
        <v>44678</v>
      </c>
      <c r="G6660" t="s" s="10">
        <v>4267</v>
      </c>
      <c r="H6660" s="42">
        <v>3</v>
      </c>
      <c r="I6660" t="s" s="42">
        <v>30</v>
      </c>
      <c r="J6660" t="s" s="10">
        <v>33402</v>
      </c>
      <c r="K6660" t="s" s="10">
        <v>33403</v>
      </c>
      <c r="L6660" s="16">
        <f>HYPERLINK("http://www.streamlinedpayments.com", "www.streamlinedpayments.com")</f>
      </c>
      <c r="M6660" s="16">
        <f>HYPERLINK("https://my.pitchbook.com?c=465256-90", "View Company Online")</f>
      </c>
    </row>
    <row r="6661">
      <c r="A6661" t="s" s="11">
        <v>33405</v>
      </c>
      <c r="B6661" t="s" s="11">
        <v>33406</v>
      </c>
      <c r="C6661" t="s" s="11">
        <v>46</v>
      </c>
      <c r="D6661" t="s" s="11">
        <v>397</v>
      </c>
      <c r="E6661" t="s" s="11">
        <v>33407</v>
      </c>
      <c r="F6661" t="s" s="28">
        <v>30</v>
      </c>
      <c r="G6661" t="s" s="11">
        <v>607</v>
      </c>
      <c r="H6661" t="s" s="43">
        <v>30</v>
      </c>
      <c r="I6661" t="s" s="43">
        <v>30</v>
      </c>
      <c r="J6661" t="s" s="11">
        <v>33408</v>
      </c>
      <c r="K6661" t="s" s="11">
        <v>33409</v>
      </c>
      <c r="L6661" s="17">
        <f>HYPERLINK("http://www.streetsales.com.br", "www.streetsales.com.br")</f>
      </c>
      <c r="M6661" s="17">
        <f>HYPERLINK("https://my.pitchbook.com?c=533366-83", "View Company Online")</f>
      </c>
    </row>
    <row r="6662">
      <c r="A6662" t="s" s="10">
        <v>33411</v>
      </c>
      <c r="B6662" t="s" s="10">
        <v>33412</v>
      </c>
      <c r="C6662" t="s" s="10">
        <v>27</v>
      </c>
      <c r="D6662" t="s" s="10">
        <v>28</v>
      </c>
      <c r="E6662" t="s" s="10">
        <v>193</v>
      </c>
      <c r="F6662" s="27">
        <v>44896</v>
      </c>
      <c r="G6662" t="s" s="10">
        <v>4267</v>
      </c>
      <c r="H6662" s="42">
        <v>1.53</v>
      </c>
      <c r="I6662" t="s" s="42">
        <v>30</v>
      </c>
      <c r="J6662" t="s" s="10">
        <v>33413</v>
      </c>
      <c r="K6662" t="s" s="10">
        <v>20064</v>
      </c>
      <c r="L6662" s="16">
        <f>HYPERLINK("http://www.strikepay.co", "www.strikepay.co")</f>
      </c>
      <c r="M6662" s="16">
        <f>HYPERLINK("https://my.pitchbook.com?c=463430-17", "View Company Online")</f>
      </c>
    </row>
    <row r="6663">
      <c r="A6663" t="s" s="11">
        <v>33415</v>
      </c>
      <c r="B6663" t="s" s="11">
        <v>33416</v>
      </c>
      <c r="C6663" t="s" s="11">
        <v>27</v>
      </c>
      <c r="D6663" t="s" s="11">
        <v>28</v>
      </c>
      <c r="E6663" t="s" s="11">
        <v>137</v>
      </c>
      <c r="F6663" s="28">
        <v>43263</v>
      </c>
      <c r="G6663" t="s" s="11">
        <v>4267</v>
      </c>
      <c r="H6663" s="43">
        <v>3.3</v>
      </c>
      <c r="I6663" t="s" s="43">
        <v>30</v>
      </c>
      <c r="J6663" t="s" s="11">
        <v>33417</v>
      </c>
      <c r="K6663" t="s" s="11">
        <v>33418</v>
      </c>
      <c r="L6663" s="17">
        <f>HYPERLINK("http://www.stronghold.co", "www.stronghold.co")</f>
      </c>
      <c r="M6663" s="17">
        <f>HYPERLINK("https://my.pitchbook.com?c=229258-27", "View Company Online")</f>
      </c>
    </row>
    <row r="6664">
      <c r="A6664" t="s" s="10">
        <v>33420</v>
      </c>
      <c r="B6664" t="s" s="10">
        <v>33421</v>
      </c>
      <c r="C6664" t="s" s="10">
        <v>222</v>
      </c>
      <c r="D6664" t="s" s="10">
        <v>537</v>
      </c>
      <c r="E6664" t="s" s="10">
        <v>859</v>
      </c>
      <c r="F6664" s="27">
        <v>46079</v>
      </c>
      <c r="G6664" t="s" s="10">
        <v>146</v>
      </c>
      <c r="H6664" s="42">
        <v>30</v>
      </c>
      <c r="I6664" t="s" s="42">
        <v>30</v>
      </c>
      <c r="J6664" t="s" s="10">
        <v>33422</v>
      </c>
      <c r="K6664" t="s" s="10">
        <v>33423</v>
      </c>
      <c r="L6664" s="16">
        <f>HYPERLINK("http://www.stsdigital.io", "www.stsdigital.io")</f>
      </c>
      <c r="M6664" s="16">
        <f>HYPERLINK("https://my.pitchbook.com?c=606864-79", "View Company Online")</f>
      </c>
    </row>
    <row r="6665">
      <c r="A6665" t="s" s="11">
        <v>33425</v>
      </c>
      <c r="B6665" t="s" s="11">
        <v>33426</v>
      </c>
      <c r="C6665" t="s" s="11">
        <v>114</v>
      </c>
      <c r="D6665" t="s" s="11">
        <v>852</v>
      </c>
      <c r="E6665" t="s" s="11">
        <v>414</v>
      </c>
      <c r="F6665" s="28">
        <v>45952</v>
      </c>
      <c r="G6665" t="s" s="11">
        <v>4267</v>
      </c>
      <c r="H6665" t="s" s="43">
        <v>30</v>
      </c>
      <c r="I6665" t="s" s="43">
        <v>30</v>
      </c>
      <c r="J6665" t="s" s="11">
        <v>33427</v>
      </c>
      <c r="K6665" t="s" s="11">
        <v>33428</v>
      </c>
      <c r="L6665" s="17">
        <f>HYPERLINK("http://www.joinsubstrate.com", "www.joinsubstrate.com")</f>
      </c>
      <c r="M6665" s="17">
        <f>HYPERLINK("https://my.pitchbook.com?c=972716-59", "View Company Online")</f>
      </c>
    </row>
    <row r="6666">
      <c r="A6666" t="s" s="10">
        <v>33430</v>
      </c>
      <c r="B6666" t="s" s="10">
        <v>33431</v>
      </c>
      <c r="C6666" t="s" s="10">
        <v>164</v>
      </c>
      <c r="D6666" t="s" s="10">
        <v>206</v>
      </c>
      <c r="E6666" t="s" s="10">
        <v>253</v>
      </c>
      <c r="F6666" s="27">
        <v>44626</v>
      </c>
      <c r="G6666" t="s" s="10">
        <v>146</v>
      </c>
      <c r="H6666" s="42">
        <v>3.7</v>
      </c>
      <c r="I6666" t="s" s="42">
        <v>30</v>
      </c>
      <c r="J6666" t="s" s="10">
        <v>33432</v>
      </c>
      <c r="K6666" t="s" s="10">
        <v>33433</v>
      </c>
      <c r="L6666" s="16">
        <f>HYPERLINK("http://www.sudo.africa", "www.sudo.africa")</f>
      </c>
      <c r="M6666" s="16">
        <f>HYPERLINK("https://my.pitchbook.com?c=467853-04", "View Company Online")</f>
      </c>
    </row>
    <row r="6667">
      <c r="A6667" t="s" s="11">
        <v>33435</v>
      </c>
      <c r="B6667" t="s" s="11">
        <v>33436</v>
      </c>
      <c r="C6667" t="s" s="11">
        <v>60</v>
      </c>
      <c r="D6667" t="s" s="11">
        <v>246</v>
      </c>
      <c r="E6667" t="s" s="11">
        <v>270</v>
      </c>
      <c r="F6667" s="28">
        <v>45383</v>
      </c>
      <c r="G6667" t="s" s="11">
        <v>146</v>
      </c>
      <c r="H6667" t="s" s="43">
        <v>30</v>
      </c>
      <c r="I6667" t="s" s="43">
        <v>30</v>
      </c>
      <c r="J6667" t="s" s="11">
        <v>33437</v>
      </c>
      <c r="K6667" t="s" s="11">
        <v>33438</v>
      </c>
      <c r="L6667" s="17">
        <f>HYPERLINK("http://www.sugarwallet.com", "www.sugarwallet.com")</f>
      </c>
      <c r="M6667" s="17">
        <f>HYPERLINK("https://my.pitchbook.com?c=503658-46", "View Company Online")</f>
      </c>
    </row>
    <row r="6668">
      <c r="A6668" t="s" s="10">
        <v>33440</v>
      </c>
      <c r="B6668" t="s" s="10">
        <v>33441</v>
      </c>
      <c r="C6668" t="s" s="10">
        <v>60</v>
      </c>
      <c r="D6668" t="s" s="10">
        <v>246</v>
      </c>
      <c r="E6668" t="s" s="10">
        <v>152</v>
      </c>
      <c r="F6668" s="27">
        <v>46030</v>
      </c>
      <c r="G6668" t="s" s="10">
        <v>40</v>
      </c>
      <c r="H6668" s="42">
        <v>21.24</v>
      </c>
      <c r="I6668" t="s" s="42">
        <v>30</v>
      </c>
      <c r="J6668" t="s" s="10">
        <v>33442</v>
      </c>
      <c r="K6668" t="s" s="10">
        <v>33443</v>
      </c>
      <c r="L6668" s="16">
        <f>HYPERLINK("http://www.meetsummer.com", "www.meetsummer.com")</f>
      </c>
      <c r="M6668" s="16">
        <f>HYPERLINK("https://my.pitchbook.com?c=230449-42", "View Company Online")</f>
      </c>
    </row>
    <row r="6669">
      <c r="A6669" t="s" s="11">
        <v>33445</v>
      </c>
      <c r="B6669" t="s" s="11">
        <v>33446</v>
      </c>
      <c r="C6669" t="s" s="11">
        <v>60</v>
      </c>
      <c r="D6669" t="s" s="11">
        <v>246</v>
      </c>
      <c r="E6669" t="s" s="11">
        <v>414</v>
      </c>
      <c r="F6669" s="28">
        <v>46079</v>
      </c>
      <c r="G6669" t="s" s="11">
        <v>146</v>
      </c>
      <c r="H6669" t="s" s="43">
        <v>30</v>
      </c>
      <c r="I6669" t="s" s="43">
        <v>30</v>
      </c>
      <c r="J6669" t="s" s="11">
        <v>33447</v>
      </c>
      <c r="K6669" t="s" s="11">
        <v>30</v>
      </c>
      <c r="L6669" s="17">
        <f>HYPERLINK("http://www.sumvin.com", "www.sumvin.com")</f>
      </c>
      <c r="M6669" s="17">
        <f>HYPERLINK("https://my.pitchbook.com?c=1319821-03", "View Company Online")</f>
      </c>
    </row>
    <row r="6670">
      <c r="A6670" t="s" s="10">
        <v>33449</v>
      </c>
      <c r="B6670" t="s" s="10">
        <v>33450</v>
      </c>
      <c r="C6670" t="s" s="10">
        <v>60</v>
      </c>
      <c r="D6670" t="s" s="10">
        <v>420</v>
      </c>
      <c r="E6670" t="s" s="10">
        <v>253</v>
      </c>
      <c r="F6670" t="s" s="27">
        <v>30</v>
      </c>
      <c r="G6670" t="s" s="10">
        <v>40</v>
      </c>
      <c r="H6670" t="s" s="42">
        <v>30</v>
      </c>
      <c r="I6670" t="s" s="42">
        <v>30</v>
      </c>
      <c r="J6670" t="s" s="10">
        <v>33451</v>
      </c>
      <c r="K6670" t="s" s="10">
        <v>33452</v>
      </c>
      <c r="L6670" s="16">
        <f>HYPERLINK("http://www.sunnydayfund.com", "www.sunnydayfund.com")</f>
      </c>
      <c r="M6670" s="16">
        <f>HYPERLINK("https://my.pitchbook.com?c=458539-30", "View Company Online")</f>
      </c>
    </row>
    <row r="6671">
      <c r="A6671" t="s" s="11">
        <v>33454</v>
      </c>
      <c r="B6671" t="s" s="11">
        <v>33455</v>
      </c>
      <c r="C6671" t="s" s="11">
        <v>60</v>
      </c>
      <c r="D6671" t="s" s="11">
        <v>192</v>
      </c>
      <c r="E6671" t="s" s="11">
        <v>6584</v>
      </c>
      <c r="F6671" s="28">
        <v>45597</v>
      </c>
      <c r="G6671" t="s" s="11">
        <v>146</v>
      </c>
      <c r="H6671" t="s" s="43">
        <v>30</v>
      </c>
      <c r="I6671" t="s" s="43">
        <v>30</v>
      </c>
      <c r="J6671" t="s" s="11">
        <v>33456</v>
      </c>
      <c r="K6671" t="s" s="11">
        <v>33457</v>
      </c>
      <c r="L6671" s="17">
        <f>HYPERLINK("http://www.hellosunset.com", "www.hellosunset.com")</f>
      </c>
      <c r="M6671" s="17">
        <f>HYPERLINK("https://my.pitchbook.com?c=706874-23", "View Company Online")</f>
      </c>
    </row>
    <row r="6672">
      <c r="A6672" t="s" s="10">
        <v>33459</v>
      </c>
      <c r="B6672" t="s" s="10">
        <v>33460</v>
      </c>
      <c r="C6672" t="s" s="10">
        <v>114</v>
      </c>
      <c r="D6672" t="s" s="10">
        <v>852</v>
      </c>
      <c r="E6672" t="s" s="10">
        <v>33461</v>
      </c>
      <c r="F6672" s="27">
        <v>44957</v>
      </c>
      <c r="G6672" t="s" s="10">
        <v>146</v>
      </c>
      <c r="H6672" s="42">
        <v>20</v>
      </c>
      <c r="I6672" t="s" s="42">
        <v>30</v>
      </c>
      <c r="J6672" t="s" s="10">
        <v>33462</v>
      </c>
      <c r="K6672" t="s" s="10">
        <v>33463</v>
      </c>
      <c r="L6672" s="16">
        <f>HYPERLINK("http://www.sunstonecredit.com", "www.sunstonecredit.com")</f>
      </c>
      <c r="M6672" s="16">
        <f>HYPERLINK("https://my.pitchbook.com?c=481838-77", "View Company Online")</f>
      </c>
    </row>
    <row r="6673">
      <c r="A6673" t="s" s="11">
        <v>33465</v>
      </c>
      <c r="B6673" t="s" s="11">
        <v>33466</v>
      </c>
      <c r="C6673" t="s" s="11">
        <v>27</v>
      </c>
      <c r="D6673" t="s" s="11">
        <v>28</v>
      </c>
      <c r="E6673" t="s" s="11">
        <v>33467</v>
      </c>
      <c r="F6673" s="28">
        <v>44671</v>
      </c>
      <c r="G6673" t="s" s="11">
        <v>4267</v>
      </c>
      <c r="H6673" s="43">
        <v>30</v>
      </c>
      <c r="I6673" t="s" s="43">
        <v>30</v>
      </c>
      <c r="J6673" t="s" s="11">
        <v>33468</v>
      </c>
      <c r="K6673" t="s" s="11">
        <v>33469</v>
      </c>
      <c r="L6673" s="17">
        <f>HYPERLINK("http://www.superpayments.com", "www.superpayments.com")</f>
      </c>
      <c r="M6673" s="17">
        <f>HYPERLINK("https://my.pitchbook.com?c=495562-78", "View Company Online")</f>
      </c>
    </row>
    <row r="6674">
      <c r="A6674" t="s" s="10">
        <v>33471</v>
      </c>
      <c r="B6674" t="s" s="10">
        <v>33472</v>
      </c>
      <c r="C6674" t="s" s="10">
        <v>60</v>
      </c>
      <c r="D6674" t="s" s="10">
        <v>192</v>
      </c>
      <c r="E6674" t="s" s="10">
        <v>137</v>
      </c>
      <c r="F6674" s="27">
        <v>43109</v>
      </c>
      <c r="G6674" t="s" s="10">
        <v>40</v>
      </c>
      <c r="H6674" s="42">
        <v>5</v>
      </c>
      <c r="I6674" t="s" s="42">
        <v>30</v>
      </c>
      <c r="J6674" t="s" s="10">
        <v>33473</v>
      </c>
      <c r="K6674" t="s" s="10">
        <v>33474</v>
      </c>
      <c r="L6674" s="16">
        <f>HYPERLINK("http://www.supered.com.au", "www.supered.com.au")</f>
      </c>
      <c r="M6674" s="16">
        <f>HYPERLINK("https://my.pitchbook.com?c=169743-97", "View Company Online")</f>
      </c>
    </row>
    <row r="6675">
      <c r="A6675" t="s" s="11">
        <v>33476</v>
      </c>
      <c r="B6675" t="s" s="11">
        <v>33477</v>
      </c>
      <c r="C6675" t="s" s="11">
        <v>60</v>
      </c>
      <c r="D6675" t="s" s="11">
        <v>246</v>
      </c>
      <c r="E6675" t="s" s="11">
        <v>29</v>
      </c>
      <c r="F6675" s="28">
        <v>46149</v>
      </c>
      <c r="G6675" t="s" s="11">
        <v>2051</v>
      </c>
      <c r="H6675" t="s" s="43">
        <v>30</v>
      </c>
      <c r="I6675" t="s" s="43">
        <v>30</v>
      </c>
      <c r="J6675" t="s" s="11">
        <v>33478</v>
      </c>
      <c r="K6675" t="s" s="11">
        <v>30</v>
      </c>
      <c r="L6675" s="17">
        <f>HYPERLINK("http://www.joinsuperfi.com", "www.joinsuperfi.com")</f>
      </c>
      <c r="M6675" s="17">
        <f>HYPERLINK("https://my.pitchbook.com?c=484090-30", "View Company Online")</f>
      </c>
    </row>
    <row r="6676">
      <c r="A6676" t="s" s="10">
        <v>33480</v>
      </c>
      <c r="B6676" t="s" s="10">
        <v>33481</v>
      </c>
      <c r="C6676" t="s" s="10">
        <v>222</v>
      </c>
      <c r="D6676" t="s" s="10">
        <v>252</v>
      </c>
      <c r="E6676" t="s" s="10">
        <v>311</v>
      </c>
      <c r="F6676" s="27">
        <v>45992</v>
      </c>
      <c r="G6676" t="s" s="10">
        <v>146</v>
      </c>
      <c r="H6676" t="s" s="42">
        <v>30</v>
      </c>
      <c r="I6676" t="s" s="42">
        <v>30</v>
      </c>
      <c r="J6676" t="s" s="10">
        <v>33482</v>
      </c>
      <c r="K6676" t="s" s="10">
        <v>33483</v>
      </c>
      <c r="L6676" s="16">
        <f>HYPERLINK("http://www.superreturn.ai", "www.superreturn.ai")</f>
      </c>
      <c r="M6676" s="16">
        <f>HYPERLINK("https://my.pitchbook.com?c=1231725-70", "View Company Online")</f>
      </c>
    </row>
    <row r="6677">
      <c r="A6677" t="s" s="11">
        <v>33485</v>
      </c>
      <c r="B6677" t="s" s="11">
        <v>33486</v>
      </c>
      <c r="C6677" t="s" s="11">
        <v>114</v>
      </c>
      <c r="D6677" t="s" s="11">
        <v>136</v>
      </c>
      <c r="E6677" t="s" s="11">
        <v>3433</v>
      </c>
      <c r="F6677" t="s" s="28">
        <v>30</v>
      </c>
      <c r="G6677" t="s" s="11">
        <v>48</v>
      </c>
      <c r="H6677" t="s" s="43">
        <v>30</v>
      </c>
      <c r="I6677" t="s" s="43">
        <v>30</v>
      </c>
      <c r="J6677" t="s" s="11">
        <v>33487</v>
      </c>
      <c r="K6677" t="s" s="11">
        <v>33488</v>
      </c>
      <c r="L6677" s="17">
        <f>HYPERLINK("http://www.supersim.com.br", "www.supersim.com.br")</f>
      </c>
      <c r="M6677" s="17">
        <f>HYPERLINK("https://my.pitchbook.com?c=433351-00", "View Company Online")</f>
      </c>
    </row>
    <row r="6678">
      <c r="A6678" t="s" s="10">
        <v>33490</v>
      </c>
      <c r="B6678" t="s" s="10">
        <v>33491</v>
      </c>
      <c r="C6678" t="s" s="10">
        <v>27</v>
      </c>
      <c r="D6678" t="s" s="10">
        <v>122</v>
      </c>
      <c r="E6678" t="s" s="10">
        <v>253</v>
      </c>
      <c r="F6678" s="27">
        <v>45638</v>
      </c>
      <c r="G6678" t="s" s="10">
        <v>4267</v>
      </c>
      <c r="H6678" s="42">
        <v>3.25</v>
      </c>
      <c r="I6678" t="s" s="42">
        <v>30</v>
      </c>
      <c r="J6678" t="s" s="10">
        <v>33492</v>
      </c>
      <c r="K6678" t="s" s="10">
        <v>33493</v>
      </c>
      <c r="L6678" s="16">
        <f>HYPERLINK("http://www.supra.la", "www.supra.la")</f>
      </c>
      <c r="M6678" s="16">
        <f>HYPERLINK("https://my.pitchbook.com?c=542271-25", "View Company Online")</f>
      </c>
    </row>
    <row r="6679">
      <c r="A6679" t="s" s="11">
        <v>33495</v>
      </c>
      <c r="B6679" t="s" s="11">
        <v>33496</v>
      </c>
      <c r="C6679" t="s" s="11">
        <v>60</v>
      </c>
      <c r="D6679" t="s" s="11">
        <v>246</v>
      </c>
      <c r="E6679" t="s" s="11">
        <v>137</v>
      </c>
      <c r="F6679" s="28">
        <v>45901</v>
      </c>
      <c r="G6679" t="s" s="11">
        <v>146</v>
      </c>
      <c r="H6679" s="43">
        <v>0.05</v>
      </c>
      <c r="I6679" t="s" s="43">
        <v>30</v>
      </c>
      <c r="J6679" t="s" s="11">
        <v>33497</v>
      </c>
      <c r="K6679" t="s" s="11">
        <v>33498</v>
      </c>
      <c r="L6679" s="17">
        <f>HYPERLINK("http://weekendbudget.com", "weekendbudget.com")</f>
      </c>
      <c r="M6679" s="17">
        <f>HYPERLINK("https://my.pitchbook.com?c=541283-14", "View Company Online")</f>
      </c>
    </row>
    <row r="6680">
      <c r="A6680" t="s" s="10">
        <v>33500</v>
      </c>
      <c r="B6680" t="s" s="10">
        <v>33501</v>
      </c>
      <c r="C6680" t="s" s="10">
        <v>37</v>
      </c>
      <c r="D6680" t="s" s="10">
        <v>38</v>
      </c>
      <c r="E6680" t="s" s="10">
        <v>137</v>
      </c>
      <c r="F6680" s="27">
        <v>42941</v>
      </c>
      <c r="G6680" t="s" s="10">
        <v>40</v>
      </c>
      <c r="H6680" s="42">
        <v>23</v>
      </c>
      <c r="I6680" t="s" s="42">
        <v>30</v>
      </c>
      <c r="J6680" t="s" s="10">
        <v>33502</v>
      </c>
      <c r="K6680" t="s" s="10">
        <v>33503</v>
      </c>
      <c r="L6680" s="16">
        <f>HYPERLINK("http://www.svcl.in", "www.svcl.in")</f>
      </c>
      <c r="M6680" s="16">
        <f>HYPERLINK("https://my.pitchbook.com?c=162420-31", "View Company Online")</f>
      </c>
    </row>
    <row r="6681">
      <c r="A6681" t="s" s="11">
        <v>33505</v>
      </c>
      <c r="B6681" t="s" s="11">
        <v>33506</v>
      </c>
      <c r="C6681" t="s" s="11">
        <v>37</v>
      </c>
      <c r="D6681" t="s" s="11">
        <v>38</v>
      </c>
      <c r="E6681" t="s" s="11">
        <v>137</v>
      </c>
      <c r="F6681" s="28">
        <v>44755</v>
      </c>
      <c r="G6681" t="s" s="11">
        <v>4267</v>
      </c>
      <c r="H6681" s="43">
        <v>2.25</v>
      </c>
      <c r="I6681" t="s" s="43">
        <v>30</v>
      </c>
      <c r="J6681" t="s" s="11">
        <v>33507</v>
      </c>
      <c r="K6681" t="s" s="11">
        <v>33508</v>
      </c>
      <c r="L6681" s="17">
        <f>HYPERLINK("http://www.swadesh.co", "www.swadesh.co")</f>
      </c>
      <c r="M6681" s="17">
        <f>HYPERLINK("https://my.pitchbook.com?c=498212-65", "View Company Online")</f>
      </c>
    </row>
    <row r="6682">
      <c r="A6682" t="s" s="10">
        <v>33510</v>
      </c>
      <c r="B6682" t="s" s="10">
        <v>33511</v>
      </c>
      <c r="C6682" t="s" s="10">
        <v>144</v>
      </c>
      <c r="D6682" t="s" s="10">
        <v>38</v>
      </c>
      <c r="E6682" t="s" s="10">
        <v>259</v>
      </c>
      <c r="F6682" t="s" s="27">
        <v>30</v>
      </c>
      <c r="G6682" t="s" s="10">
        <v>48</v>
      </c>
      <c r="H6682" t="s" s="42">
        <v>30</v>
      </c>
      <c r="I6682" t="s" s="42">
        <v>30</v>
      </c>
      <c r="J6682" t="s" s="10">
        <v>33512</v>
      </c>
      <c r="K6682" t="s" s="10">
        <v>33513</v>
      </c>
      <c r="L6682" s="16">
        <f>HYPERLINK("http://www.swap.financial", "www.swap.financial")</f>
      </c>
      <c r="M6682" s="16">
        <f>HYPERLINK("https://my.pitchbook.com?c=342148-69", "View Company Online")</f>
      </c>
    </row>
    <row r="6683">
      <c r="A6683" t="s" s="11">
        <v>33515</v>
      </c>
      <c r="B6683" t="s" s="11">
        <v>33516</v>
      </c>
      <c r="C6683" t="s" s="11">
        <v>222</v>
      </c>
      <c r="D6683" t="s" s="11">
        <v>252</v>
      </c>
      <c r="E6683" t="s" s="11">
        <v>859</v>
      </c>
      <c r="F6683" s="28">
        <v>46077</v>
      </c>
      <c r="G6683" t="s" s="11">
        <v>391</v>
      </c>
      <c r="H6683" t="s" s="43">
        <v>30</v>
      </c>
      <c r="I6683" t="s" s="43">
        <v>30</v>
      </c>
      <c r="J6683" t="s" s="11">
        <v>33517</v>
      </c>
      <c r="K6683" t="s" s="11">
        <v>30</v>
      </c>
      <c r="L6683" s="17">
        <f>HYPERLINK("http://www.swarm.com", "www.swarm.com")</f>
      </c>
      <c r="M6683" s="17">
        <f>HYPERLINK("https://my.pitchbook.com?c=169943-59", "View Company Online")</f>
      </c>
    </row>
    <row r="6684">
      <c r="A6684" t="s" s="10">
        <v>33519</v>
      </c>
      <c r="B6684" t="s" s="10">
        <v>33520</v>
      </c>
      <c r="C6684" t="s" s="10">
        <v>46</v>
      </c>
      <c r="D6684" t="s" s="10">
        <v>397</v>
      </c>
      <c r="E6684" t="s" s="10">
        <v>367</v>
      </c>
      <c r="F6684" s="27">
        <v>46023</v>
      </c>
      <c r="G6684" t="s" s="10">
        <v>146</v>
      </c>
      <c r="H6684" t="s" s="42">
        <v>30</v>
      </c>
      <c r="I6684" t="s" s="42">
        <v>30</v>
      </c>
      <c r="J6684" t="s" s="10">
        <v>33521</v>
      </c>
      <c r="K6684" t="s" s="10">
        <v>33522</v>
      </c>
      <c r="L6684" s="16">
        <f>HYPERLINK("http://www.verysweet.co", "www.verysweet.co")</f>
      </c>
      <c r="M6684" s="16">
        <f>HYPERLINK("https://my.pitchbook.com?c=991756-18", "View Company Online")</f>
      </c>
    </row>
    <row r="6685">
      <c r="A6685" t="s" s="11">
        <v>33524</v>
      </c>
      <c r="B6685" t="s" s="11">
        <v>33525</v>
      </c>
      <c r="C6685" t="s" s="11">
        <v>172</v>
      </c>
      <c r="D6685" t="s" s="11">
        <v>173</v>
      </c>
      <c r="E6685" t="s" s="11">
        <v>2968</v>
      </c>
      <c r="F6685" s="28">
        <v>44610</v>
      </c>
      <c r="G6685" t="s" s="11">
        <v>607</v>
      </c>
      <c r="H6685" s="43">
        <v>0.05</v>
      </c>
      <c r="I6685" t="s" s="43">
        <v>30</v>
      </c>
      <c r="J6685" t="s" s="11">
        <v>33526</v>
      </c>
      <c r="K6685" t="s" s="11">
        <v>33527</v>
      </c>
      <c r="L6685" s="17">
        <f>HYPERLINK("http://www.swidch.com", "www.swidch.com")</f>
      </c>
      <c r="M6685" s="17">
        <f>HYPERLINK("https://my.pitchbook.com?c=435096-64", "View Company Online")</f>
      </c>
    </row>
    <row r="6686">
      <c r="A6686" t="s" s="10">
        <v>33529</v>
      </c>
      <c r="B6686" t="s" s="10">
        <v>33530</v>
      </c>
      <c r="C6686" t="s" s="10">
        <v>27</v>
      </c>
      <c r="D6686" t="s" s="10">
        <v>122</v>
      </c>
      <c r="E6686" t="s" s="10">
        <v>137</v>
      </c>
      <c r="F6686" s="27">
        <v>45689</v>
      </c>
      <c r="G6686" t="s" s="10">
        <v>40</v>
      </c>
      <c r="H6686" t="s" s="42">
        <v>30</v>
      </c>
      <c r="I6686" t="s" s="42">
        <v>30</v>
      </c>
      <c r="J6686" t="s" s="10">
        <v>33531</v>
      </c>
      <c r="K6686" t="s" s="10">
        <v>33532</v>
      </c>
      <c r="L6686" s="16">
        <f>HYPERLINK("http://www.swift.com", "www.swift.com")</f>
      </c>
      <c r="M6686" s="16">
        <f>HYPERLINK("https://my.pitchbook.com?c=64594-72", "View Company Online")</f>
      </c>
    </row>
    <row r="6687">
      <c r="A6687" t="s" s="11">
        <v>33534</v>
      </c>
      <c r="B6687" t="s" s="11">
        <v>33535</v>
      </c>
      <c r="C6687" t="s" s="11">
        <v>164</v>
      </c>
      <c r="D6687" t="s" s="11">
        <v>206</v>
      </c>
      <c r="E6687" t="s" s="11">
        <v>253</v>
      </c>
      <c r="F6687" s="28">
        <v>44755</v>
      </c>
      <c r="G6687" t="s" s="11">
        <v>4267</v>
      </c>
      <c r="H6687" s="43">
        <v>0.5</v>
      </c>
      <c r="I6687" t="s" s="43">
        <v>30</v>
      </c>
      <c r="J6687" t="s" s="11">
        <v>33536</v>
      </c>
      <c r="K6687" t="s" s="11">
        <v>33537</v>
      </c>
      <c r="L6687" s="17">
        <f>HYPERLINK("http://www.swipe.ng", "www.swipe.ng")</f>
      </c>
      <c r="M6687" s="17">
        <f>HYPERLINK("https://my.pitchbook.com?c=491049-28", "View Company Online")</f>
      </c>
    </row>
    <row r="6688">
      <c r="A6688" t="s" s="10">
        <v>33539</v>
      </c>
      <c r="B6688" t="s" s="10">
        <v>33540</v>
      </c>
      <c r="C6688" t="s" s="10">
        <v>46</v>
      </c>
      <c r="D6688" t="s" s="10">
        <v>47</v>
      </c>
      <c r="E6688" t="s" s="10">
        <v>270</v>
      </c>
      <c r="F6688" s="27">
        <v>45644</v>
      </c>
      <c r="G6688" t="s" s="10">
        <v>146</v>
      </c>
      <c r="H6688" t="s" s="42">
        <v>30</v>
      </c>
      <c r="I6688" t="s" s="42">
        <v>30</v>
      </c>
      <c r="J6688" t="s" s="10">
        <v>33541</v>
      </c>
      <c r="K6688" t="s" s="10">
        <v>33542</v>
      </c>
      <c r="L6688" s="16">
        <f>HYPERLINK("http://www.swipey.co", "www.swipey.co")</f>
      </c>
      <c r="M6688" s="16">
        <f>HYPERLINK("https://my.pitchbook.com?c=488973-43", "View Company Online")</f>
      </c>
    </row>
    <row r="6689">
      <c r="A6689" t="s" s="11">
        <v>33544</v>
      </c>
      <c r="B6689" t="s" s="11">
        <v>33545</v>
      </c>
      <c r="C6689" t="s" s="11">
        <v>164</v>
      </c>
      <c r="D6689" t="s" s="11">
        <v>206</v>
      </c>
      <c r="E6689" t="s" s="11">
        <v>253</v>
      </c>
      <c r="F6689" s="28">
        <v>45702</v>
      </c>
      <c r="G6689" t="s" s="11">
        <v>4267</v>
      </c>
      <c r="H6689" s="43">
        <v>3.4</v>
      </c>
      <c r="I6689" t="s" s="43">
        <v>30</v>
      </c>
      <c r="J6689" t="s" s="11">
        <v>33546</v>
      </c>
      <c r="K6689" t="s" s="11">
        <v>33547</v>
      </c>
      <c r="L6689" s="17">
        <f>HYPERLINK("http://www.swirepay.com", "www.swirepay.com")</f>
      </c>
      <c r="M6689" s="17">
        <f>HYPERLINK("https://my.pitchbook.com?c=510718-60", "View Company Online")</f>
      </c>
    </row>
    <row r="6690">
      <c r="A6690" t="s" s="10">
        <v>33549</v>
      </c>
      <c r="B6690" t="s" s="10">
        <v>33550</v>
      </c>
      <c r="C6690" t="s" s="10">
        <v>114</v>
      </c>
      <c r="D6690" t="s" s="10">
        <v>852</v>
      </c>
      <c r="E6690" t="s" s="10">
        <v>137</v>
      </c>
      <c r="F6690" s="27">
        <v>43832</v>
      </c>
      <c r="G6690" t="s" s="10">
        <v>146</v>
      </c>
      <c r="H6690" s="42">
        <v>16.68</v>
      </c>
      <c r="I6690" t="s" s="42">
        <v>30</v>
      </c>
      <c r="J6690" t="s" s="10">
        <v>33551</v>
      </c>
      <c r="K6690" t="s" s="10">
        <v>33552</v>
      </c>
      <c r="L6690" s="16">
        <f>HYPERLINK("http://www.swishfund.nl", "www.swishfund.nl")</f>
      </c>
      <c r="M6690" s="16">
        <f>HYPERLINK("https://my.pitchbook.com?c=264800-62", "View Company Online")</f>
      </c>
    </row>
    <row r="6691">
      <c r="A6691" t="s" s="11">
        <v>33554</v>
      </c>
      <c r="B6691" t="s" s="11">
        <v>33555</v>
      </c>
      <c r="C6691" t="s" s="11">
        <v>60</v>
      </c>
      <c r="D6691" t="s" s="11">
        <v>246</v>
      </c>
      <c r="E6691" t="s" s="11">
        <v>270</v>
      </c>
      <c r="F6691" t="s" s="28">
        <v>30</v>
      </c>
      <c r="G6691" t="s" s="11">
        <v>146</v>
      </c>
      <c r="H6691" t="s" s="43">
        <v>30</v>
      </c>
      <c r="I6691" t="s" s="43">
        <v>30</v>
      </c>
      <c r="J6691" t="s" s="11">
        <v>33556</v>
      </c>
      <c r="K6691" t="s" s="11">
        <v>33557</v>
      </c>
      <c r="L6691" s="17">
        <f>HYPERLINK("http://www.joinswitch.co", "www.joinswitch.co")</f>
      </c>
      <c r="M6691" s="17">
        <f>HYPERLINK("https://my.pitchbook.com?c=234077-68", "View Company Online")</f>
      </c>
    </row>
    <row r="6692">
      <c r="A6692" t="s" s="10">
        <v>33559</v>
      </c>
      <c r="B6692" t="s" s="10">
        <v>33560</v>
      </c>
      <c r="C6692" t="s" s="10">
        <v>27</v>
      </c>
      <c r="D6692" t="s" s="10">
        <v>122</v>
      </c>
      <c r="E6692" t="s" s="10">
        <v>270</v>
      </c>
      <c r="F6692" s="27">
        <v>45292</v>
      </c>
      <c r="G6692" t="s" s="10">
        <v>146</v>
      </c>
      <c r="H6692" t="s" s="42">
        <v>30</v>
      </c>
      <c r="I6692" t="s" s="42">
        <v>30</v>
      </c>
      <c r="J6692" t="s" s="10">
        <v>33561</v>
      </c>
      <c r="K6692" t="s" s="10">
        <v>33562</v>
      </c>
      <c r="L6692" s="16">
        <f>HYPERLINK("http://switchwonbiz.com", "switchwonbiz.com")</f>
      </c>
      <c r="M6692" s="16">
        <f>HYPERLINK("https://my.pitchbook.com?c=497807-02", "View Company Online")</f>
      </c>
    </row>
    <row r="6693">
      <c r="A6693" t="s" s="11">
        <v>33564</v>
      </c>
      <c r="B6693" t="s" s="11">
        <v>33565</v>
      </c>
      <c r="C6693" t="s" s="11">
        <v>114</v>
      </c>
      <c r="D6693" t="s" s="11">
        <v>136</v>
      </c>
      <c r="E6693" t="s" s="11">
        <v>253</v>
      </c>
      <c r="F6693" s="28">
        <v>45160</v>
      </c>
      <c r="G6693" t="s" s="11">
        <v>4267</v>
      </c>
      <c r="H6693" t="s" s="43">
        <v>30</v>
      </c>
      <c r="I6693" t="s" s="43">
        <v>30</v>
      </c>
      <c r="J6693" t="s" s="11">
        <v>33566</v>
      </c>
      <c r="K6693" t="s" s="11">
        <v>33567</v>
      </c>
      <c r="L6693" s="17">
        <f>HYPERLINK("http://www.switchmyloan.in", "www.switchmyloan.in")</f>
      </c>
      <c r="M6693" s="17">
        <f>HYPERLINK("https://my.pitchbook.com?c=534431-89", "View Company Online")</f>
      </c>
    </row>
    <row r="6694">
      <c r="A6694" t="s" s="10">
        <v>33569</v>
      </c>
      <c r="B6694" t="s" s="10">
        <v>33570</v>
      </c>
      <c r="C6694" t="s" s="10">
        <v>46</v>
      </c>
      <c r="D6694" t="s" s="10">
        <v>47</v>
      </c>
      <c r="E6694" t="s" s="10">
        <v>270</v>
      </c>
      <c r="F6694" s="27">
        <v>46023</v>
      </c>
      <c r="G6694" t="s" s="10">
        <v>146</v>
      </c>
      <c r="H6694" t="s" s="42">
        <v>30</v>
      </c>
      <c r="I6694" t="s" s="42">
        <v>30</v>
      </c>
      <c r="J6694" t="s" s="10">
        <v>33571</v>
      </c>
      <c r="K6694" t="s" s="10">
        <v>33572</v>
      </c>
      <c r="L6694" s="16">
        <f>HYPERLINK("http://www.swypex.com", "www.swypex.com")</f>
      </c>
      <c r="M6694" s="16">
        <f>HYPERLINK("https://my.pitchbook.com?c=529744-87", "View Company Online")</f>
      </c>
    </row>
    <row r="6695">
      <c r="A6695" t="s" s="11">
        <v>33574</v>
      </c>
      <c r="B6695" t="s" s="11">
        <v>33575</v>
      </c>
      <c r="C6695" t="s" s="11">
        <v>46</v>
      </c>
      <c r="D6695" t="s" s="11">
        <v>47</v>
      </c>
      <c r="E6695" t="s" s="11">
        <v>33576</v>
      </c>
      <c r="F6695" s="28">
        <v>45292</v>
      </c>
      <c r="G6695" t="s" s="11">
        <v>40</v>
      </c>
      <c r="H6695" t="s" s="43">
        <v>30</v>
      </c>
      <c r="I6695" t="s" s="43">
        <v>30</v>
      </c>
      <c r="J6695" t="s" s="11">
        <v>33577</v>
      </c>
      <c r="K6695" t="s" s="11">
        <v>33578</v>
      </c>
      <c r="L6695" s="17">
        <f>HYPERLINK("http://www.symend.com", "www.symend.com")</f>
      </c>
      <c r="M6695" s="17">
        <f>HYPERLINK("https://my.pitchbook.com?c=168813-37", "View Company Online")</f>
      </c>
    </row>
    <row r="6696">
      <c r="A6696" t="s" s="10">
        <v>33580</v>
      </c>
      <c r="B6696" t="s" s="10">
        <v>33581</v>
      </c>
      <c r="C6696" t="s" s="10">
        <v>46</v>
      </c>
      <c r="D6696" t="s" s="10">
        <v>47</v>
      </c>
      <c r="E6696" t="s" s="10">
        <v>253</v>
      </c>
      <c r="F6696" s="27">
        <v>45856</v>
      </c>
      <c r="G6696" t="s" s="10">
        <v>40</v>
      </c>
      <c r="H6696" s="42">
        <v>0.25</v>
      </c>
      <c r="I6696" t="s" s="42">
        <v>30</v>
      </c>
      <c r="J6696" t="s" s="10">
        <v>33582</v>
      </c>
      <c r="K6696" t="s" s="10">
        <v>33583</v>
      </c>
      <c r="L6696" s="16">
        <f>HYPERLINK("http://www.symfio.app", "www.symfio.app")</f>
      </c>
      <c r="M6696" s="16">
        <f>HYPERLINK("https://my.pitchbook.com?c=535893-67", "View Company Online")</f>
      </c>
    </row>
    <row r="6697">
      <c r="A6697" t="s" s="11">
        <v>33585</v>
      </c>
      <c r="B6697" t="s" s="11">
        <v>33586</v>
      </c>
      <c r="C6697" t="s" s="11">
        <v>27</v>
      </c>
      <c r="D6697" t="s" s="11">
        <v>28</v>
      </c>
      <c r="E6697" t="s" s="11">
        <v>33587</v>
      </c>
      <c r="F6697" s="28">
        <v>45930</v>
      </c>
      <c r="G6697" t="s" s="11">
        <v>607</v>
      </c>
      <c r="H6697" t="s" s="43">
        <v>30</v>
      </c>
      <c r="I6697" t="s" s="43">
        <v>30</v>
      </c>
      <c r="J6697" t="s" s="11">
        <v>33588</v>
      </c>
      <c r="K6697" t="s" s="11">
        <v>33589</v>
      </c>
      <c r="L6697" s="17">
        <f>HYPERLINK("http://www.symphopay.com", "www.symphopay.com")</f>
      </c>
      <c r="M6697" s="17">
        <f>HYPERLINK("https://my.pitchbook.com?c=166628-35", "View Company Online")</f>
      </c>
    </row>
    <row r="6698">
      <c r="A6698" t="s" s="10">
        <v>33591</v>
      </c>
      <c r="B6698" t="s" s="10">
        <v>33592</v>
      </c>
      <c r="C6698" t="s" s="10">
        <v>37</v>
      </c>
      <c r="D6698" t="s" s="10">
        <v>304</v>
      </c>
      <c r="E6698" t="s" s="10">
        <v>29</v>
      </c>
      <c r="F6698" s="27">
        <v>45243</v>
      </c>
      <c r="G6698" t="s" s="10">
        <v>607</v>
      </c>
      <c r="H6698" t="s" s="42">
        <v>30</v>
      </c>
      <c r="I6698" t="s" s="42">
        <v>30</v>
      </c>
      <c r="J6698" t="s" s="10">
        <v>33593</v>
      </c>
      <c r="K6698" t="s" s="10">
        <v>33594</v>
      </c>
      <c r="L6698" s="16">
        <f>HYPERLINK("http://www.sympl.ai", "www.sympl.ai")</f>
      </c>
      <c r="M6698" s="16">
        <f>HYPERLINK("https://my.pitchbook.com?c=483543-10", "View Company Online")</f>
      </c>
    </row>
    <row r="6699">
      <c r="A6699" t="s" s="11">
        <v>33596</v>
      </c>
      <c r="B6699" t="s" s="11">
        <v>33597</v>
      </c>
      <c r="C6699" t="s" s="11">
        <v>222</v>
      </c>
      <c r="D6699" t="s" s="11">
        <v>223</v>
      </c>
      <c r="E6699" t="s" s="11">
        <v>367</v>
      </c>
      <c r="F6699" s="28">
        <v>45536</v>
      </c>
      <c r="G6699" t="s" s="11">
        <v>607</v>
      </c>
      <c r="H6699" t="s" s="43">
        <v>30</v>
      </c>
      <c r="I6699" t="s" s="43">
        <v>30</v>
      </c>
      <c r="J6699" t="s" s="11">
        <v>33598</v>
      </c>
      <c r="K6699" t="s" s="11">
        <v>33599</v>
      </c>
      <c r="L6699" s="17">
        <f>HYPERLINK("http://www.synapse-analytics.io", "www.synapse-analytics.io")</f>
      </c>
      <c r="M6699" s="17">
        <f>HYPERLINK("https://my.pitchbook.com?c=442206-28", "View Company Online")</f>
      </c>
    </row>
    <row r="6700">
      <c r="A6700" t="s" s="10">
        <v>33601</v>
      </c>
      <c r="B6700" t="s" s="10">
        <v>33602</v>
      </c>
      <c r="C6700" t="s" s="10">
        <v>114</v>
      </c>
      <c r="D6700" t="s" s="10">
        <v>1386</v>
      </c>
      <c r="E6700" t="s" s="10">
        <v>634</v>
      </c>
      <c r="F6700" s="27">
        <v>46174</v>
      </c>
      <c r="G6700" t="s" s="10">
        <v>48</v>
      </c>
      <c r="H6700" t="s" s="42">
        <v>30</v>
      </c>
      <c r="I6700" t="s" s="42">
        <v>30</v>
      </c>
      <c r="J6700" t="s" s="10">
        <v>33603</v>
      </c>
      <c r="K6700" t="s" s="10">
        <v>33604</v>
      </c>
      <c r="L6700" s="16">
        <f>HYPERLINK("http://www.synnax.ai", "www.synnax.ai")</f>
      </c>
      <c r="M6700" s="16">
        <f>HYPERLINK("https://my.pitchbook.com?c=553134-88", "View Company Online")</f>
      </c>
    </row>
    <row r="6701">
      <c r="A6701" t="s" s="11">
        <v>33606</v>
      </c>
      <c r="B6701" t="s" s="11">
        <v>33607</v>
      </c>
      <c r="C6701" t="s" s="11">
        <v>164</v>
      </c>
      <c r="D6701" t="s" s="11">
        <v>206</v>
      </c>
      <c r="E6701" t="s" s="11">
        <v>373</v>
      </c>
      <c r="F6701" s="28">
        <v>45684</v>
      </c>
      <c r="G6701" t="s" s="11">
        <v>4267</v>
      </c>
      <c r="H6701" s="43">
        <v>5.5</v>
      </c>
      <c r="I6701" t="s" s="43">
        <v>30</v>
      </c>
      <c r="J6701" t="s" s="11">
        <v>33608</v>
      </c>
      <c r="K6701" t="s" s="11">
        <v>33609</v>
      </c>
      <c r="L6701" s="17">
        <f>HYPERLINK("http://www.synply.io", "www.synply.io")</f>
      </c>
      <c r="M6701" s="17">
        <f>HYPERLINK("https://my.pitchbook.com?c=699918-76", "View Company Online")</f>
      </c>
    </row>
    <row r="6702">
      <c r="A6702" t="s" s="10">
        <v>33611</v>
      </c>
      <c r="B6702" t="s" s="10">
        <v>33612</v>
      </c>
      <c r="C6702" t="s" s="10">
        <v>46</v>
      </c>
      <c r="D6702" t="s" s="10">
        <v>397</v>
      </c>
      <c r="E6702" t="s" s="10">
        <v>1207</v>
      </c>
      <c r="F6702" s="27">
        <v>44790</v>
      </c>
      <c r="G6702" t="s" s="10">
        <v>4267</v>
      </c>
      <c r="H6702" t="s" s="42">
        <v>30</v>
      </c>
      <c r="I6702" t="s" s="42">
        <v>30</v>
      </c>
      <c r="J6702" t="s" s="10">
        <v>33613</v>
      </c>
      <c r="K6702" t="s" s="10">
        <v>33614</v>
      </c>
      <c r="L6702" s="16">
        <f>HYPERLINK("http://www.syntage.com", "www.syntage.com")</f>
      </c>
      <c r="M6702" s="16">
        <f>HYPERLINK("https://my.pitchbook.com?c=497285-92", "View Company Online")</f>
      </c>
    </row>
    <row r="6703">
      <c r="A6703" t="s" s="11">
        <v>33616</v>
      </c>
      <c r="B6703" t="s" s="11">
        <v>33617</v>
      </c>
      <c r="C6703" t="s" s="11">
        <v>222</v>
      </c>
      <c r="D6703" t="s" s="11">
        <v>223</v>
      </c>
      <c r="E6703" t="s" s="11">
        <v>253</v>
      </c>
      <c r="F6703" s="28">
        <v>46029</v>
      </c>
      <c r="G6703" t="s" s="11">
        <v>4267</v>
      </c>
      <c r="H6703" s="43">
        <v>33.9</v>
      </c>
      <c r="I6703" t="s" s="43">
        <v>30</v>
      </c>
      <c r="J6703" t="s" s="11">
        <v>33618</v>
      </c>
      <c r="K6703" t="s" s="11">
        <v>30</v>
      </c>
      <c r="L6703" s="17">
        <f>HYPERLINK("http://www.syntaxdata.com", "www.syntaxdata.com")</f>
      </c>
      <c r="M6703" s="17">
        <f>HYPERLINK("https://my.pitchbook.com?c=597571-12", "View Company Online")</f>
      </c>
    </row>
    <row r="6704">
      <c r="A6704" t="s" s="10">
        <v>33620</v>
      </c>
      <c r="B6704" t="s" s="10">
        <v>33621</v>
      </c>
      <c r="C6704" t="s" s="10">
        <v>222</v>
      </c>
      <c r="D6704" t="s" s="10">
        <v>223</v>
      </c>
      <c r="E6704" t="s" s="10">
        <v>1349</v>
      </c>
      <c r="F6704" s="27">
        <v>45658</v>
      </c>
      <c r="G6704" t="s" s="10">
        <v>607</v>
      </c>
      <c r="H6704" t="s" s="42">
        <v>30</v>
      </c>
      <c r="I6704" t="s" s="42">
        <v>30</v>
      </c>
      <c r="J6704" t="s" s="10">
        <v>33622</v>
      </c>
      <c r="K6704" t="s" s="10">
        <v>33623</v>
      </c>
      <c r="L6704" s="16">
        <f>HYPERLINK("http://www.synthera.ai", "www.synthera.ai")</f>
      </c>
      <c r="M6704" s="16">
        <f>HYPERLINK("https://my.pitchbook.com?c=633174-04", "View Company Online")</f>
      </c>
    </row>
    <row r="6705">
      <c r="A6705" t="s" s="11">
        <v>33625</v>
      </c>
      <c r="B6705" t="s" s="11">
        <v>33626</v>
      </c>
      <c r="C6705" t="s" s="11">
        <v>114</v>
      </c>
      <c r="D6705" t="s" s="11">
        <v>136</v>
      </c>
      <c r="E6705" t="s" s="11">
        <v>2782</v>
      </c>
      <c r="F6705" s="28">
        <v>46182</v>
      </c>
      <c r="G6705" t="s" s="11">
        <v>146</v>
      </c>
      <c r="H6705" s="43">
        <v>13</v>
      </c>
      <c r="I6705" t="s" s="43">
        <v>30</v>
      </c>
      <c r="J6705" t="s" s="11">
        <v>33627</v>
      </c>
      <c r="K6705" t="s" s="11">
        <v>33628</v>
      </c>
      <c r="L6705" s="17">
        <f>HYPERLINK("http://www.syntheticfi.com", "www.syntheticfi.com")</f>
      </c>
      <c r="M6705" s="17">
        <f>HYPERLINK("https://my.pitchbook.com?c=534533-77", "View Company Online")</f>
      </c>
    </row>
    <row r="6706">
      <c r="A6706" t="s" s="10">
        <v>33630</v>
      </c>
      <c r="B6706" t="s" s="10">
        <v>33631</v>
      </c>
      <c r="C6706" t="s" s="10">
        <v>164</v>
      </c>
      <c r="D6706" t="s" s="10">
        <v>165</v>
      </c>
      <c r="E6706" t="s" s="10">
        <v>137</v>
      </c>
      <c r="F6706" s="27">
        <v>45978</v>
      </c>
      <c r="G6706" t="s" s="10">
        <v>64</v>
      </c>
      <c r="H6706" t="s" s="42">
        <v>30</v>
      </c>
      <c r="I6706" t="s" s="42">
        <v>30</v>
      </c>
      <c r="J6706" t="s" s="10">
        <v>33632</v>
      </c>
      <c r="K6706" t="s" s="10">
        <v>30</v>
      </c>
      <c r="L6706" s="16">
        <f>HYPERLINK("http://www.sysjust.com.tw", "www.sysjust.com.tw")</f>
      </c>
      <c r="M6706" s="16">
        <f>HYPERLINK("https://my.pitchbook.com?c=266467-60", "View Company Online")</f>
      </c>
    </row>
    <row r="6707">
      <c r="A6707" t="s" s="11">
        <v>33634</v>
      </c>
      <c r="B6707" t="s" s="11">
        <v>33635</v>
      </c>
      <c r="C6707" t="s" s="11">
        <v>27</v>
      </c>
      <c r="D6707" t="s" s="11">
        <v>70</v>
      </c>
      <c r="E6707" t="s" s="11">
        <v>145</v>
      </c>
      <c r="F6707" s="28">
        <v>46078</v>
      </c>
      <c r="G6707" t="s" s="11">
        <v>4267</v>
      </c>
      <c r="H6707" s="43">
        <v>5</v>
      </c>
      <c r="I6707" t="s" s="43">
        <v>30</v>
      </c>
      <c r="J6707" t="s" s="11">
        <v>33636</v>
      </c>
      <c r="K6707" t="s" s="11">
        <v>33637</v>
      </c>
      <c r="L6707" s="17">
        <f>HYPERLINK("http://www.t54.ai", "www.t54.ai")</f>
      </c>
      <c r="M6707" s="17">
        <f>HYPERLINK("https://my.pitchbook.com?c=1152785-44", "View Company Online")</f>
      </c>
    </row>
    <row r="6708">
      <c r="A6708" t="s" s="10">
        <v>33639</v>
      </c>
      <c r="B6708" t="s" s="10">
        <v>33640</v>
      </c>
      <c r="C6708" t="s" s="10">
        <v>27</v>
      </c>
      <c r="D6708" t="s" s="10">
        <v>28</v>
      </c>
      <c r="E6708" t="s" s="10">
        <v>137</v>
      </c>
      <c r="F6708" s="27">
        <v>45931</v>
      </c>
      <c r="G6708" t="s" s="10">
        <v>40</v>
      </c>
      <c r="H6708" t="s" s="42">
        <v>30</v>
      </c>
      <c r="I6708" t="s" s="42">
        <v>30</v>
      </c>
      <c r="J6708" t="s" s="10">
        <v>33641</v>
      </c>
      <c r="K6708" t="s" s="10">
        <v>33642</v>
      </c>
      <c r="L6708" s="16">
        <f>HYPERLINK("http://www.tahsildar.com.tr", "www.tahsildar.com.tr")</f>
      </c>
      <c r="M6708" s="16">
        <f>HYPERLINK("https://my.pitchbook.com?c=596438-11", "View Company Online")</f>
      </c>
    </row>
    <row r="6709">
      <c r="A6709" t="s" s="11">
        <v>33644</v>
      </c>
      <c r="B6709" t="s" s="11">
        <v>33645</v>
      </c>
      <c r="C6709" t="s" s="11">
        <v>46</v>
      </c>
      <c r="D6709" t="s" s="11">
        <v>397</v>
      </c>
      <c r="E6709" t="s" s="11">
        <v>373</v>
      </c>
      <c r="F6709" s="28">
        <v>45870</v>
      </c>
      <c r="G6709" t="s" s="11">
        <v>146</v>
      </c>
      <c r="H6709" t="s" s="43">
        <v>30</v>
      </c>
      <c r="I6709" t="s" s="43">
        <v>30</v>
      </c>
      <c r="J6709" t="s" s="11">
        <v>33646</v>
      </c>
      <c r="K6709" t="s" s="11">
        <v>33647</v>
      </c>
      <c r="L6709" s="17">
        <f>HYPERLINK("http://www.taiki.ai", "www.taiki.ai")</f>
      </c>
      <c r="M6709" s="17">
        <f>HYPERLINK("https://my.pitchbook.com?c=593005-24", "View Company Online")</f>
      </c>
    </row>
    <row r="6710">
      <c r="A6710" t="s" s="10">
        <v>33649</v>
      </c>
      <c r="B6710" t="s" s="10">
        <v>33650</v>
      </c>
      <c r="C6710" t="s" s="10">
        <v>60</v>
      </c>
      <c r="D6710" t="s" s="10">
        <v>246</v>
      </c>
      <c r="E6710" t="s" s="10">
        <v>367</v>
      </c>
      <c r="F6710" s="27">
        <v>44924</v>
      </c>
      <c r="G6710" t="s" s="10">
        <v>146</v>
      </c>
      <c r="H6710" s="42">
        <v>4.53</v>
      </c>
      <c r="I6710" t="s" s="42">
        <v>30</v>
      </c>
      <c r="J6710" t="s" s="10">
        <v>33651</v>
      </c>
      <c r="K6710" t="s" s="10">
        <v>33652</v>
      </c>
      <c r="L6710" s="16">
        <f>HYPERLINK("http://www.tain.ai", "www.tain.ai")</f>
      </c>
      <c r="M6710" s="16">
        <f>HYPERLINK("https://my.pitchbook.com?c=497781-91", "View Company Online")</f>
      </c>
    </row>
    <row r="6711">
      <c r="A6711" t="s" s="11">
        <v>33654</v>
      </c>
      <c r="B6711" t="s" s="11">
        <v>33655</v>
      </c>
      <c r="C6711" t="s" s="11">
        <v>60</v>
      </c>
      <c r="D6711" t="s" s="11">
        <v>192</v>
      </c>
      <c r="E6711" t="s" s="11">
        <v>116</v>
      </c>
      <c r="F6711" s="28">
        <v>46023</v>
      </c>
      <c r="G6711" t="s" s="11">
        <v>4267</v>
      </c>
      <c r="H6711" t="s" s="43">
        <v>30</v>
      </c>
      <c r="I6711" t="s" s="43">
        <v>30</v>
      </c>
      <c r="J6711" t="s" s="11">
        <v>33656</v>
      </c>
      <c r="K6711" t="s" s="11">
        <v>33657</v>
      </c>
      <c r="L6711" s="17">
        <f>HYPERLINK("http://www.taiseer.co", "www.taiseer.co")</f>
      </c>
      <c r="M6711" s="17">
        <f>HYPERLINK("https://my.pitchbook.com?c=594459-55", "View Company Online")</f>
      </c>
    </row>
    <row r="6712">
      <c r="A6712" t="s" s="10">
        <v>33659</v>
      </c>
      <c r="B6712" t="s" s="10">
        <v>33660</v>
      </c>
      <c r="C6712" t="s" s="10">
        <v>27</v>
      </c>
      <c r="D6712" t="s" s="10">
        <v>28</v>
      </c>
      <c r="E6712" t="s" s="10">
        <v>270</v>
      </c>
      <c r="F6712" s="27">
        <v>45602</v>
      </c>
      <c r="G6712" t="s" s="10">
        <v>607</v>
      </c>
      <c r="H6712" t="s" s="42">
        <v>30</v>
      </c>
      <c r="I6712" t="s" s="42">
        <v>30</v>
      </c>
      <c r="J6712" t="s" s="10">
        <v>33661</v>
      </c>
      <c r="K6712" t="s" s="10">
        <v>33662</v>
      </c>
      <c r="L6712" s="16">
        <f>HYPERLINK("http://www.takeme.com", "www.takeme.com")</f>
      </c>
      <c r="M6712" s="16">
        <f>HYPERLINK("https://my.pitchbook.com?c=416631-07", "View Company Online")</f>
      </c>
    </row>
    <row r="6713">
      <c r="A6713" t="s" s="11">
        <v>33664</v>
      </c>
      <c r="B6713" t="s" s="11">
        <v>33665</v>
      </c>
      <c r="C6713" t="s" s="11">
        <v>128</v>
      </c>
      <c r="D6713" t="s" s="11">
        <v>199</v>
      </c>
      <c r="E6713" t="s" s="11">
        <v>270</v>
      </c>
      <c r="F6713" s="28">
        <v>46023</v>
      </c>
      <c r="G6713" t="s" s="11">
        <v>4267</v>
      </c>
      <c r="H6713" s="43">
        <v>10</v>
      </c>
      <c r="I6713" t="s" s="43">
        <v>30</v>
      </c>
      <c r="J6713" t="s" s="11">
        <v>33666</v>
      </c>
      <c r="K6713" t="s" s="11">
        <v>33667</v>
      </c>
      <c r="L6713" s="17">
        <f>HYPERLINK("http://www.takenos.com", "www.takenos.com")</f>
      </c>
      <c r="M6713" s="17">
        <f>HYPERLINK("https://my.pitchbook.com?c=528292-90", "View Company Online")</f>
      </c>
    </row>
    <row r="6714">
      <c r="A6714" t="s" s="10">
        <v>33669</v>
      </c>
      <c r="B6714" t="s" s="10">
        <v>33670</v>
      </c>
      <c r="C6714" t="s" s="10">
        <v>114</v>
      </c>
      <c r="D6714" t="s" s="10">
        <v>852</v>
      </c>
      <c r="E6714" t="s" s="10">
        <v>253</v>
      </c>
      <c r="F6714" t="s" s="27">
        <v>30</v>
      </c>
      <c r="G6714" t="s" s="10">
        <v>4267</v>
      </c>
      <c r="H6714" s="42">
        <v>0.5</v>
      </c>
      <c r="I6714" t="s" s="42">
        <v>30</v>
      </c>
      <c r="J6714" t="s" s="10">
        <v>33671</v>
      </c>
      <c r="K6714" t="s" s="10">
        <v>33672</v>
      </c>
      <c r="L6714" s="16">
        <f>HYPERLINK("http://www.talatypay.com", "www.talatypay.com")</f>
      </c>
      <c r="M6714" s="16">
        <f>HYPERLINK("https://my.pitchbook.com?c=534793-78", "View Company Online")</f>
      </c>
    </row>
    <row r="6715">
      <c r="A6715" t="s" s="11">
        <v>33674</v>
      </c>
      <c r="B6715" t="s" s="11">
        <v>33675</v>
      </c>
      <c r="C6715" t="s" s="11">
        <v>46</v>
      </c>
      <c r="D6715" t="s" s="11">
        <v>397</v>
      </c>
      <c r="E6715" t="s" s="11">
        <v>373</v>
      </c>
      <c r="F6715" s="28">
        <v>45323</v>
      </c>
      <c r="G6715" t="s" s="11">
        <v>40</v>
      </c>
      <c r="H6715" t="s" s="43">
        <v>30</v>
      </c>
      <c r="I6715" t="s" s="43">
        <v>30</v>
      </c>
      <c r="J6715" t="s" s="11">
        <v>33676</v>
      </c>
      <c r="K6715" t="s" s="11">
        <v>33677</v>
      </c>
      <c r="L6715" s="17">
        <f>HYPERLINK("http://www.tallyfor.com", "www.tallyfor.com")</f>
      </c>
      <c r="M6715" s="17">
        <f>HYPERLINK("https://my.pitchbook.com?c=503236-90", "View Company Online")</f>
      </c>
    </row>
    <row r="6716">
      <c r="A6716" t="s" s="10">
        <v>33679</v>
      </c>
      <c r="B6716" t="s" s="10">
        <v>33680</v>
      </c>
      <c r="C6716" t="s" s="10">
        <v>114</v>
      </c>
      <c r="D6716" t="s" s="10">
        <v>136</v>
      </c>
      <c r="E6716" t="s" s="10">
        <v>193</v>
      </c>
      <c r="F6716" s="27">
        <v>45077</v>
      </c>
      <c r="G6716" t="s" s="10">
        <v>4267</v>
      </c>
      <c r="H6716" t="s" s="42">
        <v>30</v>
      </c>
      <c r="I6716" t="s" s="42">
        <v>30</v>
      </c>
      <c r="J6716" t="s" s="10">
        <v>33681</v>
      </c>
      <c r="K6716" t="s" s="10">
        <v>24175</v>
      </c>
      <c r="L6716" s="16">
        <f>HYPERLINK("http://www.tamam.life", "www.tamam.life")</f>
      </c>
      <c r="M6716" s="16">
        <f>HYPERLINK("https://my.pitchbook.com?c=515316-07", "View Company Online")</f>
      </c>
    </row>
    <row r="6717">
      <c r="A6717" t="s" s="11">
        <v>33683</v>
      </c>
      <c r="B6717" t="s" s="11">
        <v>33684</v>
      </c>
      <c r="C6717" t="s" s="11">
        <v>128</v>
      </c>
      <c r="D6717" t="s" s="11">
        <v>129</v>
      </c>
      <c r="E6717" t="s" s="11">
        <v>23021</v>
      </c>
      <c r="F6717" s="28">
        <v>45138</v>
      </c>
      <c r="G6717" t="s" s="11">
        <v>607</v>
      </c>
      <c r="H6717" s="43">
        <v>0.5</v>
      </c>
      <c r="I6717" t="s" s="43">
        <v>30</v>
      </c>
      <c r="J6717" t="s" s="11">
        <v>33685</v>
      </c>
      <c r="K6717" t="s" s="11">
        <v>33686</v>
      </c>
      <c r="L6717" s="17">
        <f>HYPERLINK("http://www.tamanna.app", "www.tamanna.app")</f>
      </c>
      <c r="M6717" s="17">
        <f>HYPERLINK("https://my.pitchbook.com?c=470756-62", "View Company Online")</f>
      </c>
    </row>
    <row r="6718">
      <c r="A6718" t="s" s="10">
        <v>33688</v>
      </c>
      <c r="B6718" t="s" s="10">
        <v>33689</v>
      </c>
      <c r="C6718" t="s" s="10">
        <v>60</v>
      </c>
      <c r="D6718" t="s" s="10">
        <v>246</v>
      </c>
      <c r="E6718" t="s" s="10">
        <v>270</v>
      </c>
      <c r="F6718" s="27">
        <v>44699</v>
      </c>
      <c r="G6718" t="s" s="10">
        <v>2651</v>
      </c>
      <c r="H6718" s="42">
        <v>0.04</v>
      </c>
      <c r="I6718" t="s" s="42">
        <v>30</v>
      </c>
      <c r="J6718" t="s" s="10">
        <v>33690</v>
      </c>
      <c r="K6718" t="s" s="10">
        <v>33691</v>
      </c>
      <c r="L6718" s="16">
        <f>HYPERLINK("http://www.tamawal.sa", "www.tamawal.sa")</f>
      </c>
      <c r="M6718" s="16">
        <f>HYPERLINK("https://my.pitchbook.com?c=437155-48", "View Company Online")</f>
      </c>
    </row>
    <row r="6719">
      <c r="A6719" t="s" s="11">
        <v>33693</v>
      </c>
      <c r="B6719" t="s" s="11">
        <v>33694</v>
      </c>
      <c r="C6719" t="s" s="11">
        <v>27</v>
      </c>
      <c r="D6719" t="s" s="11">
        <v>70</v>
      </c>
      <c r="E6719" t="s" s="11">
        <v>259</v>
      </c>
      <c r="F6719" s="28">
        <v>46140</v>
      </c>
      <c r="G6719" t="s" s="11">
        <v>40</v>
      </c>
      <c r="H6719" s="43">
        <v>0.1</v>
      </c>
      <c r="I6719" t="s" s="43">
        <v>30</v>
      </c>
      <c r="J6719" t="s" s="11">
        <v>33695</v>
      </c>
      <c r="K6719" t="s" s="11">
        <v>33696</v>
      </c>
      <c r="L6719" s="17">
        <f>HYPERLINK("http://tamborine.com.br", "tamborine.com.br")</f>
      </c>
      <c r="M6719" s="17">
        <f>HYPERLINK("https://my.pitchbook.com?c=621395-74", "View Company Online")</f>
      </c>
    </row>
    <row r="6720">
      <c r="A6720" t="s" s="10">
        <v>33698</v>
      </c>
      <c r="B6720" t="s" s="10">
        <v>33699</v>
      </c>
      <c r="C6720" t="s" s="10">
        <v>114</v>
      </c>
      <c r="D6720" t="s" s="10">
        <v>852</v>
      </c>
      <c r="E6720" t="s" s="10">
        <v>270</v>
      </c>
      <c r="F6720" t="s" s="27">
        <v>30</v>
      </c>
      <c r="G6720" t="s" s="10">
        <v>31</v>
      </c>
      <c r="H6720" t="s" s="42">
        <v>30</v>
      </c>
      <c r="I6720" t="s" s="42">
        <v>30</v>
      </c>
      <c r="J6720" t="s" s="10">
        <v>33700</v>
      </c>
      <c r="K6720" t="s" s="10">
        <v>33701</v>
      </c>
      <c r="L6720" s="16">
        <f>HYPERLINK("http://www.ta3meed.com", "www.ta3meed.com")</f>
      </c>
      <c r="M6720" s="16">
        <f>HYPERLINK("https://my.pitchbook.com?c=500641-48", "View Company Online")</f>
      </c>
    </row>
    <row r="6721">
      <c r="A6721" t="s" s="11">
        <v>33703</v>
      </c>
      <c r="B6721" t="s" s="11">
        <v>33704</v>
      </c>
      <c r="C6721" t="s" s="11">
        <v>60</v>
      </c>
      <c r="D6721" t="s" s="11">
        <v>61</v>
      </c>
      <c r="E6721" t="s" s="11">
        <v>253</v>
      </c>
      <c r="F6721" s="28">
        <v>43347</v>
      </c>
      <c r="G6721" t="s" s="11">
        <v>4267</v>
      </c>
      <c r="H6721" s="43">
        <v>3</v>
      </c>
      <c r="I6721" t="s" s="43">
        <v>30</v>
      </c>
      <c r="J6721" t="s" s="11">
        <v>33705</v>
      </c>
      <c r="K6721" t="s" s="11">
        <v>33706</v>
      </c>
      <c r="L6721" s="17">
        <f>HYPERLINK("http://www.tanamduit.com", "www.tanamduit.com")</f>
      </c>
      <c r="M6721" s="17">
        <f>HYPERLINK("https://my.pitchbook.com?c=232599-43", "View Company Online")</f>
      </c>
    </row>
    <row r="6722">
      <c r="A6722" t="s" s="10">
        <v>33708</v>
      </c>
      <c r="B6722" t="s" s="10">
        <v>33709</v>
      </c>
      <c r="C6722" t="s" s="10">
        <v>60</v>
      </c>
      <c r="D6722" t="s" s="10">
        <v>246</v>
      </c>
      <c r="E6722" t="s" s="10">
        <v>270</v>
      </c>
      <c r="F6722" s="27">
        <v>45245</v>
      </c>
      <c r="G6722" t="s" s="10">
        <v>4267</v>
      </c>
      <c r="H6722" s="42">
        <v>4.5</v>
      </c>
      <c r="I6722" t="s" s="42">
        <v>30</v>
      </c>
      <c r="J6722" t="s" s="10">
        <v>33710</v>
      </c>
      <c r="K6722" t="s" s="10">
        <v>33711</v>
      </c>
      <c r="L6722" s="16">
        <f>HYPERLINK("http://www.tanda.io", "www.tanda.io")</f>
      </c>
      <c r="M6722" s="16">
        <f>HYPERLINK("https://my.pitchbook.com?c=535595-50", "View Company Online")</f>
      </c>
    </row>
    <row r="6723">
      <c r="A6723" t="s" s="11">
        <v>33713</v>
      </c>
      <c r="B6723" t="s" s="11">
        <v>33714</v>
      </c>
      <c r="C6723" t="s" s="11">
        <v>128</v>
      </c>
      <c r="D6723" t="s" s="11">
        <v>129</v>
      </c>
      <c r="E6723" t="s" s="11">
        <v>137</v>
      </c>
      <c r="F6723" s="28">
        <v>44713</v>
      </c>
      <c r="G6723" t="s" s="11">
        <v>4267</v>
      </c>
      <c r="H6723" s="43">
        <v>60</v>
      </c>
      <c r="I6723" t="s" s="43">
        <v>30</v>
      </c>
      <c r="J6723" t="s" s="11">
        <v>33715</v>
      </c>
      <c r="K6723" t="s" s="11">
        <v>33716</v>
      </c>
      <c r="L6723" s="17">
        <f>HYPERLINK("http://www.bytandym.com", "www.bytandym.com")</f>
      </c>
      <c r="M6723" s="17">
        <f>HYPERLINK("https://my.pitchbook.com?c=491652-46", "View Company Online")</f>
      </c>
    </row>
    <row r="6724">
      <c r="A6724" t="s" s="10">
        <v>33718</v>
      </c>
      <c r="B6724" t="s" s="10">
        <v>33719</v>
      </c>
      <c r="C6724" t="s" s="10">
        <v>128</v>
      </c>
      <c r="D6724" t="s" s="10">
        <v>276</v>
      </c>
      <c r="E6724" t="s" s="10">
        <v>270</v>
      </c>
      <c r="F6724" s="27">
        <v>45887</v>
      </c>
      <c r="G6724" t="s" s="10">
        <v>607</v>
      </c>
      <c r="H6724" t="s" s="42">
        <v>30</v>
      </c>
      <c r="I6724" t="s" s="42">
        <v>30</v>
      </c>
      <c r="J6724" t="s" s="10">
        <v>33720</v>
      </c>
      <c r="K6724" t="s" s="10">
        <v>33721</v>
      </c>
      <c r="L6724" s="16">
        <f>HYPERLINK("http://www.tanggapp.com", "www.tanggapp.com")</f>
      </c>
      <c r="M6724" s="16">
        <f>HYPERLINK("https://my.pitchbook.com?c=454464-55", "View Company Online")</f>
      </c>
    </row>
    <row r="6725">
      <c r="A6725" t="s" s="11">
        <v>33723</v>
      </c>
      <c r="B6725" t="s" s="11">
        <v>33724</v>
      </c>
      <c r="C6725" t="s" s="11">
        <v>60</v>
      </c>
      <c r="D6725" t="s" s="11">
        <v>246</v>
      </c>
      <c r="E6725" t="s" s="11">
        <v>137</v>
      </c>
      <c r="F6725" s="28">
        <v>44346</v>
      </c>
      <c r="G6725" t="s" s="11">
        <v>146</v>
      </c>
      <c r="H6725" s="43">
        <v>3.88</v>
      </c>
      <c r="I6725" t="s" s="43">
        <v>30</v>
      </c>
      <c r="J6725" t="s" s="11">
        <v>33725</v>
      </c>
      <c r="K6725" t="s" s="11">
        <v>30</v>
      </c>
      <c r="L6725" s="17">
        <f>HYPERLINK("http://www.tanggram.com", "www.tanggram.com")</f>
      </c>
      <c r="M6725" s="17">
        <f>HYPERLINK("https://my.pitchbook.com?c=467084-53", "View Company Online")</f>
      </c>
    </row>
    <row r="6726">
      <c r="A6726" t="s" s="10">
        <v>33727</v>
      </c>
      <c r="B6726" t="s" s="10">
        <v>33728</v>
      </c>
      <c r="C6726" t="s" s="10">
        <v>27</v>
      </c>
      <c r="D6726" t="s" s="10">
        <v>70</v>
      </c>
      <c r="E6726" t="s" s="10">
        <v>270</v>
      </c>
      <c r="F6726" s="27">
        <v>44813</v>
      </c>
      <c r="G6726" t="s" s="10">
        <v>146</v>
      </c>
      <c r="H6726" t="s" s="42">
        <v>30</v>
      </c>
      <c r="I6726" t="s" s="42">
        <v>30</v>
      </c>
      <c r="J6726" t="s" s="10">
        <v>33729</v>
      </c>
      <c r="K6726" t="s" s="10">
        <v>33730</v>
      </c>
      <c r="L6726" s="16">
        <f>HYPERLINK("http://www.tankpayments.com", "www.tankpayments.com")</f>
      </c>
      <c r="M6726" s="16">
        <f>HYPERLINK("https://my.pitchbook.com?c=501738-04", "View Company Online")</f>
      </c>
    </row>
    <row r="6727">
      <c r="A6727" t="s" s="11">
        <v>33732</v>
      </c>
      <c r="B6727" t="s" s="11">
        <v>33733</v>
      </c>
      <c r="C6727" t="s" s="11">
        <v>46</v>
      </c>
      <c r="D6727" t="s" s="11">
        <v>78</v>
      </c>
      <c r="E6727" t="s" s="11">
        <v>253</v>
      </c>
      <c r="F6727" s="28">
        <v>45100</v>
      </c>
      <c r="G6727" t="s" s="11">
        <v>40</v>
      </c>
      <c r="H6727" s="43">
        <v>2.7</v>
      </c>
      <c r="I6727" t="s" s="43">
        <v>30</v>
      </c>
      <c r="J6727" t="s" s="11">
        <v>33734</v>
      </c>
      <c r="K6727" t="s" s="11">
        <v>33735</v>
      </c>
      <c r="L6727" s="17">
        <f>HYPERLINK("http://www.tankhapay.com", "www.tankhapay.com")</f>
      </c>
      <c r="M6727" s="17">
        <f>HYPERLINK("https://my.pitchbook.com?c=529870-33", "View Company Online")</f>
      </c>
    </row>
    <row r="6728">
      <c r="A6728" t="s" s="10">
        <v>33737</v>
      </c>
      <c r="B6728" t="s" s="10">
        <v>33738</v>
      </c>
      <c r="C6728" t="s" s="10">
        <v>27</v>
      </c>
      <c r="D6728" t="s" s="10">
        <v>28</v>
      </c>
      <c r="E6728" t="s" s="10">
        <v>33739</v>
      </c>
      <c r="F6728" s="27">
        <v>46182</v>
      </c>
      <c r="G6728" t="s" s="10">
        <v>40</v>
      </c>
      <c r="H6728" s="42">
        <v>4.65</v>
      </c>
      <c r="I6728" t="s" s="42">
        <v>30</v>
      </c>
      <c r="J6728" t="s" s="10">
        <v>33740</v>
      </c>
      <c r="K6728" t="s" s="10">
        <v>33741</v>
      </c>
      <c r="L6728" s="16">
        <f>HYPERLINK("http://www.tapelectric.app", "www.tapelectric.app")</f>
      </c>
      <c r="M6728" s="16">
        <f>HYPERLINK("https://my.pitchbook.com?c=510269-41", "View Company Online")</f>
      </c>
    </row>
    <row r="6729">
      <c r="A6729" t="s" s="11">
        <v>33743</v>
      </c>
      <c r="B6729" t="s" s="11">
        <v>33744</v>
      </c>
      <c r="C6729" t="s" s="11">
        <v>164</v>
      </c>
      <c r="D6729" t="s" s="11">
        <v>206</v>
      </c>
      <c r="E6729" t="s" s="11">
        <v>332</v>
      </c>
      <c r="F6729" s="28">
        <v>46056</v>
      </c>
      <c r="G6729" t="s" s="11">
        <v>146</v>
      </c>
      <c r="H6729" s="43">
        <v>27</v>
      </c>
      <c r="I6729" t="s" s="43">
        <v>30</v>
      </c>
      <c r="J6729" t="s" s="11">
        <v>33745</v>
      </c>
      <c r="K6729" t="s" s="11">
        <v>33746</v>
      </c>
      <c r="L6729" s="17">
        <f>HYPERLINK("http://www.tapi.la", "www.tapi.la")</f>
      </c>
      <c r="M6729" s="17">
        <f>HYPERLINK("https://my.pitchbook.com?c=504203-50", "View Company Online")</f>
      </c>
    </row>
    <row r="6730">
      <c r="A6730" t="s" s="10">
        <v>33748</v>
      </c>
      <c r="B6730" t="s" s="10">
        <v>33749</v>
      </c>
      <c r="C6730" t="s" s="10">
        <v>27</v>
      </c>
      <c r="D6730" t="s" s="10">
        <v>28</v>
      </c>
      <c r="E6730" t="s" s="10">
        <v>158</v>
      </c>
      <c r="F6730" s="27">
        <v>44228</v>
      </c>
      <c r="G6730" t="s" s="10">
        <v>40</v>
      </c>
      <c r="H6730" s="42">
        <v>6.5</v>
      </c>
      <c r="I6730" t="s" s="42">
        <v>30</v>
      </c>
      <c r="J6730" t="s" s="10">
        <v>33750</v>
      </c>
      <c r="K6730" t="s" s="10">
        <v>33751</v>
      </c>
      <c r="L6730" s="16">
        <f>HYPERLINK("http://www.tappgroup.com.au", "www.tappgroup.com.au")</f>
      </c>
      <c r="M6730" s="16">
        <f>HYPERLINK("https://my.pitchbook.com?c=152506-09", "View Company Online")</f>
      </c>
    </row>
    <row r="6731">
      <c r="A6731" t="s" s="11">
        <v>33753</v>
      </c>
      <c r="B6731" t="s" s="11">
        <v>33754</v>
      </c>
      <c r="C6731" t="s" s="11">
        <v>60</v>
      </c>
      <c r="D6731" t="s" s="11">
        <v>192</v>
      </c>
      <c r="E6731" t="s" s="11">
        <v>270</v>
      </c>
      <c r="F6731" s="28">
        <v>45224</v>
      </c>
      <c r="G6731" t="s" s="11">
        <v>4267</v>
      </c>
      <c r="H6731" s="43">
        <v>0.2</v>
      </c>
      <c r="I6731" t="s" s="43">
        <v>30</v>
      </c>
      <c r="J6731" t="s" s="11">
        <v>33755</v>
      </c>
      <c r="K6731" t="s" s="11">
        <v>30</v>
      </c>
      <c r="L6731" s="17">
        <f>HYPERLINK("http://www.tappalpha.com", "www.tappalpha.com")</f>
      </c>
      <c r="M6731" s="17">
        <f>HYPERLINK("https://my.pitchbook.com?c=539012-44", "View Company Online")</f>
      </c>
    </row>
    <row r="6732">
      <c r="A6732" t="s" s="10">
        <v>33757</v>
      </c>
      <c r="B6732" t="s" s="10">
        <v>33758</v>
      </c>
      <c r="C6732" t="s" s="10">
        <v>114</v>
      </c>
      <c r="D6732" t="s" s="10">
        <v>1386</v>
      </c>
      <c r="E6732" t="s" s="10">
        <v>2071</v>
      </c>
      <c r="F6732" s="27">
        <v>45895</v>
      </c>
      <c r="G6732" t="s" s="10">
        <v>40</v>
      </c>
      <c r="H6732" s="42">
        <v>1</v>
      </c>
      <c r="I6732" t="s" s="42">
        <v>30</v>
      </c>
      <c r="J6732" t="s" s="10">
        <v>33759</v>
      </c>
      <c r="K6732" t="s" s="10">
        <v>33760</v>
      </c>
      <c r="L6732" s="16">
        <f>HYPERLINK("http://tarisa.co.in", "tarisa.co.in")</f>
      </c>
      <c r="M6732" s="16">
        <f>HYPERLINK("https://my.pitchbook.com?c=682069-15", "View Company Online")</f>
      </c>
    </row>
    <row r="6733">
      <c r="A6733" t="s" s="11">
        <v>33762</v>
      </c>
      <c r="B6733" t="s" s="11">
        <v>33763</v>
      </c>
      <c r="C6733" t="s" s="11">
        <v>144</v>
      </c>
      <c r="D6733" t="s" s="11">
        <v>297</v>
      </c>
      <c r="E6733" t="s" s="11">
        <v>137</v>
      </c>
      <c r="F6733" s="28">
        <v>45845</v>
      </c>
      <c r="G6733" t="s" s="11">
        <v>146</v>
      </c>
      <c r="H6733" t="s" s="43">
        <v>30</v>
      </c>
      <c r="I6733" t="s" s="43">
        <v>30</v>
      </c>
      <c r="J6733" t="s" s="11">
        <v>33764</v>
      </c>
      <c r="K6733" t="s" s="11">
        <v>24732</v>
      </c>
      <c r="L6733" s="17">
        <f>HYPERLINK("http://tarmeez.co", "tarmeez.co")</f>
      </c>
      <c r="M6733" s="17">
        <f>HYPERLINK("https://my.pitchbook.com?c=894366-64", "View Company Online")</f>
      </c>
    </row>
    <row r="6734">
      <c r="A6734" t="s" s="10">
        <v>33766</v>
      </c>
      <c r="B6734" t="s" s="10">
        <v>33767</v>
      </c>
      <c r="C6734" t="s" s="10">
        <v>60</v>
      </c>
      <c r="D6734" t="s" s="10">
        <v>246</v>
      </c>
      <c r="E6734" t="s" s="10">
        <v>137</v>
      </c>
      <c r="F6734" s="27">
        <v>46136</v>
      </c>
      <c r="G6734" t="s" s="10">
        <v>2051</v>
      </c>
      <c r="H6734" t="s" s="42">
        <v>30</v>
      </c>
      <c r="I6734" t="s" s="42">
        <v>30</v>
      </c>
      <c r="J6734" t="s" s="10">
        <v>33768</v>
      </c>
      <c r="K6734" t="s" s="10">
        <v>30</v>
      </c>
      <c r="L6734" s="16">
        <f>HYPERLINK("http://www.taskeer.co", "www.taskeer.co")</f>
      </c>
      <c r="M6734" s="16">
        <f>HYPERLINK("https://my.pitchbook.com?c=518528-44", "View Company Online")</f>
      </c>
    </row>
    <row r="6735">
      <c r="A6735" t="s" s="11">
        <v>33770</v>
      </c>
      <c r="B6735" t="s" s="11">
        <v>33771</v>
      </c>
      <c r="C6735" t="s" s="11">
        <v>222</v>
      </c>
      <c r="D6735" t="s" s="11">
        <v>537</v>
      </c>
      <c r="E6735" t="s" s="11">
        <v>414</v>
      </c>
      <c r="F6735" s="28">
        <v>43164</v>
      </c>
      <c r="G6735" t="s" s="11">
        <v>4267</v>
      </c>
      <c r="H6735" s="43">
        <v>1.58</v>
      </c>
      <c r="I6735" t="s" s="43">
        <v>30</v>
      </c>
      <c r="J6735" t="s" s="11">
        <v>33772</v>
      </c>
      <c r="K6735" t="s" s="11">
        <v>33773</v>
      </c>
      <c r="L6735" s="17">
        <f>HYPERLINK("http://www.taurus.ai", "www.taurus.ai")</f>
      </c>
      <c r="M6735" s="17">
        <f>HYPERLINK("https://my.pitchbook.com?c=453429-19", "View Company Online")</f>
      </c>
    </row>
    <row r="6736">
      <c r="A6736" t="s" s="10">
        <v>33775</v>
      </c>
      <c r="B6736" t="s" s="10">
        <v>33776</v>
      </c>
      <c r="C6736" t="s" s="10">
        <v>46</v>
      </c>
      <c r="D6736" t="s" s="10">
        <v>397</v>
      </c>
      <c r="E6736" t="s" s="10">
        <v>414</v>
      </c>
      <c r="F6736" t="s" s="27">
        <v>30</v>
      </c>
      <c r="G6736" t="s" s="10">
        <v>48</v>
      </c>
      <c r="H6736" t="s" s="42">
        <v>30</v>
      </c>
      <c r="I6736" t="s" s="42">
        <v>30</v>
      </c>
      <c r="J6736" t="s" s="10">
        <v>33777</v>
      </c>
      <c r="K6736" t="s" s="10">
        <v>33778</v>
      </c>
      <c r="L6736" s="16">
        <f>HYPERLINK("http://www.seteuk.tax", "www.seteuk.tax")</f>
      </c>
      <c r="M6736" s="16">
        <f>HYPERLINK("https://my.pitchbook.com?c=527671-99", "View Company Online")</f>
      </c>
    </row>
    <row r="6737">
      <c r="A6737" t="s" s="11">
        <v>33780</v>
      </c>
      <c r="B6737" t="s" s="11">
        <v>33781</v>
      </c>
      <c r="C6737" t="s" s="11">
        <v>46</v>
      </c>
      <c r="D6737" t="s" s="11">
        <v>397</v>
      </c>
      <c r="E6737" t="s" s="11">
        <v>253</v>
      </c>
      <c r="F6737" s="28">
        <v>44613</v>
      </c>
      <c r="G6737" t="s" s="11">
        <v>146</v>
      </c>
      <c r="H6737" s="43">
        <v>10</v>
      </c>
      <c r="I6737" t="s" s="43">
        <v>30</v>
      </c>
      <c r="J6737" t="s" s="11">
        <v>33782</v>
      </c>
      <c r="K6737" t="s" s="11">
        <v>33783</v>
      </c>
      <c r="L6737" s="17">
        <f>HYPERLINK("http://www.huamengtech.com", "www.huamengtech.com")</f>
      </c>
      <c r="M6737" s="17">
        <f>HYPERLINK("https://my.pitchbook.com?c=492641-29", "View Company Online")</f>
      </c>
    </row>
    <row r="6738">
      <c r="A6738" t="s" s="10">
        <v>33785</v>
      </c>
      <c r="B6738" t="s" s="10">
        <v>33786</v>
      </c>
      <c r="C6738" t="s" s="10">
        <v>46</v>
      </c>
      <c r="D6738" t="s" s="10">
        <v>397</v>
      </c>
      <c r="E6738" t="s" s="10">
        <v>414</v>
      </c>
      <c r="F6738" s="27">
        <v>45685</v>
      </c>
      <c r="G6738" t="s" s="10">
        <v>4267</v>
      </c>
      <c r="H6738" s="42">
        <v>0.75</v>
      </c>
      <c r="I6738" t="s" s="42">
        <v>30</v>
      </c>
      <c r="J6738" t="s" s="10">
        <v>33787</v>
      </c>
      <c r="K6738" t="s" s="10">
        <v>33788</v>
      </c>
      <c r="L6738" s="16">
        <f>HYPERLINK("http://www.jointaxflow.ai", "www.jointaxflow.ai")</f>
      </c>
      <c r="M6738" s="16">
        <f>HYPERLINK("https://my.pitchbook.com?c=741603-25", "View Company Online")</f>
      </c>
    </row>
    <row r="6739">
      <c r="A6739" t="s" s="11">
        <v>33790</v>
      </c>
      <c r="B6739" t="s" s="11">
        <v>33791</v>
      </c>
      <c r="C6739" t="s" s="11">
        <v>46</v>
      </c>
      <c r="D6739" t="s" s="11">
        <v>397</v>
      </c>
      <c r="E6739" t="s" s="11">
        <v>9889</v>
      </c>
      <c r="F6739" s="28">
        <v>45931</v>
      </c>
      <c r="G6739" t="s" s="11">
        <v>146</v>
      </c>
      <c r="H6739" s="43">
        <v>2.5</v>
      </c>
      <c r="I6739" t="s" s="43">
        <v>30</v>
      </c>
      <c r="J6739" t="s" s="11">
        <v>33792</v>
      </c>
      <c r="K6739" t="s" s="11">
        <v>33793</v>
      </c>
      <c r="L6739" s="17">
        <f>HYPERLINK("http://taxray.ai", "taxray.ai")</f>
      </c>
      <c r="M6739" s="17">
        <f>HYPERLINK("https://my.pitchbook.com?c=819530-38", "View Company Online")</f>
      </c>
    </row>
    <row r="6740">
      <c r="A6740" t="s" s="10">
        <v>33795</v>
      </c>
      <c r="B6740" t="s" s="10">
        <v>33796</v>
      </c>
      <c r="C6740" t="s" s="10">
        <v>172</v>
      </c>
      <c r="D6740" t="s" s="10">
        <v>338</v>
      </c>
      <c r="E6740" t="s" s="10">
        <v>1964</v>
      </c>
      <c r="F6740" s="27">
        <v>45175</v>
      </c>
      <c r="G6740" t="s" s="10">
        <v>607</v>
      </c>
      <c r="H6740" t="s" s="42">
        <v>30</v>
      </c>
      <c r="I6740" t="s" s="42">
        <v>30</v>
      </c>
      <c r="J6740" t="s" s="10">
        <v>33797</v>
      </c>
      <c r="K6740" t="s" s="10">
        <v>33798</v>
      </c>
      <c r="L6740" s="16">
        <f>HYPERLINK("http://www.taxstatus.com", "www.taxstatus.com")</f>
      </c>
      <c r="M6740" s="16">
        <f>HYPERLINK("https://my.pitchbook.com?c=467627-59", "View Company Online")</f>
      </c>
    </row>
    <row r="6741">
      <c r="A6741" t="s" s="11">
        <v>33800</v>
      </c>
      <c r="B6741" t="s" s="11">
        <v>33801</v>
      </c>
      <c r="C6741" t="s" s="11">
        <v>60</v>
      </c>
      <c r="D6741" t="s" s="11">
        <v>192</v>
      </c>
      <c r="E6741" t="s" s="11">
        <v>29</v>
      </c>
      <c r="F6741" s="28">
        <v>45750</v>
      </c>
      <c r="G6741" t="s" s="11">
        <v>4267</v>
      </c>
      <c r="H6741" s="43">
        <v>2.82</v>
      </c>
      <c r="I6741" t="s" s="43">
        <v>30</v>
      </c>
      <c r="J6741" t="s" s="11">
        <v>33802</v>
      </c>
      <c r="K6741" t="s" s="11">
        <v>33803</v>
      </c>
      <c r="L6741" s="17">
        <f>HYPERLINK("http://www.taxzap.com", "www.taxzap.com")</f>
      </c>
      <c r="M6741" s="17">
        <f>HYPERLINK("https://my.pitchbook.com?c=701056-09", "View Company Online")</f>
      </c>
    </row>
    <row r="6742">
      <c r="A6742" t="s" s="10">
        <v>33805</v>
      </c>
      <c r="B6742" t="s" s="10">
        <v>33806</v>
      </c>
      <c r="C6742" t="s" s="10">
        <v>222</v>
      </c>
      <c r="D6742" t="s" s="10">
        <v>252</v>
      </c>
      <c r="E6742" t="s" s="10">
        <v>137</v>
      </c>
      <c r="F6742" s="27">
        <v>45658</v>
      </c>
      <c r="G6742" t="s" s="10">
        <v>146</v>
      </c>
      <c r="H6742" t="s" s="42">
        <v>30</v>
      </c>
      <c r="I6742" t="s" s="42">
        <v>30</v>
      </c>
      <c r="J6742" t="s" s="10">
        <v>33807</v>
      </c>
      <c r="K6742" t="s" s="10">
        <v>31938</v>
      </c>
      <c r="L6742" s="16">
        <f>HYPERLINK("http://www.taya.com.br", "www.taya.com.br")</f>
      </c>
      <c r="M6742" s="16">
        <f>HYPERLINK("https://my.pitchbook.com?c=741519-37", "View Company Online")</f>
      </c>
    </row>
    <row r="6743">
      <c r="A6743" t="s" s="11">
        <v>33809</v>
      </c>
      <c r="B6743" t="s" s="11">
        <v>33810</v>
      </c>
      <c r="C6743" t="s" s="11">
        <v>172</v>
      </c>
      <c r="D6743" t="s" s="11">
        <v>173</v>
      </c>
      <c r="E6743" t="s" s="11">
        <v>493</v>
      </c>
      <c r="F6743" s="28">
        <v>45763</v>
      </c>
      <c r="G6743" t="s" s="11">
        <v>607</v>
      </c>
      <c r="H6743" t="s" s="43">
        <v>30</v>
      </c>
      <c r="I6743" t="s" s="43">
        <v>30</v>
      </c>
      <c r="J6743" t="s" s="11">
        <v>33811</v>
      </c>
      <c r="K6743" t="s" s="11">
        <v>33812</v>
      </c>
      <c r="L6743" s="17">
        <f>HYPERLINK("http://tazi.ai", "tazi.ai")</f>
      </c>
      <c r="M6743" s="17">
        <f>HYPERLINK("https://my.pitchbook.com?c=231880-15", "View Company Online")</f>
      </c>
    </row>
    <row r="6744">
      <c r="A6744" t="s" s="10">
        <v>33814</v>
      </c>
      <c r="B6744" t="s" s="10">
        <v>33815</v>
      </c>
      <c r="C6744" t="s" s="10">
        <v>164</v>
      </c>
      <c r="D6744" t="s" s="10">
        <v>165</v>
      </c>
      <c r="E6744" t="s" s="10">
        <v>367</v>
      </c>
      <c r="F6744" s="27">
        <v>44888</v>
      </c>
      <c r="G6744" t="s" s="10">
        <v>40</v>
      </c>
      <c r="H6744" t="s" s="42">
        <v>30</v>
      </c>
      <c r="I6744" t="s" s="42">
        <v>30</v>
      </c>
      <c r="J6744" t="s" s="10">
        <v>33816</v>
      </c>
      <c r="K6744" t="s" s="10">
        <v>30</v>
      </c>
      <c r="L6744" s="16">
        <f>HYPERLINK("http://www.tbanic.com", "www.tbanic.com")</f>
      </c>
      <c r="M6744" s="16">
        <f>HYPERLINK("https://my.pitchbook.com?c=515150-65", "View Company Online")</f>
      </c>
    </row>
    <row r="6745">
      <c r="A6745" t="s" s="11">
        <v>33818</v>
      </c>
      <c r="B6745" t="s" s="11">
        <v>33819</v>
      </c>
      <c r="C6745" t="s" s="11">
        <v>27</v>
      </c>
      <c r="D6745" t="s" s="11">
        <v>70</v>
      </c>
      <c r="E6745" t="s" s="11">
        <v>1065</v>
      </c>
      <c r="F6745" s="28">
        <v>44282</v>
      </c>
      <c r="G6745" t="s" s="11">
        <v>40</v>
      </c>
      <c r="H6745" s="43">
        <v>76.9</v>
      </c>
      <c r="I6745" t="s" s="43">
        <v>30</v>
      </c>
      <c r="J6745" t="s" s="11">
        <v>33820</v>
      </c>
      <c r="K6745" t="s" s="11">
        <v>33821</v>
      </c>
      <c r="L6745" s="17">
        <f>HYPERLINK("http://www.tcpjw.com", "www.tcpjw.com")</f>
      </c>
      <c r="M6745" s="17">
        <f>HYPERLINK("https://my.pitchbook.com?c=433230-67", "View Company Online")</f>
      </c>
    </row>
    <row r="6746">
      <c r="A6746" t="s" s="10">
        <v>33823</v>
      </c>
      <c r="B6746" t="s" s="10">
        <v>33824</v>
      </c>
      <c r="C6746" t="s" s="10">
        <v>128</v>
      </c>
      <c r="D6746" t="s" s="10">
        <v>199</v>
      </c>
      <c r="E6746" t="s" s="10">
        <v>137</v>
      </c>
      <c r="F6746" t="s" s="27">
        <v>30</v>
      </c>
      <c r="G6746" t="s" s="10">
        <v>48</v>
      </c>
      <c r="H6746" t="s" s="42">
        <v>30</v>
      </c>
      <c r="I6746" t="s" s="42">
        <v>30</v>
      </c>
      <c r="J6746" t="s" s="10">
        <v>33825</v>
      </c>
      <c r="K6746" t="s" s="10">
        <v>33826</v>
      </c>
      <c r="L6746" s="16">
        <f>HYPERLINK("http://techreo.services", "techreo.services")</f>
      </c>
      <c r="M6746" s="16">
        <f>HYPERLINK("https://my.pitchbook.com?c=491557-51", "View Company Online")</f>
      </c>
    </row>
    <row r="6747">
      <c r="A6747" t="s" s="11">
        <v>33828</v>
      </c>
      <c r="B6747" t="s" s="11">
        <v>33829</v>
      </c>
      <c r="C6747" t="s" s="11">
        <v>164</v>
      </c>
      <c r="D6747" t="s" s="11">
        <v>206</v>
      </c>
      <c r="E6747" t="s" s="11">
        <v>253</v>
      </c>
      <c r="F6747" t="s" s="28">
        <v>30</v>
      </c>
      <c r="G6747" t="s" s="11">
        <v>48</v>
      </c>
      <c r="H6747" t="s" s="43">
        <v>30</v>
      </c>
      <c r="I6747" t="s" s="43">
        <v>30</v>
      </c>
      <c r="J6747" t="s" s="11">
        <v>33830</v>
      </c>
      <c r="K6747" t="s" s="11">
        <v>33831</v>
      </c>
      <c r="L6747" s="17">
        <f>HYPERLINK("http://www.teddydigital.io", "www.teddydigital.io")</f>
      </c>
      <c r="M6747" s="17">
        <f>HYPERLINK("https://my.pitchbook.com?c=520495-30", "View Company Online")</f>
      </c>
    </row>
    <row r="6748">
      <c r="A6748" t="s" s="10">
        <v>33833</v>
      </c>
      <c r="B6748" t="s" s="10">
        <v>33834</v>
      </c>
      <c r="C6748" t="s" s="10">
        <v>128</v>
      </c>
      <c r="D6748" t="s" s="10">
        <v>276</v>
      </c>
      <c r="E6748" t="s" s="10">
        <v>629</v>
      </c>
      <c r="F6748" s="27">
        <v>45944</v>
      </c>
      <c r="G6748" t="s" s="10">
        <v>40</v>
      </c>
      <c r="H6748" s="42">
        <v>25</v>
      </c>
      <c r="I6748" t="s" s="42">
        <v>30</v>
      </c>
      <c r="J6748" t="s" s="10">
        <v>33835</v>
      </c>
      <c r="K6748" t="s" s="10">
        <v>33836</v>
      </c>
      <c r="L6748" s="16">
        <f>HYPERLINK("http://www.telco.in", "www.telco.in")</f>
      </c>
      <c r="M6748" s="16">
        <f>HYPERLINK("https://my.pitchbook.com?c=186643-45", "View Company Online")</f>
      </c>
    </row>
    <row r="6749">
      <c r="A6749" t="s" s="11">
        <v>33838</v>
      </c>
      <c r="B6749" t="s" s="11">
        <v>33839</v>
      </c>
      <c r="C6749" t="s" s="11">
        <v>128</v>
      </c>
      <c r="D6749" t="s" s="11">
        <v>276</v>
      </c>
      <c r="E6749" t="s" s="11">
        <v>270</v>
      </c>
      <c r="F6749" s="28">
        <v>44846</v>
      </c>
      <c r="G6749" t="s" s="11">
        <v>4267</v>
      </c>
      <c r="H6749" s="43">
        <v>20</v>
      </c>
      <c r="I6749" t="s" s="43">
        <v>30</v>
      </c>
      <c r="J6749" t="s" s="11">
        <v>33840</v>
      </c>
      <c r="K6749" t="s" s="11">
        <v>33841</v>
      </c>
      <c r="L6749" s="17">
        <f>HYPERLINK("http://www.telda.app", "www.telda.app")</f>
      </c>
      <c r="M6749" s="17">
        <f>HYPERLINK("https://my.pitchbook.com?c=464114-35", "View Company Online")</f>
      </c>
    </row>
    <row r="6750">
      <c r="A6750" t="s" s="10">
        <v>33843</v>
      </c>
      <c r="B6750" t="s" s="10">
        <v>33844</v>
      </c>
      <c r="C6750" t="s" s="10">
        <v>46</v>
      </c>
      <c r="D6750" t="s" s="10">
        <v>397</v>
      </c>
      <c r="E6750" t="s" s="10">
        <v>373</v>
      </c>
      <c r="F6750" s="27">
        <v>46161</v>
      </c>
      <c r="G6750" t="s" s="10">
        <v>2662</v>
      </c>
      <c r="H6750" t="s" s="42">
        <v>30</v>
      </c>
      <c r="I6750" t="s" s="42">
        <v>30</v>
      </c>
      <c r="J6750" t="s" s="10">
        <v>33845</v>
      </c>
      <c r="K6750" t="s" s="10">
        <v>33846</v>
      </c>
      <c r="L6750" s="16">
        <f>HYPERLINK("http://www.tellen.ai", "www.tellen.ai")</f>
      </c>
      <c r="M6750" s="16">
        <f>HYPERLINK("https://my.pitchbook.com?c=593199-91", "View Company Online")</f>
      </c>
    </row>
    <row r="6751">
      <c r="A6751" t="s" s="11">
        <v>33848</v>
      </c>
      <c r="B6751" t="s" s="11">
        <v>33849</v>
      </c>
      <c r="C6751" t="s" s="11">
        <v>164</v>
      </c>
      <c r="D6751" t="s" s="11">
        <v>206</v>
      </c>
      <c r="E6751" t="s" s="11">
        <v>193</v>
      </c>
      <c r="F6751" s="28">
        <v>43857</v>
      </c>
      <c r="G6751" t="s" s="11">
        <v>4267</v>
      </c>
      <c r="H6751" s="43">
        <v>4</v>
      </c>
      <c r="I6751" t="s" s="43">
        <v>30</v>
      </c>
      <c r="J6751" t="s" s="11">
        <v>33850</v>
      </c>
      <c r="K6751" t="s" s="11">
        <v>33851</v>
      </c>
      <c r="L6751" s="17">
        <f>HYPERLINK("http://www.teller.io", "www.teller.io")</f>
      </c>
      <c r="M6751" s="17">
        <f>HYPERLINK("https://my.pitchbook.com?c=267839-56", "View Company Online")</f>
      </c>
    </row>
    <row r="6752">
      <c r="A6752" t="s" s="10">
        <v>33853</v>
      </c>
      <c r="B6752" t="s" s="10">
        <v>33854</v>
      </c>
      <c r="C6752" t="s" s="10">
        <v>222</v>
      </c>
      <c r="D6752" t="s" s="10">
        <v>537</v>
      </c>
      <c r="E6752" t="s" s="10">
        <v>137</v>
      </c>
      <c r="F6752" s="27">
        <v>45946</v>
      </c>
      <c r="G6752" t="s" s="10">
        <v>4267</v>
      </c>
      <c r="H6752" s="42">
        <v>5</v>
      </c>
      <c r="I6752" t="s" s="42">
        <v>30</v>
      </c>
      <c r="J6752" t="s" s="10">
        <v>33855</v>
      </c>
      <c r="K6752" t="s" s="10">
        <v>33856</v>
      </c>
      <c r="L6752" s="16">
        <f>HYPERLINK("http://templedigitalgroup.com", "templedigitalgroup.com")</f>
      </c>
      <c r="M6752" s="16">
        <f>HYPERLINK("https://my.pitchbook.com?c=960965-56", "View Company Online")</f>
      </c>
    </row>
    <row r="6753">
      <c r="A6753" t="s" s="11">
        <v>33858</v>
      </c>
      <c r="B6753" t="s" s="11">
        <v>33859</v>
      </c>
      <c r="C6753" t="s" s="11">
        <v>114</v>
      </c>
      <c r="D6753" t="s" s="11">
        <v>136</v>
      </c>
      <c r="E6753" t="s" s="11">
        <v>11890</v>
      </c>
      <c r="F6753" s="28">
        <v>45245</v>
      </c>
      <c r="G6753" t="s" s="11">
        <v>146</v>
      </c>
      <c r="H6753" s="43">
        <v>30</v>
      </c>
      <c r="I6753" t="s" s="43">
        <v>30</v>
      </c>
      <c r="J6753" t="s" s="11">
        <v>33860</v>
      </c>
      <c r="K6753" t="s" s="11">
        <v>33861</v>
      </c>
      <c r="L6753" s="17">
        <f>HYPERLINK("http://www.tenet.com", "www.tenet.com")</f>
      </c>
      <c r="M6753" s="17">
        <f>HYPERLINK("https://my.pitchbook.com?c=472117-69", "View Company Online")</f>
      </c>
    </row>
    <row r="6754">
      <c r="A6754" t="s" s="10">
        <v>33863</v>
      </c>
      <c r="B6754" t="s" s="10">
        <v>33864</v>
      </c>
      <c r="C6754" t="s" s="10">
        <v>27</v>
      </c>
      <c r="D6754" t="s" s="10">
        <v>122</v>
      </c>
      <c r="E6754" t="s" s="10">
        <v>2184</v>
      </c>
      <c r="F6754" s="27">
        <v>45951</v>
      </c>
      <c r="G6754" t="s" s="10">
        <v>31</v>
      </c>
      <c r="H6754" s="42">
        <v>60</v>
      </c>
      <c r="I6754" t="s" s="42">
        <v>30</v>
      </c>
      <c r="J6754" t="s" s="10">
        <v>33865</v>
      </c>
      <c r="K6754" t="s" s="10">
        <v>33866</v>
      </c>
      <c r="L6754" s="16">
        <f>HYPERLINK("http://www.tensec.io", "www.tensec.io")</f>
      </c>
      <c r="M6754" s="16">
        <f>HYPERLINK("https://my.pitchbook.com?c=533459-80", "View Company Online")</f>
      </c>
    </row>
    <row r="6755">
      <c r="A6755" t="s" s="11">
        <v>33868</v>
      </c>
      <c r="B6755" t="s" s="11">
        <v>33869</v>
      </c>
      <c r="C6755" t="s" s="11">
        <v>60</v>
      </c>
      <c r="D6755" t="s" s="11">
        <v>61</v>
      </c>
      <c r="E6755" t="s" s="11">
        <v>634</v>
      </c>
      <c r="F6755" s="28">
        <v>46112</v>
      </c>
      <c r="G6755" t="s" s="11">
        <v>146</v>
      </c>
      <c r="H6755" t="s" s="43">
        <v>30</v>
      </c>
      <c r="I6755" t="s" s="43">
        <v>30</v>
      </c>
      <c r="J6755" t="s" s="11">
        <v>33870</v>
      </c>
      <c r="K6755" t="s" s="11">
        <v>33871</v>
      </c>
      <c r="L6755" s="17">
        <f>HYPERLINK("http://www.terminal-x.ai", "www.terminal-x.ai")</f>
      </c>
      <c r="M6755" s="17">
        <f>HYPERLINK("https://my.pitchbook.com?c=515897-29", "View Company Online")</f>
      </c>
    </row>
    <row r="6756">
      <c r="A6756" t="s" s="10">
        <v>33873</v>
      </c>
      <c r="B6756" t="s" s="10">
        <v>33874</v>
      </c>
      <c r="C6756" t="s" s="10">
        <v>128</v>
      </c>
      <c r="D6756" t="s" s="10">
        <v>129</v>
      </c>
      <c r="E6756" t="s" s="10">
        <v>2782</v>
      </c>
      <c r="F6756" s="27">
        <v>46191</v>
      </c>
      <c r="G6756" t="s" s="10">
        <v>146</v>
      </c>
      <c r="H6756" t="s" s="42">
        <v>30</v>
      </c>
      <c r="I6756" t="s" s="42">
        <v>30</v>
      </c>
      <c r="J6756" t="s" s="10">
        <v>33875</v>
      </c>
      <c r="K6756" t="s" s="10">
        <v>33876</v>
      </c>
      <c r="L6756" s="16">
        <f>HYPERLINK("http://www.ternrewards.com", "www.ternrewards.com")</f>
      </c>
      <c r="M6756" s="16">
        <f>HYPERLINK("https://my.pitchbook.com?c=762470-02", "View Company Online")</f>
      </c>
    </row>
    <row r="6757">
      <c r="A6757" t="s" s="11">
        <v>33878</v>
      </c>
      <c r="B6757" t="s" s="11">
        <v>33879</v>
      </c>
      <c r="C6757" t="s" s="11">
        <v>114</v>
      </c>
      <c r="D6757" t="s" s="11">
        <v>136</v>
      </c>
      <c r="E6757" t="s" s="11">
        <v>137</v>
      </c>
      <c r="F6757" s="28">
        <v>45853</v>
      </c>
      <c r="G6757" t="s" s="11">
        <v>40</v>
      </c>
      <c r="H6757" s="43">
        <v>15</v>
      </c>
      <c r="I6757" t="s" s="43">
        <v>30</v>
      </c>
      <c r="J6757" t="s" s="11">
        <v>33880</v>
      </c>
      <c r="K6757" t="s" s="11">
        <v>33881</v>
      </c>
      <c r="L6757" s="17">
        <f>HYPERLINK("http://www.terramagna.com.br", "www.terramagna.com.br")</f>
      </c>
      <c r="M6757" s="17">
        <f>HYPERLINK("https://my.pitchbook.com?c=185217-67", "View Company Online")</f>
      </c>
    </row>
    <row r="6758">
      <c r="A6758" t="s" s="10">
        <v>33883</v>
      </c>
      <c r="B6758" t="s" s="10">
        <v>33884</v>
      </c>
      <c r="C6758" t="s" s="10">
        <v>164</v>
      </c>
      <c r="D6758" t="s" s="10">
        <v>206</v>
      </c>
      <c r="E6758" t="s" s="10">
        <v>253</v>
      </c>
      <c r="F6758" s="27">
        <v>43979</v>
      </c>
      <c r="G6758" t="s" s="10">
        <v>40</v>
      </c>
      <c r="H6758" s="42">
        <v>0.6</v>
      </c>
      <c r="I6758" t="s" s="42">
        <v>30</v>
      </c>
      <c r="J6758" t="s" s="10">
        <v>33885</v>
      </c>
      <c r="K6758" t="s" s="10">
        <v>33886</v>
      </c>
      <c r="L6758" s="16">
        <f>HYPERLINK("http://www.teslarsoftware.com", "www.teslarsoftware.com")</f>
      </c>
      <c r="M6758" s="16">
        <f>HYPERLINK("https://my.pitchbook.com?c=234042-94", "View Company Online")</f>
      </c>
    </row>
    <row r="6759">
      <c r="A6759" t="s" s="11">
        <v>33888</v>
      </c>
      <c r="B6759" t="s" s="11">
        <v>33889</v>
      </c>
      <c r="C6759" t="s" s="11">
        <v>46</v>
      </c>
      <c r="D6759" t="s" s="11">
        <v>47</v>
      </c>
      <c r="E6759" t="s" s="11">
        <v>253</v>
      </c>
      <c r="F6759" s="28">
        <v>45747</v>
      </c>
      <c r="G6759" t="s" s="11">
        <v>146</v>
      </c>
      <c r="H6759" s="43">
        <v>1.5</v>
      </c>
      <c r="I6759" t="s" s="43">
        <v>30</v>
      </c>
      <c r="J6759" t="s" s="11">
        <v>33890</v>
      </c>
      <c r="K6759" t="s" s="11">
        <v>33891</v>
      </c>
      <c r="L6759" s="17">
        <f>HYPERLINK("http://www.tesote.com", "www.tesote.com")</f>
      </c>
      <c r="M6759" s="17">
        <f>HYPERLINK("https://my.pitchbook.com?c=720008-92", "View Company Online")</f>
      </c>
    </row>
    <row r="6760">
      <c r="A6760" t="s" s="10">
        <v>33893</v>
      </c>
      <c r="B6760" t="s" s="10">
        <v>33894</v>
      </c>
      <c r="C6760" t="s" s="10">
        <v>164</v>
      </c>
      <c r="D6760" t="s" s="10">
        <v>165</v>
      </c>
      <c r="E6760" t="s" s="10">
        <v>7678</v>
      </c>
      <c r="F6760" s="27">
        <v>45957</v>
      </c>
      <c r="G6760" t="s" s="10">
        <v>40</v>
      </c>
      <c r="H6760" s="42">
        <v>6.16</v>
      </c>
      <c r="I6760" t="s" s="42">
        <v>30</v>
      </c>
      <c r="J6760" t="s" s="10">
        <v>33895</v>
      </c>
      <c r="K6760" t="s" s="10">
        <v>33896</v>
      </c>
      <c r="L6760" s="16">
        <f>HYPERLINK("http://www.tessaract.io", "www.tessaract.io")</f>
      </c>
      <c r="M6760" s="16">
        <f>HYPERLINK("https://my.pitchbook.com?c=471904-12", "View Company Online")</f>
      </c>
    </row>
    <row r="6761">
      <c r="A6761" t="s" s="11">
        <v>33898</v>
      </c>
      <c r="B6761" t="s" s="11">
        <v>33899</v>
      </c>
      <c r="C6761" t="s" s="11">
        <v>46</v>
      </c>
      <c r="D6761" t="s" s="11">
        <v>47</v>
      </c>
      <c r="E6761" t="s" s="11">
        <v>6640</v>
      </c>
      <c r="F6761" s="28">
        <v>45888</v>
      </c>
      <c r="G6761" t="s" s="11">
        <v>146</v>
      </c>
      <c r="H6761" t="s" s="43">
        <v>30</v>
      </c>
      <c r="I6761" t="s" s="43">
        <v>30</v>
      </c>
      <c r="J6761" t="s" s="11">
        <v>33900</v>
      </c>
      <c r="K6761" t="s" s="11">
        <v>33901</v>
      </c>
      <c r="L6761" s="17">
        <f>HYPERLINK("http://www.testudo.co", "www.testudo.co")</f>
      </c>
      <c r="M6761" s="17">
        <f>HYPERLINK("https://my.pitchbook.com?c=615350-17", "View Company Online")</f>
      </c>
    </row>
    <row r="6762">
      <c r="A6762" t="s" s="10">
        <v>33903</v>
      </c>
      <c r="B6762" t="s" s="10">
        <v>33904</v>
      </c>
      <c r="C6762" t="s" s="10">
        <v>60</v>
      </c>
      <c r="D6762" t="s" s="10">
        <v>192</v>
      </c>
      <c r="E6762" t="s" s="10">
        <v>137</v>
      </c>
      <c r="F6762" s="27">
        <v>44958</v>
      </c>
      <c r="G6762" t="s" s="10">
        <v>146</v>
      </c>
      <c r="H6762" t="s" s="42">
        <v>30</v>
      </c>
      <c r="I6762" t="s" s="42">
        <v>30</v>
      </c>
      <c r="J6762" t="s" s="10">
        <v>33905</v>
      </c>
      <c r="K6762" t="s" s="10">
        <v>33906</v>
      </c>
      <c r="L6762" s="16">
        <f>HYPERLINK("http://www.tevaindices.com.br", "www.tevaindices.com.br")</f>
      </c>
      <c r="M6762" s="16">
        <f>HYPERLINK("https://my.pitchbook.com?c=512503-66", "View Company Online")</f>
      </c>
    </row>
    <row r="6763">
      <c r="A6763" t="s" s="11">
        <v>33908</v>
      </c>
      <c r="B6763" t="s" s="11">
        <v>33909</v>
      </c>
      <c r="C6763" t="s" s="11">
        <v>114</v>
      </c>
      <c r="D6763" t="s" s="11">
        <v>852</v>
      </c>
      <c r="E6763" t="s" s="11">
        <v>137</v>
      </c>
      <c r="F6763" s="28">
        <v>45943</v>
      </c>
      <c r="G6763" t="s" s="11">
        <v>146</v>
      </c>
      <c r="H6763" s="43">
        <v>58.61</v>
      </c>
      <c r="I6763" t="s" s="43">
        <v>30</v>
      </c>
      <c r="J6763" t="s" s="11">
        <v>33910</v>
      </c>
      <c r="K6763" t="s" s="11">
        <v>33911</v>
      </c>
      <c r="L6763" s="17">
        <f>HYPERLINK("http://www.teybridgecapital.com", "www.teybridgecapital.com")</f>
      </c>
      <c r="M6763" s="17">
        <f>HYPERLINK("https://my.pitchbook.com?c=1153162-81", "View Company Online")</f>
      </c>
    </row>
    <row r="6764">
      <c r="A6764" t="s" s="10">
        <v>33913</v>
      </c>
      <c r="B6764" t="s" s="10">
        <v>33914</v>
      </c>
      <c r="C6764" t="s" s="10">
        <v>27</v>
      </c>
      <c r="D6764" t="s" s="10">
        <v>70</v>
      </c>
      <c r="E6764" t="s" s="10">
        <v>859</v>
      </c>
      <c r="F6764" s="27">
        <v>46112</v>
      </c>
      <c r="G6764" t="s" s="10">
        <v>4267</v>
      </c>
      <c r="H6764" s="42">
        <v>10</v>
      </c>
      <c r="I6764" t="s" s="42">
        <v>30</v>
      </c>
      <c r="J6764" t="s" s="10">
        <v>33915</v>
      </c>
      <c r="K6764" t="s" s="10">
        <v>33916</v>
      </c>
      <c r="L6764" s="16">
        <f>HYPERLINK("http://www.bettermoney.com", "www.bettermoney.com")</f>
      </c>
      <c r="M6764" s="16">
        <f>HYPERLINK("https://my.pitchbook.com?c=1366671-16", "View Company Online")</f>
      </c>
    </row>
    <row r="6765">
      <c r="A6765" t="s" s="11">
        <v>33918</v>
      </c>
      <c r="B6765" t="s" s="11">
        <v>33919</v>
      </c>
      <c r="C6765" t="s" s="11">
        <v>128</v>
      </c>
      <c r="D6765" t="s" s="11">
        <v>276</v>
      </c>
      <c r="E6765" t="s" s="11">
        <v>137</v>
      </c>
      <c r="F6765" s="28">
        <v>44315</v>
      </c>
      <c r="G6765" t="s" s="11">
        <v>5274</v>
      </c>
      <c r="H6765" s="43">
        <v>20</v>
      </c>
      <c r="I6765" t="s" s="43">
        <v>30</v>
      </c>
      <c r="J6765" t="s" s="11">
        <v>33920</v>
      </c>
      <c r="K6765" t="s" s="11">
        <v>33921</v>
      </c>
      <c r="L6765" s="17">
        <f>HYPERLINK("http://thecardcompany.in", "thecardcompany.in")</f>
      </c>
      <c r="M6765" s="17">
        <f>HYPERLINK("https://my.pitchbook.com?c=465626-62", "View Company Online")</f>
      </c>
    </row>
    <row r="6766">
      <c r="A6766" t="s" s="10">
        <v>33923</v>
      </c>
      <c r="B6766" t="s" s="10">
        <v>33924</v>
      </c>
      <c r="C6766" t="s" s="10">
        <v>60</v>
      </c>
      <c r="D6766" t="s" s="10">
        <v>727</v>
      </c>
      <c r="E6766" t="s" s="10">
        <v>137</v>
      </c>
      <c r="F6766" s="27">
        <v>44067</v>
      </c>
      <c r="G6766" t="s" s="10">
        <v>146</v>
      </c>
      <c r="H6766" s="42">
        <v>28.75</v>
      </c>
      <c r="I6766" t="s" s="42">
        <v>30</v>
      </c>
      <c r="J6766" t="s" s="10">
        <v>33925</v>
      </c>
      <c r="K6766" t="s" s="10">
        <v>30</v>
      </c>
      <c r="L6766" s="16">
        <f>HYPERLINK("http://forestroad.com", "forestroad.com")</f>
      </c>
      <c r="M6766" s="16">
        <f>HYPERLINK("https://my.pitchbook.com?c=438454-81", "View Company Online")</f>
      </c>
    </row>
    <row r="6767">
      <c r="A6767" t="s" s="11">
        <v>33927</v>
      </c>
      <c r="B6767" t="s" s="11">
        <v>33928</v>
      </c>
      <c r="C6767" t="s" s="11">
        <v>114</v>
      </c>
      <c r="D6767" t="s" s="11">
        <v>115</v>
      </c>
      <c r="E6767" t="s" s="11">
        <v>137</v>
      </c>
      <c r="F6767" s="28">
        <v>45987</v>
      </c>
      <c r="G6767" t="s" s="11">
        <v>146</v>
      </c>
      <c r="H6767" t="s" s="43">
        <v>30</v>
      </c>
      <c r="I6767" t="s" s="43">
        <v>30</v>
      </c>
      <c r="J6767" t="s" s="11">
        <v>33929</v>
      </c>
      <c r="K6767" t="s" s="11">
        <v>33930</v>
      </c>
      <c r="L6767" s="17">
        <f>HYPERLINK("http://www.theheqpartners.com", "www.theheqpartners.com")</f>
      </c>
      <c r="M6767" s="17">
        <f>HYPERLINK("https://my.pitchbook.com?c=624395-44", "View Company Online")</f>
      </c>
    </row>
    <row r="6768">
      <c r="A6768" t="s" s="10">
        <v>33932</v>
      </c>
      <c r="B6768" t="s" s="10">
        <v>33933</v>
      </c>
      <c r="C6768" t="s" s="10">
        <v>114</v>
      </c>
      <c r="D6768" t="s" s="10">
        <v>852</v>
      </c>
      <c r="E6768" t="s" s="10">
        <v>1093</v>
      </c>
      <c r="F6768" s="27">
        <v>45789</v>
      </c>
      <c r="G6768" t="s" s="10">
        <v>40</v>
      </c>
      <c r="H6768" s="42">
        <v>30.96</v>
      </c>
      <c r="I6768" t="s" s="42">
        <v>30</v>
      </c>
      <c r="J6768" t="s" s="10">
        <v>33934</v>
      </c>
      <c r="K6768" t="s" s="10">
        <v>30</v>
      </c>
      <c r="L6768" s="16">
        <f>HYPERLINK("http://www.premins.com", "www.premins.com")</f>
      </c>
      <c r="M6768" s="16">
        <f>HYPERLINK("https://my.pitchbook.com?c=345879-64", "View Company Online")</f>
      </c>
    </row>
    <row r="6769">
      <c r="A6769" t="s" s="11">
        <v>33936</v>
      </c>
      <c r="B6769" t="s" s="11">
        <v>33937</v>
      </c>
      <c r="C6769" t="s" s="11">
        <v>164</v>
      </c>
      <c r="D6769" t="s" s="11">
        <v>165</v>
      </c>
      <c r="E6769" t="s" s="11">
        <v>1207</v>
      </c>
      <c r="F6769" s="28">
        <v>45292</v>
      </c>
      <c r="G6769" t="s" s="11">
        <v>4267</v>
      </c>
      <c r="H6769" s="43">
        <v>0.85</v>
      </c>
      <c r="I6769" t="s" s="43">
        <v>30</v>
      </c>
      <c r="J6769" t="s" s="11">
        <v>33938</v>
      </c>
      <c r="K6769" t="s" s="11">
        <v>33939</v>
      </c>
      <c r="L6769" s="17">
        <f>HYPERLINK("http://theinvestornet.com", "theinvestornet.com")</f>
      </c>
      <c r="M6769" s="17">
        <f>HYPERLINK("https://my.pitchbook.com?c=231564-88", "View Company Online")</f>
      </c>
    </row>
    <row r="6770">
      <c r="A6770" t="s" s="10">
        <v>33941</v>
      </c>
      <c r="B6770" t="s" s="10">
        <v>33942</v>
      </c>
      <c r="C6770" t="s" s="10">
        <v>172</v>
      </c>
      <c r="D6770" t="s" s="10">
        <v>173</v>
      </c>
      <c r="E6770" t="s" s="10">
        <v>1713</v>
      </c>
      <c r="F6770" s="27">
        <v>45566</v>
      </c>
      <c r="G6770" t="s" s="10">
        <v>4267</v>
      </c>
      <c r="H6770" s="42">
        <v>4.93</v>
      </c>
      <c r="I6770" t="s" s="42">
        <v>30</v>
      </c>
      <c r="J6770" t="s" s="10">
        <v>33943</v>
      </c>
      <c r="K6770" t="s" s="10">
        <v>30</v>
      </c>
      <c r="L6770" s="16">
        <f>HYPERLINK("http://www.thero6.com", "www.thero6.com")</f>
      </c>
      <c r="M6770" s="16">
        <f>HYPERLINK("https://my.pitchbook.com?c=693407-17", "View Company Online")</f>
      </c>
    </row>
    <row r="6771">
      <c r="A6771" t="s" s="11">
        <v>33945</v>
      </c>
      <c r="B6771" t="s" s="11">
        <v>33946</v>
      </c>
      <c r="C6771" t="s" s="11">
        <v>222</v>
      </c>
      <c r="D6771" t="s" s="11">
        <v>223</v>
      </c>
      <c r="E6771" t="s" s="11">
        <v>414</v>
      </c>
      <c r="F6771" s="28">
        <v>45137</v>
      </c>
      <c r="G6771" t="s" s="11">
        <v>4267</v>
      </c>
      <c r="H6771" s="43">
        <v>0.33</v>
      </c>
      <c r="I6771" t="s" s="43">
        <v>30</v>
      </c>
      <c r="J6771" t="s" s="11">
        <v>33947</v>
      </c>
      <c r="K6771" t="s" s="11">
        <v>33948</v>
      </c>
      <c r="L6771" s="17">
        <f>HYPERLINK("http://www.theseus-ai.com", "www.theseus-ai.com")</f>
      </c>
      <c r="M6771" s="17">
        <f>HYPERLINK("https://my.pitchbook.com?c=528379-84", "View Company Online")</f>
      </c>
    </row>
    <row r="6772">
      <c r="A6772" t="s" s="10">
        <v>33950</v>
      </c>
      <c r="B6772" t="s" s="10">
        <v>33951</v>
      </c>
      <c r="C6772" t="s" s="10">
        <v>222</v>
      </c>
      <c r="D6772" t="s" s="10">
        <v>223</v>
      </c>
      <c r="E6772" t="s" s="10">
        <v>6920</v>
      </c>
      <c r="F6772" s="27">
        <v>45308</v>
      </c>
      <c r="G6772" t="s" s="10">
        <v>4267</v>
      </c>
      <c r="H6772" s="42">
        <v>1</v>
      </c>
      <c r="I6772" t="s" s="42">
        <v>30</v>
      </c>
      <c r="J6772" t="s" s="10">
        <v>33952</v>
      </c>
      <c r="K6772" t="s" s="10">
        <v>30</v>
      </c>
      <c r="L6772" s="16">
        <f>HYPERLINK("http://www.thetaclv.com", "www.thetaclv.com")</f>
      </c>
      <c r="M6772" s="16">
        <f>HYPERLINK("https://my.pitchbook.com?c=229621-87", "View Company Online")</f>
      </c>
    </row>
    <row r="6773">
      <c r="A6773" t="s" s="11">
        <v>33954</v>
      </c>
      <c r="B6773" t="s" s="11">
        <v>33955</v>
      </c>
      <c r="C6773" t="s" s="11">
        <v>222</v>
      </c>
      <c r="D6773" t="s" s="11">
        <v>223</v>
      </c>
      <c r="E6773" t="s" s="11">
        <v>373</v>
      </c>
      <c r="F6773" s="28">
        <v>45292</v>
      </c>
      <c r="G6773" t="s" s="11">
        <v>146</v>
      </c>
      <c r="H6773" t="s" s="43">
        <v>30</v>
      </c>
      <c r="I6773" t="s" s="43">
        <v>30</v>
      </c>
      <c r="J6773" t="s" s="11">
        <v>33956</v>
      </c>
      <c r="K6773" t="s" s="11">
        <v>33957</v>
      </c>
      <c r="L6773" s="17">
        <f>HYPERLINK("http://www.thinkchain.ai", "www.thinkchain.ai")</f>
      </c>
      <c r="M6773" s="17">
        <f>HYPERLINK("https://my.pitchbook.com?c=536045-32", "View Company Online")</f>
      </c>
    </row>
    <row r="6774">
      <c r="A6774" t="s" s="10">
        <v>33959</v>
      </c>
      <c r="B6774" t="s" s="10">
        <v>33960</v>
      </c>
      <c r="C6774" t="s" s="10">
        <v>164</v>
      </c>
      <c r="D6774" t="s" s="10">
        <v>206</v>
      </c>
      <c r="E6774" t="s" s="10">
        <v>137</v>
      </c>
      <c r="F6774" s="27">
        <v>45380</v>
      </c>
      <c r="G6774" t="s" s="10">
        <v>40</v>
      </c>
      <c r="H6774" t="s" s="42">
        <v>30</v>
      </c>
      <c r="I6774" t="s" s="42">
        <v>30</v>
      </c>
      <c r="J6774" t="s" s="10">
        <v>33961</v>
      </c>
      <c r="K6774" t="s" s="10">
        <v>33962</v>
      </c>
      <c r="L6774" s="16">
        <f>HYPERLINK("http://www.thinkive.com", "www.thinkive.com")</f>
      </c>
      <c r="M6774" s="16">
        <f>HYPERLINK("https://my.pitchbook.com?c=266439-79", "View Company Online")</f>
      </c>
    </row>
    <row r="6775">
      <c r="A6775" t="s" s="11">
        <v>33964</v>
      </c>
      <c r="B6775" t="s" s="11">
        <v>33965</v>
      </c>
      <c r="C6775" t="s" s="11">
        <v>222</v>
      </c>
      <c r="D6775" t="s" s="11">
        <v>537</v>
      </c>
      <c r="E6775" t="s" s="11">
        <v>623</v>
      </c>
      <c r="F6775" s="28">
        <v>45809</v>
      </c>
      <c r="G6775" t="s" s="11">
        <v>494</v>
      </c>
      <c r="H6775" t="s" s="43">
        <v>30</v>
      </c>
      <c r="I6775" t="s" s="43">
        <v>30</v>
      </c>
      <c r="J6775" t="s" s="11">
        <v>33966</v>
      </c>
      <c r="K6775" t="s" s="11">
        <v>33967</v>
      </c>
      <c r="L6775" s="17">
        <f>HYPERLINK("http://www.thinkmarkets.com", "www.thinkmarkets.com")</f>
      </c>
      <c r="M6775" s="17">
        <f>HYPERLINK("https://my.pitchbook.com?c=181365-49", "View Company Online")</f>
      </c>
    </row>
    <row r="6776">
      <c r="A6776" t="s" s="10">
        <v>33969</v>
      </c>
      <c r="B6776" t="s" s="10">
        <v>33970</v>
      </c>
      <c r="C6776" t="s" s="10">
        <v>46</v>
      </c>
      <c r="D6776" t="s" s="10">
        <v>915</v>
      </c>
      <c r="E6776" t="s" s="10">
        <v>137</v>
      </c>
      <c r="F6776" t="s" s="27">
        <v>30</v>
      </c>
      <c r="G6776" t="s" s="10">
        <v>607</v>
      </c>
      <c r="H6776" t="s" s="42">
        <v>30</v>
      </c>
      <c r="I6776" t="s" s="42">
        <v>30</v>
      </c>
      <c r="J6776" t="s" s="10">
        <v>33971</v>
      </c>
      <c r="K6776" t="s" s="10">
        <v>33972</v>
      </c>
      <c r="L6776" s="16">
        <f>HYPERLINK("http://www.thinkout.io", "www.thinkout.io")</f>
      </c>
      <c r="M6776" s="16">
        <f>HYPERLINK("https://my.pitchbook.com?c=471876-40", "View Company Online")</f>
      </c>
    </row>
    <row r="6777">
      <c r="A6777" t="s" s="11">
        <v>33974</v>
      </c>
      <c r="B6777" t="s" s="11">
        <v>33975</v>
      </c>
      <c r="C6777" t="s" s="11">
        <v>60</v>
      </c>
      <c r="D6777" t="s" s="11">
        <v>192</v>
      </c>
      <c r="E6777" t="s" s="11">
        <v>414</v>
      </c>
      <c r="F6777" s="28">
        <v>45958</v>
      </c>
      <c r="G6777" t="s" s="11">
        <v>40</v>
      </c>
      <c r="H6777" t="s" s="43">
        <v>30</v>
      </c>
      <c r="I6777" t="s" s="43">
        <v>30</v>
      </c>
      <c r="J6777" t="s" s="11">
        <v>33976</v>
      </c>
      <c r="K6777" t="s" s="11">
        <v>33977</v>
      </c>
      <c r="L6777" s="17">
        <f>HYPERLINK("http://www.thinkpool.com", "www.thinkpool.com")</f>
      </c>
      <c r="M6777" s="17">
        <f>HYPERLINK("https://my.pitchbook.com?c=537871-51", "View Company Online")</f>
      </c>
    </row>
    <row r="6778">
      <c r="A6778" t="s" s="10">
        <v>33979</v>
      </c>
      <c r="B6778" t="s" s="10">
        <v>33980</v>
      </c>
      <c r="C6778" t="s" s="10">
        <v>60</v>
      </c>
      <c r="D6778" t="s" s="10">
        <v>192</v>
      </c>
      <c r="E6778" t="s" s="10">
        <v>137</v>
      </c>
      <c r="F6778" s="27">
        <v>46013</v>
      </c>
      <c r="G6778" t="s" s="10">
        <v>40</v>
      </c>
      <c r="H6778" t="s" s="42">
        <v>30</v>
      </c>
      <c r="I6778" t="s" s="42">
        <v>30</v>
      </c>
      <c r="J6778" t="s" s="10">
        <v>33981</v>
      </c>
      <c r="K6778" t="s" s="10">
        <v>33982</v>
      </c>
      <c r="L6778" s="16">
        <f>HYPERLINK("http://www.thisispenny.com", "www.thisispenny.com")</f>
      </c>
      <c r="M6778" s="16">
        <f>HYPERLINK("https://my.pitchbook.com?c=527322-70", "View Company Online")</f>
      </c>
    </row>
    <row r="6779">
      <c r="A6779" t="s" s="11">
        <v>33984</v>
      </c>
      <c r="B6779" t="s" s="11">
        <v>33985</v>
      </c>
      <c r="C6779" t="s" s="11">
        <v>60</v>
      </c>
      <c r="D6779" t="s" s="11">
        <v>61</v>
      </c>
      <c r="E6779" t="s" s="11">
        <v>137</v>
      </c>
      <c r="F6779" s="28">
        <v>45720</v>
      </c>
      <c r="G6779" t="s" s="11">
        <v>40</v>
      </c>
      <c r="H6779" s="43">
        <v>15.7</v>
      </c>
      <c r="I6779" t="s" s="43">
        <v>30</v>
      </c>
      <c r="J6779" t="s" s="11">
        <v>33986</v>
      </c>
      <c r="K6779" t="s" s="11">
        <v>33987</v>
      </c>
      <c r="L6779" s="17">
        <f>HYPERLINK("http://www.thndr.app", "www.thndr.app")</f>
      </c>
      <c r="M6779" s="17">
        <f>HYPERLINK("https://my.pitchbook.com?c=436302-37", "View Company Online")</f>
      </c>
    </row>
    <row r="6780">
      <c r="A6780" t="s" s="10">
        <v>33989</v>
      </c>
      <c r="B6780" t="s" s="10">
        <v>33990</v>
      </c>
      <c r="C6780" t="s" s="10">
        <v>172</v>
      </c>
      <c r="D6780" t="s" s="10">
        <v>173</v>
      </c>
      <c r="E6780" t="s" s="10">
        <v>33991</v>
      </c>
      <c r="F6780" s="27">
        <v>45936</v>
      </c>
      <c r="G6780" t="s" s="10">
        <v>40</v>
      </c>
      <c r="H6780" t="s" s="42">
        <v>30</v>
      </c>
      <c r="I6780" t="s" s="42">
        <v>30</v>
      </c>
      <c r="J6780" t="s" s="10">
        <v>33992</v>
      </c>
      <c r="K6780" t="s" s="10">
        <v>33993</v>
      </c>
      <c r="L6780" s="16">
        <f>HYPERLINK("http://www.threatfabric.com", "www.threatfabric.com")</f>
      </c>
      <c r="M6780" s="16">
        <f>HYPERLINK("https://my.pitchbook.com?c=496667-80", "View Company Online")</f>
      </c>
    </row>
    <row r="6781">
      <c r="A6781" t="s" s="11">
        <v>33995</v>
      </c>
      <c r="B6781" t="s" s="11">
        <v>33996</v>
      </c>
      <c r="C6781" t="s" s="11">
        <v>27</v>
      </c>
      <c r="D6781" t="s" s="11">
        <v>28</v>
      </c>
      <c r="E6781" t="s" s="11">
        <v>270</v>
      </c>
      <c r="F6781" s="28">
        <v>44831</v>
      </c>
      <c r="G6781" t="s" s="11">
        <v>607</v>
      </c>
      <c r="H6781" t="s" s="43">
        <v>30</v>
      </c>
      <c r="I6781" t="s" s="43">
        <v>30</v>
      </c>
      <c r="J6781" t="s" s="11">
        <v>33997</v>
      </c>
      <c r="K6781" t="s" s="11">
        <v>33998</v>
      </c>
      <c r="L6781" s="17">
        <f>HYPERLINK("http://www.throo.com", "www.throo.com")</f>
      </c>
      <c r="M6781" s="17">
        <f>HYPERLINK("https://my.pitchbook.com?c=513339-13", "View Company Online")</f>
      </c>
    </row>
    <row r="6782">
      <c r="A6782" t="s" s="10">
        <v>34000</v>
      </c>
      <c r="B6782" t="s" s="10">
        <v>34001</v>
      </c>
      <c r="C6782" t="s" s="10">
        <v>27</v>
      </c>
      <c r="D6782" t="s" s="10">
        <v>28</v>
      </c>
      <c r="E6782" t="s" s="10">
        <v>916</v>
      </c>
      <c r="F6782" s="27">
        <v>43950</v>
      </c>
      <c r="G6782" t="s" s="10">
        <v>5311</v>
      </c>
      <c r="H6782" t="s" s="42">
        <v>30</v>
      </c>
      <c r="I6782" t="s" s="42">
        <v>30</v>
      </c>
      <c r="J6782" t="s" s="10">
        <v>34002</v>
      </c>
      <c r="K6782" t="s" s="10">
        <v>34003</v>
      </c>
      <c r="L6782" s="16">
        <f>HYPERLINK("http://thru.ai", "thru.ai")</f>
      </c>
      <c r="M6782" s="16">
        <f>HYPERLINK("https://my.pitchbook.com?c=300236-59", "View Company Online")</f>
      </c>
    </row>
    <row r="6783">
      <c r="A6783" t="s" s="11">
        <v>34005</v>
      </c>
      <c r="B6783" t="s" s="11">
        <v>34006</v>
      </c>
      <c r="C6783" t="s" s="11">
        <v>222</v>
      </c>
      <c r="D6783" t="s" s="11">
        <v>223</v>
      </c>
      <c r="E6783" t="s" s="11">
        <v>137</v>
      </c>
      <c r="F6783" s="28">
        <v>44517</v>
      </c>
      <c r="G6783" t="s" s="11">
        <v>4267</v>
      </c>
      <c r="H6783" s="43">
        <v>5</v>
      </c>
      <c r="I6783" t="s" s="43">
        <v>30</v>
      </c>
      <c r="J6783" t="s" s="11">
        <v>34007</v>
      </c>
      <c r="K6783" t="s" s="11">
        <v>2973</v>
      </c>
      <c r="L6783" s="17">
        <f>HYPERLINK("http://www.tickertape.in", "www.tickertape.in")</f>
      </c>
      <c r="M6783" s="17">
        <f>HYPERLINK("https://my.pitchbook.com?c=484074-10", "View Company Online")</f>
      </c>
    </row>
    <row r="6784">
      <c r="A6784" t="s" s="10">
        <v>34009</v>
      </c>
      <c r="B6784" t="s" s="10">
        <v>34010</v>
      </c>
      <c r="C6784" t="s" s="10">
        <v>114</v>
      </c>
      <c r="D6784" t="s" s="10">
        <v>852</v>
      </c>
      <c r="E6784" t="s" s="10">
        <v>270</v>
      </c>
      <c r="F6784" s="27">
        <v>44804</v>
      </c>
      <c r="G6784" t="s" s="10">
        <v>40</v>
      </c>
      <c r="H6784" s="42">
        <v>12</v>
      </c>
      <c r="I6784" t="s" s="42">
        <v>30</v>
      </c>
      <c r="J6784" t="s" s="10">
        <v>34011</v>
      </c>
      <c r="K6784" t="s" s="10">
        <v>34012</v>
      </c>
      <c r="L6784" s="16">
        <f>HYPERLINK("http://www.tiendapago.com", "www.tiendapago.com")</f>
      </c>
      <c r="M6784" s="16">
        <f>HYPERLINK("https://my.pitchbook.com?c=150686-29", "View Company Online")</f>
      </c>
    </row>
    <row r="6785">
      <c r="A6785" t="s" s="11">
        <v>34014</v>
      </c>
      <c r="B6785" t="s" s="11">
        <v>34015</v>
      </c>
      <c r="C6785" t="s" s="11">
        <v>164</v>
      </c>
      <c r="D6785" t="s" s="11">
        <v>206</v>
      </c>
      <c r="E6785" t="s" s="11">
        <v>1859</v>
      </c>
      <c r="F6785" s="28">
        <v>45463</v>
      </c>
      <c r="G6785" t="s" s="11">
        <v>4267</v>
      </c>
      <c r="H6785" s="43">
        <v>4.32</v>
      </c>
      <c r="I6785" t="s" s="43">
        <v>30</v>
      </c>
      <c r="J6785" t="s" s="11">
        <v>34016</v>
      </c>
      <c r="K6785" t="s" s="11">
        <v>34017</v>
      </c>
      <c r="L6785" s="17">
        <f>HYPERLINK("http://www.tilta.ai", "www.tilta.ai")</f>
      </c>
      <c r="M6785" s="17">
        <f>HYPERLINK("https://my.pitchbook.com?c=496487-35", "View Company Online")</f>
      </c>
    </row>
    <row r="6786">
      <c r="A6786" t="s" s="10">
        <v>34019</v>
      </c>
      <c r="B6786" t="s" s="10">
        <v>34020</v>
      </c>
      <c r="C6786" t="s" s="10">
        <v>114</v>
      </c>
      <c r="D6786" t="s" s="10">
        <v>136</v>
      </c>
      <c r="E6786" t="s" s="10">
        <v>137</v>
      </c>
      <c r="F6786" s="27">
        <v>43374</v>
      </c>
      <c r="G6786" t="s" s="10">
        <v>146</v>
      </c>
      <c r="H6786" s="42">
        <v>3</v>
      </c>
      <c r="I6786" t="s" s="42">
        <v>30</v>
      </c>
      <c r="J6786" t="s" s="10">
        <v>34021</v>
      </c>
      <c r="K6786" t="s" s="10">
        <v>34022</v>
      </c>
      <c r="L6786" s="16">
        <f>HYPERLINK("http://tima.vn", "tima.vn")</f>
      </c>
      <c r="M6786" s="16">
        <f>HYPERLINK("https://my.pitchbook.com?c=169162-03", "View Company Online")</f>
      </c>
    </row>
    <row r="6787">
      <c r="A6787" t="s" s="11">
        <v>34024</v>
      </c>
      <c r="B6787" t="s" s="11">
        <v>34025</v>
      </c>
      <c r="C6787" t="s" s="11">
        <v>60</v>
      </c>
      <c r="D6787" t="s" s="11">
        <v>61</v>
      </c>
      <c r="E6787" t="s" s="11">
        <v>629</v>
      </c>
      <c r="F6787" s="28">
        <v>46066</v>
      </c>
      <c r="G6787" t="s" s="11">
        <v>146</v>
      </c>
      <c r="H6787" t="s" s="43">
        <v>30</v>
      </c>
      <c r="I6787" t="s" s="43">
        <v>30</v>
      </c>
      <c r="J6787" t="s" s="11">
        <v>34026</v>
      </c>
      <c r="K6787" t="s" s="11">
        <v>34027</v>
      </c>
      <c r="L6787" s="17">
        <f>HYPERLINK("http://www.timepercentcorp.com", "www.timepercentcorp.com")</f>
      </c>
      <c r="M6787" s="17">
        <f>HYPERLINK("https://my.pitchbook.com?c=515896-30", "View Company Online")</f>
      </c>
    </row>
    <row r="6788">
      <c r="A6788" t="s" s="10">
        <v>34029</v>
      </c>
      <c r="B6788" t="s" s="10">
        <v>34030</v>
      </c>
      <c r="C6788" t="s" s="10">
        <v>46</v>
      </c>
      <c r="D6788" t="s" s="10">
        <v>915</v>
      </c>
      <c r="E6788" t="s" s="10">
        <v>1207</v>
      </c>
      <c r="F6788" s="27">
        <v>44440</v>
      </c>
      <c r="G6788" t="s" s="10">
        <v>607</v>
      </c>
      <c r="H6788" s="42">
        <v>0.13</v>
      </c>
      <c r="I6788" t="s" s="42">
        <v>30</v>
      </c>
      <c r="J6788" t="s" s="10">
        <v>34031</v>
      </c>
      <c r="K6788" t="s" s="10">
        <v>34032</v>
      </c>
      <c r="L6788" s="16">
        <f>HYPERLINK("http://www.tinai.com", "www.tinai.com")</f>
      </c>
      <c r="M6788" s="16">
        <f>HYPERLINK("https://my.pitchbook.com?c=489073-33", "View Company Online")</f>
      </c>
    </row>
    <row r="6789">
      <c r="A6789" t="s" s="11">
        <v>34034</v>
      </c>
      <c r="B6789" t="s" s="11">
        <v>34035</v>
      </c>
      <c r="C6789" t="s" s="11">
        <v>27</v>
      </c>
      <c r="D6789" t="s" s="11">
        <v>70</v>
      </c>
      <c r="E6789" t="s" s="11">
        <v>259</v>
      </c>
      <c r="F6789" s="28">
        <v>44523</v>
      </c>
      <c r="G6789" t="s" s="11">
        <v>146</v>
      </c>
      <c r="H6789" s="43">
        <v>32</v>
      </c>
      <c r="I6789" t="s" s="43">
        <v>30</v>
      </c>
      <c r="J6789" t="s" s="11">
        <v>34036</v>
      </c>
      <c r="K6789" t="s" s="11">
        <v>34037</v>
      </c>
      <c r="L6789" s="17">
        <f>HYPERLINK("http://www.tino.com.br", "www.tino.com.br")</f>
      </c>
      <c r="M6789" s="17">
        <f>HYPERLINK("https://my.pitchbook.com?c=472183-93", "View Company Online")</f>
      </c>
    </row>
    <row r="6790">
      <c r="A6790" t="s" s="10">
        <v>34039</v>
      </c>
      <c r="B6790" t="s" s="10">
        <v>34040</v>
      </c>
      <c r="C6790" t="s" s="10">
        <v>27</v>
      </c>
      <c r="D6790" t="s" s="10">
        <v>28</v>
      </c>
      <c r="E6790" t="s" s="10">
        <v>137</v>
      </c>
      <c r="F6790" s="27">
        <v>44319</v>
      </c>
      <c r="G6790" t="s" s="10">
        <v>607</v>
      </c>
      <c r="H6790" s="42">
        <v>0.01</v>
      </c>
      <c r="I6790" t="s" s="42">
        <v>30</v>
      </c>
      <c r="J6790" t="s" s="10">
        <v>34041</v>
      </c>
      <c r="K6790" t="s" s="10">
        <v>34042</v>
      </c>
      <c r="L6790" s="16">
        <f>HYPERLINK("http://www.meettippy.com", "www.meettippy.com")</f>
      </c>
      <c r="M6790" s="16">
        <f>HYPERLINK("https://my.pitchbook.com?c=228451-33", "View Company Online")</f>
      </c>
    </row>
    <row r="6791">
      <c r="A6791" t="s" s="11">
        <v>34044</v>
      </c>
      <c r="B6791" t="s" s="11">
        <v>34045</v>
      </c>
      <c r="C6791" t="s" s="11">
        <v>27</v>
      </c>
      <c r="D6791" t="s" s="11">
        <v>28</v>
      </c>
      <c r="E6791" t="s" s="11">
        <v>137</v>
      </c>
      <c r="F6791" s="28">
        <v>45108</v>
      </c>
      <c r="G6791" t="s" s="11">
        <v>271</v>
      </c>
      <c r="H6791" s="43">
        <v>1.86</v>
      </c>
      <c r="I6791" t="s" s="43">
        <v>30</v>
      </c>
      <c r="J6791" t="s" s="11">
        <v>34046</v>
      </c>
      <c r="K6791" t="s" s="11">
        <v>34047</v>
      </c>
      <c r="L6791" s="17">
        <f>HYPERLINK("http://www.tiptappay.com", "www.tiptappay.com")</f>
      </c>
      <c r="M6791" s="17">
        <f>HYPERLINK("https://my.pitchbook.com?c=434074-33", "View Company Online")</f>
      </c>
    </row>
    <row r="6792">
      <c r="A6792" t="s" s="10">
        <v>34049</v>
      </c>
      <c r="B6792" t="s" s="10">
        <v>34050</v>
      </c>
      <c r="C6792" t="s" s="10">
        <v>27</v>
      </c>
      <c r="D6792" t="s" s="10">
        <v>70</v>
      </c>
      <c r="E6792" t="s" s="10">
        <v>373</v>
      </c>
      <c r="F6792" s="27">
        <v>45469</v>
      </c>
      <c r="G6792" t="s" s="10">
        <v>146</v>
      </c>
      <c r="H6792" t="s" s="42">
        <v>30</v>
      </c>
      <c r="I6792" t="s" s="42">
        <v>30</v>
      </c>
      <c r="J6792" t="s" s="10">
        <v>34051</v>
      </c>
      <c r="K6792" t="s" s="10">
        <v>34052</v>
      </c>
      <c r="L6792" s="16">
        <f>HYPERLINK("http://www.titanpay.ai", "www.titanpay.ai")</f>
      </c>
      <c r="M6792" s="16">
        <f>HYPERLINK("https://my.pitchbook.com?c=600752-80", "View Company Online")</f>
      </c>
    </row>
    <row r="6793">
      <c r="A6793" t="s" s="11">
        <v>34054</v>
      </c>
      <c r="B6793" t="s" s="11">
        <v>34055</v>
      </c>
      <c r="C6793" t="s" s="11">
        <v>60</v>
      </c>
      <c r="D6793" t="s" s="11">
        <v>192</v>
      </c>
      <c r="E6793" t="s" s="11">
        <v>270</v>
      </c>
      <c r="F6793" s="28">
        <v>45546</v>
      </c>
      <c r="G6793" t="s" s="11">
        <v>607</v>
      </c>
      <c r="H6793" t="s" s="43">
        <v>30</v>
      </c>
      <c r="I6793" t="s" s="43">
        <v>30</v>
      </c>
      <c r="J6793" t="s" s="11">
        <v>34056</v>
      </c>
      <c r="K6793" t="s" s="11">
        <v>34057</v>
      </c>
      <c r="L6793" s="17">
        <f>HYPERLINK("http://tititada.com", "tititada.com")</f>
      </c>
      <c r="M6793" s="17">
        <f>HYPERLINK("https://my.pitchbook.com?c=506965-15", "View Company Online")</f>
      </c>
    </row>
    <row r="6794">
      <c r="A6794" t="s" s="10">
        <v>34059</v>
      </c>
      <c r="B6794" t="s" s="10">
        <v>34060</v>
      </c>
      <c r="C6794" t="s" s="10">
        <v>128</v>
      </c>
      <c r="D6794" t="s" s="10">
        <v>129</v>
      </c>
      <c r="E6794" t="s" s="10">
        <v>34061</v>
      </c>
      <c r="F6794" s="27">
        <v>46139</v>
      </c>
      <c r="G6794" t="s" s="10">
        <v>2051</v>
      </c>
      <c r="H6794" t="s" s="42">
        <v>30</v>
      </c>
      <c r="I6794" t="s" s="42">
        <v>30</v>
      </c>
      <c r="J6794" t="s" s="10">
        <v>34062</v>
      </c>
      <c r="K6794" t="s" s="10">
        <v>30</v>
      </c>
      <c r="L6794" s="16">
        <f>HYPERLINK("http://www.tiv.co", "www.tiv.co")</f>
      </c>
      <c r="M6794" s="16">
        <f>HYPERLINK("https://my.pitchbook.com?c=465855-67", "View Company Online")</f>
      </c>
    </row>
    <row r="6795">
      <c r="A6795" t="s" s="11">
        <v>34064</v>
      </c>
      <c r="B6795" t="s" s="11">
        <v>34065</v>
      </c>
      <c r="C6795" t="s" s="11">
        <v>60</v>
      </c>
      <c r="D6795" t="s" s="11">
        <v>246</v>
      </c>
      <c r="E6795" t="s" s="11">
        <v>373</v>
      </c>
      <c r="F6795" s="28">
        <v>44562</v>
      </c>
      <c r="G6795" t="s" s="11">
        <v>5274</v>
      </c>
      <c r="H6795" t="s" s="43">
        <v>30</v>
      </c>
      <c r="I6795" t="s" s="43">
        <v>30</v>
      </c>
      <c r="J6795" t="s" s="11">
        <v>34066</v>
      </c>
      <c r="K6795" t="s" s="11">
        <v>34067</v>
      </c>
      <c r="L6795" s="17">
        <f>HYPERLINK("http://tmquant.com.br", "tmquant.com.br")</f>
      </c>
      <c r="M6795" s="17">
        <f>HYPERLINK("https://my.pitchbook.com?c=416683-72", "View Company Online")</f>
      </c>
    </row>
    <row r="6796">
      <c r="A6796" t="s" s="10">
        <v>34069</v>
      </c>
      <c r="B6796" t="s" s="10">
        <v>34070</v>
      </c>
      <c r="C6796" t="s" s="10">
        <v>114</v>
      </c>
      <c r="D6796" t="s" s="10">
        <v>1386</v>
      </c>
      <c r="E6796" t="s" s="10">
        <v>137</v>
      </c>
      <c r="F6796" s="27">
        <v>45931</v>
      </c>
      <c r="G6796" t="s" s="10">
        <v>146</v>
      </c>
      <c r="H6796" t="s" s="42">
        <v>30</v>
      </c>
      <c r="I6796" t="s" s="42">
        <v>30</v>
      </c>
      <c r="J6796" t="s" s="10">
        <v>34071</v>
      </c>
      <c r="K6796" t="s" s="10">
        <v>34072</v>
      </c>
      <c r="L6796" s="16">
        <f>HYPERLINK("http://www.toblervaluation.com", "www.toblervaluation.com")</f>
      </c>
      <c r="M6796" s="16">
        <f>HYPERLINK("https://my.pitchbook.com?c=1154226-07", "View Company Online")</f>
      </c>
    </row>
    <row r="6797">
      <c r="A6797" t="s" s="11">
        <v>34074</v>
      </c>
      <c r="B6797" t="s" s="11">
        <v>34075</v>
      </c>
      <c r="C6797" t="s" s="11">
        <v>27</v>
      </c>
      <c r="D6797" t="s" s="11">
        <v>28</v>
      </c>
      <c r="E6797" t="s" s="11">
        <v>373</v>
      </c>
      <c r="F6797" s="28">
        <v>45265</v>
      </c>
      <c r="G6797" t="s" s="11">
        <v>607</v>
      </c>
      <c r="H6797" t="s" s="43">
        <v>30</v>
      </c>
      <c r="I6797" t="s" s="43">
        <v>30</v>
      </c>
      <c r="J6797" t="s" s="11">
        <v>34076</v>
      </c>
      <c r="K6797" t="s" s="11">
        <v>34077</v>
      </c>
      <c r="L6797" s="17">
        <f>HYPERLINK("http://www.todaypayme.com", "www.todaypayme.com")</f>
      </c>
      <c r="M6797" s="17">
        <f>HYPERLINK("https://my.pitchbook.com?c=539471-89", "View Company Online")</f>
      </c>
    </row>
    <row r="6798">
      <c r="A6798" t="s" s="10">
        <v>34079</v>
      </c>
      <c r="B6798" t="s" s="10">
        <v>34080</v>
      </c>
      <c r="C6798" t="s" s="10">
        <v>222</v>
      </c>
      <c r="D6798" t="s" s="10">
        <v>252</v>
      </c>
      <c r="E6798" t="s" s="10">
        <v>859</v>
      </c>
      <c r="F6798" s="27">
        <v>46002</v>
      </c>
      <c r="G6798" t="s" s="10">
        <v>4267</v>
      </c>
      <c r="H6798" s="42">
        <v>3.8</v>
      </c>
      <c r="I6798" t="s" s="42">
        <v>30</v>
      </c>
      <c r="J6798" t="s" s="10">
        <v>34081</v>
      </c>
      <c r="K6798" t="s" s="10">
        <v>34082</v>
      </c>
      <c r="L6798" s="16">
        <f>HYPERLINK("http://www.tohkn.com", "www.tohkn.com")</f>
      </c>
      <c r="M6798" s="16">
        <f>HYPERLINK("https://my.pitchbook.com?c=1185112-00", "View Company Online")</f>
      </c>
    </row>
    <row r="6799">
      <c r="A6799" t="s" s="11">
        <v>34084</v>
      </c>
      <c r="B6799" t="s" s="11">
        <v>34085</v>
      </c>
      <c r="C6799" t="s" s="11">
        <v>60</v>
      </c>
      <c r="D6799" t="s" s="11">
        <v>192</v>
      </c>
      <c r="E6799" t="s" s="11">
        <v>137</v>
      </c>
      <c r="F6799" s="28">
        <v>43258</v>
      </c>
      <c r="G6799" t="s" s="11">
        <v>146</v>
      </c>
      <c r="H6799" s="43">
        <v>2.35</v>
      </c>
      <c r="I6799" t="s" s="43">
        <v>30</v>
      </c>
      <c r="J6799" t="s" s="11">
        <v>34086</v>
      </c>
      <c r="K6799" t="s" s="11">
        <v>34087</v>
      </c>
      <c r="L6799" s="17">
        <f>HYPERLINK("http://www.tokentm.net", "www.tokentm.net")</f>
      </c>
      <c r="M6799" s="17">
        <f>HYPERLINK("https://my.pitchbook.com?c=433420-93", "View Company Online")</f>
      </c>
    </row>
    <row r="6800">
      <c r="A6800" t="s" s="10">
        <v>34089</v>
      </c>
      <c r="B6800" t="s" s="10">
        <v>34090</v>
      </c>
      <c r="C6800" t="s" s="10">
        <v>60</v>
      </c>
      <c r="D6800" t="s" s="10">
        <v>727</v>
      </c>
      <c r="E6800" t="s" s="10">
        <v>71</v>
      </c>
      <c r="F6800" s="27">
        <v>46023</v>
      </c>
      <c r="G6800" t="s" s="10">
        <v>146</v>
      </c>
      <c r="H6800" t="s" s="42">
        <v>30</v>
      </c>
      <c r="I6800" t="s" s="42">
        <v>30</v>
      </c>
      <c r="J6800" t="s" s="10">
        <v>34091</v>
      </c>
      <c r="K6800" t="s" s="10">
        <v>34092</v>
      </c>
      <c r="L6800" s="16">
        <f>HYPERLINK("http://www.tokinvest.capital", "www.tokinvest.capital")</f>
      </c>
      <c r="M6800" s="16">
        <f>HYPERLINK("https://my.pitchbook.com?c=608337-64", "View Company Online")</f>
      </c>
    </row>
    <row r="6801">
      <c r="A6801" t="s" s="11">
        <v>34094</v>
      </c>
      <c r="B6801" t="s" s="11">
        <v>34095</v>
      </c>
      <c r="C6801" t="s" s="11">
        <v>222</v>
      </c>
      <c r="D6801" t="s" s="11">
        <v>223</v>
      </c>
      <c r="E6801" t="s" s="11">
        <v>373</v>
      </c>
      <c r="F6801" s="28">
        <v>46184</v>
      </c>
      <c r="G6801" t="s" s="11">
        <v>146</v>
      </c>
      <c r="H6801" s="43">
        <v>14.42</v>
      </c>
      <c r="I6801" t="s" s="43">
        <v>30</v>
      </c>
      <c r="J6801" t="s" s="11">
        <v>34096</v>
      </c>
      <c r="K6801" t="s" s="11">
        <v>34097</v>
      </c>
      <c r="L6801" s="17">
        <f>HYPERLINK("http://www.toltiq.com", "www.toltiq.com")</f>
      </c>
      <c r="M6801" s="17">
        <f>HYPERLINK("https://my.pitchbook.com?c=551782-54", "View Company Online")</f>
      </c>
    </row>
    <row r="6802">
      <c r="A6802" t="s" s="10">
        <v>34099</v>
      </c>
      <c r="B6802" t="s" s="10">
        <v>34100</v>
      </c>
      <c r="C6802" t="s" s="10">
        <v>172</v>
      </c>
      <c r="D6802" t="s" s="10">
        <v>173</v>
      </c>
      <c r="E6802" t="s" s="10">
        <v>253</v>
      </c>
      <c r="F6802" s="27">
        <v>46035</v>
      </c>
      <c r="G6802" t="s" s="10">
        <v>146</v>
      </c>
      <c r="H6802" t="s" s="42">
        <v>30</v>
      </c>
      <c r="I6802" t="s" s="42">
        <v>30</v>
      </c>
      <c r="J6802" t="s" s="10">
        <v>34101</v>
      </c>
      <c r="K6802" t="s" s="10">
        <v>34102</v>
      </c>
      <c r="L6802" s="16">
        <f>HYPERLINK("http://www.tomoarrow.com", "www.tomoarrow.com")</f>
      </c>
      <c r="M6802" s="16">
        <f>HYPERLINK("https://my.pitchbook.com?c=1241712-01", "View Company Online")</f>
      </c>
    </row>
    <row r="6803">
      <c r="A6803" t="s" s="11">
        <v>34104</v>
      </c>
      <c r="B6803" t="s" s="11">
        <v>34105</v>
      </c>
      <c r="C6803" t="s" s="11">
        <v>37</v>
      </c>
      <c r="D6803" t="s" s="11">
        <v>304</v>
      </c>
      <c r="E6803" t="s" s="11">
        <v>2411</v>
      </c>
      <c r="F6803" s="28">
        <v>46041</v>
      </c>
      <c r="G6803" t="s" s="11">
        <v>607</v>
      </c>
      <c r="H6803" t="s" s="43">
        <v>30</v>
      </c>
      <c r="I6803" t="s" s="43">
        <v>30</v>
      </c>
      <c r="J6803" t="s" s="11">
        <v>34106</v>
      </c>
      <c r="K6803" t="s" s="11">
        <v>34107</v>
      </c>
      <c r="L6803" s="17">
        <f>HYPERLINK("http://www.toothpick.com", "www.toothpick.com")</f>
      </c>
      <c r="M6803" s="17">
        <f>HYPERLINK("https://my.pitchbook.com?c=494143-93", "View Company Online")</f>
      </c>
    </row>
    <row r="6804">
      <c r="A6804" t="s" s="10">
        <v>34109</v>
      </c>
      <c r="B6804" t="s" s="10">
        <v>34110</v>
      </c>
      <c r="C6804" t="s" s="10">
        <v>114</v>
      </c>
      <c r="D6804" t="s" s="10">
        <v>115</v>
      </c>
      <c r="E6804" t="s" s="10">
        <v>2782</v>
      </c>
      <c r="F6804" t="s" s="27">
        <v>30</v>
      </c>
      <c r="G6804" t="s" s="10">
        <v>48</v>
      </c>
      <c r="H6804" t="s" s="42">
        <v>30</v>
      </c>
      <c r="I6804" t="s" s="42">
        <v>30</v>
      </c>
      <c r="J6804" t="s" s="10">
        <v>34111</v>
      </c>
      <c r="K6804" t="s" s="10">
        <v>34112</v>
      </c>
      <c r="L6804" s="16">
        <f>HYPERLINK("http://www.toperty.co", "www.toperty.co")</f>
      </c>
      <c r="M6804" s="16">
        <f>HYPERLINK("https://my.pitchbook.com?c=512831-26", "View Company Online")</f>
      </c>
    </row>
    <row r="6805">
      <c r="A6805" t="s" s="11">
        <v>34114</v>
      </c>
      <c r="B6805" t="s" s="11">
        <v>34115</v>
      </c>
      <c r="C6805" t="s" s="11">
        <v>128</v>
      </c>
      <c r="D6805" t="s" s="11">
        <v>199</v>
      </c>
      <c r="E6805" t="s" s="11">
        <v>34116</v>
      </c>
      <c r="F6805" s="28">
        <v>42887</v>
      </c>
      <c r="G6805" t="s" s="11">
        <v>146</v>
      </c>
      <c r="H6805" s="43">
        <v>1.45</v>
      </c>
      <c r="I6805" t="s" s="43">
        <v>30</v>
      </c>
      <c r="J6805" t="s" s="11">
        <v>34117</v>
      </c>
      <c r="K6805" t="s" s="11">
        <v>34118</v>
      </c>
      <c r="L6805" s="17">
        <f>HYPERLINK("http://www.topmdrt.com", "www.topmdrt.com")</f>
      </c>
      <c r="M6805" s="17">
        <f>HYPERLINK("https://my.pitchbook.com?c=226957-42", "View Company Online")</f>
      </c>
    </row>
    <row r="6806">
      <c r="A6806" t="s" s="10">
        <v>34120</v>
      </c>
      <c r="B6806" t="s" s="10">
        <v>34121</v>
      </c>
      <c r="C6806" t="s" s="10">
        <v>172</v>
      </c>
      <c r="D6806" t="s" s="10">
        <v>338</v>
      </c>
      <c r="E6806" t="s" s="10">
        <v>116</v>
      </c>
      <c r="F6806" s="27">
        <v>46100</v>
      </c>
      <c r="G6806" t="s" s="10">
        <v>4267</v>
      </c>
      <c r="H6806" s="42">
        <v>2.33</v>
      </c>
      <c r="I6806" t="s" s="42">
        <v>30</v>
      </c>
      <c r="J6806" t="s" s="10">
        <v>34122</v>
      </c>
      <c r="K6806" t="s" s="10">
        <v>34123</v>
      </c>
      <c r="L6806" s="16">
        <f>HYPERLINK("http://www.topograph.co", "www.topograph.co")</f>
      </c>
      <c r="M6806" s="16">
        <f>HYPERLINK("https://my.pitchbook.com?c=753145-39", "View Company Online")</f>
      </c>
    </row>
    <row r="6807">
      <c r="A6807" t="s" s="11">
        <v>34125</v>
      </c>
      <c r="B6807" t="s" s="11">
        <v>34126</v>
      </c>
      <c r="C6807" t="s" s="11">
        <v>164</v>
      </c>
      <c r="D6807" t="s" s="11">
        <v>206</v>
      </c>
      <c r="E6807" t="s" s="11">
        <v>193</v>
      </c>
      <c r="F6807" s="28">
        <v>45267</v>
      </c>
      <c r="G6807" t="s" s="11">
        <v>34127</v>
      </c>
      <c r="H6807" t="s" s="43">
        <v>30</v>
      </c>
      <c r="I6807" t="s" s="43">
        <v>30</v>
      </c>
      <c r="J6807" t="s" s="11">
        <v>34128</v>
      </c>
      <c r="K6807" t="s" s="11">
        <v>34129</v>
      </c>
      <c r="L6807" s="17">
        <f>HYPERLINK("http://www.topos.com.ng", "www.topos.com.ng")</f>
      </c>
      <c r="M6807" s="17">
        <f>HYPERLINK("https://my.pitchbook.com?c=432955-27", "View Company Online")</f>
      </c>
    </row>
    <row r="6808">
      <c r="A6808" t="s" s="10">
        <v>34131</v>
      </c>
      <c r="B6808" t="s" s="10">
        <v>34132</v>
      </c>
      <c r="C6808" t="s" s="10">
        <v>128</v>
      </c>
      <c r="D6808" t="s" s="10">
        <v>129</v>
      </c>
      <c r="E6808" t="s" s="10">
        <v>137</v>
      </c>
      <c r="F6808" s="27">
        <v>43393</v>
      </c>
      <c r="G6808" t="s" s="10">
        <v>4267</v>
      </c>
      <c r="H6808" s="42">
        <v>0.75</v>
      </c>
      <c r="I6808" t="s" s="42">
        <v>30</v>
      </c>
      <c r="J6808" t="s" s="10">
        <v>34133</v>
      </c>
      <c r="K6808" t="s" s="10">
        <v>30</v>
      </c>
      <c r="L6808" s="16">
        <f>HYPERLINK("http://www.totl.ai", "www.totl.ai")</f>
      </c>
      <c r="M6808" s="16">
        <f>HYPERLINK("https://my.pitchbook.com?c=502790-41", "View Company Online")</f>
      </c>
    </row>
    <row r="6809">
      <c r="A6809" t="s" s="11">
        <v>34135</v>
      </c>
      <c r="B6809" t="s" s="11">
        <v>34136</v>
      </c>
      <c r="C6809" t="s" s="11">
        <v>222</v>
      </c>
      <c r="D6809" t="s" s="11">
        <v>252</v>
      </c>
      <c r="E6809" t="s" s="11">
        <v>34137</v>
      </c>
      <c r="F6809" s="28">
        <v>45015</v>
      </c>
      <c r="G6809" t="s" s="11">
        <v>4267</v>
      </c>
      <c r="H6809" s="43">
        <v>2</v>
      </c>
      <c r="I6809" t="s" s="43">
        <v>30</v>
      </c>
      <c r="J6809" t="s" s="11">
        <v>34138</v>
      </c>
      <c r="K6809" t="s" s="11">
        <v>34139</v>
      </c>
      <c r="L6809" s="17">
        <f>HYPERLINK("http://www.totofinance.co", "www.totofinance.co")</f>
      </c>
      <c r="M6809" s="17">
        <f>HYPERLINK("https://my.pitchbook.com?c=1325827-45", "View Company Online")</f>
      </c>
    </row>
    <row r="6810">
      <c r="A6810" t="s" s="10">
        <v>34141</v>
      </c>
      <c r="B6810" t="s" s="10">
        <v>34142</v>
      </c>
      <c r="C6810" t="s" s="10">
        <v>27</v>
      </c>
      <c r="D6810" t="s" s="10">
        <v>28</v>
      </c>
      <c r="E6810" t="s" s="10">
        <v>116</v>
      </c>
      <c r="F6810" s="27">
        <v>46082</v>
      </c>
      <c r="G6810" t="s" s="10">
        <v>4267</v>
      </c>
      <c r="H6810" t="s" s="42">
        <v>30</v>
      </c>
      <c r="I6810" t="s" s="42">
        <v>30</v>
      </c>
      <c r="J6810" t="s" s="10">
        <v>34143</v>
      </c>
      <c r="K6810" t="s" s="10">
        <v>34144</v>
      </c>
      <c r="L6810" s="16">
        <f>HYPERLINK("http://www.touchngo.co.kr", "www.touchngo.co.kr")</f>
      </c>
      <c r="M6810" s="16">
        <f>HYPERLINK("https://my.pitchbook.com?c=1356045-13", "View Company Online")</f>
      </c>
    </row>
    <row r="6811">
      <c r="A6811" t="s" s="11">
        <v>34146</v>
      </c>
      <c r="B6811" t="s" s="11">
        <v>34147</v>
      </c>
      <c r="C6811" t="s" s="11">
        <v>46</v>
      </c>
      <c r="D6811" t="s" s="11">
        <v>397</v>
      </c>
      <c r="E6811" t="s" s="11">
        <v>34148</v>
      </c>
      <c r="F6811" s="28">
        <v>45356</v>
      </c>
      <c r="G6811" t="s" s="11">
        <v>40</v>
      </c>
      <c r="H6811" s="43">
        <v>4</v>
      </c>
      <c r="I6811" t="s" s="43">
        <v>30</v>
      </c>
      <c r="J6811" t="s" s="11">
        <v>34149</v>
      </c>
      <c r="K6811" t="s" s="11">
        <v>34150</v>
      </c>
      <c r="L6811" s="17">
        <f>HYPERLINK("http://touchandpay.me", "touchandpay.me")</f>
      </c>
      <c r="M6811" s="17">
        <f>HYPERLINK("https://my.pitchbook.com?c=491532-67", "View Company Online")</f>
      </c>
    </row>
    <row r="6812">
      <c r="A6812" t="s" s="10">
        <v>34152</v>
      </c>
      <c r="B6812" t="s" s="10">
        <v>34153</v>
      </c>
      <c r="C6812" t="s" s="10">
        <v>27</v>
      </c>
      <c r="D6812" t="s" s="10">
        <v>28</v>
      </c>
      <c r="E6812" t="s" s="10">
        <v>270</v>
      </c>
      <c r="F6812" s="27">
        <v>45250</v>
      </c>
      <c r="G6812" t="s" s="10">
        <v>146</v>
      </c>
      <c r="H6812" s="42">
        <v>3.2</v>
      </c>
      <c r="I6812" t="s" s="42">
        <v>30</v>
      </c>
      <c r="J6812" t="s" s="10">
        <v>34154</v>
      </c>
      <c r="K6812" t="s" s="10">
        <v>30</v>
      </c>
      <c r="L6812" s="16">
        <f>HYPERLINK("http://www.touch2pay.com.au", "www.touch2pay.com.au")</f>
      </c>
      <c r="M6812" s="16">
        <f>HYPERLINK("https://my.pitchbook.com?c=534763-36", "View Company Online")</f>
      </c>
    </row>
    <row r="6813">
      <c r="A6813" t="s" s="11">
        <v>34156</v>
      </c>
      <c r="B6813" t="s" s="11">
        <v>34157</v>
      </c>
      <c r="C6813" t="s" s="11">
        <v>114</v>
      </c>
      <c r="D6813" t="s" s="11">
        <v>136</v>
      </c>
      <c r="E6813" t="s" s="11">
        <v>759</v>
      </c>
      <c r="F6813" s="28">
        <v>43105</v>
      </c>
      <c r="G6813" t="s" s="11">
        <v>40</v>
      </c>
      <c r="H6813" s="43">
        <v>46</v>
      </c>
      <c r="I6813" t="s" s="43">
        <v>30</v>
      </c>
      <c r="J6813" t="s" s="11">
        <v>34158</v>
      </c>
      <c r="K6813" t="s" s="11">
        <v>34159</v>
      </c>
      <c r="L6813" s="17">
        <f>HYPERLINK("http://www.touna.cn", "www.touna.cn")</f>
      </c>
      <c r="M6813" s="17">
        <f>HYPERLINK("https://my.pitchbook.com?c=223856-38", "View Company Online")</f>
      </c>
    </row>
    <row r="6814">
      <c r="A6814" t="s" s="10">
        <v>34161</v>
      </c>
      <c r="B6814" t="s" s="10">
        <v>34162</v>
      </c>
      <c r="C6814" t="s" s="10">
        <v>27</v>
      </c>
      <c r="D6814" t="s" s="10">
        <v>70</v>
      </c>
      <c r="E6814" t="s" s="10">
        <v>137</v>
      </c>
      <c r="F6814" s="27">
        <v>45870</v>
      </c>
      <c r="G6814" t="s" s="10">
        <v>146</v>
      </c>
      <c r="H6814" t="s" s="42">
        <v>30</v>
      </c>
      <c r="I6814" t="s" s="42">
        <v>30</v>
      </c>
      <c r="J6814" t="s" s="10">
        <v>34163</v>
      </c>
      <c r="K6814" t="s" s="10">
        <v>34164</v>
      </c>
      <c r="L6814" s="16">
        <f>HYPERLINK("http://www.tppay.it", "www.tppay.it")</f>
      </c>
      <c r="M6814" s="16">
        <f>HYPERLINK("https://my.pitchbook.com?c=960651-46", "View Company Online")</f>
      </c>
    </row>
    <row r="6815">
      <c r="A6815" t="s" s="11">
        <v>34166</v>
      </c>
      <c r="B6815" t="s" s="11">
        <v>34167</v>
      </c>
      <c r="C6815" t="s" s="11">
        <v>46</v>
      </c>
      <c r="D6815" t="s" s="11">
        <v>915</v>
      </c>
      <c r="E6815" t="s" s="11">
        <v>373</v>
      </c>
      <c r="F6815" s="28">
        <v>45875</v>
      </c>
      <c r="G6815" t="s" s="11">
        <v>4267</v>
      </c>
      <c r="H6815" s="43">
        <v>3.6</v>
      </c>
      <c r="I6815" t="s" s="43">
        <v>30</v>
      </c>
      <c r="J6815" t="s" s="11">
        <v>34168</v>
      </c>
      <c r="K6815" t="s" s="11">
        <v>34169</v>
      </c>
      <c r="L6815" s="17">
        <f>HYPERLINK("http://www.tracelight.ai", "www.tracelight.ai")</f>
      </c>
      <c r="M6815" s="17">
        <f>HYPERLINK("https://my.pitchbook.com?c=803054-80", "View Company Online")</f>
      </c>
    </row>
    <row r="6816">
      <c r="A6816" t="s" s="10">
        <v>34171</v>
      </c>
      <c r="B6816" t="s" s="10">
        <v>34172</v>
      </c>
      <c r="C6816" t="s" s="10">
        <v>114</v>
      </c>
      <c r="D6816" t="s" s="10">
        <v>136</v>
      </c>
      <c r="E6816" t="s" s="10">
        <v>30</v>
      </c>
      <c r="F6816" s="27">
        <v>44476</v>
      </c>
      <c r="G6816" t="s" s="10">
        <v>4267</v>
      </c>
      <c r="H6816" s="42">
        <v>3</v>
      </c>
      <c r="I6816" t="s" s="42">
        <v>30</v>
      </c>
      <c r="J6816" t="s" s="10">
        <v>34173</v>
      </c>
      <c r="K6816" t="s" s="10">
        <v>30</v>
      </c>
      <c r="L6816" s="16">
        <f>HYPERLINK("http://www.trackfs.com", "www.trackfs.com")</f>
      </c>
      <c r="M6816" s="16">
        <f>HYPERLINK("https://my.pitchbook.com?c=482314-78", "View Company Online")</f>
      </c>
    </row>
    <row r="6817">
      <c r="A6817" t="s" s="11">
        <v>34175</v>
      </c>
      <c r="B6817" t="s" s="11">
        <v>34176</v>
      </c>
      <c r="C6817" t="s" s="11">
        <v>114</v>
      </c>
      <c r="D6817" t="s" s="11">
        <v>136</v>
      </c>
      <c r="E6817" t="s" s="11">
        <v>137</v>
      </c>
      <c r="F6817" s="28">
        <v>46054</v>
      </c>
      <c r="G6817" t="s" s="11">
        <v>146</v>
      </c>
      <c r="H6817" t="s" s="43">
        <v>30</v>
      </c>
      <c r="I6817" t="s" s="43">
        <v>30</v>
      </c>
      <c r="J6817" t="s" s="11">
        <v>34177</v>
      </c>
      <c r="K6817" t="s" s="11">
        <v>34178</v>
      </c>
      <c r="L6817" s="17">
        <f>HYPERLINK("http://www.trad.fi", "www.trad.fi")</f>
      </c>
      <c r="M6817" s="17">
        <f>HYPERLINK("https://my.pitchbook.com?c=871668-64", "View Company Online")</f>
      </c>
    </row>
    <row r="6818">
      <c r="A6818" t="s" s="10">
        <v>34180</v>
      </c>
      <c r="B6818" t="s" s="10">
        <v>34181</v>
      </c>
      <c r="C6818" t="s" s="10">
        <v>114</v>
      </c>
      <c r="D6818" t="s" s="10">
        <v>870</v>
      </c>
      <c r="E6818" t="s" s="10">
        <v>137</v>
      </c>
      <c r="F6818" s="27">
        <v>45566</v>
      </c>
      <c r="G6818" t="s" s="10">
        <v>4267</v>
      </c>
      <c r="H6818" s="42">
        <v>0.24</v>
      </c>
      <c r="I6818" t="s" s="42">
        <v>30</v>
      </c>
      <c r="J6818" t="s" s="10">
        <v>34182</v>
      </c>
      <c r="K6818" t="s" s="10">
        <v>15996</v>
      </c>
      <c r="L6818" s="16">
        <f>HYPERLINK("http://www.tradecredit.in", "www.tradecredit.in")</f>
      </c>
      <c r="M6818" s="16">
        <f>HYPERLINK("https://my.pitchbook.com?c=697230-55", "View Company Online")</f>
      </c>
    </row>
    <row r="6819">
      <c r="A6819" t="s" s="11">
        <v>34184</v>
      </c>
      <c r="B6819" t="s" s="11">
        <v>34185</v>
      </c>
      <c r="C6819" t="s" s="11">
        <v>60</v>
      </c>
      <c r="D6819" t="s" s="11">
        <v>61</v>
      </c>
      <c r="E6819" t="s" s="11">
        <v>629</v>
      </c>
      <c r="F6819" s="28">
        <v>45225</v>
      </c>
      <c r="G6819" t="s" s="11">
        <v>146</v>
      </c>
      <c r="H6819" s="43">
        <v>12.5</v>
      </c>
      <c r="I6819" t="s" s="43">
        <v>30</v>
      </c>
      <c r="J6819" t="s" s="11">
        <v>34186</v>
      </c>
      <c r="K6819" t="s" s="11">
        <v>30</v>
      </c>
      <c r="L6819" s="17">
        <f>HYPERLINK("http://www.traderpal.co", "www.traderpal.co")</f>
      </c>
      <c r="M6819" s="17">
        <f>HYPERLINK("https://my.pitchbook.com?c=518931-28", "View Company Online")</f>
      </c>
    </row>
    <row r="6820">
      <c r="A6820" t="s" s="10">
        <v>34188</v>
      </c>
      <c r="B6820" t="s" s="10">
        <v>34189</v>
      </c>
      <c r="C6820" t="s" s="10">
        <v>172</v>
      </c>
      <c r="D6820" t="s" s="10">
        <v>338</v>
      </c>
      <c r="E6820" t="s" s="10">
        <v>1652</v>
      </c>
      <c r="F6820" t="s" s="27">
        <v>30</v>
      </c>
      <c r="G6820" t="s" s="10">
        <v>607</v>
      </c>
      <c r="H6820" t="s" s="42">
        <v>30</v>
      </c>
      <c r="I6820" t="s" s="42">
        <v>30</v>
      </c>
      <c r="J6820" t="s" s="10">
        <v>34190</v>
      </c>
      <c r="K6820" t="s" s="10">
        <v>34191</v>
      </c>
      <c r="L6820" s="16">
        <f>HYPERLINK("http://www.tradesun.ai", "www.tradesun.ai")</f>
      </c>
      <c r="M6820" s="16">
        <f>HYPERLINK("https://my.pitchbook.com?c=294973-93", "View Company Online")</f>
      </c>
    </row>
    <row r="6821">
      <c r="A6821" t="s" s="11">
        <v>34193</v>
      </c>
      <c r="B6821" t="s" s="11">
        <v>34194</v>
      </c>
      <c r="C6821" t="s" s="11">
        <v>144</v>
      </c>
      <c r="D6821" t="s" s="11">
        <v>38</v>
      </c>
      <c r="E6821" t="s" s="11">
        <v>2678</v>
      </c>
      <c r="F6821" s="28">
        <v>46101</v>
      </c>
      <c r="G6821" t="s" s="11">
        <v>607</v>
      </c>
      <c r="H6821" s="43">
        <v>0.5</v>
      </c>
      <c r="I6821" t="s" s="43">
        <v>30</v>
      </c>
      <c r="J6821" t="s" s="11">
        <v>34195</v>
      </c>
      <c r="K6821" t="s" s="11">
        <v>34196</v>
      </c>
      <c r="L6821" s="17">
        <f>HYPERLINK("http://www.tradevu.co", "www.tradevu.co")</f>
      </c>
      <c r="M6821" s="17">
        <f>HYPERLINK("https://my.pitchbook.com?c=680275-18", "View Company Online")</f>
      </c>
    </row>
    <row r="6822">
      <c r="A6822" t="s" s="10">
        <v>34198</v>
      </c>
      <c r="B6822" t="s" s="10">
        <v>34199</v>
      </c>
      <c r="C6822" t="s" s="10">
        <v>60</v>
      </c>
      <c r="D6822" t="s" s="10">
        <v>192</v>
      </c>
      <c r="E6822" t="s" s="10">
        <v>96</v>
      </c>
      <c r="F6822" s="27">
        <v>46090</v>
      </c>
      <c r="G6822" t="s" s="10">
        <v>40</v>
      </c>
      <c r="H6822" s="42">
        <v>0.88</v>
      </c>
      <c r="I6822" t="s" s="42">
        <v>30</v>
      </c>
      <c r="J6822" t="s" s="10">
        <v>34200</v>
      </c>
      <c r="K6822" t="s" s="10">
        <v>34201</v>
      </c>
      <c r="L6822" s="16">
        <f>HYPERLINK("http://www.tradezing.com", "www.tradezing.com")</f>
      </c>
      <c r="M6822" s="16">
        <f>HYPERLINK("https://my.pitchbook.com?c=494647-12", "View Company Online")</f>
      </c>
    </row>
    <row r="6823">
      <c r="A6823" t="s" s="11">
        <v>34203</v>
      </c>
      <c r="B6823" t="s" s="11">
        <v>34204</v>
      </c>
      <c r="C6823" t="s" s="11">
        <v>46</v>
      </c>
      <c r="D6823" t="s" s="11">
        <v>78</v>
      </c>
      <c r="E6823" t="s" s="11">
        <v>24380</v>
      </c>
      <c r="F6823" s="28">
        <v>45359</v>
      </c>
      <c r="G6823" t="s" s="11">
        <v>146</v>
      </c>
      <c r="H6823" s="43">
        <v>0.25</v>
      </c>
      <c r="I6823" t="s" s="43">
        <v>30</v>
      </c>
      <c r="J6823" t="s" s="11">
        <v>34205</v>
      </c>
      <c r="K6823" t="s" s="11">
        <v>34206</v>
      </c>
      <c r="L6823" s="17">
        <f>HYPERLINK("http://www.trampay.com", "www.trampay.com")</f>
      </c>
      <c r="M6823" s="17">
        <f>HYPERLINK("https://my.pitchbook.com?c=527226-67", "View Company Online")</f>
      </c>
    </row>
    <row r="6824">
      <c r="A6824" t="s" s="10">
        <v>34208</v>
      </c>
      <c r="B6824" t="s" s="10">
        <v>34209</v>
      </c>
      <c r="C6824" t="s" s="10">
        <v>27</v>
      </c>
      <c r="D6824" t="s" s="10">
        <v>28</v>
      </c>
      <c r="E6824" t="s" s="10">
        <v>158</v>
      </c>
      <c r="F6824" s="27">
        <v>45931</v>
      </c>
      <c r="G6824" t="s" s="10">
        <v>4267</v>
      </c>
      <c r="H6824" s="42">
        <v>3.2</v>
      </c>
      <c r="I6824" t="s" s="42">
        <v>30</v>
      </c>
      <c r="J6824" t="s" s="10">
        <v>34210</v>
      </c>
      <c r="K6824" t="s" s="10">
        <v>34211</v>
      </c>
      <c r="L6824" s="16">
        <f>HYPERLINK("http://www.paggo.com", "www.paggo.com")</f>
      </c>
      <c r="M6824" s="16">
        <f>HYPERLINK("https://my.pitchbook.com?c=498520-36", "View Company Online")</f>
      </c>
    </row>
    <row r="6825">
      <c r="A6825" t="s" s="11">
        <v>34213</v>
      </c>
      <c r="B6825" t="s" s="11">
        <v>34214</v>
      </c>
      <c r="C6825" t="s" s="11">
        <v>114</v>
      </c>
      <c r="D6825" t="s" s="11">
        <v>852</v>
      </c>
      <c r="E6825" t="s" s="11">
        <v>253</v>
      </c>
      <c r="F6825" s="28">
        <v>45200</v>
      </c>
      <c r="G6825" t="s" s="11">
        <v>146</v>
      </c>
      <c r="H6825" s="43">
        <v>1.2</v>
      </c>
      <c r="I6825" t="s" s="43">
        <v>30</v>
      </c>
      <c r="J6825" t="s" s="11">
        <v>34215</v>
      </c>
      <c r="K6825" t="s" s="11">
        <v>34216</v>
      </c>
      <c r="L6825" s="17">
        <f>HYPERLINK("http://www.transendfinancial.com", "www.transendfinancial.com")</f>
      </c>
      <c r="M6825" s="17">
        <f>HYPERLINK("https://my.pitchbook.com?c=537265-99", "View Company Online")</f>
      </c>
    </row>
    <row r="6826">
      <c r="A6826" t="s" s="10">
        <v>34218</v>
      </c>
      <c r="B6826" t="s" s="10">
        <v>34219</v>
      </c>
      <c r="C6826" t="s" s="10">
        <v>27</v>
      </c>
      <c r="D6826" t="s" s="10">
        <v>122</v>
      </c>
      <c r="E6826" t="s" s="10">
        <v>137</v>
      </c>
      <c r="F6826" s="27">
        <v>44874</v>
      </c>
      <c r="G6826" t="s" s="10">
        <v>4267</v>
      </c>
      <c r="H6826" s="42">
        <v>0.77</v>
      </c>
      <c r="I6826" t="s" s="42">
        <v>30</v>
      </c>
      <c r="J6826" t="s" s="10">
        <v>34220</v>
      </c>
      <c r="K6826" t="s" s="10">
        <v>34221</v>
      </c>
      <c r="L6826" s="16">
        <f>HYPERLINK("http://www.transferbank.com.br", "www.transferbank.com.br")</f>
      </c>
      <c r="M6826" s="16">
        <f>HYPERLINK("https://my.pitchbook.com?c=513049-42", "View Company Online")</f>
      </c>
    </row>
    <row r="6827">
      <c r="A6827" t="s" s="11">
        <v>34223</v>
      </c>
      <c r="B6827" t="s" s="11">
        <v>34224</v>
      </c>
      <c r="C6827" t="s" s="11">
        <v>60</v>
      </c>
      <c r="D6827" t="s" s="11">
        <v>192</v>
      </c>
      <c r="E6827" t="s" s="11">
        <v>373</v>
      </c>
      <c r="F6827" s="28">
        <v>45677</v>
      </c>
      <c r="G6827" t="s" s="11">
        <v>4267</v>
      </c>
      <c r="H6827" t="s" s="43">
        <v>30</v>
      </c>
      <c r="I6827" t="s" s="43">
        <v>30</v>
      </c>
      <c r="J6827" t="s" s="11">
        <v>34225</v>
      </c>
      <c r="K6827" t="s" s="11">
        <v>34226</v>
      </c>
      <c r="L6827" s="17">
        <f>HYPERLINK("http://www.trata.com", "www.trata.com")</f>
      </c>
      <c r="M6827" s="17">
        <f>HYPERLINK("https://my.pitchbook.com?c=746580-16", "View Company Online")</f>
      </c>
    </row>
    <row r="6828">
      <c r="A6828" t="s" s="10">
        <v>34228</v>
      </c>
      <c r="B6828" t="s" s="10">
        <v>34229</v>
      </c>
      <c r="C6828" t="s" s="10">
        <v>128</v>
      </c>
      <c r="D6828" t="s" s="10">
        <v>199</v>
      </c>
      <c r="E6828" t="s" s="10">
        <v>193</v>
      </c>
      <c r="F6828" s="27">
        <v>45870</v>
      </c>
      <c r="G6828" t="s" s="10">
        <v>146</v>
      </c>
      <c r="H6828" t="s" s="42">
        <v>30</v>
      </c>
      <c r="I6828" t="s" s="42">
        <v>30</v>
      </c>
      <c r="J6828" t="s" s="10">
        <v>34230</v>
      </c>
      <c r="K6828" t="s" s="10">
        <v>34231</v>
      </c>
      <c r="L6828" s="16">
        <f>HYPERLINK("http://www.withprive.com", "www.withprive.com")</f>
      </c>
      <c r="M6828" s="16">
        <f>HYPERLINK("https://my.pitchbook.com?c=905106-61", "View Company Online")</f>
      </c>
    </row>
    <row r="6829">
      <c r="A6829" t="s" s="11">
        <v>34233</v>
      </c>
      <c r="B6829" t="s" s="11">
        <v>34234</v>
      </c>
      <c r="C6829" t="s" s="11">
        <v>27</v>
      </c>
      <c r="D6829" t="s" s="11">
        <v>28</v>
      </c>
      <c r="E6829" t="s" s="11">
        <v>270</v>
      </c>
      <c r="F6829" s="28">
        <v>43466</v>
      </c>
      <c r="G6829" t="s" s="11">
        <v>146</v>
      </c>
      <c r="H6829" s="43">
        <v>14.52</v>
      </c>
      <c r="I6829" t="s" s="43">
        <v>30</v>
      </c>
      <c r="J6829" t="s" s="11">
        <v>34235</v>
      </c>
      <c r="K6829" t="s" s="11">
        <v>34236</v>
      </c>
      <c r="L6829" s="17">
        <f>HYPERLINK("http://www.trawe.cn", "www.trawe.cn")</f>
      </c>
      <c r="M6829" s="17">
        <f>HYPERLINK("https://my.pitchbook.com?c=266012-65", "View Company Online")</f>
      </c>
    </row>
    <row r="6830">
      <c r="A6830" t="s" s="10">
        <v>34238</v>
      </c>
      <c r="B6830" t="s" s="10">
        <v>34239</v>
      </c>
      <c r="C6830" t="s" s="10">
        <v>46</v>
      </c>
      <c r="D6830" t="s" s="10">
        <v>47</v>
      </c>
      <c r="E6830" t="s" s="10">
        <v>193</v>
      </c>
      <c r="F6830" t="s" s="27">
        <v>30</v>
      </c>
      <c r="G6830" t="s" s="10">
        <v>607</v>
      </c>
      <c r="H6830" t="s" s="42">
        <v>30</v>
      </c>
      <c r="I6830" t="s" s="42">
        <v>30</v>
      </c>
      <c r="J6830" t="s" s="10">
        <v>34240</v>
      </c>
      <c r="K6830" t="s" s="10">
        <v>34241</v>
      </c>
      <c r="L6830" s="16">
        <f>HYPERLINK("http://www.trazo.co", "www.trazo.co")</f>
      </c>
      <c r="M6830" s="16">
        <f>HYPERLINK("https://my.pitchbook.com?c=510490-54", "View Company Online")</f>
      </c>
    </row>
    <row r="6831">
      <c r="A6831" t="s" s="11">
        <v>34243</v>
      </c>
      <c r="B6831" t="s" s="11">
        <v>34244</v>
      </c>
      <c r="C6831" t="s" s="11">
        <v>144</v>
      </c>
      <c r="D6831" t="s" s="11">
        <v>297</v>
      </c>
      <c r="E6831" t="s" s="11">
        <v>367</v>
      </c>
      <c r="F6831" s="28">
        <v>45292</v>
      </c>
      <c r="G6831" t="s" s="11">
        <v>40</v>
      </c>
      <c r="H6831" t="s" s="43">
        <v>30</v>
      </c>
      <c r="I6831" t="s" s="43">
        <v>30</v>
      </c>
      <c r="J6831" t="s" s="11">
        <v>34245</v>
      </c>
      <c r="K6831" t="s" s="11">
        <v>34246</v>
      </c>
      <c r="L6831" s="17">
        <f>HYPERLINK("http://www.treasurefi.com", "www.treasurefi.com")</f>
      </c>
      <c r="M6831" s="17">
        <f>HYPERLINK("https://my.pitchbook.com?c=232233-31", "View Company Online")</f>
      </c>
    </row>
    <row r="6832">
      <c r="A6832" t="s" s="10">
        <v>34248</v>
      </c>
      <c r="B6832" t="s" s="10">
        <v>34249</v>
      </c>
      <c r="C6832" t="s" s="10">
        <v>60</v>
      </c>
      <c r="D6832" t="s" s="10">
        <v>727</v>
      </c>
      <c r="E6832" t="s" s="10">
        <v>2411</v>
      </c>
      <c r="F6832" t="s" s="27">
        <v>30</v>
      </c>
      <c r="G6832" t="s" s="10">
        <v>607</v>
      </c>
      <c r="H6832" t="s" s="42">
        <v>30</v>
      </c>
      <c r="I6832" t="s" s="42">
        <v>30</v>
      </c>
      <c r="J6832" t="s" s="10">
        <v>34250</v>
      </c>
      <c r="K6832" t="s" s="10">
        <v>34251</v>
      </c>
      <c r="L6832" s="16">
        <f>HYPERLINK("http://www.treasurer.co.kr", "www.treasurer.co.kr")</f>
      </c>
      <c r="M6832" s="16">
        <f>HYPERLINK("https://my.pitchbook.com?c=467567-74", "View Company Online")</f>
      </c>
    </row>
    <row r="6833">
      <c r="A6833" t="s" s="11">
        <v>34253</v>
      </c>
      <c r="B6833" t="s" s="11">
        <v>34254</v>
      </c>
      <c r="C6833" t="s" s="11">
        <v>164</v>
      </c>
      <c r="D6833" t="s" s="11">
        <v>165</v>
      </c>
      <c r="E6833" t="s" s="11">
        <v>253</v>
      </c>
      <c r="F6833" s="28">
        <v>44301</v>
      </c>
      <c r="G6833" t="s" s="11">
        <v>40</v>
      </c>
      <c r="H6833" s="43">
        <v>0.03</v>
      </c>
      <c r="I6833" t="s" s="43">
        <v>30</v>
      </c>
      <c r="J6833" t="s" s="11">
        <v>34255</v>
      </c>
      <c r="K6833" t="s" s="11">
        <v>30</v>
      </c>
      <c r="L6833" s="17">
        <f>HYPERLINK("http://www.treasurycurve.com", "www.treasurycurve.com")</f>
      </c>
      <c r="M6833" s="17">
        <f>HYPERLINK("https://my.pitchbook.com?c=58183-03", "View Company Online")</f>
      </c>
    </row>
    <row r="6834">
      <c r="A6834" t="s" s="10">
        <v>34257</v>
      </c>
      <c r="B6834" t="s" s="10">
        <v>34258</v>
      </c>
      <c r="C6834" t="s" s="10">
        <v>46</v>
      </c>
      <c r="D6834" t="s" s="10">
        <v>47</v>
      </c>
      <c r="E6834" t="s" s="10">
        <v>373</v>
      </c>
      <c r="F6834" s="27">
        <v>45839</v>
      </c>
      <c r="G6834" t="s" s="10">
        <v>146</v>
      </c>
      <c r="H6834" t="s" s="42">
        <v>30</v>
      </c>
      <c r="I6834" t="s" s="42">
        <v>30</v>
      </c>
      <c r="J6834" t="s" s="10">
        <v>34259</v>
      </c>
      <c r="K6834" t="s" s="10">
        <v>34260</v>
      </c>
      <c r="L6834" s="16">
        <f>HYPERLINK("http://www.treasurypath.com", "www.treasurypath.com")</f>
      </c>
      <c r="M6834" s="16">
        <f>HYPERLINK("https://my.pitchbook.com?c=864830-08", "View Company Online")</f>
      </c>
    </row>
    <row r="6835">
      <c r="A6835" t="s" s="11">
        <v>34262</v>
      </c>
      <c r="B6835" t="s" s="11">
        <v>34263</v>
      </c>
      <c r="C6835" t="s" s="11">
        <v>46</v>
      </c>
      <c r="D6835" t="s" s="11">
        <v>915</v>
      </c>
      <c r="E6835" t="s" s="11">
        <v>690</v>
      </c>
      <c r="F6835" s="28">
        <v>45849</v>
      </c>
      <c r="G6835" t="s" s="11">
        <v>146</v>
      </c>
      <c r="H6835" s="43">
        <v>1.1</v>
      </c>
      <c r="I6835" t="s" s="43">
        <v>30</v>
      </c>
      <c r="J6835" t="s" s="11">
        <v>34264</v>
      </c>
      <c r="K6835" t="s" s="11">
        <v>34265</v>
      </c>
      <c r="L6835" s="17">
        <f>HYPERLINK("http://www.treasy.com", "www.treasy.com")</f>
      </c>
      <c r="M6835" s="17">
        <f>HYPERLINK("https://my.pitchbook.com?c=895040-74", "View Company Online")</f>
      </c>
    </row>
    <row r="6836">
      <c r="A6836" t="s" s="10">
        <v>34267</v>
      </c>
      <c r="B6836" t="s" s="10">
        <v>34268</v>
      </c>
      <c r="C6836" t="s" s="10">
        <v>46</v>
      </c>
      <c r="D6836" t="s" s="10">
        <v>47</v>
      </c>
      <c r="E6836" t="s" s="10">
        <v>1859</v>
      </c>
      <c r="F6836" s="27">
        <v>45383</v>
      </c>
      <c r="G6836" t="s" s="10">
        <v>146</v>
      </c>
      <c r="H6836" t="s" s="42">
        <v>30</v>
      </c>
      <c r="I6836" t="s" s="42">
        <v>30</v>
      </c>
      <c r="J6836" t="s" s="10">
        <v>34269</v>
      </c>
      <c r="K6836" t="s" s="10">
        <v>11316</v>
      </c>
      <c r="L6836" s="16">
        <f>HYPERLINK("http://www.treli.co", "www.treli.co")</f>
      </c>
      <c r="M6836" s="16">
        <f>HYPERLINK("https://my.pitchbook.com?c=594110-80", "View Company Online")</f>
      </c>
    </row>
    <row r="6837">
      <c r="A6837" t="s" s="11">
        <v>34271</v>
      </c>
      <c r="B6837" t="s" s="11">
        <v>34272</v>
      </c>
      <c r="C6837" t="s" s="11">
        <v>164</v>
      </c>
      <c r="D6837" t="s" s="11">
        <v>165</v>
      </c>
      <c r="E6837" t="s" s="11">
        <v>137</v>
      </c>
      <c r="F6837" s="28">
        <v>45225</v>
      </c>
      <c r="G6837" t="s" s="11">
        <v>607</v>
      </c>
      <c r="H6837" t="s" s="43">
        <v>30</v>
      </c>
      <c r="I6837" t="s" s="43">
        <v>30</v>
      </c>
      <c r="J6837" t="s" s="11">
        <v>34273</v>
      </c>
      <c r="K6837" t="s" s="11">
        <v>34274</v>
      </c>
      <c r="L6837" s="17">
        <f>HYPERLINK("http://www.trellis.org", "www.trellis.org")</f>
      </c>
      <c r="M6837" s="17">
        <f>HYPERLINK("https://my.pitchbook.com?c=496020-97", "View Company Online")</f>
      </c>
    </row>
    <row r="6838">
      <c r="A6838" t="s" s="10">
        <v>34276</v>
      </c>
      <c r="B6838" t="s" s="10">
        <v>34277</v>
      </c>
      <c r="C6838" t="s" s="10">
        <v>60</v>
      </c>
      <c r="D6838" t="s" s="10">
        <v>727</v>
      </c>
      <c r="E6838" t="s" s="10">
        <v>270</v>
      </c>
      <c r="F6838" s="27">
        <v>46142</v>
      </c>
      <c r="G6838" t="s" s="10">
        <v>2051</v>
      </c>
      <c r="H6838" t="s" s="42">
        <v>30</v>
      </c>
      <c r="I6838" t="s" s="42">
        <v>30</v>
      </c>
      <c r="J6838" t="s" s="10">
        <v>34278</v>
      </c>
      <c r="K6838" t="s" s="10">
        <v>30</v>
      </c>
      <c r="L6838" s="16">
        <f>HYPERLINK("http://www.trendmover.com", "www.trendmover.com")</f>
      </c>
      <c r="M6838" s="16">
        <f>HYPERLINK("https://my.pitchbook.com?c=819966-34", "View Company Online")</f>
      </c>
    </row>
    <row r="6839">
      <c r="A6839" t="s" s="11">
        <v>34280</v>
      </c>
      <c r="B6839" t="s" s="11">
        <v>34281</v>
      </c>
      <c r="C6839" t="s" s="11">
        <v>37</v>
      </c>
      <c r="D6839" t="s" s="11">
        <v>304</v>
      </c>
      <c r="E6839" t="s" s="11">
        <v>859</v>
      </c>
      <c r="F6839" s="28">
        <v>45933</v>
      </c>
      <c r="G6839" t="s" s="11">
        <v>271</v>
      </c>
      <c r="H6839" s="43">
        <v>1.98</v>
      </c>
      <c r="I6839" t="s" s="43">
        <v>30</v>
      </c>
      <c r="J6839" t="s" s="11">
        <v>34282</v>
      </c>
      <c r="K6839" t="s" s="11">
        <v>34283</v>
      </c>
      <c r="L6839" s="17">
        <f>HYPERLINK("http://www.tria.so", "www.tria.so")</f>
      </c>
      <c r="M6839" s="17">
        <f>HYPERLINK("https://my.pitchbook.com?c=498034-99", "View Company Online")</f>
      </c>
    </row>
    <row r="6840">
      <c r="A6840" t="s" s="10">
        <v>34285</v>
      </c>
      <c r="B6840" t="s" s="10">
        <v>34286</v>
      </c>
      <c r="C6840" t="s" s="10">
        <v>164</v>
      </c>
      <c r="D6840" t="s" s="10">
        <v>165</v>
      </c>
      <c r="E6840" t="s" s="10">
        <v>1964</v>
      </c>
      <c r="F6840" t="s" s="27">
        <v>30</v>
      </c>
      <c r="G6840" t="s" s="10">
        <v>48</v>
      </c>
      <c r="H6840" t="s" s="42">
        <v>30</v>
      </c>
      <c r="I6840" t="s" s="42">
        <v>30</v>
      </c>
      <c r="J6840" t="s" s="10">
        <v>34287</v>
      </c>
      <c r="K6840" t="s" s="10">
        <v>34288</v>
      </c>
      <c r="L6840" s="16">
        <f>HYPERLINK("http://www.tribefintech.com", "www.tribefintech.com")</f>
      </c>
      <c r="M6840" s="16">
        <f>HYPERLINK("https://my.pitchbook.com?c=522653-14", "View Company Online")</f>
      </c>
    </row>
    <row r="6841">
      <c r="A6841" t="s" s="11">
        <v>34290</v>
      </c>
      <c r="B6841" t="s" s="11">
        <v>34291</v>
      </c>
      <c r="C6841" t="s" s="11">
        <v>128</v>
      </c>
      <c r="D6841" t="s" s="11">
        <v>199</v>
      </c>
      <c r="E6841" t="s" s="11">
        <v>137</v>
      </c>
      <c r="F6841" s="28">
        <v>45748</v>
      </c>
      <c r="G6841" t="s" s="11">
        <v>4267</v>
      </c>
      <c r="H6841" t="s" s="43">
        <v>30</v>
      </c>
      <c r="I6841" t="s" s="43">
        <v>30</v>
      </c>
      <c r="J6841" t="s" s="11">
        <v>34292</v>
      </c>
      <c r="K6841" t="s" s="11">
        <v>34293</v>
      </c>
      <c r="L6841" s="17">
        <f>HYPERLINK("http://www.tribe.money", "www.tribe.money")</f>
      </c>
      <c r="M6841" s="17">
        <f>HYPERLINK("https://my.pitchbook.com?c=769831-21", "View Company Online")</f>
      </c>
    </row>
    <row r="6842">
      <c r="A6842" t="s" s="10">
        <v>34295</v>
      </c>
      <c r="B6842" t="s" s="10">
        <v>34296</v>
      </c>
      <c r="C6842" t="s" s="10">
        <v>222</v>
      </c>
      <c r="D6842" t="s" s="10">
        <v>235</v>
      </c>
      <c r="E6842" t="s" s="10">
        <v>253</v>
      </c>
      <c r="F6842" s="27">
        <v>46091</v>
      </c>
      <c r="G6842" t="s" s="10">
        <v>146</v>
      </c>
      <c r="H6842" s="42">
        <v>0.55</v>
      </c>
      <c r="I6842" t="s" s="42">
        <v>30</v>
      </c>
      <c r="J6842" t="s" s="10">
        <v>34297</v>
      </c>
      <c r="K6842" t="s" s="10">
        <v>30</v>
      </c>
      <c r="L6842" s="16">
        <f>HYPERLINK("http://www.tribexa.com", "www.tribexa.com")</f>
      </c>
      <c r="M6842" s="16">
        <f>HYPERLINK("https://my.pitchbook.com?c=483493-51", "View Company Online")</f>
      </c>
    </row>
    <row r="6843">
      <c r="A6843" t="s" s="11">
        <v>34299</v>
      </c>
      <c r="B6843" t="s" s="11">
        <v>34300</v>
      </c>
      <c r="C6843" t="s" s="11">
        <v>60</v>
      </c>
      <c r="D6843" t="s" s="11">
        <v>61</v>
      </c>
      <c r="E6843" t="s" s="11">
        <v>270</v>
      </c>
      <c r="F6843" s="28">
        <v>45827</v>
      </c>
      <c r="G6843" t="s" s="11">
        <v>40</v>
      </c>
      <c r="H6843" s="43">
        <v>1.13</v>
      </c>
      <c r="I6843" t="s" s="43">
        <v>30</v>
      </c>
      <c r="J6843" t="s" s="11">
        <v>34301</v>
      </c>
      <c r="K6843" t="s" s="11">
        <v>34302</v>
      </c>
      <c r="L6843" s="17">
        <f>HYPERLINK("http://www.trii.co", "www.trii.co")</f>
      </c>
      <c r="M6843" s="17">
        <f>HYPERLINK("https://my.pitchbook.com?c=484022-17", "View Company Online")</f>
      </c>
    </row>
    <row r="6844">
      <c r="A6844" t="s" s="10">
        <v>34304</v>
      </c>
      <c r="B6844" t="s" s="10">
        <v>34305</v>
      </c>
      <c r="C6844" t="s" s="10">
        <v>222</v>
      </c>
      <c r="D6844" t="s" s="10">
        <v>223</v>
      </c>
      <c r="E6844" t="s" s="10">
        <v>185</v>
      </c>
      <c r="F6844" s="27">
        <v>44162</v>
      </c>
      <c r="G6844" t="s" s="10">
        <v>4267</v>
      </c>
      <c r="H6844" s="42">
        <v>4</v>
      </c>
      <c r="I6844" t="s" s="42">
        <v>30</v>
      </c>
      <c r="J6844" t="s" s="10">
        <v>34306</v>
      </c>
      <c r="K6844" t="s" s="10">
        <v>34307</v>
      </c>
      <c r="L6844" s="16">
        <f>HYPERLINK("http://www.triton.ai", "www.triton.ai")</f>
      </c>
      <c r="M6844" s="16">
        <f>HYPERLINK("https://my.pitchbook.com?c=58390-21", "View Company Online")</f>
      </c>
    </row>
    <row r="6845">
      <c r="A6845" t="s" s="11">
        <v>34309</v>
      </c>
      <c r="B6845" t="s" s="11">
        <v>34310</v>
      </c>
      <c r="C6845" t="s" s="11">
        <v>46</v>
      </c>
      <c r="D6845" t="s" s="11">
        <v>47</v>
      </c>
      <c r="E6845" t="s" s="11">
        <v>259</v>
      </c>
      <c r="F6845" s="28">
        <v>45581</v>
      </c>
      <c r="G6845" t="s" s="11">
        <v>40</v>
      </c>
      <c r="H6845" s="43">
        <v>23</v>
      </c>
      <c r="I6845" t="s" s="43">
        <v>30</v>
      </c>
      <c r="J6845" t="s" s="11">
        <v>34311</v>
      </c>
      <c r="K6845" t="s" s="11">
        <v>34312</v>
      </c>
      <c r="L6845" s="17">
        <f>HYPERLINK("http://www.trolley.com", "www.trolley.com")</f>
      </c>
      <c r="M6845" s="17">
        <f>HYPERLINK("https://my.pitchbook.com?c=171875-26", "View Company Online")</f>
      </c>
    </row>
    <row r="6846">
      <c r="A6846" t="s" s="10">
        <v>34314</v>
      </c>
      <c r="B6846" t="s" s="10">
        <v>34315</v>
      </c>
      <c r="C6846" t="s" s="10">
        <v>60</v>
      </c>
      <c r="D6846" t="s" s="10">
        <v>246</v>
      </c>
      <c r="E6846" t="s" s="10">
        <v>193</v>
      </c>
      <c r="F6846" s="27">
        <v>46101</v>
      </c>
      <c r="G6846" t="s" s="10">
        <v>4267</v>
      </c>
      <c r="H6846" s="42">
        <v>2.94</v>
      </c>
      <c r="I6846" t="s" s="42">
        <v>30</v>
      </c>
      <c r="J6846" t="s" s="10">
        <v>34316</v>
      </c>
      <c r="K6846" t="s" s="10">
        <v>34317</v>
      </c>
      <c r="L6846" s="16">
        <f>HYPERLINK("http://www.troutwood.com", "www.troutwood.com")</f>
      </c>
      <c r="M6846" s="16">
        <f>HYPERLINK("https://my.pitchbook.com?c=517135-60", "View Company Online")</f>
      </c>
    </row>
    <row r="6847">
      <c r="A6847" t="s" s="11">
        <v>34319</v>
      </c>
      <c r="B6847" t="s" s="11">
        <v>34320</v>
      </c>
      <c r="C6847" t="s" s="11">
        <v>60</v>
      </c>
      <c r="D6847" t="s" s="11">
        <v>61</v>
      </c>
      <c r="E6847" t="s" s="11">
        <v>137</v>
      </c>
      <c r="F6847" s="28">
        <v>44299</v>
      </c>
      <c r="G6847" t="s" s="11">
        <v>146</v>
      </c>
      <c r="H6847" t="s" s="43">
        <v>30</v>
      </c>
      <c r="I6847" t="s" s="43">
        <v>30</v>
      </c>
      <c r="J6847" t="s" s="11">
        <v>34321</v>
      </c>
      <c r="K6847" t="s" s="11">
        <v>34322</v>
      </c>
      <c r="L6847" s="17">
        <f>HYPERLINK("http://www.troygold.app", "www.troygold.app")</f>
      </c>
      <c r="M6847" s="17">
        <f>HYPERLINK("https://my.pitchbook.com?c=464334-13", "View Company Online")</f>
      </c>
    </row>
    <row r="6848">
      <c r="A6848" t="s" s="10">
        <v>34324</v>
      </c>
      <c r="B6848" t="s" s="10">
        <v>34325</v>
      </c>
      <c r="C6848" t="s" s="10">
        <v>164</v>
      </c>
      <c r="D6848" t="s" s="10">
        <v>165</v>
      </c>
      <c r="E6848" t="s" s="10">
        <v>253</v>
      </c>
      <c r="F6848" s="27">
        <v>46071</v>
      </c>
      <c r="G6848" t="s" s="10">
        <v>40</v>
      </c>
      <c r="H6848" s="42">
        <v>2.2</v>
      </c>
      <c r="I6848" t="s" s="42">
        <v>30</v>
      </c>
      <c r="J6848" t="s" s="10">
        <v>34326</v>
      </c>
      <c r="K6848" t="s" s="10">
        <v>34327</v>
      </c>
      <c r="L6848" s="16">
        <f>HYPERLINK("http://www.truboardpartners.com", "www.truboardpartners.com")</f>
      </c>
      <c r="M6848" s="16">
        <f>HYPERLINK("https://my.pitchbook.com?c=501101-29", "View Company Online")</f>
      </c>
    </row>
    <row r="6849">
      <c r="A6849" t="s" s="11">
        <v>34329</v>
      </c>
      <c r="B6849" t="s" s="11">
        <v>34330</v>
      </c>
      <c r="C6849" t="s" s="11">
        <v>164</v>
      </c>
      <c r="D6849" t="s" s="11">
        <v>165</v>
      </c>
      <c r="E6849" t="s" s="11">
        <v>253</v>
      </c>
      <c r="F6849" s="28">
        <v>45292</v>
      </c>
      <c r="G6849" t="s" s="11">
        <v>146</v>
      </c>
      <c r="H6849" t="s" s="43">
        <v>30</v>
      </c>
      <c r="I6849" t="s" s="43">
        <v>30</v>
      </c>
      <c r="J6849" t="s" s="11">
        <v>34331</v>
      </c>
      <c r="K6849" t="s" s="11">
        <v>34332</v>
      </c>
      <c r="L6849" s="17">
        <f>HYPERLINK("http://www.truedigitalgroup.com", "www.truedigitalgroup.com")</f>
      </c>
      <c r="M6849" s="17">
        <f>HYPERLINK("https://my.pitchbook.com?c=530704-45", "View Company Online")</f>
      </c>
    </row>
    <row r="6850">
      <c r="A6850" t="s" s="10">
        <v>34334</v>
      </c>
      <c r="B6850" t="s" s="10">
        <v>34335</v>
      </c>
      <c r="C6850" t="s" s="10">
        <v>46</v>
      </c>
      <c r="D6850" t="s" s="10">
        <v>47</v>
      </c>
      <c r="E6850" t="s" s="10">
        <v>116</v>
      </c>
      <c r="F6850" s="27">
        <v>45839</v>
      </c>
      <c r="G6850" t="s" s="10">
        <v>40</v>
      </c>
      <c r="H6850" t="s" s="42">
        <v>30</v>
      </c>
      <c r="I6850" t="s" s="42">
        <v>30</v>
      </c>
      <c r="J6850" t="s" s="10">
        <v>34336</v>
      </c>
      <c r="K6850" t="s" s="10">
        <v>34337</v>
      </c>
      <c r="L6850" s="16">
        <f>HYPERLINK("http://www.trueml.co", "www.trueml.co")</f>
      </c>
      <c r="M6850" s="16">
        <f>HYPERLINK("https://my.pitchbook.com?c=93116-62", "View Company Online")</f>
      </c>
    </row>
    <row r="6851">
      <c r="A6851" t="s" s="11">
        <v>34339</v>
      </c>
      <c r="B6851" t="s" s="11">
        <v>34340</v>
      </c>
      <c r="C6851" t="s" s="11">
        <v>114</v>
      </c>
      <c r="D6851" t="s" s="11">
        <v>136</v>
      </c>
      <c r="E6851" t="s" s="11">
        <v>137</v>
      </c>
      <c r="F6851" s="28">
        <v>44317</v>
      </c>
      <c r="G6851" t="s" s="11">
        <v>40</v>
      </c>
      <c r="H6851" t="s" s="43">
        <v>30</v>
      </c>
      <c r="I6851" t="s" s="43">
        <v>30</v>
      </c>
      <c r="J6851" t="s" s="11">
        <v>34341</v>
      </c>
      <c r="K6851" t="s" s="11">
        <v>34342</v>
      </c>
      <c r="L6851" s="17">
        <f>HYPERLINK("http://www.truepillars.com", "www.truepillars.com")</f>
      </c>
      <c r="M6851" s="17">
        <f>HYPERLINK("https://my.pitchbook.com?c=439087-78", "View Company Online")</f>
      </c>
    </row>
    <row r="6852">
      <c r="A6852" t="s" s="10">
        <v>34344</v>
      </c>
      <c r="B6852" t="s" s="10">
        <v>34345</v>
      </c>
      <c r="C6852" t="s" s="10">
        <v>46</v>
      </c>
      <c r="D6852" t="s" s="10">
        <v>915</v>
      </c>
      <c r="E6852" t="s" s="10">
        <v>414</v>
      </c>
      <c r="F6852" s="27">
        <v>46030</v>
      </c>
      <c r="G6852" t="s" s="10">
        <v>4267</v>
      </c>
      <c r="H6852" t="s" s="42">
        <v>30</v>
      </c>
      <c r="I6852" t="s" s="42">
        <v>30</v>
      </c>
      <c r="J6852" t="s" s="10">
        <v>34346</v>
      </c>
      <c r="K6852" t="s" s="10">
        <v>34347</v>
      </c>
      <c r="L6852" s="16">
        <f>HYPERLINK("http://www.trufflepig.ai", "www.trufflepig.ai")</f>
      </c>
      <c r="M6852" s="16">
        <f>HYPERLINK("https://my.pitchbook.com?c=965072-53", "View Company Online")</f>
      </c>
    </row>
    <row r="6853">
      <c r="A6853" t="s" s="11">
        <v>34349</v>
      </c>
      <c r="B6853" t="s" s="11">
        <v>34350</v>
      </c>
      <c r="C6853" t="s" s="11">
        <v>164</v>
      </c>
      <c r="D6853" t="s" s="11">
        <v>206</v>
      </c>
      <c r="E6853" t="s" s="11">
        <v>253</v>
      </c>
      <c r="F6853" s="28">
        <v>45139</v>
      </c>
      <c r="G6853" t="s" s="11">
        <v>40</v>
      </c>
      <c r="H6853" s="43">
        <v>1</v>
      </c>
      <c r="I6853" t="s" s="43">
        <v>30</v>
      </c>
      <c r="J6853" t="s" s="11">
        <v>34351</v>
      </c>
      <c r="K6853" t="s" s="11">
        <v>34352</v>
      </c>
      <c r="L6853" s="17">
        <f>HYPERLINK("http://www.truid.co.za", "www.truid.co.za")</f>
      </c>
      <c r="M6853" s="17">
        <f>HYPERLINK("https://my.pitchbook.com?c=435962-26", "View Company Online")</f>
      </c>
    </row>
    <row r="6854">
      <c r="A6854" t="s" s="10">
        <v>34354</v>
      </c>
      <c r="B6854" t="s" s="10">
        <v>34355</v>
      </c>
      <c r="C6854" t="s" s="10">
        <v>164</v>
      </c>
      <c r="D6854" t="s" s="10">
        <v>165</v>
      </c>
      <c r="E6854" t="s" s="10">
        <v>414</v>
      </c>
      <c r="F6854" s="27">
        <v>45747</v>
      </c>
      <c r="G6854" t="s" s="10">
        <v>607</v>
      </c>
      <c r="H6854" t="s" s="42">
        <v>30</v>
      </c>
      <c r="I6854" t="s" s="42">
        <v>30</v>
      </c>
      <c r="J6854" t="s" s="10">
        <v>34356</v>
      </c>
      <c r="K6854" t="s" s="10">
        <v>34357</v>
      </c>
      <c r="L6854" s="16">
        <f>HYPERLINK("http://www.trullion.com", "www.trullion.com")</f>
      </c>
      <c r="M6854" s="16">
        <f>HYPERLINK("https://my.pitchbook.com?c=442362-34", "View Company Online")</f>
      </c>
    </row>
    <row r="6855">
      <c r="A6855" t="s" s="11">
        <v>34359</v>
      </c>
      <c r="B6855" t="s" s="11">
        <v>34360</v>
      </c>
      <c r="C6855" t="s" s="11">
        <v>144</v>
      </c>
      <c r="D6855" t="s" s="11">
        <v>38</v>
      </c>
      <c r="E6855" t="s" s="11">
        <v>1207</v>
      </c>
      <c r="F6855" t="s" s="28">
        <v>30</v>
      </c>
      <c r="G6855" t="s" s="11">
        <v>48</v>
      </c>
      <c r="H6855" t="s" s="43">
        <v>30</v>
      </c>
      <c r="I6855" t="s" s="43">
        <v>30</v>
      </c>
      <c r="J6855" t="s" s="11">
        <v>34361</v>
      </c>
      <c r="K6855" t="s" s="11">
        <v>34362</v>
      </c>
      <c r="L6855" s="17">
        <f>HYPERLINK("http://www.trulyfinancial.com", "www.trulyfinancial.com")</f>
      </c>
      <c r="M6855" s="17">
        <f>HYPERLINK("https://my.pitchbook.com?c=491151-34", "View Company Online")</f>
      </c>
    </row>
    <row r="6856">
      <c r="A6856" t="s" s="10">
        <v>34364</v>
      </c>
      <c r="B6856" t="s" s="10">
        <v>34365</v>
      </c>
      <c r="C6856" t="s" s="10">
        <v>60</v>
      </c>
      <c r="D6856" t="s" s="10">
        <v>432</v>
      </c>
      <c r="E6856" t="s" s="10">
        <v>137</v>
      </c>
      <c r="F6856" s="27">
        <v>45316</v>
      </c>
      <c r="G6856" t="s" s="10">
        <v>40</v>
      </c>
      <c r="H6856" t="s" s="42">
        <v>30</v>
      </c>
      <c r="I6856" t="s" s="42">
        <v>30</v>
      </c>
      <c r="J6856" t="s" s="10">
        <v>34366</v>
      </c>
      <c r="K6856" t="s" s="10">
        <v>34367</v>
      </c>
      <c r="L6856" s="16">
        <f>HYPERLINK("http://www.trumgu.com", "www.trumgu.com")</f>
      </c>
      <c r="M6856" s="16">
        <f>HYPERLINK("https://my.pitchbook.com?c=443348-74", "View Company Online")</f>
      </c>
    </row>
    <row r="6857">
      <c r="A6857" t="s" s="11">
        <v>34369</v>
      </c>
      <c r="B6857" t="s" s="11">
        <v>34370</v>
      </c>
      <c r="C6857" t="s" s="11">
        <v>27</v>
      </c>
      <c r="D6857" t="s" s="11">
        <v>70</v>
      </c>
      <c r="E6857" t="s" s="11">
        <v>137</v>
      </c>
      <c r="F6857" s="28">
        <v>45597</v>
      </c>
      <c r="G6857" t="s" s="11">
        <v>146</v>
      </c>
      <c r="H6857" t="s" s="43">
        <v>30</v>
      </c>
      <c r="I6857" t="s" s="43">
        <v>30</v>
      </c>
      <c r="J6857" t="s" s="11">
        <v>34371</v>
      </c>
      <c r="K6857" t="s" s="11">
        <v>34372</v>
      </c>
      <c r="L6857" s="17">
        <f>HYPERLINK("http://trust-and-trust.com", "trust-and-trust.com")</f>
      </c>
      <c r="M6857" s="17">
        <f>HYPERLINK("https://my.pitchbook.com?c=708073-84", "View Company Online")</f>
      </c>
    </row>
    <row r="6858">
      <c r="A6858" t="s" s="10">
        <v>34374</v>
      </c>
      <c r="B6858" t="s" s="10">
        <v>34375</v>
      </c>
      <c r="C6858" t="s" s="10">
        <v>114</v>
      </c>
      <c r="D6858" t="s" s="10">
        <v>136</v>
      </c>
      <c r="E6858" t="s" s="10">
        <v>137</v>
      </c>
      <c r="F6858" s="27">
        <v>44197</v>
      </c>
      <c r="G6858" t="s" s="10">
        <v>4267</v>
      </c>
      <c r="H6858" t="s" s="42">
        <v>30</v>
      </c>
      <c r="I6858" t="s" s="42">
        <v>30</v>
      </c>
      <c r="J6858" t="s" s="10">
        <v>34376</v>
      </c>
      <c r="K6858" t="s" s="10">
        <v>34377</v>
      </c>
      <c r="L6858" s="16">
        <f>HYPERLINK("http://thfs.finance", "thfs.finance")</f>
      </c>
      <c r="M6858" s="16">
        <f>HYPERLINK("https://my.pitchbook.com?c=522665-65", "View Company Online")</f>
      </c>
    </row>
    <row r="6859">
      <c r="A6859" t="s" s="11">
        <v>34379</v>
      </c>
      <c r="B6859" t="s" s="11">
        <v>34380</v>
      </c>
      <c r="C6859" t="s" s="11">
        <v>172</v>
      </c>
      <c r="D6859" t="s" s="11">
        <v>173</v>
      </c>
      <c r="E6859" t="s" s="11">
        <v>34381</v>
      </c>
      <c r="F6859" s="28">
        <v>45417</v>
      </c>
      <c r="G6859" t="s" s="11">
        <v>607</v>
      </c>
      <c r="H6859" t="s" s="43">
        <v>30</v>
      </c>
      <c r="I6859" t="s" s="43">
        <v>30</v>
      </c>
      <c r="J6859" t="s" s="11">
        <v>34382</v>
      </c>
      <c r="K6859" t="s" s="11">
        <v>34383</v>
      </c>
      <c r="L6859" s="17">
        <f>HYPERLINK("http://www.trustmi.ai", "www.trustmi.ai")</f>
      </c>
      <c r="M6859" s="17">
        <f>HYPERLINK("https://my.pitchbook.com?c=521679-97", "View Company Online")</f>
      </c>
    </row>
    <row r="6860">
      <c r="A6860" t="s" s="10">
        <v>34385</v>
      </c>
      <c r="B6860" t="s" s="10">
        <v>34386</v>
      </c>
      <c r="C6860" t="s" s="10">
        <v>164</v>
      </c>
      <c r="D6860" t="s" s="10">
        <v>206</v>
      </c>
      <c r="E6860" t="s" s="10">
        <v>193</v>
      </c>
      <c r="F6860" s="27">
        <v>44623</v>
      </c>
      <c r="G6860" t="s" s="10">
        <v>146</v>
      </c>
      <c r="H6860" s="42">
        <v>25</v>
      </c>
      <c r="I6860" t="s" s="42">
        <v>30</v>
      </c>
      <c r="J6860" t="s" s="10">
        <v>34387</v>
      </c>
      <c r="K6860" t="s" s="10">
        <v>34388</v>
      </c>
      <c r="L6860" s="16">
        <f>HYPERLINK("http://www.truv.com", "www.truv.com")</f>
      </c>
      <c r="M6860" s="16">
        <f>HYPERLINK("https://my.pitchbook.com?c=442651-96", "View Company Online")</f>
      </c>
    </row>
    <row r="6861">
      <c r="A6861" t="s" s="11">
        <v>34390</v>
      </c>
      <c r="B6861" t="s" s="11">
        <v>34391</v>
      </c>
      <c r="C6861" t="s" s="11">
        <v>114</v>
      </c>
      <c r="D6861" t="s" s="11">
        <v>115</v>
      </c>
      <c r="E6861" t="s" s="11">
        <v>3433</v>
      </c>
      <c r="F6861" s="28">
        <v>45244</v>
      </c>
      <c r="G6861" t="s" s="11">
        <v>146</v>
      </c>
      <c r="H6861" t="s" s="43">
        <v>30</v>
      </c>
      <c r="I6861" t="s" s="43">
        <v>30</v>
      </c>
      <c r="J6861" t="s" s="11">
        <v>34392</v>
      </c>
      <c r="K6861" t="s" s="11">
        <v>30</v>
      </c>
      <c r="L6861" s="17">
        <f>HYPERLINK("http://www.truvion.com", "www.truvion.com")</f>
      </c>
      <c r="M6861" s="17">
        <f>HYPERLINK("https://my.pitchbook.com?c=537526-27", "View Company Online")</f>
      </c>
    </row>
    <row r="6862">
      <c r="A6862" t="s" s="10">
        <v>34394</v>
      </c>
      <c r="B6862" t="s" s="10">
        <v>34395</v>
      </c>
      <c r="C6862" t="s" s="10">
        <v>172</v>
      </c>
      <c r="D6862" t="s" s="10">
        <v>338</v>
      </c>
      <c r="E6862" t="s" s="10">
        <v>493</v>
      </c>
      <c r="F6862" s="27">
        <v>45084</v>
      </c>
      <c r="G6862" t="s" s="10">
        <v>4267</v>
      </c>
      <c r="H6862" s="42">
        <v>8.64</v>
      </c>
      <c r="I6862" t="s" s="42">
        <v>30</v>
      </c>
      <c r="J6862" t="s" s="10">
        <v>34396</v>
      </c>
      <c r="K6862" t="s" s="10">
        <v>34397</v>
      </c>
      <c r="L6862" s="16">
        <f>HYPERLINK("http://www.truvity.com", "www.truvity.com")</f>
      </c>
      <c r="M6862" s="16">
        <f>HYPERLINK("https://my.pitchbook.com?c=513414-73", "View Company Online")</f>
      </c>
    </row>
    <row r="6863">
      <c r="A6863" t="s" s="11">
        <v>34399</v>
      </c>
      <c r="B6863" t="s" s="11">
        <v>34400</v>
      </c>
      <c r="C6863" t="s" s="11">
        <v>27</v>
      </c>
      <c r="D6863" t="s" s="11">
        <v>122</v>
      </c>
      <c r="E6863" t="s" s="11">
        <v>859</v>
      </c>
      <c r="F6863" s="28">
        <v>45578</v>
      </c>
      <c r="G6863" t="s" s="11">
        <v>146</v>
      </c>
      <c r="H6863" t="s" s="43">
        <v>30</v>
      </c>
      <c r="I6863" t="s" s="43">
        <v>30</v>
      </c>
      <c r="J6863" t="s" s="11">
        <v>34401</v>
      </c>
      <c r="K6863" t="s" s="11">
        <v>34402</v>
      </c>
      <c r="L6863" s="17">
        <f>HYPERLINK("http://tsfc.io", "tsfc.io")</f>
      </c>
      <c r="M6863" s="17">
        <f>HYPERLINK("https://my.pitchbook.com?c=690788-98", "View Company Online")</f>
      </c>
    </row>
    <row r="6864">
      <c r="A6864" t="s" s="10">
        <v>34404</v>
      </c>
      <c r="B6864" t="s" s="10">
        <v>34405</v>
      </c>
      <c r="C6864" t="s" s="10">
        <v>172</v>
      </c>
      <c r="D6864" t="s" s="10">
        <v>173</v>
      </c>
      <c r="E6864" t="s" s="10">
        <v>6783</v>
      </c>
      <c r="F6864" s="27">
        <v>45988</v>
      </c>
      <c r="G6864" t="s" s="10">
        <v>4267</v>
      </c>
      <c r="H6864" s="42">
        <v>6</v>
      </c>
      <c r="I6864" t="s" s="42">
        <v>30</v>
      </c>
      <c r="J6864" t="s" s="10">
        <v>34406</v>
      </c>
      <c r="K6864" t="s" s="10">
        <v>34407</v>
      </c>
      <c r="L6864" s="16">
        <f>HYPERLINK("http://www.tuhk.com", "www.tuhk.com")</f>
      </c>
      <c r="M6864" s="16">
        <f>HYPERLINK("https://my.pitchbook.com?c=1158627-43", "View Company Online")</f>
      </c>
    </row>
    <row r="6865">
      <c r="A6865" t="s" s="11">
        <v>34409</v>
      </c>
      <c r="B6865" t="s" s="11">
        <v>34410</v>
      </c>
      <c r="C6865" t="s" s="11">
        <v>128</v>
      </c>
      <c r="D6865" t="s" s="11">
        <v>199</v>
      </c>
      <c r="E6865" t="s" s="11">
        <v>193</v>
      </c>
      <c r="F6865" s="28">
        <v>45085</v>
      </c>
      <c r="G6865" t="s" s="11">
        <v>607</v>
      </c>
      <c r="H6865" s="43">
        <v>0.01</v>
      </c>
      <c r="I6865" t="s" s="43">
        <v>30</v>
      </c>
      <c r="J6865" t="s" s="11">
        <v>34411</v>
      </c>
      <c r="K6865" t="s" s="11">
        <v>34412</v>
      </c>
      <c r="L6865" s="17">
        <f>HYPERLINK("http://www.tulix.app", "www.tulix.app")</f>
      </c>
      <c r="M6865" s="17">
        <f>HYPERLINK("https://my.pitchbook.com?c=493228-63", "View Company Online")</f>
      </c>
    </row>
    <row r="6866">
      <c r="A6866" t="s" s="10">
        <v>34414</v>
      </c>
      <c r="B6866" t="s" s="10">
        <v>34415</v>
      </c>
      <c r="C6866" t="s" s="10">
        <v>27</v>
      </c>
      <c r="D6866" t="s" s="10">
        <v>28</v>
      </c>
      <c r="E6866" t="s" s="10">
        <v>158</v>
      </c>
      <c r="F6866" s="27">
        <v>45099</v>
      </c>
      <c r="G6866" t="s" s="10">
        <v>146</v>
      </c>
      <c r="H6866" s="42">
        <v>0.5</v>
      </c>
      <c r="I6866" t="s" s="42">
        <v>30</v>
      </c>
      <c r="J6866" t="s" s="10">
        <v>34416</v>
      </c>
      <c r="K6866" t="s" s="10">
        <v>34417</v>
      </c>
      <c r="L6866" s="16">
        <f>HYPERLINK("http://tumatap.com", "tumatap.com")</f>
      </c>
      <c r="M6866" s="16">
        <f>HYPERLINK("https://my.pitchbook.com?c=529831-81", "View Company Online")</f>
      </c>
    </row>
    <row r="6867">
      <c r="A6867" t="s" s="11">
        <v>34419</v>
      </c>
      <c r="B6867" t="s" s="11">
        <v>34420</v>
      </c>
      <c r="C6867" t="s" s="11">
        <v>37</v>
      </c>
      <c r="D6867" t="s" s="11">
        <v>38</v>
      </c>
      <c r="E6867" t="s" s="11">
        <v>253</v>
      </c>
      <c r="F6867" s="28">
        <v>45576</v>
      </c>
      <c r="G6867" t="s" s="11">
        <v>4267</v>
      </c>
      <c r="H6867" s="43">
        <v>2.29</v>
      </c>
      <c r="I6867" t="s" s="43">
        <v>30</v>
      </c>
      <c r="J6867" t="s" s="11">
        <v>34421</v>
      </c>
      <c r="K6867" t="s" s="11">
        <v>34422</v>
      </c>
      <c r="L6867" s="17">
        <f>HYPERLINK("http://www.tumoni.com", "www.tumoni.com")</f>
      </c>
      <c r="M6867" s="17">
        <f>HYPERLINK("https://my.pitchbook.com?c=528191-38", "View Company Online")</f>
      </c>
    </row>
    <row r="6868">
      <c r="A6868" t="s" s="10">
        <v>34424</v>
      </c>
      <c r="B6868" t="s" s="10">
        <v>34425</v>
      </c>
      <c r="C6868" t="s" s="10">
        <v>37</v>
      </c>
      <c r="D6868" t="s" s="10">
        <v>304</v>
      </c>
      <c r="E6868" t="s" s="10">
        <v>253</v>
      </c>
      <c r="F6868" s="27">
        <v>45597</v>
      </c>
      <c r="G6868" t="s" s="10">
        <v>146</v>
      </c>
      <c r="H6868" t="s" s="42">
        <v>30</v>
      </c>
      <c r="I6868" t="s" s="42">
        <v>30</v>
      </c>
      <c r="J6868" t="s" s="10">
        <v>34426</v>
      </c>
      <c r="K6868" t="s" s="10">
        <v>34427</v>
      </c>
      <c r="L6868" s="16">
        <f>HYPERLINK("http://shop.tunzaa.co.tz", "shop.tunzaa.co.tz")</f>
      </c>
      <c r="M6868" s="16">
        <f>HYPERLINK("https://my.pitchbook.com?c=515023-39", "View Company Online")</f>
      </c>
    </row>
    <row r="6869">
      <c r="A6869" t="s" s="11">
        <v>34429</v>
      </c>
      <c r="B6869" t="s" s="11">
        <v>34430</v>
      </c>
      <c r="C6869" t="s" s="11">
        <v>37</v>
      </c>
      <c r="D6869" t="s" s="11">
        <v>304</v>
      </c>
      <c r="E6869" t="s" s="11">
        <v>1207</v>
      </c>
      <c r="F6869" s="28">
        <v>44679</v>
      </c>
      <c r="G6869" t="s" s="11">
        <v>607</v>
      </c>
      <c r="H6869" t="s" s="43">
        <v>30</v>
      </c>
      <c r="I6869" t="s" s="43">
        <v>30</v>
      </c>
      <c r="J6869" t="s" s="11">
        <v>34431</v>
      </c>
      <c r="K6869" t="s" s="11">
        <v>34432</v>
      </c>
      <c r="L6869" s="17">
        <f>HYPERLINK("http://www.tuo.io", "www.tuo.io")</f>
      </c>
      <c r="M6869" s="17">
        <f>HYPERLINK("https://my.pitchbook.com?c=454666-33", "View Company Online")</f>
      </c>
    </row>
    <row r="6870">
      <c r="A6870" t="s" s="10">
        <v>34434</v>
      </c>
      <c r="B6870" t="s" s="10">
        <v>34435</v>
      </c>
      <c r="C6870" t="s" s="10">
        <v>164</v>
      </c>
      <c r="D6870" t="s" s="10">
        <v>165</v>
      </c>
      <c r="E6870" t="s" s="10">
        <v>3320</v>
      </c>
      <c r="F6870" s="27">
        <v>44743</v>
      </c>
      <c r="G6870" t="s" s="10">
        <v>146</v>
      </c>
      <c r="H6870" t="s" s="42">
        <v>30</v>
      </c>
      <c r="I6870" t="s" s="42">
        <v>30</v>
      </c>
      <c r="J6870" t="s" s="10">
        <v>34436</v>
      </c>
      <c r="K6870" t="s" s="10">
        <v>34437</v>
      </c>
      <c r="L6870" s="16">
        <f>HYPERLINK("http://www.tupelosmb.com", "www.tupelosmb.com")</f>
      </c>
      <c r="M6870" s="16">
        <f>HYPERLINK("https://my.pitchbook.com?c=458556-58", "View Company Online")</f>
      </c>
    </row>
    <row r="6871">
      <c r="A6871" t="s" s="11">
        <v>34439</v>
      </c>
      <c r="B6871" t="s" s="11">
        <v>34440</v>
      </c>
      <c r="C6871" t="s" s="11">
        <v>128</v>
      </c>
      <c r="D6871" t="s" s="11">
        <v>199</v>
      </c>
      <c r="E6871" t="s" s="11">
        <v>193</v>
      </c>
      <c r="F6871" s="28">
        <v>45686</v>
      </c>
      <c r="G6871" t="s" s="11">
        <v>391</v>
      </c>
      <c r="H6871" t="s" s="43">
        <v>30</v>
      </c>
      <c r="I6871" t="s" s="43">
        <v>30</v>
      </c>
      <c r="J6871" t="s" s="11">
        <v>34441</v>
      </c>
      <c r="K6871" t="s" s="11">
        <v>34442</v>
      </c>
      <c r="L6871" s="17">
        <f>HYPERLINK("http://www.turan.app", "www.turan.app")</f>
      </c>
      <c r="M6871" s="17">
        <f>HYPERLINK("https://my.pitchbook.com?c=509304-97", "View Company Online")</f>
      </c>
    </row>
    <row r="6872">
      <c r="A6872" t="s" s="10">
        <v>34444</v>
      </c>
      <c r="B6872" t="s" s="10">
        <v>34445</v>
      </c>
      <c r="C6872" t="s" s="10">
        <v>222</v>
      </c>
      <c r="D6872" t="s" s="10">
        <v>235</v>
      </c>
      <c r="E6872" t="s" s="10">
        <v>253</v>
      </c>
      <c r="F6872" t="s" s="27">
        <v>30</v>
      </c>
      <c r="G6872" t="s" s="10">
        <v>31</v>
      </c>
      <c r="H6872" s="42">
        <v>100</v>
      </c>
      <c r="I6872" t="s" s="42">
        <v>30</v>
      </c>
      <c r="J6872" t="s" s="10">
        <v>34446</v>
      </c>
      <c r="K6872" t="s" s="10">
        <v>34447</v>
      </c>
      <c r="L6872" s="16">
        <f>HYPERLINK("http://www.turbine.co", "www.turbine.co")</f>
      </c>
      <c r="M6872" s="16">
        <f>HYPERLINK("https://my.pitchbook.com?c=522635-86", "View Company Online")</f>
      </c>
    </row>
    <row r="6873">
      <c r="A6873" t="s" s="11">
        <v>34449</v>
      </c>
      <c r="B6873" t="s" s="11">
        <v>34450</v>
      </c>
      <c r="C6873" t="s" s="11">
        <v>172</v>
      </c>
      <c r="D6873" t="s" s="11">
        <v>1454</v>
      </c>
      <c r="E6873" t="s" s="11">
        <v>373</v>
      </c>
      <c r="F6873" s="28">
        <v>44624</v>
      </c>
      <c r="G6873" t="s" s="11">
        <v>40</v>
      </c>
      <c r="H6873" s="43">
        <v>4.86</v>
      </c>
      <c r="I6873" t="s" s="43">
        <v>30</v>
      </c>
      <c r="J6873" t="s" s="11">
        <v>34451</v>
      </c>
      <c r="K6873" t="s" s="11">
        <v>34452</v>
      </c>
      <c r="L6873" s="17">
        <f>HYPERLINK("http://www.turingtechnologyassociates.com", "www.turingtechnologyassociates.com")</f>
      </c>
      <c r="M6873" s="17">
        <f>HYPERLINK("https://my.pitchbook.com?c=183176-20", "View Company Online")</f>
      </c>
    </row>
    <row r="6874">
      <c r="A6874" t="s" s="10">
        <v>34454</v>
      </c>
      <c r="B6874" t="s" s="10">
        <v>34455</v>
      </c>
      <c r="C6874" t="s" s="10">
        <v>60</v>
      </c>
      <c r="D6874" t="s" s="10">
        <v>432</v>
      </c>
      <c r="E6874" t="s" s="10">
        <v>137</v>
      </c>
      <c r="F6874" s="27">
        <v>45364</v>
      </c>
      <c r="G6874" t="s" s="10">
        <v>146</v>
      </c>
      <c r="H6874" s="42">
        <v>5.04</v>
      </c>
      <c r="I6874" t="s" s="42">
        <v>30</v>
      </c>
      <c r="J6874" t="s" s="10">
        <v>34456</v>
      </c>
      <c r="K6874" t="s" s="10">
        <v>34457</v>
      </c>
      <c r="L6874" s="16">
        <f>HYPERLINK("http://www.turn2c.com", "www.turn2c.com")</f>
      </c>
      <c r="M6874" s="16">
        <f>HYPERLINK("https://my.pitchbook.com?c=497893-78", "View Company Online")</f>
      </c>
    </row>
    <row r="6875">
      <c r="A6875" t="s" s="11">
        <v>34459</v>
      </c>
      <c r="B6875" t="s" s="11">
        <v>34460</v>
      </c>
      <c r="C6875" t="s" s="11">
        <v>164</v>
      </c>
      <c r="D6875" t="s" s="11">
        <v>165</v>
      </c>
      <c r="E6875" t="s" s="11">
        <v>373</v>
      </c>
      <c r="F6875" s="28">
        <v>45919</v>
      </c>
      <c r="G6875" t="s" s="11">
        <v>607</v>
      </c>
      <c r="H6875" t="s" s="43">
        <v>30</v>
      </c>
      <c r="I6875" t="s" s="43">
        <v>30</v>
      </c>
      <c r="J6875" t="s" s="11">
        <v>34461</v>
      </c>
      <c r="K6875" t="s" s="11">
        <v>34462</v>
      </c>
      <c r="L6875" s="17">
        <f>HYPERLINK("http://www.turnkey-lender.com", "www.turnkey-lender.com")</f>
      </c>
      <c r="M6875" s="17">
        <f>HYPERLINK("https://my.pitchbook.com?c=143477-56", "View Company Online")</f>
      </c>
    </row>
    <row r="6876">
      <c r="A6876" t="s" s="10">
        <v>34464</v>
      </c>
      <c r="B6876" t="s" s="10">
        <v>34465</v>
      </c>
      <c r="C6876" t="s" s="10">
        <v>27</v>
      </c>
      <c r="D6876" t="s" s="10">
        <v>70</v>
      </c>
      <c r="E6876" t="s" s="10">
        <v>137</v>
      </c>
      <c r="F6876" s="27">
        <v>45874</v>
      </c>
      <c r="G6876" t="s" s="10">
        <v>4267</v>
      </c>
      <c r="H6876" s="42">
        <v>1.9</v>
      </c>
      <c r="I6876" t="s" s="42">
        <v>30</v>
      </c>
      <c r="J6876" t="s" s="10">
        <v>34466</v>
      </c>
      <c r="K6876" t="s" s="10">
        <v>34467</v>
      </c>
      <c r="L6876" s="16">
        <f>HYPERLINK("http://www.turnstay.com", "www.turnstay.com")</f>
      </c>
      <c r="M6876" s="16">
        <f>HYPERLINK("https://my.pitchbook.com?c=608157-37", "View Company Online")</f>
      </c>
    </row>
    <row r="6877">
      <c r="A6877" t="s" s="11">
        <v>34469</v>
      </c>
      <c r="B6877" t="s" s="11">
        <v>34470</v>
      </c>
      <c r="C6877" t="s" s="11">
        <v>37</v>
      </c>
      <c r="D6877" t="s" s="11">
        <v>38</v>
      </c>
      <c r="E6877" t="s" s="11">
        <v>116</v>
      </c>
      <c r="F6877" s="28">
        <v>45413</v>
      </c>
      <c r="G6877" t="s" s="11">
        <v>607</v>
      </c>
      <c r="H6877" t="s" s="43">
        <v>30</v>
      </c>
      <c r="I6877" t="s" s="43">
        <v>30</v>
      </c>
      <c r="J6877" t="s" s="11">
        <v>34471</v>
      </c>
      <c r="K6877" t="s" s="11">
        <v>34472</v>
      </c>
      <c r="L6877" s="17">
        <f>HYPERLINK("http://www.twig.ae", "www.twig.ae")</f>
      </c>
      <c r="M6877" s="17">
        <f>HYPERLINK("https://my.pitchbook.com?c=527409-10", "View Company Online")</f>
      </c>
    </row>
    <row r="6878">
      <c r="A6878" t="s" s="10">
        <v>34474</v>
      </c>
      <c r="B6878" t="s" s="10">
        <v>34475</v>
      </c>
      <c r="C6878" t="s" s="10">
        <v>46</v>
      </c>
      <c r="D6878" t="s" s="10">
        <v>47</v>
      </c>
      <c r="E6878" t="s" s="10">
        <v>29</v>
      </c>
      <c r="F6878" s="27">
        <v>45022</v>
      </c>
      <c r="G6878" t="s" s="10">
        <v>607</v>
      </c>
      <c r="H6878" s="42">
        <v>0.5</v>
      </c>
      <c r="I6878" t="s" s="42">
        <v>30</v>
      </c>
      <c r="J6878" t="s" s="10">
        <v>34476</v>
      </c>
      <c r="K6878" t="s" s="10">
        <v>34477</v>
      </c>
      <c r="L6878" s="16">
        <f>HYPERLINK("http://www.backdropagent.com", "www.backdropagent.com")</f>
      </c>
      <c r="M6878" s="16">
        <f>HYPERLINK("https://my.pitchbook.com?c=522949-96", "View Company Online")</f>
      </c>
    </row>
    <row r="6879">
      <c r="A6879" t="s" s="11">
        <v>34479</v>
      </c>
      <c r="B6879" t="s" s="11">
        <v>34480</v>
      </c>
      <c r="C6879" t="s" s="11">
        <v>27</v>
      </c>
      <c r="D6879" t="s" s="11">
        <v>28</v>
      </c>
      <c r="E6879" t="s" s="11">
        <v>373</v>
      </c>
      <c r="F6879" s="28">
        <v>45406</v>
      </c>
      <c r="G6879" t="s" s="11">
        <v>4267</v>
      </c>
      <c r="H6879" t="s" s="43">
        <v>30</v>
      </c>
      <c r="I6879" t="s" s="43">
        <v>30</v>
      </c>
      <c r="J6879" t="s" s="11">
        <v>34481</v>
      </c>
      <c r="K6879" t="s" s="11">
        <v>34482</v>
      </c>
      <c r="L6879" s="17">
        <f>HYPERLINK("http://www.twillpayments.com", "www.twillpayments.com")</f>
      </c>
      <c r="M6879" s="17">
        <f>HYPERLINK("https://my.pitchbook.com?c=596023-57", "View Company Online")</f>
      </c>
    </row>
    <row r="6880">
      <c r="A6880" t="s" s="10">
        <v>34484</v>
      </c>
      <c r="B6880" t="s" s="10">
        <v>34485</v>
      </c>
      <c r="C6880" t="s" s="10">
        <v>144</v>
      </c>
      <c r="D6880" t="s" s="10">
        <v>297</v>
      </c>
      <c r="E6880" t="s" s="10">
        <v>2678</v>
      </c>
      <c r="F6880" s="27">
        <v>46175</v>
      </c>
      <c r="G6880" t="s" s="10">
        <v>40</v>
      </c>
      <c r="H6880" s="42">
        <v>192.6</v>
      </c>
      <c r="I6880" t="s" s="42">
        <v>30</v>
      </c>
      <c r="J6880" t="s" s="10">
        <v>34486</v>
      </c>
      <c r="K6880" t="s" s="10">
        <v>34487</v>
      </c>
      <c r="L6880" s="16">
        <f>HYPERLINK("http://www.twincocapital.com", "www.twincocapital.com")</f>
      </c>
      <c r="M6880" s="16">
        <f>HYPERLINK("https://my.pitchbook.com?c=169130-44", "View Company Online")</f>
      </c>
    </row>
    <row r="6881">
      <c r="A6881" t="s" s="11">
        <v>34489</v>
      </c>
      <c r="B6881" t="s" s="11">
        <v>34490</v>
      </c>
      <c r="C6881" t="s" s="11">
        <v>46</v>
      </c>
      <c r="D6881" t="s" s="11">
        <v>47</v>
      </c>
      <c r="E6881" t="s" s="11">
        <v>253</v>
      </c>
      <c r="F6881" s="28">
        <v>44958</v>
      </c>
      <c r="G6881" t="s" s="11">
        <v>146</v>
      </c>
      <c r="H6881" t="s" s="43">
        <v>30</v>
      </c>
      <c r="I6881" t="s" s="43">
        <v>30</v>
      </c>
      <c r="J6881" t="s" s="11">
        <v>34491</v>
      </c>
      <c r="K6881" t="s" s="11">
        <v>34492</v>
      </c>
      <c r="L6881" s="17">
        <f>HYPERLINK("http://www.twisp.com", "www.twisp.com")</f>
      </c>
      <c r="M6881" s="17">
        <f>HYPERLINK("https://my.pitchbook.com?c=494750-53", "View Company Online")</f>
      </c>
    </row>
    <row r="6882">
      <c r="A6882" t="s" s="10">
        <v>34494</v>
      </c>
      <c r="B6882" t="s" s="10">
        <v>34495</v>
      </c>
      <c r="C6882" t="s" s="10">
        <v>222</v>
      </c>
      <c r="D6882" t="s" s="10">
        <v>223</v>
      </c>
      <c r="E6882" t="s" s="10">
        <v>634</v>
      </c>
      <c r="F6882" s="27">
        <v>46154</v>
      </c>
      <c r="G6882" t="s" s="10">
        <v>4267</v>
      </c>
      <c r="H6882" s="42">
        <v>1.76</v>
      </c>
      <c r="I6882" t="s" s="42">
        <v>30</v>
      </c>
      <c r="J6882" t="s" s="10">
        <v>34496</v>
      </c>
      <c r="K6882" t="s" s="10">
        <v>34497</v>
      </c>
      <c r="L6882" s="16">
        <f>HYPERLINK("http://www.twoway.finance", "www.twoway.finance")</f>
      </c>
      <c r="M6882" s="16">
        <f>HYPERLINK("https://my.pitchbook.com?c=607138-75", "View Company Online")</f>
      </c>
    </row>
    <row r="6883">
      <c r="A6883" t="s" s="11">
        <v>34499</v>
      </c>
      <c r="B6883" t="s" s="11">
        <v>34500</v>
      </c>
      <c r="C6883" t="s" s="11">
        <v>27</v>
      </c>
      <c r="D6883" t="s" s="11">
        <v>28</v>
      </c>
      <c r="E6883" t="s" s="11">
        <v>1065</v>
      </c>
      <c r="F6883" s="28">
        <v>44819</v>
      </c>
      <c r="G6883" t="s" s="11">
        <v>40</v>
      </c>
      <c r="H6883" s="43">
        <v>4.5</v>
      </c>
      <c r="I6883" t="s" s="43">
        <v>30</v>
      </c>
      <c r="J6883" t="s" s="11">
        <v>34501</v>
      </c>
      <c r="K6883" t="s" s="11">
        <v>30</v>
      </c>
      <c r="L6883" s="17">
        <f>HYPERLINK("http://www.ubiipagos.com", "www.ubiipagos.com")</f>
      </c>
      <c r="M6883" s="17">
        <f>HYPERLINK("https://my.pitchbook.com?c=507356-65", "View Company Online")</f>
      </c>
    </row>
    <row r="6884">
      <c r="A6884" t="s" s="10">
        <v>34503</v>
      </c>
      <c r="B6884" t="s" s="10">
        <v>34504</v>
      </c>
      <c r="C6884" t="s" s="10">
        <v>60</v>
      </c>
      <c r="D6884" t="s" s="10">
        <v>420</v>
      </c>
      <c r="E6884" t="s" s="10">
        <v>137</v>
      </c>
      <c r="F6884" s="27">
        <v>43550</v>
      </c>
      <c r="G6884" t="s" s="10">
        <v>40</v>
      </c>
      <c r="H6884" s="42">
        <v>19</v>
      </c>
      <c r="I6884" t="s" s="42">
        <v>30</v>
      </c>
      <c r="J6884" t="s" s="10">
        <v>34505</v>
      </c>
      <c r="K6884" t="s" s="10">
        <v>34506</v>
      </c>
      <c r="L6884" s="16">
        <f>HYPERLINK("http://www.myubiquity.com", "www.myubiquity.com")</f>
      </c>
      <c r="M6884" s="16">
        <f>HYPERLINK("https://my.pitchbook.com?c=55186-93", "View Company Online")</f>
      </c>
    </row>
    <row r="6885">
      <c r="A6885" t="s" s="11">
        <v>34508</v>
      </c>
      <c r="B6885" t="s" s="11">
        <v>34509</v>
      </c>
      <c r="C6885" t="s" s="11">
        <v>222</v>
      </c>
      <c r="D6885" t="s" s="11">
        <v>223</v>
      </c>
      <c r="E6885" t="s" s="11">
        <v>414</v>
      </c>
      <c r="F6885" s="28">
        <v>46093</v>
      </c>
      <c r="G6885" t="s" s="11">
        <v>40</v>
      </c>
      <c r="H6885" s="43">
        <v>12.93</v>
      </c>
      <c r="I6885" t="s" s="43">
        <v>30</v>
      </c>
      <c r="J6885" t="s" s="11">
        <v>34510</v>
      </c>
      <c r="K6885" t="s" s="11">
        <v>34511</v>
      </c>
      <c r="L6885" s="17">
        <f>HYPERLINK("http://www.ultramarin.ai/en", "www.ultramarin.ai/en")</f>
      </c>
      <c r="M6885" s="17">
        <f>HYPERLINK("https://my.pitchbook.com?c=435397-87", "View Company Online")</f>
      </c>
    </row>
    <row r="6886">
      <c r="A6886" t="s" s="10">
        <v>34513</v>
      </c>
      <c r="B6886" t="s" s="10">
        <v>34514</v>
      </c>
      <c r="C6886" t="s" s="10">
        <v>60</v>
      </c>
      <c r="D6886" t="s" s="10">
        <v>246</v>
      </c>
      <c r="E6886" t="s" s="10">
        <v>137</v>
      </c>
      <c r="F6886" s="27">
        <v>45916</v>
      </c>
      <c r="G6886" t="s" s="10">
        <v>40</v>
      </c>
      <c r="H6886" s="42">
        <v>21.75</v>
      </c>
      <c r="I6886" t="s" s="42">
        <v>30</v>
      </c>
      <c r="J6886" t="s" s="10">
        <v>34515</v>
      </c>
      <c r="K6886" t="s" s="10">
        <v>34516</v>
      </c>
      <c r="L6886" s="16">
        <f>HYPERLINK("http://www.ume.com.br", "www.ume.com.br")</f>
      </c>
      <c r="M6886" s="16">
        <f>HYPERLINK("https://my.pitchbook.com?c=494075-35", "View Company Online")</f>
      </c>
    </row>
    <row r="6887">
      <c r="A6887" t="s" s="11">
        <v>34518</v>
      </c>
      <c r="B6887" t="s" s="11">
        <v>34519</v>
      </c>
      <c r="C6887" t="s" s="11">
        <v>128</v>
      </c>
      <c r="D6887" t="s" s="11">
        <v>199</v>
      </c>
      <c r="E6887" t="s" s="11">
        <v>270</v>
      </c>
      <c r="F6887" s="28">
        <v>45551</v>
      </c>
      <c r="G6887" t="s" s="11">
        <v>146</v>
      </c>
      <c r="H6887" s="43">
        <v>0.5</v>
      </c>
      <c r="I6887" t="s" s="43">
        <v>30</v>
      </c>
      <c r="J6887" t="s" s="11">
        <v>34520</v>
      </c>
      <c r="K6887" t="s" s="11">
        <v>34521</v>
      </c>
      <c r="L6887" s="17">
        <f>HYPERLINK("http://www.umrahcash.com", "www.umrahcash.com")</f>
      </c>
      <c r="M6887" s="17">
        <f>HYPERLINK("https://my.pitchbook.com?c=635915-26", "View Company Online")</f>
      </c>
    </row>
    <row r="6888">
      <c r="A6888" t="s" s="10">
        <v>34523</v>
      </c>
      <c r="B6888" t="s" s="10">
        <v>34524</v>
      </c>
      <c r="C6888" t="s" s="10">
        <v>46</v>
      </c>
      <c r="D6888" t="s" s="10">
        <v>915</v>
      </c>
      <c r="E6888" t="s" s="10">
        <v>634</v>
      </c>
      <c r="F6888" s="27">
        <v>46058</v>
      </c>
      <c r="G6888" t="s" s="10">
        <v>4267</v>
      </c>
      <c r="H6888" s="42">
        <v>13</v>
      </c>
      <c r="I6888" t="s" s="42">
        <v>30</v>
      </c>
      <c r="J6888" t="s" s="10">
        <v>34525</v>
      </c>
      <c r="K6888" t="s" s="10">
        <v>34526</v>
      </c>
      <c r="L6888" s="16">
        <f>HYPERLINK("http://www.una.ai", "www.una.ai")</f>
      </c>
      <c r="M6888" s="16">
        <f>HYPERLINK("https://my.pitchbook.com?c=538859-44", "View Company Online")</f>
      </c>
    </row>
    <row r="6889">
      <c r="A6889" t="s" s="11">
        <v>34528</v>
      </c>
      <c r="B6889" t="s" s="11">
        <v>34529</v>
      </c>
      <c r="C6889" t="s" s="11">
        <v>128</v>
      </c>
      <c r="D6889" t="s" s="11">
        <v>129</v>
      </c>
      <c r="E6889" t="s" s="11">
        <v>137</v>
      </c>
      <c r="F6889" t="s" s="28">
        <v>30</v>
      </c>
      <c r="G6889" t="s" s="11">
        <v>48</v>
      </c>
      <c r="H6889" t="s" s="43">
        <v>30</v>
      </c>
      <c r="I6889" t="s" s="43">
        <v>30</v>
      </c>
      <c r="J6889" t="s" s="11">
        <v>34530</v>
      </c>
      <c r="K6889" t="s" s="11">
        <v>34531</v>
      </c>
      <c r="L6889" s="17">
        <f>HYPERLINK("http://www.unbanx.me", "www.unbanx.me")</f>
      </c>
      <c r="M6889" s="17">
        <f>HYPERLINK("https://my.pitchbook.com?c=495693-28", "View Company Online")</f>
      </c>
    </row>
    <row r="6890">
      <c r="A6890" t="s" s="10">
        <v>34533</v>
      </c>
      <c r="B6890" t="s" s="10">
        <v>34534</v>
      </c>
      <c r="C6890" t="s" s="10">
        <v>27</v>
      </c>
      <c r="D6890" t="s" s="10">
        <v>70</v>
      </c>
      <c r="E6890" t="s" s="10">
        <v>859</v>
      </c>
      <c r="F6890" s="27">
        <v>46111</v>
      </c>
      <c r="G6890" t="s" s="10">
        <v>4267</v>
      </c>
      <c r="H6890" s="42">
        <v>20.06</v>
      </c>
      <c r="I6890" t="s" s="42">
        <v>30</v>
      </c>
      <c r="J6890" t="s" s="10">
        <v>34535</v>
      </c>
      <c r="K6890" t="s" s="10">
        <v>34536</v>
      </c>
      <c r="L6890" s="16">
        <f>HYPERLINK("http://www.unblockpay.com", "www.unblockpay.com")</f>
      </c>
      <c r="M6890" s="16">
        <f>HYPERLINK("https://my.pitchbook.com?c=1153377-28", "View Company Online")</f>
      </c>
    </row>
    <row r="6891">
      <c r="A6891" t="s" s="11">
        <v>34538</v>
      </c>
      <c r="B6891" t="s" s="11">
        <v>34539</v>
      </c>
      <c r="C6891" t="s" s="11">
        <v>114</v>
      </c>
      <c r="D6891" t="s" s="11">
        <v>1386</v>
      </c>
      <c r="E6891" t="s" s="11">
        <v>373</v>
      </c>
      <c r="F6891" s="28">
        <v>46108</v>
      </c>
      <c r="G6891" t="s" s="11">
        <v>40</v>
      </c>
      <c r="H6891" s="43">
        <v>2.7</v>
      </c>
      <c r="I6891" t="s" s="43">
        <v>30</v>
      </c>
      <c r="J6891" t="s" s="11">
        <v>34540</v>
      </c>
      <c r="K6891" t="s" s="11">
        <v>34541</v>
      </c>
      <c r="L6891" s="17">
        <f>HYPERLINK("http://www.uncia.ai", "www.uncia.ai")</f>
      </c>
      <c r="M6891" s="17">
        <f>HYPERLINK("https://my.pitchbook.com?c=904218-04", "View Company Online")</f>
      </c>
    </row>
    <row r="6892">
      <c r="A6892" t="s" s="10">
        <v>34543</v>
      </c>
      <c r="B6892" t="s" s="10">
        <v>34544</v>
      </c>
      <c r="C6892" t="s" s="10">
        <v>60</v>
      </c>
      <c r="D6892" t="s" s="10">
        <v>246</v>
      </c>
      <c r="E6892" t="s" s="10">
        <v>116</v>
      </c>
      <c r="F6892" s="27">
        <v>44958</v>
      </c>
      <c r="G6892" t="s" s="10">
        <v>5274</v>
      </c>
      <c r="H6892" s="42">
        <v>0.02</v>
      </c>
      <c r="I6892" t="s" s="42">
        <v>30</v>
      </c>
      <c r="J6892" t="s" s="10">
        <v>34545</v>
      </c>
      <c r="K6892" t="s" s="10">
        <v>34546</v>
      </c>
      <c r="L6892" s="16">
        <f>HYPERLINK("http://www.unhedged.com.au", "www.unhedged.com.au")</f>
      </c>
      <c r="M6892" s="16">
        <f>HYPERLINK("https://my.pitchbook.com?c=465397-57", "View Company Online")</f>
      </c>
    </row>
    <row r="6893">
      <c r="A6893" t="s" s="11">
        <v>34548</v>
      </c>
      <c r="B6893" t="s" s="11">
        <v>34549</v>
      </c>
      <c r="C6893" t="s" s="11">
        <v>60</v>
      </c>
      <c r="D6893" t="s" s="11">
        <v>246</v>
      </c>
      <c r="E6893" t="s" s="11">
        <v>193</v>
      </c>
      <c r="F6893" s="28">
        <v>44650</v>
      </c>
      <c r="G6893" t="s" s="11">
        <v>4267</v>
      </c>
      <c r="H6893" s="43">
        <v>10</v>
      </c>
      <c r="I6893" t="s" s="43">
        <v>30</v>
      </c>
      <c r="J6893" t="s" s="11">
        <v>34550</v>
      </c>
      <c r="K6893" t="s" s="11">
        <v>34551</v>
      </c>
      <c r="L6893" s="17">
        <f>HYPERLINK("http://www.unifimoney.com", "www.unifimoney.com")</f>
      </c>
      <c r="M6893" s="17">
        <f>HYPERLINK("https://my.pitchbook.com?c=435017-89", "View Company Online")</f>
      </c>
    </row>
    <row r="6894">
      <c r="A6894" t="s" s="10">
        <v>34553</v>
      </c>
      <c r="B6894" t="s" s="10">
        <v>34554</v>
      </c>
      <c r="C6894" t="s" s="10">
        <v>164</v>
      </c>
      <c r="D6894" t="s" s="10">
        <v>206</v>
      </c>
      <c r="E6894" t="s" s="10">
        <v>22779</v>
      </c>
      <c r="F6894" s="27">
        <v>46125</v>
      </c>
      <c r="G6894" t="s" s="10">
        <v>146</v>
      </c>
      <c r="H6894" s="42">
        <v>0.55</v>
      </c>
      <c r="I6894" t="s" s="42">
        <v>30</v>
      </c>
      <c r="J6894" t="s" s="10">
        <v>34555</v>
      </c>
      <c r="K6894" t="s" s="10">
        <v>34556</v>
      </c>
      <c r="L6894" s="16">
        <f>HYPERLINK("http://www.unioncredit.app", "www.unioncredit.app")</f>
      </c>
      <c r="M6894" s="16">
        <f>HYPERLINK("https://my.pitchbook.com?c=512146-00", "View Company Online")</f>
      </c>
    </row>
    <row r="6895">
      <c r="A6895" t="s" s="11">
        <v>34558</v>
      </c>
      <c r="B6895" t="s" s="11">
        <v>34559</v>
      </c>
      <c r="C6895" t="s" s="11">
        <v>37</v>
      </c>
      <c r="D6895" t="s" s="11">
        <v>304</v>
      </c>
      <c r="E6895" t="s" s="11">
        <v>859</v>
      </c>
      <c r="F6895" s="28">
        <v>44105</v>
      </c>
      <c r="G6895" t="s" s="11">
        <v>4267</v>
      </c>
      <c r="H6895" s="43">
        <v>3</v>
      </c>
      <c r="I6895" t="s" s="43">
        <v>30</v>
      </c>
      <c r="J6895" t="s" s="11">
        <v>34560</v>
      </c>
      <c r="K6895" t="s" s="11">
        <v>34561</v>
      </c>
      <c r="L6895" s="17">
        <f>HYPERLINK("http://www.union.finance", "www.union.finance")</f>
      </c>
      <c r="M6895" s="17">
        <f>HYPERLINK("https://my.pitchbook.com?c=454672-90", "View Company Online")</f>
      </c>
    </row>
    <row r="6896">
      <c r="A6896" t="s" s="10">
        <v>34563</v>
      </c>
      <c r="B6896" t="s" s="10">
        <v>34564</v>
      </c>
      <c r="C6896" t="s" s="10">
        <v>46</v>
      </c>
      <c r="D6896" t="s" s="10">
        <v>47</v>
      </c>
      <c r="E6896" t="s" s="10">
        <v>373</v>
      </c>
      <c r="F6896" s="27">
        <v>44819</v>
      </c>
      <c r="G6896" t="s" s="10">
        <v>146</v>
      </c>
      <c r="H6896" t="s" s="42">
        <v>30</v>
      </c>
      <c r="I6896" t="s" s="42">
        <v>30</v>
      </c>
      <c r="J6896" t="s" s="10">
        <v>34565</v>
      </c>
      <c r="K6896" t="s" s="10">
        <v>34566</v>
      </c>
      <c r="L6896" s="16">
        <f>HYPERLINK("http://www.unipaas.com", "www.unipaas.com")</f>
      </c>
      <c r="M6896" s="16">
        <f>HYPERLINK("https://my.pitchbook.com?c=458270-20", "View Company Online")</f>
      </c>
    </row>
    <row r="6897">
      <c r="A6897" t="s" s="11">
        <v>34568</v>
      </c>
      <c r="B6897" t="s" s="11">
        <v>34569</v>
      </c>
      <c r="C6897" t="s" s="11">
        <v>222</v>
      </c>
      <c r="D6897" t="s" s="11">
        <v>252</v>
      </c>
      <c r="E6897" t="s" s="11">
        <v>311</v>
      </c>
      <c r="F6897" s="28">
        <v>46093</v>
      </c>
      <c r="G6897" t="s" s="11">
        <v>4267</v>
      </c>
      <c r="H6897" s="43">
        <v>13.33</v>
      </c>
      <c r="I6897" t="s" s="43">
        <v>30</v>
      </c>
      <c r="J6897" t="s" s="11">
        <v>34570</v>
      </c>
      <c r="K6897" t="s" s="11">
        <v>34571</v>
      </c>
      <c r="L6897" s="17">
        <f>HYPERLINK("http://www.unitas.so", "www.unitas.so")</f>
      </c>
      <c r="M6897" s="17">
        <f>HYPERLINK("https://my.pitchbook.com?c=971360-83", "View Company Online")</f>
      </c>
    </row>
    <row r="6898">
      <c r="A6898" t="s" s="10">
        <v>34573</v>
      </c>
      <c r="B6898" t="s" s="10">
        <v>34574</v>
      </c>
      <c r="C6898" t="s" s="10">
        <v>164</v>
      </c>
      <c r="D6898" t="s" s="10">
        <v>165</v>
      </c>
      <c r="E6898" t="s" s="10">
        <v>137</v>
      </c>
      <c r="F6898" s="27">
        <v>45942</v>
      </c>
      <c r="G6898" t="s" s="10">
        <v>40</v>
      </c>
      <c r="H6898" t="s" s="42">
        <v>30</v>
      </c>
      <c r="I6898" t="s" s="42">
        <v>30</v>
      </c>
      <c r="J6898" t="s" s="10">
        <v>34575</v>
      </c>
      <c r="K6898" t="s" s="10">
        <v>34576</v>
      </c>
      <c r="L6898" s="16">
        <f>HYPERLINK("http://www.unitedfintech.com", "www.unitedfintech.com")</f>
      </c>
      <c r="M6898" s="16">
        <f>HYPERLINK("https://my.pitchbook.com?c=453357-64", "View Company Online")</f>
      </c>
    </row>
    <row r="6899">
      <c r="A6899" t="s" s="11">
        <v>34578</v>
      </c>
      <c r="B6899" t="s" s="11">
        <v>34579</v>
      </c>
      <c r="C6899" t="s" s="11">
        <v>60</v>
      </c>
      <c r="D6899" t="s" s="11">
        <v>246</v>
      </c>
      <c r="E6899" t="s" s="11">
        <v>193</v>
      </c>
      <c r="F6899" s="28">
        <v>45593</v>
      </c>
      <c r="G6899" t="s" s="11">
        <v>4267</v>
      </c>
      <c r="H6899" s="43">
        <v>5.14</v>
      </c>
      <c r="I6899" t="s" s="43">
        <v>30</v>
      </c>
      <c r="J6899" t="s" s="11">
        <v>34580</v>
      </c>
      <c r="K6899" t="s" s="11">
        <v>34581</v>
      </c>
      <c r="L6899" s="17">
        <f>HYPERLINK("http://www.unitplus.eu", "www.unitplus.eu")</f>
      </c>
      <c r="M6899" s="17">
        <f>HYPERLINK("https://my.pitchbook.com?c=472494-88", "View Company Online")</f>
      </c>
    </row>
    <row r="6900">
      <c r="A6900" t="s" s="10">
        <v>34583</v>
      </c>
      <c r="B6900" t="s" s="10">
        <v>34584</v>
      </c>
      <c r="C6900" t="s" s="10">
        <v>144</v>
      </c>
      <c r="D6900" t="s" s="10">
        <v>297</v>
      </c>
      <c r="E6900" t="s" s="10">
        <v>253</v>
      </c>
      <c r="F6900" s="27">
        <v>45278</v>
      </c>
      <c r="G6900" t="s" s="10">
        <v>146</v>
      </c>
      <c r="H6900" s="42">
        <v>108.81</v>
      </c>
      <c r="I6900" t="s" s="42">
        <v>30</v>
      </c>
      <c r="J6900" t="s" s="10">
        <v>34585</v>
      </c>
      <c r="K6900" t="s" s="10">
        <v>34586</v>
      </c>
      <c r="L6900" s="16">
        <f>HYPERLINK("http://www.unlimitd.com", "www.unlimitd.com")</f>
      </c>
      <c r="M6900" s="16">
        <f>HYPERLINK("https://my.pitchbook.com?c=484525-45", "View Company Online")</f>
      </c>
    </row>
    <row r="6901">
      <c r="A6901" t="s" s="11">
        <v>34588</v>
      </c>
      <c r="B6901" t="s" s="11">
        <v>34589</v>
      </c>
      <c r="C6901" t="s" s="11">
        <v>114</v>
      </c>
      <c r="D6901" t="s" s="11">
        <v>115</v>
      </c>
      <c r="E6901" t="s" s="11">
        <v>34590</v>
      </c>
      <c r="F6901" s="28">
        <v>43136</v>
      </c>
      <c r="G6901" t="s" s="11">
        <v>40</v>
      </c>
      <c r="H6901" s="43">
        <v>30</v>
      </c>
      <c r="I6901" t="s" s="43">
        <v>30</v>
      </c>
      <c r="J6901" t="s" s="11">
        <v>34591</v>
      </c>
      <c r="K6901" t="s" s="11">
        <v>34592</v>
      </c>
      <c r="L6901" s="17">
        <f>HYPERLINK("http://www.unohomeloans.com.au", "www.unohomeloans.com.au")</f>
      </c>
      <c r="M6901" s="17">
        <f>HYPERLINK("https://my.pitchbook.com?c=61263-73", "View Company Online")</f>
      </c>
    </row>
    <row r="6902">
      <c r="A6902" t="s" s="10">
        <v>34594</v>
      </c>
      <c r="B6902" t="s" s="10">
        <v>34595</v>
      </c>
      <c r="C6902" t="s" s="10">
        <v>144</v>
      </c>
      <c r="D6902" t="s" s="10">
        <v>297</v>
      </c>
      <c r="E6902" t="s" s="10">
        <v>253</v>
      </c>
      <c r="F6902" s="27">
        <v>45839</v>
      </c>
      <c r="G6902" t="s" s="10">
        <v>40</v>
      </c>
      <c r="H6902" t="s" s="42">
        <v>30</v>
      </c>
      <c r="I6902" t="s" s="42">
        <v>30</v>
      </c>
      <c r="J6902" t="s" s="10">
        <v>34596</v>
      </c>
      <c r="K6902" t="s" s="10">
        <v>34597</v>
      </c>
      <c r="L6902" s="16">
        <f>HYPERLINK("http://www.untapped-global.com", "www.untapped-global.com")</f>
      </c>
      <c r="M6902" s="16">
        <f>HYPERLINK("https://my.pitchbook.com?c=484550-65", "View Company Online")</f>
      </c>
    </row>
    <row r="6903">
      <c r="A6903" t="s" s="11">
        <v>34599</v>
      </c>
      <c r="B6903" t="s" s="11">
        <v>34600</v>
      </c>
      <c r="C6903" t="s" s="11">
        <v>60</v>
      </c>
      <c r="D6903" t="s" s="11">
        <v>192</v>
      </c>
      <c r="E6903" t="s" s="11">
        <v>193</v>
      </c>
      <c r="F6903" s="28">
        <v>45962</v>
      </c>
      <c r="G6903" t="s" s="11">
        <v>40</v>
      </c>
      <c r="H6903" t="s" s="43">
        <v>30</v>
      </c>
      <c r="I6903" t="s" s="43">
        <v>30</v>
      </c>
      <c r="J6903" t="s" s="11">
        <v>34601</v>
      </c>
      <c r="K6903" t="s" s="11">
        <v>34602</v>
      </c>
      <c r="L6903" s="17">
        <f>HYPERLINK("http://www.unusualwhales.com", "www.unusualwhales.com")</f>
      </c>
      <c r="M6903" s="17">
        <f>HYPERLINK("https://my.pitchbook.com?c=519751-18", "View Company Online")</f>
      </c>
    </row>
    <row r="6904">
      <c r="A6904" t="s" s="10">
        <v>34604</v>
      </c>
      <c r="B6904" t="s" s="10">
        <v>34605</v>
      </c>
      <c r="C6904" t="s" s="10">
        <v>164</v>
      </c>
      <c r="D6904" t="s" s="10">
        <v>206</v>
      </c>
      <c r="E6904" t="s" s="10">
        <v>759</v>
      </c>
      <c r="F6904" s="27">
        <v>43221</v>
      </c>
      <c r="G6904" t="s" s="10">
        <v>146</v>
      </c>
      <c r="H6904" s="42">
        <v>1.86</v>
      </c>
      <c r="I6904" t="s" s="42">
        <v>30</v>
      </c>
      <c r="J6904" t="s" s="10">
        <v>34606</v>
      </c>
      <c r="K6904" t="s" s="10">
        <v>34607</v>
      </c>
      <c r="L6904" s="16">
        <f>HYPERLINK("http://www.upchina.com", "www.upchina.com")</f>
      </c>
      <c r="M6904" s="16">
        <f>HYPERLINK("https://my.pitchbook.com?c=228891-70", "View Company Online")</f>
      </c>
    </row>
    <row r="6905">
      <c r="A6905" t="s" s="11">
        <v>34609</v>
      </c>
      <c r="B6905" t="s" s="11">
        <v>34610</v>
      </c>
      <c r="C6905" t="s" s="11">
        <v>46</v>
      </c>
      <c r="D6905" t="s" s="11">
        <v>397</v>
      </c>
      <c r="E6905" t="s" s="11">
        <v>414</v>
      </c>
      <c r="F6905" s="28">
        <v>45809</v>
      </c>
      <c r="G6905" t="s" s="11">
        <v>146</v>
      </c>
      <c r="H6905" t="s" s="43">
        <v>30</v>
      </c>
      <c r="I6905" t="s" s="43">
        <v>30</v>
      </c>
      <c r="J6905" t="s" s="11">
        <v>34611</v>
      </c>
      <c r="K6905" t="s" s="11">
        <v>34612</v>
      </c>
      <c r="L6905" s="17">
        <f>HYPERLINK("http://www.tryupdraft.com", "www.tryupdraft.com")</f>
      </c>
      <c r="M6905" s="17">
        <f>HYPERLINK("https://my.pitchbook.com?c=893856-07", "View Company Online")</f>
      </c>
    </row>
    <row r="6906">
      <c r="A6906" t="s" s="10">
        <v>34614</v>
      </c>
      <c r="B6906" t="s" s="10">
        <v>34615</v>
      </c>
      <c r="C6906" t="s" s="10">
        <v>46</v>
      </c>
      <c r="D6906" t="s" s="10">
        <v>47</v>
      </c>
      <c r="E6906" t="s" s="10">
        <v>259</v>
      </c>
      <c r="F6906" t="s" s="27">
        <v>30</v>
      </c>
      <c r="G6906" t="s" s="10">
        <v>31</v>
      </c>
      <c r="H6906" t="s" s="42">
        <v>30</v>
      </c>
      <c r="I6906" t="s" s="42">
        <v>30</v>
      </c>
      <c r="J6906" t="s" s="10">
        <v>34616</v>
      </c>
      <c r="K6906" t="s" s="10">
        <v>34617</v>
      </c>
      <c r="L6906" s="16">
        <f>HYPERLINK("http://www.upflow.io", "www.upflow.io")</f>
      </c>
      <c r="M6906" s="16">
        <f>HYPERLINK("https://my.pitchbook.com?c=268120-18", "View Company Online")</f>
      </c>
    </row>
    <row r="6907">
      <c r="A6907" t="s" s="11">
        <v>34619</v>
      </c>
      <c r="B6907" t="s" s="11">
        <v>34620</v>
      </c>
      <c r="C6907" t="s" s="11">
        <v>46</v>
      </c>
      <c r="D6907" t="s" s="11">
        <v>47</v>
      </c>
      <c r="E6907" t="s" s="11">
        <v>253</v>
      </c>
      <c r="F6907" s="28">
        <v>45931</v>
      </c>
      <c r="G6907" t="s" s="11">
        <v>4267</v>
      </c>
      <c r="H6907" s="43">
        <v>10</v>
      </c>
      <c r="I6907" t="s" s="43">
        <v>30</v>
      </c>
      <c r="J6907" t="s" s="11">
        <v>34621</v>
      </c>
      <c r="K6907" t="s" s="11">
        <v>34622</v>
      </c>
      <c r="L6907" s="17">
        <f>HYPERLINK("http://www.getupfront.io", "www.getupfront.io")</f>
      </c>
      <c r="M6907" s="17">
        <f>HYPERLINK("https://my.pitchbook.com?c=338698-09", "View Company Online")</f>
      </c>
    </row>
    <row r="6908">
      <c r="A6908" t="s" s="10">
        <v>34624</v>
      </c>
      <c r="B6908" t="s" s="10">
        <v>34625</v>
      </c>
      <c r="C6908" t="s" s="10">
        <v>164</v>
      </c>
      <c r="D6908" t="s" s="10">
        <v>206</v>
      </c>
      <c r="E6908" t="s" s="10">
        <v>1032</v>
      </c>
      <c r="F6908" s="27">
        <v>45566</v>
      </c>
      <c r="G6908" t="s" s="10">
        <v>607</v>
      </c>
      <c r="H6908" t="s" s="42">
        <v>30</v>
      </c>
      <c r="I6908" t="s" s="42">
        <v>30</v>
      </c>
      <c r="J6908" t="s" s="10">
        <v>34626</v>
      </c>
      <c r="K6908" t="s" s="10">
        <v>34627</v>
      </c>
      <c r="L6908" s="16">
        <f>HYPERLINK("http://www.myupfront.com", "www.myupfront.com")</f>
      </c>
      <c r="M6908" s="16">
        <f>HYPERLINK("https://my.pitchbook.com?c=600482-80", "View Company Online")</f>
      </c>
    </row>
    <row r="6909">
      <c r="A6909" t="s" s="11">
        <v>34629</v>
      </c>
      <c r="B6909" t="s" s="11">
        <v>34630</v>
      </c>
      <c r="C6909" t="s" s="11">
        <v>27</v>
      </c>
      <c r="D6909" t="s" s="11">
        <v>28</v>
      </c>
      <c r="E6909" t="s" s="11">
        <v>137</v>
      </c>
      <c r="F6909" s="28">
        <v>45341</v>
      </c>
      <c r="G6909" t="s" s="11">
        <v>40</v>
      </c>
      <c r="H6909" s="43">
        <v>1.4</v>
      </c>
      <c r="I6909" t="s" s="43">
        <v>30</v>
      </c>
      <c r="J6909" t="s" s="11">
        <v>34631</v>
      </c>
      <c r="K6909" t="s" s="11">
        <v>28374</v>
      </c>
      <c r="L6909" s="17">
        <f>HYPERLINK("http://www.uphicoo.com", "www.uphicoo.com")</f>
      </c>
      <c r="M6909" s="17">
        <f>HYPERLINK("https://my.pitchbook.com?c=588760-93", "View Company Online")</f>
      </c>
    </row>
    <row r="6910">
      <c r="A6910" t="s" s="10">
        <v>34633</v>
      </c>
      <c r="B6910" t="s" s="10">
        <v>34634</v>
      </c>
      <c r="C6910" t="s" s="10">
        <v>222</v>
      </c>
      <c r="D6910" t="s" s="10">
        <v>235</v>
      </c>
      <c r="E6910" t="s" s="10">
        <v>137</v>
      </c>
      <c r="F6910" s="27">
        <v>44652</v>
      </c>
      <c r="G6910" t="s" s="10">
        <v>4267</v>
      </c>
      <c r="H6910" s="42">
        <v>0.41</v>
      </c>
      <c r="I6910" t="s" s="42">
        <v>30</v>
      </c>
      <c r="J6910" t="s" s="10">
        <v>34635</v>
      </c>
      <c r="K6910" t="s" s="10">
        <v>34636</v>
      </c>
      <c r="L6910" s="16">
        <f>HYPERLINK("http://www.upledge.io", "www.upledge.io")</f>
      </c>
      <c r="M6910" s="16">
        <f>HYPERLINK("https://my.pitchbook.com?c=481816-81", "View Company Online")</f>
      </c>
    </row>
    <row r="6911">
      <c r="A6911" t="s" s="11">
        <v>34638</v>
      </c>
      <c r="B6911" t="s" s="11">
        <v>34639</v>
      </c>
      <c r="C6911" t="s" s="11">
        <v>114</v>
      </c>
      <c r="D6911" t="s" s="11">
        <v>1386</v>
      </c>
      <c r="E6911" t="s" s="11">
        <v>373</v>
      </c>
      <c r="F6911" s="28">
        <v>45658</v>
      </c>
      <c r="G6911" t="s" s="11">
        <v>607</v>
      </c>
      <c r="H6911" t="s" s="43">
        <v>30</v>
      </c>
      <c r="I6911" t="s" s="43">
        <v>30</v>
      </c>
      <c r="J6911" t="s" s="11">
        <v>34640</v>
      </c>
      <c r="K6911" t="s" s="11">
        <v>34641</v>
      </c>
      <c r="L6911" s="17">
        <f>HYPERLINK("http://www.uplinq.co", "www.uplinq.co")</f>
      </c>
      <c r="M6911" s="17">
        <f>HYPERLINK("https://my.pitchbook.com?c=493407-46", "View Company Online")</f>
      </c>
    </row>
    <row r="6912">
      <c r="A6912" t="s" s="10">
        <v>34643</v>
      </c>
      <c r="B6912" t="s" s="10">
        <v>34644</v>
      </c>
      <c r="C6912" t="s" s="10">
        <v>172</v>
      </c>
      <c r="D6912" t="s" s="10">
        <v>338</v>
      </c>
      <c r="E6912" t="s" s="10">
        <v>414</v>
      </c>
      <c r="F6912" s="27">
        <v>45944</v>
      </c>
      <c r="G6912" t="s" s="10">
        <v>146</v>
      </c>
      <c r="H6912" s="42">
        <v>1</v>
      </c>
      <c r="I6912" t="s" s="42">
        <v>30</v>
      </c>
      <c r="J6912" t="s" s="10">
        <v>34645</v>
      </c>
      <c r="K6912" t="s" s="10">
        <v>34646</v>
      </c>
      <c r="L6912" s="16">
        <f>HYPERLINK("http://www.upsonic.ai", "www.upsonic.ai")</f>
      </c>
      <c r="M6912" s="16">
        <f>HYPERLINK("https://my.pitchbook.com?c=617599-09", "View Company Online")</f>
      </c>
    </row>
    <row r="6913">
      <c r="A6913" t="s" s="11">
        <v>34648</v>
      </c>
      <c r="B6913" t="s" s="11">
        <v>34649</v>
      </c>
      <c r="C6913" t="s" s="11">
        <v>60</v>
      </c>
      <c r="D6913" t="s" s="11">
        <v>246</v>
      </c>
      <c r="E6913" t="s" s="11">
        <v>270</v>
      </c>
      <c r="F6913" s="28">
        <v>45852</v>
      </c>
      <c r="G6913" t="s" s="11">
        <v>146</v>
      </c>
      <c r="H6913" s="43">
        <v>3.5</v>
      </c>
      <c r="I6913" t="s" s="43">
        <v>30</v>
      </c>
      <c r="J6913" t="s" s="11">
        <v>34650</v>
      </c>
      <c r="K6913" t="s" s="11">
        <v>30</v>
      </c>
      <c r="L6913" s="17">
        <f>HYPERLINK("http://www.uptomore.com", "www.uptomore.com")</f>
      </c>
      <c r="M6913" s="17">
        <f>HYPERLINK("https://my.pitchbook.com?c=895359-52", "View Company Online")</f>
      </c>
    </row>
    <row r="6914">
      <c r="A6914" t="s" s="10">
        <v>34652</v>
      </c>
      <c r="B6914" t="s" s="10">
        <v>34653</v>
      </c>
      <c r="C6914" t="s" s="10">
        <v>46</v>
      </c>
      <c r="D6914" t="s" s="10">
        <v>47</v>
      </c>
      <c r="E6914" t="s" s="10">
        <v>137</v>
      </c>
      <c r="F6914" s="27">
        <v>45749</v>
      </c>
      <c r="G6914" t="s" s="10">
        <v>4267</v>
      </c>
      <c r="H6914" s="42">
        <v>10.47</v>
      </c>
      <c r="I6914" t="s" s="42">
        <v>30</v>
      </c>
      <c r="J6914" t="s" s="10">
        <v>34654</v>
      </c>
      <c r="K6914" t="s" s="10">
        <v>34655</v>
      </c>
      <c r="L6914" s="16">
        <f>HYPERLINK("http://www.upwell.com", "www.upwell.com")</f>
      </c>
      <c r="M6914" s="16">
        <f>HYPERLINK("https://my.pitchbook.com?c=552759-58", "View Company Online")</f>
      </c>
    </row>
    <row r="6915">
      <c r="A6915" t="s" s="11">
        <v>34657</v>
      </c>
      <c r="B6915" t="s" s="11">
        <v>34658</v>
      </c>
      <c r="C6915" t="s" s="11">
        <v>60</v>
      </c>
      <c r="D6915" t="s" s="11">
        <v>192</v>
      </c>
      <c r="E6915" t="s" s="11">
        <v>137</v>
      </c>
      <c r="F6915" s="28">
        <v>45244</v>
      </c>
      <c r="G6915" t="s" s="11">
        <v>4267</v>
      </c>
      <c r="H6915" s="43">
        <v>1</v>
      </c>
      <c r="I6915" t="s" s="43">
        <v>30</v>
      </c>
      <c r="J6915" t="s" s="11">
        <v>34659</v>
      </c>
      <c r="K6915" t="s" s="11">
        <v>30</v>
      </c>
      <c r="L6915" s="17">
        <f>HYPERLINK("http://www.upworth.com.au", "www.upworth.com.au")</f>
      </c>
      <c r="M6915" s="17">
        <f>HYPERLINK("https://my.pitchbook.com?c=539850-43", "View Company Online")</f>
      </c>
    </row>
    <row r="6916">
      <c r="A6916" t="s" s="10">
        <v>34661</v>
      </c>
      <c r="B6916" t="s" s="10">
        <v>34662</v>
      </c>
      <c r="C6916" t="s" s="10">
        <v>164</v>
      </c>
      <c r="D6916" t="s" s="10">
        <v>165</v>
      </c>
      <c r="E6916" t="s" s="10">
        <v>253</v>
      </c>
      <c r="F6916" s="27">
        <v>45383</v>
      </c>
      <c r="G6916" t="s" s="10">
        <v>146</v>
      </c>
      <c r="H6916" t="s" s="42">
        <v>30</v>
      </c>
      <c r="I6916" t="s" s="42">
        <v>30</v>
      </c>
      <c r="J6916" t="s" s="10">
        <v>34663</v>
      </c>
      <c r="K6916" t="s" s="10">
        <v>21475</v>
      </c>
      <c r="L6916" s="16">
        <f>HYPERLINK("http://www.uqualify.co", "www.uqualify.co")</f>
      </c>
      <c r="M6916" s="16">
        <f>HYPERLINK("https://my.pitchbook.com?c=493332-13", "View Company Online")</f>
      </c>
    </row>
    <row r="6917">
      <c r="A6917" t="s" s="11">
        <v>34665</v>
      </c>
      <c r="B6917" t="s" s="11">
        <v>34666</v>
      </c>
      <c r="C6917" t="s" s="11">
        <v>172</v>
      </c>
      <c r="D6917" t="s" s="11">
        <v>173</v>
      </c>
      <c r="E6917" t="s" s="11">
        <v>5479</v>
      </c>
      <c r="F6917" s="28">
        <v>44910</v>
      </c>
      <c r="G6917" t="s" s="11">
        <v>146</v>
      </c>
      <c r="H6917" t="s" s="43">
        <v>30</v>
      </c>
      <c r="I6917" t="s" s="43">
        <v>30</v>
      </c>
      <c r="J6917" t="s" s="11">
        <v>34667</v>
      </c>
      <c r="K6917" t="s" s="11">
        <v>34668</v>
      </c>
      <c r="L6917" s="17">
        <f>HYPERLINK("http://www.uqudo.com", "www.uqudo.com")</f>
      </c>
      <c r="M6917" s="17">
        <f>HYPERLINK("https://my.pitchbook.com?c=461978-74", "View Company Online")</f>
      </c>
    </row>
    <row r="6918">
      <c r="A6918" t="s" s="10">
        <v>34670</v>
      </c>
      <c r="B6918" t="s" s="10">
        <v>34671</v>
      </c>
      <c r="C6918" t="s" s="10">
        <v>222</v>
      </c>
      <c r="D6918" t="s" s="10">
        <v>537</v>
      </c>
      <c r="E6918" t="s" s="10">
        <v>859</v>
      </c>
      <c r="F6918" s="27">
        <v>45797</v>
      </c>
      <c r="G6918" t="s" s="10">
        <v>4267</v>
      </c>
      <c r="H6918" s="42">
        <v>6.1</v>
      </c>
      <c r="I6918" t="s" s="42">
        <v>30</v>
      </c>
      <c r="J6918" t="s" s="10">
        <v>34672</v>
      </c>
      <c r="K6918" t="s" s="10">
        <v>34673</v>
      </c>
      <c r="L6918" s="16">
        <f>HYPERLINK("http://www.uraniumdigital.com", "www.uraniumdigital.com")</f>
      </c>
      <c r="M6918" s="16">
        <f>HYPERLINK("https://my.pitchbook.com?c=707937-76", "View Company Online")</f>
      </c>
    </row>
    <row r="6919">
      <c r="A6919" t="s" s="11">
        <v>34675</v>
      </c>
      <c r="B6919" t="s" s="11">
        <v>34676</v>
      </c>
      <c r="C6919" t="s" s="11">
        <v>114</v>
      </c>
      <c r="D6919" t="s" s="11">
        <v>115</v>
      </c>
      <c r="E6919" t="s" s="11">
        <v>2782</v>
      </c>
      <c r="F6919" s="28">
        <v>45277</v>
      </c>
      <c r="G6919" t="s" s="11">
        <v>4267</v>
      </c>
      <c r="H6919" s="43">
        <v>2</v>
      </c>
      <c r="I6919" t="s" s="43">
        <v>30</v>
      </c>
      <c r="J6919" t="s" s="11">
        <v>34677</v>
      </c>
      <c r="K6919" t="s" s="11">
        <v>30</v>
      </c>
      <c r="L6919" s="17">
        <f>HYPERLINK("http://www.urbanate.com", "www.urbanate.com")</f>
      </c>
      <c r="M6919" s="17">
        <f>HYPERLINK("https://my.pitchbook.com?c=527645-26", "View Company Online")</f>
      </c>
    </row>
    <row r="6920">
      <c r="A6920" t="s" s="10">
        <v>34679</v>
      </c>
      <c r="B6920" t="s" s="10">
        <v>34680</v>
      </c>
      <c r="C6920" t="s" s="10">
        <v>60</v>
      </c>
      <c r="D6920" t="s" s="10">
        <v>727</v>
      </c>
      <c r="E6920" t="s" s="10">
        <v>130</v>
      </c>
      <c r="F6920" s="27">
        <v>44594</v>
      </c>
      <c r="G6920" t="s" s="10">
        <v>40</v>
      </c>
      <c r="H6920" s="42">
        <v>3.96</v>
      </c>
      <c r="I6920" t="s" s="42">
        <v>30</v>
      </c>
      <c r="J6920" t="s" s="10">
        <v>34681</v>
      </c>
      <c r="K6920" t="s" s="10">
        <v>34682</v>
      </c>
      <c r="L6920" s="16">
        <f>HYPERLINK("http://www.urbanitae.com", "www.urbanitae.com")</f>
      </c>
      <c r="M6920" s="16">
        <f>HYPERLINK("https://my.pitchbook.com?c=230391-01", "View Company Online")</f>
      </c>
    </row>
    <row r="6921">
      <c r="A6921" t="s" s="11">
        <v>34684</v>
      </c>
      <c r="B6921" t="s" s="11">
        <v>34685</v>
      </c>
      <c r="C6921" t="s" s="11">
        <v>27</v>
      </c>
      <c r="D6921" t="s" s="11">
        <v>28</v>
      </c>
      <c r="E6921" t="s" s="11">
        <v>34686</v>
      </c>
      <c r="F6921" s="28">
        <v>45183</v>
      </c>
      <c r="G6921" t="s" s="11">
        <v>40</v>
      </c>
      <c r="H6921" s="43">
        <v>1.3</v>
      </c>
      <c r="I6921" t="s" s="43">
        <v>30</v>
      </c>
      <c r="J6921" t="s" s="11">
        <v>34687</v>
      </c>
      <c r="K6921" t="s" s="11">
        <v>34688</v>
      </c>
      <c r="L6921" s="17">
        <f>HYPERLINK("http://www.urbostudio.com", "www.urbostudio.com")</f>
      </c>
      <c r="M6921" s="17">
        <f>HYPERLINK("https://my.pitchbook.com?c=535560-94", "View Company Online")</f>
      </c>
    </row>
    <row r="6922">
      <c r="A6922" t="s" s="10">
        <v>34690</v>
      </c>
      <c r="B6922" t="s" s="10">
        <v>34691</v>
      </c>
      <c r="C6922" t="s" s="10">
        <v>60</v>
      </c>
      <c r="D6922" t="s" s="10">
        <v>727</v>
      </c>
      <c r="E6922" t="s" s="10">
        <v>137</v>
      </c>
      <c r="F6922" s="27">
        <v>44124</v>
      </c>
      <c r="G6922" t="s" s="10">
        <v>4267</v>
      </c>
      <c r="H6922" s="42">
        <v>1.8</v>
      </c>
      <c r="I6922" t="s" s="42">
        <v>30</v>
      </c>
      <c r="J6922" t="s" s="10">
        <v>34692</v>
      </c>
      <c r="K6922" t="s" s="10">
        <v>30</v>
      </c>
      <c r="L6922" s="16">
        <f>HYPERLINK("http://www.usafricahf.com", "www.usafricahf.com")</f>
      </c>
      <c r="M6922" s="16">
        <f>HYPERLINK("https://my.pitchbook.com?c=442819-18", "View Company Online")</f>
      </c>
    </row>
    <row r="6923">
      <c r="A6923" t="s" s="11">
        <v>34694</v>
      </c>
      <c r="B6923" t="s" s="11">
        <v>34695</v>
      </c>
      <c r="C6923" t="s" s="11">
        <v>46</v>
      </c>
      <c r="D6923" t="s" s="11">
        <v>397</v>
      </c>
      <c r="E6923" t="s" s="11">
        <v>253</v>
      </c>
      <c r="F6923" s="28">
        <v>46082</v>
      </c>
      <c r="G6923" t="s" s="11">
        <v>40</v>
      </c>
      <c r="H6923" t="s" s="43">
        <v>30</v>
      </c>
      <c r="I6923" t="s" s="43">
        <v>30</v>
      </c>
      <c r="J6923" t="s" s="11">
        <v>34696</v>
      </c>
      <c r="K6923" t="s" s="11">
        <v>28311</v>
      </c>
      <c r="L6923" s="17">
        <f>HYPERLINK("http://www.usablebalance.com", "www.usablebalance.com")</f>
      </c>
      <c r="M6923" s="17">
        <f>HYPERLINK("https://my.pitchbook.com?c=1325111-77", "View Company Online")</f>
      </c>
    </row>
    <row r="6924">
      <c r="A6924" t="s" s="10">
        <v>34698</v>
      </c>
      <c r="B6924" t="s" s="10">
        <v>34699</v>
      </c>
      <c r="C6924" t="s" s="10">
        <v>60</v>
      </c>
      <c r="D6924" t="s" s="10">
        <v>432</v>
      </c>
      <c r="E6924" t="s" s="10">
        <v>373</v>
      </c>
      <c r="F6924" s="27">
        <v>45689</v>
      </c>
      <c r="G6924" t="s" s="10">
        <v>4267</v>
      </c>
      <c r="H6924" s="42">
        <v>1.03</v>
      </c>
      <c r="I6924" t="s" s="42">
        <v>30</v>
      </c>
      <c r="J6924" t="s" s="10">
        <v>34700</v>
      </c>
      <c r="K6924" t="s" s="10">
        <v>34701</v>
      </c>
      <c r="L6924" s="16">
        <f>HYPERLINK("http://www.usetoday.io", "www.usetoday.io")</f>
      </c>
      <c r="M6924" s="16">
        <f>HYPERLINK("https://my.pitchbook.com?c=707385-97", "View Company Online")</f>
      </c>
    </row>
    <row r="6925">
      <c r="A6925" t="s" s="11">
        <v>34703</v>
      </c>
      <c r="B6925" t="s" s="11">
        <v>34704</v>
      </c>
      <c r="C6925" t="s" s="11">
        <v>27</v>
      </c>
      <c r="D6925" t="s" s="11">
        <v>70</v>
      </c>
      <c r="E6925" t="s" s="11">
        <v>859</v>
      </c>
      <c r="F6925" s="28">
        <v>46087</v>
      </c>
      <c r="G6925" t="s" s="11">
        <v>4267</v>
      </c>
      <c r="H6925" s="43">
        <v>7.5</v>
      </c>
      <c r="I6925" t="s" s="43">
        <v>30</v>
      </c>
      <c r="J6925" t="s" s="11">
        <v>34705</v>
      </c>
      <c r="K6925" t="s" s="11">
        <v>34706</v>
      </c>
      <c r="L6925" s="17">
        <f>HYPERLINK("http://www.utexo.com", "www.utexo.com")</f>
      </c>
      <c r="M6925" s="17">
        <f>HYPERLINK("https://my.pitchbook.com?c=1234295-92", "View Company Online")</f>
      </c>
    </row>
    <row r="6926">
      <c r="A6926" t="s" s="10">
        <v>34708</v>
      </c>
      <c r="B6926" t="s" s="10">
        <v>34709</v>
      </c>
      <c r="C6926" t="s" s="10">
        <v>114</v>
      </c>
      <c r="D6926" t="s" s="10">
        <v>136</v>
      </c>
      <c r="E6926" t="s" s="10">
        <v>6920</v>
      </c>
      <c r="F6926" s="27">
        <v>42941</v>
      </c>
      <c r="G6926" t="s" s="10">
        <v>146</v>
      </c>
      <c r="H6926" s="42">
        <v>1.47</v>
      </c>
      <c r="I6926" t="s" s="42">
        <v>30</v>
      </c>
      <c r="J6926" t="s" s="10">
        <v>34710</v>
      </c>
      <c r="K6926" t="s" s="10">
        <v>34711</v>
      </c>
      <c r="L6926" s="16">
        <f>HYPERLINK("http://www.utonw.com", "www.utonw.com")</f>
      </c>
      <c r="M6926" s="16">
        <f>HYPERLINK("https://my.pitchbook.com?c=439293-07", "View Company Online")</f>
      </c>
    </row>
    <row r="6927">
      <c r="A6927" t="s" s="11">
        <v>34713</v>
      </c>
      <c r="B6927" t="s" s="11">
        <v>34714</v>
      </c>
      <c r="C6927" t="s" s="11">
        <v>128</v>
      </c>
      <c r="D6927" t="s" s="11">
        <v>276</v>
      </c>
      <c r="E6927" t="s" s="11">
        <v>137</v>
      </c>
      <c r="F6927" s="28">
        <v>45953</v>
      </c>
      <c r="G6927" t="s" s="11">
        <v>40</v>
      </c>
      <c r="H6927" t="s" s="43">
        <v>30</v>
      </c>
      <c r="I6927" t="s" s="43">
        <v>30</v>
      </c>
      <c r="J6927" t="s" s="11">
        <v>34715</v>
      </c>
      <c r="K6927" t="s" s="11">
        <v>34716</v>
      </c>
      <c r="L6927" s="17">
        <f>HYPERLINK("http://www.utransfer.com", "www.utransfer.com")</f>
      </c>
      <c r="M6927" s="17">
        <f>HYPERLINK("https://my.pitchbook.com?c=500734-54", "View Company Online")</f>
      </c>
    </row>
    <row r="6928">
      <c r="A6928" t="s" s="10">
        <v>34718</v>
      </c>
      <c r="B6928" t="s" s="10">
        <v>34719</v>
      </c>
      <c r="C6928" t="s" s="10">
        <v>46</v>
      </c>
      <c r="D6928" t="s" s="10">
        <v>47</v>
      </c>
      <c r="E6928" t="s" s="10">
        <v>373</v>
      </c>
      <c r="F6928" s="27">
        <v>45703</v>
      </c>
      <c r="G6928" t="s" s="10">
        <v>4267</v>
      </c>
      <c r="H6928" t="s" s="42">
        <v>30</v>
      </c>
      <c r="I6928" t="s" s="42">
        <v>30</v>
      </c>
      <c r="J6928" t="s" s="10">
        <v>34720</v>
      </c>
      <c r="K6928" t="s" s="10">
        <v>34721</v>
      </c>
      <c r="L6928" s="16">
        <f>HYPERLINK("http://www.uvicuo.com", "www.uvicuo.com")</f>
      </c>
      <c r="M6928" s="16">
        <f>HYPERLINK("https://my.pitchbook.com?c=591466-15", "View Company Online")</f>
      </c>
    </row>
    <row r="6929">
      <c r="A6929" t="s" s="11">
        <v>34723</v>
      </c>
      <c r="B6929" t="s" s="11">
        <v>34724</v>
      </c>
      <c r="C6929" t="s" s="11">
        <v>164</v>
      </c>
      <c r="D6929" t="s" s="11">
        <v>206</v>
      </c>
      <c r="E6929" t="s" s="11">
        <v>137</v>
      </c>
      <c r="F6929" s="28">
        <v>46147</v>
      </c>
      <c r="G6929" t="s" s="11">
        <v>31</v>
      </c>
      <c r="H6929" s="43">
        <v>79.75</v>
      </c>
      <c r="I6929" t="s" s="43">
        <v>30</v>
      </c>
      <c r="J6929" t="s" s="11">
        <v>34725</v>
      </c>
      <c r="K6929" t="s" s="11">
        <v>34726</v>
      </c>
      <c r="L6929" s="17">
        <f>HYPERLINK("http://www.uy3.com.br", "www.uy3.com.br")</f>
      </c>
      <c r="M6929" s="17">
        <f>HYPERLINK("https://my.pitchbook.com?c=865709-83", "View Company Online")</f>
      </c>
    </row>
    <row r="6930">
      <c r="A6930" t="s" s="10">
        <v>34728</v>
      </c>
      <c r="B6930" t="s" s="10">
        <v>34729</v>
      </c>
      <c r="C6930" t="s" s="10">
        <v>27</v>
      </c>
      <c r="D6930" t="s" s="10">
        <v>28</v>
      </c>
      <c r="E6930" t="s" s="10">
        <v>34730</v>
      </c>
      <c r="F6930" s="27">
        <v>44922</v>
      </c>
      <c r="G6930" t="s" s="10">
        <v>4267</v>
      </c>
      <c r="H6930" s="42">
        <v>0.5</v>
      </c>
      <c r="I6930" t="s" s="42">
        <v>30</v>
      </c>
      <c r="J6930" t="s" s="10">
        <v>34731</v>
      </c>
      <c r="K6930" t="s" s="10">
        <v>34732</v>
      </c>
      <c r="L6930" s="16">
        <f>HYPERLINK("http://www.uzmanciftci.com.tr", "www.uzmanciftci.com.tr")</f>
      </c>
      <c r="M6930" s="16">
        <f>HYPERLINK("https://my.pitchbook.com?c=517479-49", "View Company Online")</f>
      </c>
    </row>
    <row r="6931">
      <c r="A6931" t="s" s="11">
        <v>34734</v>
      </c>
      <c r="B6931" t="s" s="11">
        <v>34735</v>
      </c>
      <c r="C6931" t="s" s="11">
        <v>46</v>
      </c>
      <c r="D6931" t="s" s="11">
        <v>78</v>
      </c>
      <c r="E6931" t="s" s="11">
        <v>137</v>
      </c>
      <c r="F6931" s="28">
        <v>46150</v>
      </c>
      <c r="G6931" t="s" s="11">
        <v>48</v>
      </c>
      <c r="H6931" t="s" s="43">
        <v>30</v>
      </c>
      <c r="I6931" t="s" s="43">
        <v>30</v>
      </c>
      <c r="J6931" t="s" s="11">
        <v>34736</v>
      </c>
      <c r="K6931" t="s" s="11">
        <v>34737</v>
      </c>
      <c r="L6931" s="17">
        <f>HYPERLINK("http://www.vjwealth.com", "www.vjwealth.com")</f>
      </c>
      <c r="M6931" s="17">
        <f>HYPERLINK("https://my.pitchbook.com?c=163230-49", "View Company Online")</f>
      </c>
    </row>
    <row r="6932">
      <c r="A6932" t="s" s="10">
        <v>34739</v>
      </c>
      <c r="B6932" t="s" s="10">
        <v>34740</v>
      </c>
      <c r="C6932" t="s" s="10">
        <v>222</v>
      </c>
      <c r="D6932" t="s" s="10">
        <v>235</v>
      </c>
      <c r="E6932" t="s" s="10">
        <v>137</v>
      </c>
      <c r="F6932" s="27">
        <v>46113</v>
      </c>
      <c r="G6932" t="s" s="10">
        <v>146</v>
      </c>
      <c r="H6932" s="42">
        <v>8.97</v>
      </c>
      <c r="I6932" t="s" s="42">
        <v>30</v>
      </c>
      <c r="J6932" t="s" s="10">
        <v>34741</v>
      </c>
      <c r="K6932" t="s" s="10">
        <v>34742</v>
      </c>
      <c r="L6932" s="16">
        <f>HYPERLINK("http://clobe.ai", "clobe.ai")</f>
      </c>
      <c r="M6932" s="16">
        <f>HYPERLINK("https://my.pitchbook.com?c=501805-90", "View Company Online")</f>
      </c>
    </row>
    <row r="6933">
      <c r="A6933" t="s" s="11">
        <v>34744</v>
      </c>
      <c r="B6933" t="s" s="11">
        <v>34745</v>
      </c>
      <c r="C6933" t="s" s="11">
        <v>172</v>
      </c>
      <c r="D6933" t="s" s="11">
        <v>1454</v>
      </c>
      <c r="E6933" t="s" s="11">
        <v>629</v>
      </c>
      <c r="F6933" t="s" s="28">
        <v>30</v>
      </c>
      <c r="G6933" t="s" s="11">
        <v>607</v>
      </c>
      <c r="H6933" t="s" s="43">
        <v>30</v>
      </c>
      <c r="I6933" t="s" s="43">
        <v>30</v>
      </c>
      <c r="J6933" t="s" s="11">
        <v>34746</v>
      </c>
      <c r="K6933" t="s" s="11">
        <v>34747</v>
      </c>
      <c r="L6933" s="17">
        <f>HYPERLINK("http://www.vaas.com.br", "www.vaas.com.br")</f>
      </c>
      <c r="M6933" s="17">
        <f>HYPERLINK("https://my.pitchbook.com?c=539077-96", "View Company Online")</f>
      </c>
    </row>
    <row r="6934">
      <c r="A6934" t="s" s="10">
        <v>34749</v>
      </c>
      <c r="B6934" t="s" s="10">
        <v>34750</v>
      </c>
      <c r="C6934" t="s" s="10">
        <v>144</v>
      </c>
      <c r="D6934" t="s" s="10">
        <v>297</v>
      </c>
      <c r="E6934" t="s" s="10">
        <v>253</v>
      </c>
      <c r="F6934" t="s" s="27">
        <v>30</v>
      </c>
      <c r="G6934" t="s" s="10">
        <v>146</v>
      </c>
      <c r="H6934" t="s" s="42">
        <v>30</v>
      </c>
      <c r="I6934" t="s" s="42">
        <v>30</v>
      </c>
      <c r="J6934" t="s" s="10">
        <v>34751</v>
      </c>
      <c r="K6934" t="s" s="10">
        <v>30</v>
      </c>
      <c r="L6934" s="16">
        <f>HYPERLINK("http://www.vaderacapital.com", "www.vaderacapital.com")</f>
      </c>
      <c r="M6934" s="16">
        <f>HYPERLINK("https://my.pitchbook.com?c=863434-27", "View Company Online")</f>
      </c>
    </row>
    <row r="6935">
      <c r="A6935" t="s" s="11">
        <v>34753</v>
      </c>
      <c r="B6935" t="s" s="11">
        <v>34754</v>
      </c>
      <c r="C6935" t="s" s="11">
        <v>144</v>
      </c>
      <c r="D6935" t="s" s="11">
        <v>297</v>
      </c>
      <c r="E6935" t="s" s="11">
        <v>137</v>
      </c>
      <c r="F6935" s="28">
        <v>45807</v>
      </c>
      <c r="G6935" t="s" s="11">
        <v>146</v>
      </c>
      <c r="H6935" t="s" s="43">
        <v>30</v>
      </c>
      <c r="I6935" t="s" s="43">
        <v>30</v>
      </c>
      <c r="J6935" t="s" s="11">
        <v>34755</v>
      </c>
      <c r="K6935" t="s" s="11">
        <v>34756</v>
      </c>
      <c r="L6935" s="17">
        <f>HYPERLINK("http://www.valeja.com.br", "www.valeja.com.br")</f>
      </c>
      <c r="M6935" s="17">
        <f>HYPERLINK("https://my.pitchbook.com?c=616681-72", "View Company Online")</f>
      </c>
    </row>
    <row r="6936">
      <c r="A6936" t="s" s="10">
        <v>34758</v>
      </c>
      <c r="B6936" t="s" s="10">
        <v>34759</v>
      </c>
      <c r="C6936" t="s" s="10">
        <v>27</v>
      </c>
      <c r="D6936" t="s" s="10">
        <v>28</v>
      </c>
      <c r="E6936" t="s" s="10">
        <v>253</v>
      </c>
      <c r="F6936" s="27">
        <v>45763</v>
      </c>
      <c r="G6936" t="s" s="10">
        <v>138</v>
      </c>
      <c r="H6936" t="s" s="42">
        <v>30</v>
      </c>
      <c r="I6936" t="s" s="42">
        <v>30</v>
      </c>
      <c r="J6936" t="s" s="10">
        <v>34760</v>
      </c>
      <c r="K6936" t="s" s="10">
        <v>34761</v>
      </c>
      <c r="L6936" s="16">
        <f>HYPERLINK("http://www.valenspara.com", "www.valenspara.com")</f>
      </c>
      <c r="M6936" s="16">
        <f>HYPERLINK("https://my.pitchbook.com?c=791803-09", "View Company Online")</f>
      </c>
    </row>
    <row r="6937">
      <c r="A6937" t="s" s="11">
        <v>34763</v>
      </c>
      <c r="B6937" t="s" s="11">
        <v>34764</v>
      </c>
      <c r="C6937" t="s" s="11">
        <v>46</v>
      </c>
      <c r="D6937" t="s" s="11">
        <v>78</v>
      </c>
      <c r="E6937" t="s" s="11">
        <v>24380</v>
      </c>
      <c r="F6937" s="28">
        <v>46057</v>
      </c>
      <c r="G6937" t="s" s="11">
        <v>146</v>
      </c>
      <c r="H6937" s="43">
        <v>2</v>
      </c>
      <c r="I6937" t="s" s="43">
        <v>30</v>
      </c>
      <c r="J6937" t="s" s="11">
        <v>34765</v>
      </c>
      <c r="K6937" t="s" s="11">
        <v>34766</v>
      </c>
      <c r="L6937" s="17">
        <f>HYPERLINK("http://www.valeriahr.com", "www.valeriahr.com")</f>
      </c>
      <c r="M6937" s="17">
        <f>HYPERLINK("https://my.pitchbook.com?c=1277445-25", "View Company Online")</f>
      </c>
    </row>
    <row r="6938">
      <c r="A6938" t="s" s="10">
        <v>34768</v>
      </c>
      <c r="B6938" t="s" s="10">
        <v>34769</v>
      </c>
      <c r="C6938" t="s" s="10">
        <v>60</v>
      </c>
      <c r="D6938" t="s" s="10">
        <v>192</v>
      </c>
      <c r="E6938" t="s" s="10">
        <v>137</v>
      </c>
      <c r="F6938" s="27">
        <v>45601</v>
      </c>
      <c r="G6938" t="s" s="10">
        <v>40</v>
      </c>
      <c r="H6938" s="42">
        <v>0.4</v>
      </c>
      <c r="I6938" t="s" s="42">
        <v>30</v>
      </c>
      <c r="J6938" t="s" s="10">
        <v>34770</v>
      </c>
      <c r="K6938" t="s" s="10">
        <v>30</v>
      </c>
      <c r="L6938" s="16">
        <f>HYPERLINK("http://www.valiantwealth.com", "www.valiantwealth.com")</f>
      </c>
      <c r="M6938" s="16">
        <f>HYPERLINK("https://my.pitchbook.com?c=482150-62", "View Company Online")</f>
      </c>
    </row>
    <row r="6939">
      <c r="A6939" t="s" s="11">
        <v>34772</v>
      </c>
      <c r="B6939" t="s" s="11">
        <v>34773</v>
      </c>
      <c r="C6939" t="s" s="11">
        <v>164</v>
      </c>
      <c r="D6939" t="s" s="11">
        <v>206</v>
      </c>
      <c r="E6939" t="s" s="11">
        <v>270</v>
      </c>
      <c r="F6939" s="28">
        <v>45926</v>
      </c>
      <c r="G6939" t="s" s="11">
        <v>4267</v>
      </c>
      <c r="H6939" s="43">
        <v>1</v>
      </c>
      <c r="I6939" t="s" s="43">
        <v>30</v>
      </c>
      <c r="J6939" t="s" s="11">
        <v>34774</v>
      </c>
      <c r="K6939" t="s" s="11">
        <v>34775</v>
      </c>
      <c r="L6939" s="17">
        <f>HYPERLINK("http://www.valiify.com", "www.valiify.com")</f>
      </c>
      <c r="M6939" s="17">
        <f>HYPERLINK("https://my.pitchbook.com?c=597556-27", "View Company Online")</f>
      </c>
    </row>
    <row r="6940">
      <c r="A6940" t="s" s="10">
        <v>34777</v>
      </c>
      <c r="B6940" t="s" s="10">
        <v>34778</v>
      </c>
      <c r="C6940" t="s" s="10">
        <v>222</v>
      </c>
      <c r="D6940" t="s" s="10">
        <v>252</v>
      </c>
      <c r="E6940" t="s" s="10">
        <v>311</v>
      </c>
      <c r="F6940" s="27">
        <v>46058</v>
      </c>
      <c r="G6940" t="s" s="10">
        <v>4267</v>
      </c>
      <c r="H6940" s="42">
        <v>25</v>
      </c>
      <c r="I6940" t="s" s="42">
        <v>30</v>
      </c>
      <c r="J6940" t="s" s="10">
        <v>34779</v>
      </c>
      <c r="K6940" t="s" s="10">
        <v>34780</v>
      </c>
      <c r="L6940" s="16">
        <f>HYPERLINK("http://www.valinordigital.com", "www.valinordigital.com")</f>
      </c>
      <c r="M6940" s="16">
        <f>HYPERLINK("https://my.pitchbook.com?c=644648-68", "View Company Online")</f>
      </c>
    </row>
    <row r="6941">
      <c r="A6941" t="s" s="11">
        <v>34782</v>
      </c>
      <c r="B6941" t="s" s="11">
        <v>34783</v>
      </c>
      <c r="C6941" t="s" s="11">
        <v>114</v>
      </c>
      <c r="D6941" t="s" s="11">
        <v>115</v>
      </c>
      <c r="E6941" t="s" s="11">
        <v>1219</v>
      </c>
      <c r="F6941" s="28">
        <v>46238</v>
      </c>
      <c r="G6941" t="s" s="11">
        <v>391</v>
      </c>
      <c r="H6941" t="s" s="43">
        <v>30</v>
      </c>
      <c r="I6941" t="s" s="43">
        <v>30</v>
      </c>
      <c r="J6941" t="s" s="11">
        <v>34784</v>
      </c>
      <c r="K6941" t="s" s="11">
        <v>30</v>
      </c>
      <c r="L6941" s="17">
        <f>HYPERLINK("http://www.valon.com", "www.valon.com")</f>
      </c>
      <c r="M6941" s="17">
        <f>HYPERLINK("https://my.pitchbook.com?c=399089-71", "View Company Online")</f>
      </c>
    </row>
    <row r="6942">
      <c r="A6942" t="s" s="10">
        <v>34786</v>
      </c>
      <c r="B6942" t="s" s="10">
        <v>34787</v>
      </c>
      <c r="C6942" t="s" s="10">
        <v>27</v>
      </c>
      <c r="D6942" t="s" s="10">
        <v>28</v>
      </c>
      <c r="E6942" t="s" s="10">
        <v>137</v>
      </c>
      <c r="F6942" s="27">
        <v>46054</v>
      </c>
      <c r="G6942" t="s" s="10">
        <v>146</v>
      </c>
      <c r="H6942" t="s" s="42">
        <v>30</v>
      </c>
      <c r="I6942" t="s" s="42">
        <v>30</v>
      </c>
      <c r="J6942" t="s" s="10">
        <v>34788</v>
      </c>
      <c r="K6942" t="s" s="10">
        <v>34789</v>
      </c>
      <c r="L6942" s="16">
        <f>HYPERLINK("http://www.onthemonee.com", "www.onthemonee.com")</f>
      </c>
      <c r="M6942" s="16">
        <f>HYPERLINK("https://my.pitchbook.com?c=937480-42", "View Company Online")</f>
      </c>
    </row>
    <row r="6943">
      <c r="A6943" t="s" s="11">
        <v>34791</v>
      </c>
      <c r="B6943" t="s" s="11">
        <v>34792</v>
      </c>
      <c r="C6943" t="s" s="11">
        <v>222</v>
      </c>
      <c r="D6943" t="s" s="11">
        <v>252</v>
      </c>
      <c r="E6943" t="s" s="11">
        <v>373</v>
      </c>
      <c r="F6943" s="28">
        <v>45950</v>
      </c>
      <c r="G6943" t="s" s="11">
        <v>146</v>
      </c>
      <c r="H6943" s="43">
        <v>36.98</v>
      </c>
      <c r="I6943" t="s" s="43">
        <v>30</v>
      </c>
      <c r="J6943" t="s" s="11">
        <v>34793</v>
      </c>
      <c r="K6943" t="s" s="11">
        <v>34794</v>
      </c>
      <c r="L6943" s="17">
        <f>HYPERLINK("http://www.valstro.com", "www.valstro.com")</f>
      </c>
      <c r="M6943" s="17">
        <f>HYPERLINK("https://my.pitchbook.com?c=554372-20", "View Company Online")</f>
      </c>
    </row>
    <row r="6944">
      <c r="A6944" t="s" s="10">
        <v>34796</v>
      </c>
      <c r="B6944" t="s" s="10">
        <v>34797</v>
      </c>
      <c r="C6944" t="s" s="10">
        <v>222</v>
      </c>
      <c r="D6944" t="s" s="10">
        <v>223</v>
      </c>
      <c r="E6944" t="s" s="10">
        <v>1826</v>
      </c>
      <c r="F6944" t="s" s="27">
        <v>30</v>
      </c>
      <c r="G6944" t="s" s="10">
        <v>48</v>
      </c>
      <c r="H6944" t="s" s="42">
        <v>30</v>
      </c>
      <c r="I6944" t="s" s="42">
        <v>30</v>
      </c>
      <c r="J6944" t="s" s="10">
        <v>34798</v>
      </c>
      <c r="K6944" t="s" s="10">
        <v>34799</v>
      </c>
      <c r="L6944" s="16">
        <f>HYPERLINK("http://www.valsys.io", "www.valsys.io")</f>
      </c>
      <c r="M6944" s="16">
        <f>HYPERLINK("https://my.pitchbook.com?c=231088-51", "View Company Online")</f>
      </c>
    </row>
    <row r="6945">
      <c r="A6945" t="s" s="11">
        <v>34801</v>
      </c>
      <c r="B6945" t="s" s="11">
        <v>34802</v>
      </c>
      <c r="C6945" t="s" s="11">
        <v>222</v>
      </c>
      <c r="D6945" t="s" s="11">
        <v>252</v>
      </c>
      <c r="E6945" t="s" s="11">
        <v>137</v>
      </c>
      <c r="F6945" s="28">
        <v>45700</v>
      </c>
      <c r="G6945" t="s" s="11">
        <v>40</v>
      </c>
      <c r="H6945" s="43">
        <v>48</v>
      </c>
      <c r="I6945" t="s" s="43">
        <v>30</v>
      </c>
      <c r="J6945" t="s" s="11">
        <v>34803</v>
      </c>
      <c r="K6945" t="s" s="11">
        <v>34804</v>
      </c>
      <c r="L6945" s="17">
        <f>HYPERLINK("http://www.vcglg.com", "www.vcglg.com")</f>
      </c>
      <c r="M6945" s="17">
        <f>HYPERLINK("https://my.pitchbook.com?c=741669-49", "View Company Online")</f>
      </c>
    </row>
    <row r="6946">
      <c r="A6946" t="s" s="10">
        <v>34806</v>
      </c>
      <c r="B6946" t="s" s="10">
        <v>34807</v>
      </c>
      <c r="C6946" t="s" s="10">
        <v>172</v>
      </c>
      <c r="D6946" t="s" s="10">
        <v>338</v>
      </c>
      <c r="E6946" t="s" s="10">
        <v>253</v>
      </c>
      <c r="F6946" s="27">
        <v>44592</v>
      </c>
      <c r="G6946" t="s" s="10">
        <v>146</v>
      </c>
      <c r="H6946" s="42">
        <v>5.18</v>
      </c>
      <c r="I6946" t="s" s="42">
        <v>30</v>
      </c>
      <c r="J6946" t="s" s="10">
        <v>34808</v>
      </c>
      <c r="K6946" t="s" s="10">
        <v>34809</v>
      </c>
      <c r="L6946" s="16">
        <f>HYPERLINK("http://www.valuemap.cn", "www.valuemap.cn")</f>
      </c>
      <c r="M6946" s="16">
        <f>HYPERLINK("https://my.pitchbook.com?c=481319-20", "View Company Online")</f>
      </c>
    </row>
    <row r="6947">
      <c r="A6947" t="s" s="11">
        <v>34811</v>
      </c>
      <c r="B6947" t="s" s="11">
        <v>34812</v>
      </c>
      <c r="C6947" t="s" s="11">
        <v>222</v>
      </c>
      <c r="D6947" t="s" s="11">
        <v>223</v>
      </c>
      <c r="E6947" t="s" s="11">
        <v>24364</v>
      </c>
      <c r="F6947" s="28">
        <v>46236</v>
      </c>
      <c r="G6947" t="s" s="11">
        <v>40</v>
      </c>
      <c r="H6947" t="s" s="43">
        <v>30</v>
      </c>
      <c r="I6947" t="s" s="43">
        <v>30</v>
      </c>
      <c r="J6947" t="s" s="11">
        <v>34813</v>
      </c>
      <c r="K6947" t="s" s="11">
        <v>34814</v>
      </c>
      <c r="L6947" s="17">
        <f>HYPERLINK("http://valuesimplex.com", "valuesimplex.com")</f>
      </c>
      <c r="M6947" s="17">
        <f>HYPERLINK("https://my.pitchbook.com?c=279907-39", "View Company Online")</f>
      </c>
    </row>
    <row r="6948">
      <c r="A6948" t="s" s="10">
        <v>34816</v>
      </c>
      <c r="B6948" t="s" s="10">
        <v>34817</v>
      </c>
      <c r="C6948" t="s" s="10">
        <v>128</v>
      </c>
      <c r="D6948" t="s" s="10">
        <v>276</v>
      </c>
      <c r="E6948" t="s" s="10">
        <v>270</v>
      </c>
      <c r="F6948" t="s" s="27">
        <v>30</v>
      </c>
      <c r="G6948" t="s" s="10">
        <v>48</v>
      </c>
      <c r="H6948" t="s" s="42">
        <v>30</v>
      </c>
      <c r="I6948" t="s" s="42">
        <v>30</v>
      </c>
      <c r="J6948" t="s" s="10">
        <v>34818</v>
      </c>
      <c r="K6948" t="s" s="10">
        <v>34819</v>
      </c>
      <c r="L6948" s="16">
        <f>HYPERLINK("http://vanq.co", "vanq.co")</f>
      </c>
      <c r="M6948" s="16">
        <f>HYPERLINK("https://my.pitchbook.com?c=494488-72", "View Company Online")</f>
      </c>
    </row>
    <row r="6949">
      <c r="A6949" t="s" s="11">
        <v>34821</v>
      </c>
      <c r="B6949" t="s" s="11">
        <v>34822</v>
      </c>
      <c r="C6949" t="s" s="11">
        <v>144</v>
      </c>
      <c r="D6949" t="s" s="11">
        <v>297</v>
      </c>
      <c r="E6949" t="s" s="11">
        <v>1207</v>
      </c>
      <c r="F6949" s="28">
        <v>43472</v>
      </c>
      <c r="G6949" t="s" s="11">
        <v>40</v>
      </c>
      <c r="H6949" s="43">
        <v>0.79</v>
      </c>
      <c r="I6949" t="s" s="43">
        <v>30</v>
      </c>
      <c r="J6949" t="s" s="11">
        <v>34823</v>
      </c>
      <c r="K6949" t="s" s="11">
        <v>34824</v>
      </c>
      <c r="L6949" s="17">
        <f>HYPERLINK("http://www.varidi.com", "www.varidi.com")</f>
      </c>
      <c r="M6949" s="17">
        <f>HYPERLINK("https://my.pitchbook.com?c=103883-77", "View Company Online")</f>
      </c>
    </row>
    <row r="6950">
      <c r="A6950" t="s" s="10">
        <v>34826</v>
      </c>
      <c r="B6950" t="s" s="10">
        <v>34827</v>
      </c>
      <c r="C6950" t="s" s="10">
        <v>27</v>
      </c>
      <c r="D6950" t="s" s="10">
        <v>28</v>
      </c>
      <c r="E6950" t="s" s="10">
        <v>5904</v>
      </c>
      <c r="F6950" s="27">
        <v>46210</v>
      </c>
      <c r="G6950" t="s" s="10">
        <v>2051</v>
      </c>
      <c r="H6950" t="s" s="42">
        <v>30</v>
      </c>
      <c r="I6950" t="s" s="42">
        <v>30</v>
      </c>
      <c r="J6950" t="s" s="10">
        <v>34828</v>
      </c>
      <c r="K6950" t="s" s="10">
        <v>30</v>
      </c>
      <c r="L6950" s="16">
        <f>HYPERLINK("http://www.vastmenu.com", "www.vastmenu.com")</f>
      </c>
      <c r="M6950" s="16">
        <f>HYPERLINK("https://my.pitchbook.com?c=749266-57", "View Company Online")</f>
      </c>
    </row>
    <row r="6951">
      <c r="A6951" t="s" s="11">
        <v>34830</v>
      </c>
      <c r="B6951" t="s" s="11">
        <v>34831</v>
      </c>
      <c r="C6951" t="s" s="11">
        <v>37</v>
      </c>
      <c r="D6951" t="s" s="11">
        <v>38</v>
      </c>
      <c r="E6951" t="s" s="11">
        <v>193</v>
      </c>
      <c r="F6951" s="28">
        <v>45925</v>
      </c>
      <c r="G6951" t="s" s="11">
        <v>607</v>
      </c>
      <c r="H6951" t="s" s="43">
        <v>30</v>
      </c>
      <c r="I6951" t="s" s="43">
        <v>30</v>
      </c>
      <c r="J6951" t="s" s="11">
        <v>34832</v>
      </c>
      <c r="K6951" t="s" s="11">
        <v>34833</v>
      </c>
      <c r="L6951" s="17">
        <f>HYPERLINK("http://www.vaultwealth.com", "www.vaultwealth.com")</f>
      </c>
      <c r="M6951" s="17">
        <f>HYPERLINK("https://my.pitchbook.com?c=530970-22", "View Company Online")</f>
      </c>
    </row>
    <row r="6952">
      <c r="A6952" t="s" s="10">
        <v>34835</v>
      </c>
      <c r="B6952" t="s" s="10">
        <v>34836</v>
      </c>
      <c r="C6952" t="s" s="10">
        <v>128</v>
      </c>
      <c r="D6952" t="s" s="10">
        <v>276</v>
      </c>
      <c r="E6952" t="s" s="10">
        <v>137</v>
      </c>
      <c r="F6952" s="27">
        <v>46009</v>
      </c>
      <c r="G6952" t="s" s="10">
        <v>4267</v>
      </c>
      <c r="H6952" t="s" s="42">
        <v>30</v>
      </c>
      <c r="I6952" t="s" s="42">
        <v>30</v>
      </c>
      <c r="J6952" t="s" s="10">
        <v>34837</v>
      </c>
      <c r="K6952" t="s" s="10">
        <v>26465</v>
      </c>
      <c r="L6952" s="16">
        <f>HYPERLINK("http://www.getvaultpay.co", "www.getvaultpay.co")</f>
      </c>
      <c r="M6952" s="16">
        <f>HYPERLINK("https://my.pitchbook.com?c=1318201-03", "View Company Online")</f>
      </c>
    </row>
    <row r="6953">
      <c r="A6953" t="s" s="11">
        <v>34839</v>
      </c>
      <c r="B6953" t="s" s="11">
        <v>34840</v>
      </c>
      <c r="C6953" t="s" s="11">
        <v>164</v>
      </c>
      <c r="D6953" t="s" s="11">
        <v>206</v>
      </c>
      <c r="E6953" t="s" s="11">
        <v>137</v>
      </c>
      <c r="F6953" s="28">
        <v>45748</v>
      </c>
      <c r="G6953" t="s" s="11">
        <v>146</v>
      </c>
      <c r="H6953" t="s" s="43">
        <v>30</v>
      </c>
      <c r="I6953" t="s" s="43">
        <v>30</v>
      </c>
      <c r="J6953" t="s" s="11">
        <v>34841</v>
      </c>
      <c r="K6953" t="s" s="11">
        <v>34842</v>
      </c>
      <c r="L6953" s="17">
        <f>HYPERLINK("http://www.vaultpay.io", "www.vaultpay.io")</f>
      </c>
      <c r="M6953" s="17">
        <f>HYPERLINK("https://my.pitchbook.com?c=533204-92", "View Company Online")</f>
      </c>
    </row>
    <row r="6954">
      <c r="A6954" t="s" s="10">
        <v>34844</v>
      </c>
      <c r="B6954" t="s" s="10">
        <v>34845</v>
      </c>
      <c r="C6954" t="s" s="10">
        <v>164</v>
      </c>
      <c r="D6954" t="s" s="10">
        <v>206</v>
      </c>
      <c r="E6954" t="s" s="10">
        <v>7229</v>
      </c>
      <c r="F6954" s="27">
        <v>46225</v>
      </c>
      <c r="G6954" t="s" s="10">
        <v>607</v>
      </c>
      <c r="H6954" t="s" s="42">
        <v>30</v>
      </c>
      <c r="I6954" t="s" s="42">
        <v>30</v>
      </c>
      <c r="J6954" t="s" s="10">
        <v>34846</v>
      </c>
      <c r="K6954" t="s" s="10">
        <v>34847</v>
      </c>
      <c r="L6954" s="16">
        <f>HYPERLINK("http://www.vaultright.com", "www.vaultright.com")</f>
      </c>
      <c r="M6954" s="16">
        <f>HYPERLINK("https://my.pitchbook.com?c=619307-38", "View Company Online")</f>
      </c>
    </row>
    <row r="6955">
      <c r="A6955" t="s" s="11">
        <v>34849</v>
      </c>
      <c r="B6955" t="s" s="11">
        <v>34850</v>
      </c>
      <c r="C6955" t="s" s="11">
        <v>46</v>
      </c>
      <c r="D6955" t="s" s="11">
        <v>47</v>
      </c>
      <c r="E6955" t="s" s="11">
        <v>414</v>
      </c>
      <c r="F6955" s="28">
        <v>45713</v>
      </c>
      <c r="G6955" t="s" s="11">
        <v>146</v>
      </c>
      <c r="H6955" s="43">
        <v>7</v>
      </c>
      <c r="I6955" t="s" s="43">
        <v>30</v>
      </c>
      <c r="J6955" t="s" s="11">
        <v>34851</v>
      </c>
      <c r="K6955" t="s" s="11">
        <v>34852</v>
      </c>
      <c r="L6955" s="17">
        <f>HYPERLINK("http://www.withvayu.com", "www.withvayu.com")</f>
      </c>
      <c r="M6955" s="17">
        <f>HYPERLINK("https://my.pitchbook.com?c=607205-26", "View Company Online")</f>
      </c>
    </row>
    <row r="6956">
      <c r="A6956" t="s" s="10">
        <v>34854</v>
      </c>
      <c r="B6956" t="s" s="10">
        <v>34855</v>
      </c>
      <c r="C6956" t="s" s="10">
        <v>60</v>
      </c>
      <c r="D6956" t="s" s="10">
        <v>727</v>
      </c>
      <c r="E6956" t="s" s="10">
        <v>137</v>
      </c>
      <c r="F6956" s="27">
        <v>44292</v>
      </c>
      <c r="G6956" t="s" s="10">
        <v>40</v>
      </c>
      <c r="H6956" s="42">
        <v>0.77</v>
      </c>
      <c r="I6956" t="s" s="42">
        <v>30</v>
      </c>
      <c r="J6956" t="s" s="10">
        <v>34856</v>
      </c>
      <c r="K6956" t="s" s="10">
        <v>34857</v>
      </c>
      <c r="L6956" s="16">
        <f>HYPERLINK("http://www.vcstock.cn", "www.vcstock.cn")</f>
      </c>
      <c r="M6956" s="16">
        <f>HYPERLINK("https://my.pitchbook.com?c=227801-89", "View Company Online")</f>
      </c>
    </row>
    <row r="6957">
      <c r="A6957" t="s" s="11">
        <v>34859</v>
      </c>
      <c r="B6957" t="s" s="11">
        <v>34860</v>
      </c>
      <c r="C6957" t="s" s="11">
        <v>164</v>
      </c>
      <c r="D6957" t="s" s="11">
        <v>206</v>
      </c>
      <c r="E6957" t="s" s="11">
        <v>345</v>
      </c>
      <c r="F6957" t="s" s="28">
        <v>30</v>
      </c>
      <c r="G6957" t="s" s="11">
        <v>607</v>
      </c>
      <c r="H6957" t="s" s="43">
        <v>30</v>
      </c>
      <c r="I6957" t="s" s="43">
        <v>30</v>
      </c>
      <c r="J6957" t="s" s="11">
        <v>34861</v>
      </c>
      <c r="K6957" t="s" s="11">
        <v>34862</v>
      </c>
      <c r="L6957" s="17">
        <f>HYPERLINK("http://www.veendhq.com", "www.veendhq.com")</f>
      </c>
      <c r="M6957" s="17">
        <f>HYPERLINK("https://my.pitchbook.com?c=498419-83", "View Company Online")</f>
      </c>
    </row>
    <row r="6958">
      <c r="A6958" t="s" s="10">
        <v>34864</v>
      </c>
      <c r="B6958" t="s" s="10">
        <v>34865</v>
      </c>
      <c r="C6958" t="s" s="10">
        <v>46</v>
      </c>
      <c r="D6958" t="s" s="10">
        <v>915</v>
      </c>
      <c r="E6958" t="s" s="10">
        <v>414</v>
      </c>
      <c r="F6958" s="27">
        <v>46023</v>
      </c>
      <c r="G6958" t="s" s="10">
        <v>146</v>
      </c>
      <c r="H6958" t="s" s="42">
        <v>30</v>
      </c>
      <c r="I6958" t="s" s="42">
        <v>30</v>
      </c>
      <c r="J6958" t="s" s="10">
        <v>34866</v>
      </c>
      <c r="K6958" t="s" s="10">
        <v>34867</v>
      </c>
      <c r="L6958" s="16">
        <f>HYPERLINK("http://www.vela-ai.app", "www.vela-ai.app")</f>
      </c>
      <c r="M6958" s="16">
        <f>HYPERLINK("https://my.pitchbook.com?c=1242685-63", "View Company Online")</f>
      </c>
    </row>
    <row r="6959">
      <c r="A6959" t="s" s="11">
        <v>34869</v>
      </c>
      <c r="B6959" t="s" s="11">
        <v>34870</v>
      </c>
      <c r="C6959" t="s" s="11">
        <v>46</v>
      </c>
      <c r="D6959" t="s" s="11">
        <v>47</v>
      </c>
      <c r="E6959" t="s" s="11">
        <v>414</v>
      </c>
      <c r="F6959" s="28">
        <v>46056</v>
      </c>
      <c r="G6959" t="s" s="11">
        <v>4267</v>
      </c>
      <c r="H6959" s="43">
        <v>2</v>
      </c>
      <c r="I6959" t="s" s="43">
        <v>30</v>
      </c>
      <c r="J6959" t="s" s="11">
        <v>34871</v>
      </c>
      <c r="K6959" t="s" s="11">
        <v>34872</v>
      </c>
      <c r="L6959" s="17">
        <f>HYPERLINK("http://www.tryvelix.com", "www.tryvelix.com")</f>
      </c>
      <c r="M6959" s="17">
        <f>HYPERLINK("https://my.pitchbook.com?c=1276065-01", "View Company Online")</f>
      </c>
    </row>
    <row r="6960">
      <c r="A6960" t="s" s="10">
        <v>34874</v>
      </c>
      <c r="B6960" t="s" s="10">
        <v>34875</v>
      </c>
      <c r="C6960" t="s" s="10">
        <v>60</v>
      </c>
      <c r="D6960" t="s" s="10">
        <v>246</v>
      </c>
      <c r="E6960" t="s" s="10">
        <v>253</v>
      </c>
      <c r="F6960" s="27">
        <v>45951</v>
      </c>
      <c r="G6960" t="s" s="10">
        <v>40</v>
      </c>
      <c r="H6960" s="42">
        <v>23.25</v>
      </c>
      <c r="I6960" t="s" s="42">
        <v>30</v>
      </c>
      <c r="J6960" t="s" s="10">
        <v>34876</v>
      </c>
      <c r="K6960" t="s" s="10">
        <v>34877</v>
      </c>
      <c r="L6960" s="16">
        <f>HYPERLINK("http://www.velotax.com.br", "www.velotax.com.br")</f>
      </c>
      <c r="M6960" s="16">
        <f>HYPERLINK("https://my.pitchbook.com?c=489935-08", "View Company Online")</f>
      </c>
    </row>
    <row r="6961">
      <c r="A6961" t="s" s="11">
        <v>34879</v>
      </c>
      <c r="B6961" t="s" s="11">
        <v>34880</v>
      </c>
      <c r="C6961" t="s" s="11">
        <v>27</v>
      </c>
      <c r="D6961" t="s" s="11">
        <v>70</v>
      </c>
      <c r="E6961" t="s" s="11">
        <v>253</v>
      </c>
      <c r="F6961" s="28">
        <v>45839</v>
      </c>
      <c r="G6961" t="s" s="11">
        <v>146</v>
      </c>
      <c r="H6961" t="s" s="43">
        <v>30</v>
      </c>
      <c r="I6961" t="s" s="43">
        <v>30</v>
      </c>
      <c r="J6961" t="s" s="11">
        <v>34881</v>
      </c>
      <c r="K6961" t="s" s="11">
        <v>29835</v>
      </c>
      <c r="L6961" s="17">
        <f>HYPERLINK("http://www.velox.money", "www.velox.money")</f>
      </c>
      <c r="M6961" s="17">
        <f>HYPERLINK("https://my.pitchbook.com?c=897234-40", "View Company Online")</f>
      </c>
    </row>
    <row r="6962">
      <c r="A6962" t="s" s="10">
        <v>34883</v>
      </c>
      <c r="B6962" t="s" s="10">
        <v>34884</v>
      </c>
      <c r="C6962" t="s" s="10">
        <v>222</v>
      </c>
      <c r="D6962" t="s" s="10">
        <v>235</v>
      </c>
      <c r="E6962" t="s" s="10">
        <v>137</v>
      </c>
      <c r="F6962" s="27">
        <v>45658</v>
      </c>
      <c r="G6962" t="s" s="10">
        <v>146</v>
      </c>
      <c r="H6962" t="s" s="42">
        <v>30</v>
      </c>
      <c r="I6962" t="s" s="42">
        <v>30</v>
      </c>
      <c r="J6962" t="s" s="10">
        <v>34885</v>
      </c>
      <c r="K6962" t="s" s="10">
        <v>34886</v>
      </c>
      <c r="L6962" s="16">
        <f>HYPERLINK("http://www.venbase.io", "www.venbase.io")</f>
      </c>
      <c r="M6962" s="16">
        <f>HYPERLINK("https://my.pitchbook.com?c=731658-79", "View Company Online")</f>
      </c>
    </row>
    <row r="6963">
      <c r="A6963" t="s" s="11">
        <v>34888</v>
      </c>
      <c r="B6963" t="s" s="11">
        <v>34889</v>
      </c>
      <c r="C6963" t="s" s="11">
        <v>46</v>
      </c>
      <c r="D6963" t="s" s="11">
        <v>47</v>
      </c>
      <c r="E6963" t="s" s="11">
        <v>1859</v>
      </c>
      <c r="F6963" s="28">
        <v>44504</v>
      </c>
      <c r="G6963" t="s" s="11">
        <v>4267</v>
      </c>
      <c r="H6963" s="43">
        <v>1.1</v>
      </c>
      <c r="I6963" t="s" s="43">
        <v>30</v>
      </c>
      <c r="J6963" t="s" s="11">
        <v>34890</v>
      </c>
      <c r="K6963" t="s" s="11">
        <v>30</v>
      </c>
      <c r="L6963" s="17">
        <f>HYPERLINK("http://www.myvenconnect.com", "www.myvenconnect.com")</f>
      </c>
      <c r="M6963" s="17">
        <f>HYPERLINK("https://my.pitchbook.com?c=483666-40", "View Company Online")</f>
      </c>
    </row>
    <row r="6964">
      <c r="A6964" t="s" s="10">
        <v>34892</v>
      </c>
      <c r="B6964" t="s" s="10">
        <v>34893</v>
      </c>
      <c r="C6964" t="s" s="10">
        <v>27</v>
      </c>
      <c r="D6964" t="s" s="10">
        <v>28</v>
      </c>
      <c r="E6964" t="s" s="10">
        <v>34894</v>
      </c>
      <c r="F6964" s="27">
        <v>44649</v>
      </c>
      <c r="G6964" t="s" s="10">
        <v>607</v>
      </c>
      <c r="H6964" s="42">
        <v>0.5</v>
      </c>
      <c r="I6964" t="s" s="42">
        <v>30</v>
      </c>
      <c r="J6964" t="s" s="10">
        <v>34895</v>
      </c>
      <c r="K6964" t="s" s="10">
        <v>34896</v>
      </c>
      <c r="L6964" s="16">
        <f>HYPERLINK("http://www.myvendy.com", "www.myvendy.com")</f>
      </c>
      <c r="M6964" s="16">
        <f>HYPERLINK("https://my.pitchbook.com?c=498129-94", "View Company Online")</f>
      </c>
    </row>
    <row r="6965">
      <c r="A6965" t="s" s="11">
        <v>34898</v>
      </c>
      <c r="B6965" t="s" s="11">
        <v>34899</v>
      </c>
      <c r="C6965" t="s" s="11">
        <v>144</v>
      </c>
      <c r="D6965" t="s" s="11">
        <v>38</v>
      </c>
      <c r="E6965" t="s" s="11">
        <v>1207</v>
      </c>
      <c r="F6965" s="28">
        <v>45715</v>
      </c>
      <c r="G6965" t="s" s="11">
        <v>146</v>
      </c>
      <c r="H6965" s="43">
        <v>21.5</v>
      </c>
      <c r="I6965" t="s" s="43">
        <v>30</v>
      </c>
      <c r="J6965" t="s" s="11">
        <v>34900</v>
      </c>
      <c r="K6965" t="s" s="11">
        <v>34901</v>
      </c>
      <c r="L6965" s="17">
        <f>HYPERLINK("http://www.venn.ca", "www.venn.ca")</f>
      </c>
      <c r="M6965" s="17">
        <f>HYPERLINK("https://my.pitchbook.com?c=481708-18", "View Company Online")</f>
      </c>
    </row>
    <row r="6966">
      <c r="A6966" t="s" s="10">
        <v>34903</v>
      </c>
      <c r="B6966" t="s" s="10">
        <v>34904</v>
      </c>
      <c r="C6966" t="s" s="10">
        <v>60</v>
      </c>
      <c r="D6966" t="s" s="10">
        <v>727</v>
      </c>
      <c r="E6966" t="s" s="10">
        <v>2835</v>
      </c>
      <c r="F6966" s="27">
        <v>46048</v>
      </c>
      <c r="G6966" t="s" s="10">
        <v>4267</v>
      </c>
      <c r="H6966" s="42">
        <v>9.6</v>
      </c>
      <c r="I6966" t="s" s="42">
        <v>30</v>
      </c>
      <c r="J6966" t="s" s="10">
        <v>34905</v>
      </c>
      <c r="K6966" t="s" s="10">
        <v>34906</v>
      </c>
      <c r="L6966" s="16">
        <f>HYPERLINK("http://www.vennre.com", "www.vennre.com")</f>
      </c>
      <c r="M6966" s="16">
        <f>HYPERLINK("https://my.pitchbook.com?c=515727-64", "View Company Online")</f>
      </c>
    </row>
    <row r="6967">
      <c r="A6967" t="s" s="11">
        <v>34908</v>
      </c>
      <c r="B6967" t="s" s="11">
        <v>34909</v>
      </c>
      <c r="C6967" t="s" s="11">
        <v>37</v>
      </c>
      <c r="D6967" t="s" s="11">
        <v>304</v>
      </c>
      <c r="E6967" t="s" s="11">
        <v>193</v>
      </c>
      <c r="F6967" s="28">
        <v>44871</v>
      </c>
      <c r="G6967" t="s" s="11">
        <v>4267</v>
      </c>
      <c r="H6967" s="43">
        <v>0.37</v>
      </c>
      <c r="I6967" t="s" s="43">
        <v>30</v>
      </c>
      <c r="J6967" t="s" s="11">
        <v>34910</v>
      </c>
      <c r="K6967" t="s" s="11">
        <v>34911</v>
      </c>
      <c r="L6967" s="17">
        <f>HYPERLINK("http://www.ventipay.com", "www.ventipay.com")</f>
      </c>
      <c r="M6967" s="17">
        <f>HYPERLINK("https://my.pitchbook.com?c=264559-69", "View Company Online")</f>
      </c>
    </row>
    <row r="6968">
      <c r="A6968" t="s" s="10">
        <v>34913</v>
      </c>
      <c r="B6968" t="s" s="10">
        <v>34914</v>
      </c>
      <c r="C6968" t="s" s="10">
        <v>222</v>
      </c>
      <c r="D6968" t="s" s="10">
        <v>235</v>
      </c>
      <c r="E6968" t="s" s="10">
        <v>30</v>
      </c>
      <c r="F6968" s="27">
        <v>43113</v>
      </c>
      <c r="G6968" t="s" s="10">
        <v>2651</v>
      </c>
      <c r="H6968" s="42">
        <v>0.21</v>
      </c>
      <c r="I6968" t="s" s="42">
        <v>30</v>
      </c>
      <c r="J6968" t="s" s="10">
        <v>34915</v>
      </c>
      <c r="K6968" t="s" s="10">
        <v>34916</v>
      </c>
      <c r="L6968" s="16">
        <f>HYPERLINK("http://www.venturevilla.de", "www.venturevilla.de")</f>
      </c>
      <c r="M6968" s="16">
        <f>HYPERLINK("https://my.pitchbook.com?c=102574-36", "View Company Online")</f>
      </c>
    </row>
    <row r="6969">
      <c r="A6969" t="s" s="11">
        <v>34918</v>
      </c>
      <c r="B6969" t="s" s="11">
        <v>34919</v>
      </c>
      <c r="C6969" t="s" s="11">
        <v>60</v>
      </c>
      <c r="D6969" t="s" s="11">
        <v>192</v>
      </c>
      <c r="E6969" t="s" s="11">
        <v>1207</v>
      </c>
      <c r="F6969" s="28">
        <v>45685</v>
      </c>
      <c r="G6969" t="s" s="11">
        <v>40</v>
      </c>
      <c r="H6969" t="s" s="43">
        <v>30</v>
      </c>
      <c r="I6969" t="s" s="43">
        <v>30</v>
      </c>
      <c r="J6969" t="s" s="11">
        <v>34920</v>
      </c>
      <c r="K6969" t="s" s="11">
        <v>34921</v>
      </c>
      <c r="L6969" s="17">
        <f>HYPERLINK("http://www.venture360.co", "www.venture360.co")</f>
      </c>
      <c r="M6969" s="17">
        <f>HYPERLINK("https://my.pitchbook.com?c=82057-06", "View Company Online")</f>
      </c>
    </row>
    <row r="6970">
      <c r="A6970" t="s" s="10">
        <v>34923</v>
      </c>
      <c r="B6970" t="s" s="10">
        <v>34924</v>
      </c>
      <c r="C6970" t="s" s="10">
        <v>172</v>
      </c>
      <c r="D6970" t="s" s="10">
        <v>173</v>
      </c>
      <c r="E6970" t="s" s="10">
        <v>373</v>
      </c>
      <c r="F6970" s="27">
        <v>45103</v>
      </c>
      <c r="G6970" t="s" s="10">
        <v>146</v>
      </c>
      <c r="H6970" s="42">
        <v>0.67</v>
      </c>
      <c r="I6970" t="s" s="42">
        <v>30</v>
      </c>
      <c r="J6970" t="s" s="10">
        <v>34925</v>
      </c>
      <c r="K6970" t="s" s="10">
        <v>30</v>
      </c>
      <c r="L6970" s="16">
        <f>HYPERLINK("http://www.veradat.com", "www.veradat.com")</f>
      </c>
      <c r="M6970" s="16">
        <f>HYPERLINK("https://my.pitchbook.com?c=519098-50", "View Company Online")</f>
      </c>
    </row>
    <row r="6971">
      <c r="A6971" t="s" s="11">
        <v>34927</v>
      </c>
      <c r="B6971" t="s" s="11">
        <v>34928</v>
      </c>
      <c r="C6971" t="s" s="11">
        <v>60</v>
      </c>
      <c r="D6971" t="s" s="11">
        <v>192</v>
      </c>
      <c r="E6971" t="s" s="11">
        <v>137</v>
      </c>
      <c r="F6971" s="28">
        <v>45292</v>
      </c>
      <c r="G6971" t="s" s="11">
        <v>391</v>
      </c>
      <c r="H6971" t="s" s="43">
        <v>30</v>
      </c>
      <c r="I6971" t="s" s="43">
        <v>30</v>
      </c>
      <c r="J6971" t="s" s="11">
        <v>34929</v>
      </c>
      <c r="K6971" t="s" s="11">
        <v>34930</v>
      </c>
      <c r="L6971" s="17">
        <f>HYPERLINK("http://verde.finance", "verde.finance")</f>
      </c>
      <c r="M6971" s="17">
        <f>HYPERLINK("https://my.pitchbook.com?c=494353-36", "View Company Online")</f>
      </c>
    </row>
    <row r="6972">
      <c r="A6972" t="s" s="10">
        <v>34932</v>
      </c>
      <c r="B6972" t="s" s="10">
        <v>34933</v>
      </c>
      <c r="C6972" t="s" s="10">
        <v>172</v>
      </c>
      <c r="D6972" t="s" s="10">
        <v>338</v>
      </c>
      <c r="E6972" t="s" s="10">
        <v>34934</v>
      </c>
      <c r="F6972" s="27">
        <v>45603</v>
      </c>
      <c r="G6972" t="s" s="10">
        <v>146</v>
      </c>
      <c r="H6972" t="s" s="42">
        <v>30</v>
      </c>
      <c r="I6972" t="s" s="42">
        <v>30</v>
      </c>
      <c r="J6972" t="s" s="10">
        <v>34935</v>
      </c>
      <c r="K6972" t="s" s="10">
        <v>34936</v>
      </c>
      <c r="L6972" s="16">
        <f>HYPERLINK("http://www.verdea.app", "www.verdea.app")</f>
      </c>
      <c r="M6972" s="16">
        <f>HYPERLINK("https://my.pitchbook.com?c=593581-42", "View Company Online")</f>
      </c>
    </row>
    <row r="6973">
      <c r="A6973" t="s" s="11">
        <v>34938</v>
      </c>
      <c r="B6973" t="s" s="11">
        <v>34939</v>
      </c>
      <c r="C6973" t="s" s="11">
        <v>164</v>
      </c>
      <c r="D6973" t="s" s="11">
        <v>165</v>
      </c>
      <c r="E6973" t="s" s="11">
        <v>137</v>
      </c>
      <c r="F6973" s="28">
        <v>44384</v>
      </c>
      <c r="G6973" t="s" s="11">
        <v>40</v>
      </c>
      <c r="H6973" t="s" s="43">
        <v>30</v>
      </c>
      <c r="I6973" t="s" s="43">
        <v>30</v>
      </c>
      <c r="J6973" t="s" s="11">
        <v>34940</v>
      </c>
      <c r="K6973" t="s" s="11">
        <v>34941</v>
      </c>
      <c r="L6973" s="17">
        <f>HYPERLINK("http://www.verdigrisholdings.com", "www.verdigrisholdings.com")</f>
      </c>
      <c r="M6973" s="17">
        <f>HYPERLINK("https://my.pitchbook.com?c=268570-45", "View Company Online")</f>
      </c>
    </row>
    <row r="6974">
      <c r="A6974" t="s" s="10">
        <v>34943</v>
      </c>
      <c r="B6974" t="s" s="10">
        <v>34944</v>
      </c>
      <c r="C6974" t="s" s="10">
        <v>172</v>
      </c>
      <c r="D6974" t="s" s="10">
        <v>338</v>
      </c>
      <c r="E6974" t="s" s="10">
        <v>9284</v>
      </c>
      <c r="F6974" s="27">
        <v>46099</v>
      </c>
      <c r="G6974" t="s" s="10">
        <v>146</v>
      </c>
      <c r="H6974" t="s" s="42">
        <v>30</v>
      </c>
      <c r="I6974" t="s" s="42">
        <v>30</v>
      </c>
      <c r="J6974" t="s" s="10">
        <v>34945</v>
      </c>
      <c r="K6974" t="s" s="10">
        <v>34946</v>
      </c>
      <c r="L6974" s="16">
        <f>HYPERLINK("http://www.veriad.com", "www.veriad.com")</f>
      </c>
      <c r="M6974" s="16">
        <f>HYPERLINK("https://my.pitchbook.com?c=1242185-95", "View Company Online")</f>
      </c>
    </row>
    <row r="6975">
      <c r="A6975" t="s" s="11">
        <v>34948</v>
      </c>
      <c r="B6975" t="s" s="11">
        <v>34949</v>
      </c>
      <c r="C6975" t="s" s="11">
        <v>172</v>
      </c>
      <c r="D6975" t="s" s="11">
        <v>338</v>
      </c>
      <c r="E6975" t="s" s="11">
        <v>253</v>
      </c>
      <c r="F6975" s="28">
        <v>46199</v>
      </c>
      <c r="G6975" t="s" s="11">
        <v>31</v>
      </c>
      <c r="H6975" t="s" s="43">
        <v>30</v>
      </c>
      <c r="I6975" t="s" s="43">
        <v>30</v>
      </c>
      <c r="J6975" t="s" s="11">
        <v>34950</v>
      </c>
      <c r="K6975" t="s" s="11">
        <v>34951</v>
      </c>
      <c r="L6975" s="17">
        <f>HYPERLINK("http://www.verifast.com", "www.verifast.com")</f>
      </c>
      <c r="M6975" s="17">
        <f>HYPERLINK("https://my.pitchbook.com?c=509061-25", "View Company Online")</f>
      </c>
    </row>
    <row r="6976">
      <c r="A6976" t="s" s="10">
        <v>34953</v>
      </c>
      <c r="B6976" t="s" s="10">
        <v>34954</v>
      </c>
      <c r="C6976" t="s" s="10">
        <v>164</v>
      </c>
      <c r="D6976" t="s" s="10">
        <v>165</v>
      </c>
      <c r="E6976" t="s" s="10">
        <v>108</v>
      </c>
      <c r="F6976" s="27">
        <v>45707</v>
      </c>
      <c r="G6976" t="s" s="10">
        <v>40</v>
      </c>
      <c r="H6976" s="42">
        <v>19.8</v>
      </c>
      <c r="I6976" t="s" s="42">
        <v>30</v>
      </c>
      <c r="J6976" t="s" s="10">
        <v>34955</v>
      </c>
      <c r="K6976" t="s" s="10">
        <v>34956</v>
      </c>
      <c r="L6976" s="16">
        <f>HYPERLINK("http://www.verituity.com", "www.verituity.com")</f>
      </c>
      <c r="M6976" s="16">
        <f>HYPERLINK("https://my.pitchbook.com?c=459301-78", "View Company Online")</f>
      </c>
    </row>
    <row r="6977">
      <c r="A6977" t="s" s="11">
        <v>34958</v>
      </c>
      <c r="B6977" t="s" s="11">
        <v>34959</v>
      </c>
      <c r="C6977" t="s" s="11">
        <v>114</v>
      </c>
      <c r="D6977" t="s" s="11">
        <v>136</v>
      </c>
      <c r="E6977" t="s" s="11">
        <v>34960</v>
      </c>
      <c r="F6977" s="28">
        <v>45230</v>
      </c>
      <c r="G6977" t="s" s="11">
        <v>40</v>
      </c>
      <c r="H6977" s="43">
        <v>7.5</v>
      </c>
      <c r="I6977" t="s" s="43">
        <v>30</v>
      </c>
      <c r="J6977" t="s" s="11">
        <v>34961</v>
      </c>
      <c r="K6977" t="s" s="11">
        <v>34962</v>
      </c>
      <c r="L6977" s="17">
        <f>HYPERLINK("http://www.verqor.com", "www.verqor.com")</f>
      </c>
      <c r="M6977" s="17">
        <f>HYPERLINK("https://my.pitchbook.com?c=432608-68", "View Company Online")</f>
      </c>
    </row>
    <row r="6978">
      <c r="A6978" t="s" s="10">
        <v>34964</v>
      </c>
      <c r="B6978" t="s" s="10">
        <v>34965</v>
      </c>
      <c r="C6978" t="s" s="10">
        <v>164</v>
      </c>
      <c r="D6978" t="s" s="10">
        <v>206</v>
      </c>
      <c r="E6978" t="s" s="10">
        <v>1964</v>
      </c>
      <c r="F6978" s="27">
        <v>46142</v>
      </c>
      <c r="G6978" t="s" s="10">
        <v>40</v>
      </c>
      <c r="H6978" s="42">
        <v>43</v>
      </c>
      <c r="I6978" t="s" s="42">
        <v>30</v>
      </c>
      <c r="J6978" t="s" s="10">
        <v>34966</v>
      </c>
      <c r="K6978" t="s" s="10">
        <v>34967</v>
      </c>
      <c r="L6978" s="16">
        <f>HYPERLINK("http://www.versana.io", "www.versana.io")</f>
      </c>
      <c r="M6978" s="16">
        <f>HYPERLINK("https://my.pitchbook.com?c=501935-23", "View Company Online")</f>
      </c>
    </row>
    <row r="6979">
      <c r="A6979" t="s" s="11">
        <v>34969</v>
      </c>
      <c r="B6979" t="s" s="11">
        <v>34970</v>
      </c>
      <c r="C6979" t="s" s="11">
        <v>27</v>
      </c>
      <c r="D6979" t="s" s="11">
        <v>28</v>
      </c>
      <c r="E6979" t="s" s="11">
        <v>34971</v>
      </c>
      <c r="F6979" s="28">
        <v>44348</v>
      </c>
      <c r="G6979" t="s" s="11">
        <v>4267</v>
      </c>
      <c r="H6979" s="43">
        <v>0.68</v>
      </c>
      <c r="I6979" t="s" s="43">
        <v>30</v>
      </c>
      <c r="J6979" t="s" s="11">
        <v>34972</v>
      </c>
      <c r="K6979" t="s" s="11">
        <v>34973</v>
      </c>
      <c r="L6979" s="17">
        <f>HYPERLINK("http://www.heyvertical.io", "www.heyvertical.io")</f>
      </c>
      <c r="M6979" s="17">
        <f>HYPERLINK("https://my.pitchbook.com?c=437712-67", "View Company Online")</f>
      </c>
    </row>
    <row r="6980">
      <c r="A6980" t="s" s="10">
        <v>34975</v>
      </c>
      <c r="B6980" t="s" s="10">
        <v>34976</v>
      </c>
      <c r="C6980" t="s" s="10">
        <v>27</v>
      </c>
      <c r="D6980" t="s" s="10">
        <v>28</v>
      </c>
      <c r="E6980" t="s" s="10">
        <v>270</v>
      </c>
      <c r="F6980" s="27">
        <v>45017</v>
      </c>
      <c r="G6980" t="s" s="10">
        <v>146</v>
      </c>
      <c r="H6980" t="s" s="42">
        <v>30</v>
      </c>
      <c r="I6980" t="s" s="42">
        <v>30</v>
      </c>
      <c r="J6980" t="s" s="10">
        <v>34977</v>
      </c>
      <c r="K6980" t="s" s="10">
        <v>34978</v>
      </c>
      <c r="L6980" s="16">
        <f>HYPERLINK("http://www.ver.to", "www.ver.to")</f>
      </c>
      <c r="M6980" s="16">
        <f>HYPERLINK("https://my.pitchbook.com?c=523250-20", "View Company Online")</f>
      </c>
    </row>
    <row r="6981">
      <c r="A6981" t="s" s="11">
        <v>34980</v>
      </c>
      <c r="B6981" t="s" s="11">
        <v>34981</v>
      </c>
      <c r="C6981" t="s" s="11">
        <v>27</v>
      </c>
      <c r="D6981" t="s" s="11">
        <v>28</v>
      </c>
      <c r="E6981" t="s" s="11">
        <v>253</v>
      </c>
      <c r="F6981" s="28">
        <v>43994</v>
      </c>
      <c r="G6981" t="s" s="11">
        <v>607</v>
      </c>
      <c r="H6981" t="s" s="43">
        <v>30</v>
      </c>
      <c r="I6981" t="s" s="43">
        <v>30</v>
      </c>
      <c r="J6981" t="s" s="11">
        <v>34982</v>
      </c>
      <c r="K6981" t="s" s="11">
        <v>34983</v>
      </c>
      <c r="L6981" s="17">
        <f>HYPERLINK("http://www.vesicash.com", "www.vesicash.com")</f>
      </c>
      <c r="M6981" s="17">
        <f>HYPERLINK("https://my.pitchbook.com?c=407222-65", "View Company Online")</f>
      </c>
    </row>
    <row r="6982">
      <c r="A6982" t="s" s="10">
        <v>34985</v>
      </c>
      <c r="B6982" t="s" s="10">
        <v>34986</v>
      </c>
      <c r="C6982" t="s" s="10">
        <v>222</v>
      </c>
      <c r="D6982" t="s" s="10">
        <v>235</v>
      </c>
      <c r="E6982" t="s" s="10">
        <v>414</v>
      </c>
      <c r="F6982" s="27">
        <v>45945</v>
      </c>
      <c r="G6982" t="s" s="10">
        <v>31</v>
      </c>
      <c r="H6982" s="42">
        <v>1.5</v>
      </c>
      <c r="I6982" t="s" s="42">
        <v>30</v>
      </c>
      <c r="J6982" t="s" s="10">
        <v>34987</v>
      </c>
      <c r="K6982" t="s" s="10">
        <v>34988</v>
      </c>
      <c r="L6982" s="16">
        <f>HYPERLINK("http://www.vessel.co", "www.vessel.co")</f>
      </c>
      <c r="M6982" s="16">
        <f>HYPERLINK("https://my.pitchbook.com?c=510255-10", "View Company Online")</f>
      </c>
    </row>
    <row r="6983">
      <c r="A6983" t="s" s="11">
        <v>34990</v>
      </c>
      <c r="B6983" t="s" s="11">
        <v>34991</v>
      </c>
      <c r="C6983" t="s" s="11">
        <v>60</v>
      </c>
      <c r="D6983" t="s" s="11">
        <v>727</v>
      </c>
      <c r="E6983" t="s" s="11">
        <v>137</v>
      </c>
      <c r="F6983" s="28">
        <v>45108</v>
      </c>
      <c r="G6983" t="s" s="11">
        <v>146</v>
      </c>
      <c r="H6983" t="s" s="43">
        <v>30</v>
      </c>
      <c r="I6983" t="s" s="43">
        <v>30</v>
      </c>
      <c r="J6983" t="s" s="11">
        <v>34992</v>
      </c>
      <c r="K6983" t="s" s="11">
        <v>34993</v>
      </c>
      <c r="L6983" s="17">
        <f>HYPERLINK("http://www.vest.investments", "www.vest.investments")</f>
      </c>
      <c r="M6983" s="17">
        <f>HYPERLINK("https://my.pitchbook.com?c=467647-75", "View Company Online")</f>
      </c>
    </row>
    <row r="6984">
      <c r="A6984" t="s" s="10">
        <v>34995</v>
      </c>
      <c r="B6984" t="s" s="10">
        <v>34996</v>
      </c>
      <c r="C6984" t="s" s="10">
        <v>222</v>
      </c>
      <c r="D6984" t="s" s="10">
        <v>223</v>
      </c>
      <c r="E6984" t="s" s="10">
        <v>373</v>
      </c>
      <c r="F6984" s="27">
        <v>45708</v>
      </c>
      <c r="G6984" t="s" s="10">
        <v>40</v>
      </c>
      <c r="H6984" s="42">
        <v>2.29</v>
      </c>
      <c r="I6984" t="s" s="42">
        <v>30</v>
      </c>
      <c r="J6984" t="s" s="10">
        <v>34997</v>
      </c>
      <c r="K6984" t="s" s="10">
        <v>34998</v>
      </c>
      <c r="L6984" s="16">
        <f>HYPERLINK("http://vestberry.com", "vestberry.com")</f>
      </c>
      <c r="M6984" s="16">
        <f>HYPERLINK("https://my.pitchbook.com?c=233861-59", "View Company Online")</f>
      </c>
    </row>
    <row r="6985">
      <c r="A6985" t="s" s="11">
        <v>35000</v>
      </c>
      <c r="B6985" t="s" s="11">
        <v>35001</v>
      </c>
      <c r="C6985" t="s" s="11">
        <v>128</v>
      </c>
      <c r="D6985" t="s" s="11">
        <v>276</v>
      </c>
      <c r="E6985" t="s" s="11">
        <v>4273</v>
      </c>
      <c r="F6985" s="28">
        <v>45563</v>
      </c>
      <c r="G6985" t="s" s="11">
        <v>607</v>
      </c>
      <c r="H6985" t="s" s="43">
        <v>30</v>
      </c>
      <c r="I6985" t="s" s="43">
        <v>30</v>
      </c>
      <c r="J6985" t="s" s="11">
        <v>35002</v>
      </c>
      <c r="K6985" t="s" s="11">
        <v>35003</v>
      </c>
      <c r="L6985" s="17">
        <f>HYPERLINK("http://wevesti.com", "wevesti.com")</f>
      </c>
      <c r="M6985" s="17">
        <f>HYPERLINK("https://my.pitchbook.com?c=490886-20", "View Company Online")</f>
      </c>
    </row>
    <row r="6986">
      <c r="A6986" t="s" s="10">
        <v>35005</v>
      </c>
      <c r="B6986" t="s" s="10">
        <v>35006</v>
      </c>
      <c r="C6986" t="s" s="10">
        <v>60</v>
      </c>
      <c r="D6986" t="s" s="10">
        <v>192</v>
      </c>
      <c r="E6986" t="s" s="10">
        <v>1054</v>
      </c>
      <c r="F6986" s="27">
        <v>44287</v>
      </c>
      <c r="G6986" t="s" s="10">
        <v>4267</v>
      </c>
      <c r="H6986" s="42">
        <v>0.2</v>
      </c>
      <c r="I6986" t="s" s="42">
        <v>30</v>
      </c>
      <c r="J6986" t="s" s="10">
        <v>35007</v>
      </c>
      <c r="K6986" t="s" s="10">
        <v>30</v>
      </c>
      <c r="L6986" s="16">
        <f>HYPERLINK("http://www.vestisocial.com", "www.vestisocial.com")</f>
      </c>
      <c r="M6986" s="16">
        <f>HYPERLINK("https://my.pitchbook.com?c=504051-31", "View Company Online")</f>
      </c>
    </row>
    <row r="6987">
      <c r="A6987" t="s" s="11">
        <v>35009</v>
      </c>
      <c r="B6987" t="s" s="11">
        <v>35010</v>
      </c>
      <c r="C6987" t="s" s="11">
        <v>60</v>
      </c>
      <c r="D6987" t="s" s="11">
        <v>246</v>
      </c>
      <c r="E6987" t="s" s="11">
        <v>414</v>
      </c>
      <c r="F6987" s="28">
        <v>44868</v>
      </c>
      <c r="G6987" t="s" s="11">
        <v>4267</v>
      </c>
      <c r="H6987" s="43">
        <v>2.8</v>
      </c>
      <c r="I6987" t="s" s="43">
        <v>30</v>
      </c>
      <c r="J6987" t="s" s="11">
        <v>35011</v>
      </c>
      <c r="K6987" t="s" s="11">
        <v>35012</v>
      </c>
      <c r="L6987" s="17">
        <f>HYPERLINK("http://www.vesto.com", "www.vesto.com")</f>
      </c>
      <c r="M6987" s="17">
        <f>HYPERLINK("https://my.pitchbook.com?c=509603-95", "View Company Online")</f>
      </c>
    </row>
    <row r="6988">
      <c r="A6988" t="s" s="10">
        <v>35014</v>
      </c>
      <c r="B6988" t="s" s="10">
        <v>35015</v>
      </c>
      <c r="C6988" t="s" s="10">
        <v>37</v>
      </c>
      <c r="D6988" t="s" s="10">
        <v>38</v>
      </c>
      <c r="E6988" t="s" s="10">
        <v>137</v>
      </c>
      <c r="F6988" s="27">
        <v>45931</v>
      </c>
      <c r="G6988" t="s" s="10">
        <v>146</v>
      </c>
      <c r="H6988" t="s" s="42">
        <v>30</v>
      </c>
      <c r="I6988" t="s" s="42">
        <v>30</v>
      </c>
      <c r="J6988" t="s" s="10">
        <v>35016</v>
      </c>
      <c r="K6988" t="s" s="10">
        <v>35017</v>
      </c>
      <c r="L6988" s="16">
        <f>HYPERLINK("http://www.vetrafi.com", "www.vetrafi.com")</f>
      </c>
      <c r="M6988" s="16">
        <f>HYPERLINK("https://my.pitchbook.com?c=600321-70", "View Company Online")</f>
      </c>
    </row>
    <row r="6989">
      <c r="A6989" t="s" s="11">
        <v>35019</v>
      </c>
      <c r="B6989" t="s" s="11">
        <v>35020</v>
      </c>
      <c r="C6989" t="s" s="11">
        <v>222</v>
      </c>
      <c r="D6989" t="s" s="11">
        <v>223</v>
      </c>
      <c r="E6989" t="s" s="11">
        <v>859</v>
      </c>
      <c r="F6989" s="28">
        <v>46063</v>
      </c>
      <c r="G6989" t="s" s="11">
        <v>607</v>
      </c>
      <c r="H6989" t="s" s="43">
        <v>30</v>
      </c>
      <c r="I6989" t="s" s="43">
        <v>30</v>
      </c>
      <c r="J6989" t="s" s="11">
        <v>35021</v>
      </c>
      <c r="K6989" t="s" s="11">
        <v>35022</v>
      </c>
      <c r="L6989" s="17">
        <f>HYPERLINK("http://www.vezgo.com", "www.vezgo.com")</f>
      </c>
      <c r="M6989" s="17">
        <f>HYPERLINK("https://my.pitchbook.com?c=514997-65", "View Company Online")</f>
      </c>
    </row>
    <row r="6990">
      <c r="A6990" t="s" s="10">
        <v>35024</v>
      </c>
      <c r="B6990" t="s" s="10">
        <v>35025</v>
      </c>
      <c r="C6990" t="s" s="10">
        <v>144</v>
      </c>
      <c r="D6990" t="s" s="10">
        <v>297</v>
      </c>
      <c r="E6990" t="s" s="10">
        <v>137</v>
      </c>
      <c r="F6990" s="27">
        <v>45931</v>
      </c>
      <c r="G6990" t="s" s="10">
        <v>40</v>
      </c>
      <c r="H6990" t="s" s="42">
        <v>30</v>
      </c>
      <c r="I6990" t="s" s="42">
        <v>30</v>
      </c>
      <c r="J6990" t="s" s="10">
        <v>35026</v>
      </c>
      <c r="K6990" t="s" s="10">
        <v>35027</v>
      </c>
      <c r="L6990" s="16">
        <f>HYPERLINK("http://www.goviceversa.com", "www.goviceversa.com")</f>
      </c>
      <c r="M6990" s="16">
        <f>HYPERLINK("https://my.pitchbook.com?c=483501-07", "View Company Online")</f>
      </c>
    </row>
    <row r="6991">
      <c r="A6991" t="s" s="11">
        <v>35029</v>
      </c>
      <c r="B6991" t="s" s="11">
        <v>35030</v>
      </c>
      <c r="C6991" t="s" s="11">
        <v>60</v>
      </c>
      <c r="D6991" t="s" s="11">
        <v>246</v>
      </c>
      <c r="E6991" t="s" s="11">
        <v>137</v>
      </c>
      <c r="F6991" s="28">
        <v>45947</v>
      </c>
      <c r="G6991" t="s" s="11">
        <v>146</v>
      </c>
      <c r="H6991" s="43">
        <v>0.59</v>
      </c>
      <c r="I6991" t="s" s="43">
        <v>30</v>
      </c>
      <c r="J6991" t="s" s="11">
        <v>35031</v>
      </c>
      <c r="K6991" t="s" s="11">
        <v>35032</v>
      </c>
      <c r="L6991" s="17">
        <f>HYPERLINK("http://www.vicoahorro.com", "www.vicoahorro.com")</f>
      </c>
      <c r="M6991" s="17">
        <f>HYPERLINK("https://my.pitchbook.com?c=641573-38", "View Company Online")</f>
      </c>
    </row>
    <row r="6992">
      <c r="A6992" t="s" s="10">
        <v>35034</v>
      </c>
      <c r="B6992" t="s" s="10">
        <v>35035</v>
      </c>
      <c r="C6992" t="s" s="10">
        <v>27</v>
      </c>
      <c r="D6992" t="s" s="10">
        <v>70</v>
      </c>
      <c r="E6992" t="s" s="10">
        <v>332</v>
      </c>
      <c r="F6992" s="27">
        <v>44404</v>
      </c>
      <c r="G6992" t="s" s="10">
        <v>40</v>
      </c>
      <c r="H6992" s="42">
        <v>2</v>
      </c>
      <c r="I6992" t="s" s="42">
        <v>30</v>
      </c>
      <c r="J6992" t="s" s="10">
        <v>35036</v>
      </c>
      <c r="K6992" t="s" s="10">
        <v>35037</v>
      </c>
      <c r="L6992" s="16">
        <f>HYPERLINK("http://www.viewpost.com", "www.viewpost.com")</f>
      </c>
      <c r="M6992" s="16">
        <f>HYPERLINK("https://my.pitchbook.com?c=58611-97", "View Company Online")</f>
      </c>
    </row>
    <row r="6993">
      <c r="A6993" t="s" s="11">
        <v>35039</v>
      </c>
      <c r="B6993" t="s" s="11">
        <v>35040</v>
      </c>
      <c r="C6993" t="s" s="11">
        <v>60</v>
      </c>
      <c r="D6993" t="s" s="11">
        <v>192</v>
      </c>
      <c r="E6993" t="s" s="11">
        <v>623</v>
      </c>
      <c r="F6993" s="28">
        <v>44356</v>
      </c>
      <c r="G6993" t="s" s="11">
        <v>4267</v>
      </c>
      <c r="H6993" s="43">
        <v>1.85</v>
      </c>
      <c r="I6993" t="s" s="43">
        <v>30</v>
      </c>
      <c r="J6993" t="s" s="11">
        <v>35041</v>
      </c>
      <c r="K6993" t="s" s="11">
        <v>35042</v>
      </c>
      <c r="L6993" s="17">
        <f>HYPERLINK("http://www.viglabs.xyz", "www.viglabs.xyz")</f>
      </c>
      <c r="M6993" s="17">
        <f>HYPERLINK("https://my.pitchbook.com?c=465527-89", "View Company Online")</f>
      </c>
    </row>
    <row r="6994">
      <c r="A6994" t="s" s="10">
        <v>35044</v>
      </c>
      <c r="B6994" t="s" s="10">
        <v>35045</v>
      </c>
      <c r="C6994" t="s" s="10">
        <v>222</v>
      </c>
      <c r="D6994" t="s" s="10">
        <v>223</v>
      </c>
      <c r="E6994" t="s" s="10">
        <v>414</v>
      </c>
      <c r="F6994" s="27">
        <v>45889</v>
      </c>
      <c r="G6994" t="s" s="10">
        <v>4267</v>
      </c>
      <c r="H6994" s="42">
        <v>5.7</v>
      </c>
      <c r="I6994" t="s" s="42">
        <v>30</v>
      </c>
      <c r="J6994" t="s" s="10">
        <v>35046</v>
      </c>
      <c r="K6994" t="s" s="10">
        <v>35047</v>
      </c>
      <c r="L6994" s="16">
        <f>HYPERLINK("http://vigillabs.ai", "vigillabs.ai")</f>
      </c>
      <c r="M6994" s="16">
        <f>HYPERLINK("https://my.pitchbook.com?c=951505-48", "View Company Online")</f>
      </c>
    </row>
    <row r="6995">
      <c r="A6995" t="s" s="11">
        <v>35049</v>
      </c>
      <c r="B6995" t="s" s="11">
        <v>35050</v>
      </c>
      <c r="C6995" t="s" s="11">
        <v>164</v>
      </c>
      <c r="D6995" t="s" s="11">
        <v>206</v>
      </c>
      <c r="E6995" t="s" s="11">
        <v>373</v>
      </c>
      <c r="F6995" s="28">
        <v>45917</v>
      </c>
      <c r="G6995" t="s" s="11">
        <v>4267</v>
      </c>
      <c r="H6995" s="43">
        <v>4.09</v>
      </c>
      <c r="I6995" t="s" s="43">
        <v>30</v>
      </c>
      <c r="J6995" t="s" s="11">
        <v>35051</v>
      </c>
      <c r="K6995" t="s" s="11">
        <v>35052</v>
      </c>
      <c r="L6995" s="17">
        <f>HYPERLINK("http://www.vinlivt.de", "www.vinlivt.de")</f>
      </c>
      <c r="M6995" s="17">
        <f>HYPERLINK("https://my.pitchbook.com?c=496128-07", "View Company Online")</f>
      </c>
    </row>
    <row r="6996">
      <c r="A6996" t="s" s="10">
        <v>35054</v>
      </c>
      <c r="B6996" t="s" s="10">
        <v>35055</v>
      </c>
      <c r="C6996" t="s" s="10">
        <v>172</v>
      </c>
      <c r="D6996" t="s" s="10">
        <v>338</v>
      </c>
      <c r="E6996" t="s" s="10">
        <v>298</v>
      </c>
      <c r="F6996" s="27">
        <v>43850</v>
      </c>
      <c r="G6996" t="s" s="10">
        <v>5274</v>
      </c>
      <c r="H6996" s="42">
        <v>0.72</v>
      </c>
      <c r="I6996" t="s" s="42">
        <v>30</v>
      </c>
      <c r="J6996" t="s" s="10">
        <v>35056</v>
      </c>
      <c r="K6996" t="s" s="10">
        <v>30</v>
      </c>
      <c r="L6996" s="16">
        <f>HYPERLINK("http://www.visabit.it", "www.visabit.it")</f>
      </c>
      <c r="M6996" s="16">
        <f>HYPERLINK("https://my.pitchbook.com?c=399689-92", "View Company Online")</f>
      </c>
    </row>
    <row r="6997">
      <c r="A6997" t="s" s="11">
        <v>35058</v>
      </c>
      <c r="B6997" t="s" s="11">
        <v>35059</v>
      </c>
      <c r="C6997" t="s" s="11">
        <v>46</v>
      </c>
      <c r="D6997" t="s" s="11">
        <v>397</v>
      </c>
      <c r="E6997" t="s" s="11">
        <v>137</v>
      </c>
      <c r="F6997" s="28">
        <v>44970</v>
      </c>
      <c r="G6997" t="s" s="11">
        <v>40</v>
      </c>
      <c r="H6997" s="43">
        <v>4.33</v>
      </c>
      <c r="I6997" t="s" s="43">
        <v>30</v>
      </c>
      <c r="J6997" t="s" s="11">
        <v>35060</v>
      </c>
      <c r="K6997" t="s" s="11">
        <v>30</v>
      </c>
      <c r="L6997" s="17">
        <f>HYPERLINK("http://www.join-viseeon.com", "www.join-viseeon.com")</f>
      </c>
      <c r="M6997" s="17">
        <f>HYPERLINK("https://my.pitchbook.com?c=458531-47", "View Company Online")</f>
      </c>
    </row>
    <row r="6998">
      <c r="A6998" t="s" s="10">
        <v>35062</v>
      </c>
      <c r="B6998" t="s" s="10">
        <v>35063</v>
      </c>
      <c r="C6998" t="s" s="10">
        <v>46</v>
      </c>
      <c r="D6998" t="s" s="10">
        <v>397</v>
      </c>
      <c r="E6998" t="s" s="10">
        <v>3320</v>
      </c>
      <c r="F6998" s="27">
        <v>45047</v>
      </c>
      <c r="G6998" t="s" s="10">
        <v>146</v>
      </c>
      <c r="H6998" s="42">
        <v>3.34</v>
      </c>
      <c r="I6998" t="s" s="42">
        <v>30</v>
      </c>
      <c r="J6998" t="s" s="10">
        <v>35064</v>
      </c>
      <c r="K6998" t="s" s="10">
        <v>35065</v>
      </c>
      <c r="L6998" s="16">
        <f>HYPERLINK("http://www.visory.com.au", "www.visory.com.au")</f>
      </c>
      <c r="M6998" s="16">
        <f>HYPERLINK("https://my.pitchbook.com?c=532879-03", "View Company Online")</f>
      </c>
    </row>
    <row r="6999">
      <c r="A6999" t="s" s="11">
        <v>35067</v>
      </c>
      <c r="B6999" t="s" s="11">
        <v>35068</v>
      </c>
      <c r="C6999" t="s" s="11">
        <v>172</v>
      </c>
      <c r="D6999" t="s" s="11">
        <v>338</v>
      </c>
      <c r="E6999" t="s" s="11">
        <v>414</v>
      </c>
      <c r="F6999" s="28">
        <v>46085</v>
      </c>
      <c r="G6999" t="s" s="11">
        <v>146</v>
      </c>
      <c r="H6999" s="43">
        <v>1.76</v>
      </c>
      <c r="I6999" t="s" s="43">
        <v>30</v>
      </c>
      <c r="J6999" t="s" s="11">
        <v>35069</v>
      </c>
      <c r="K6999" t="s" s="11">
        <v>35070</v>
      </c>
      <c r="L6999" s="17">
        <f>HYPERLINK("http://www.vivox.ai", "www.vivox.ai")</f>
      </c>
      <c r="M6999" s="17">
        <f>HYPERLINK("https://my.pitchbook.com?c=739634-41", "View Company Online")</f>
      </c>
    </row>
    <row r="7000">
      <c r="A7000" t="s" s="10">
        <v>35072</v>
      </c>
      <c r="B7000" t="s" s="10">
        <v>35073</v>
      </c>
      <c r="C7000" t="s" s="10">
        <v>164</v>
      </c>
      <c r="D7000" t="s" s="10">
        <v>206</v>
      </c>
      <c r="E7000" t="s" s="10">
        <v>859</v>
      </c>
      <c r="F7000" s="27">
        <v>45589</v>
      </c>
      <c r="G7000" t="s" s="10">
        <v>146</v>
      </c>
      <c r="H7000" s="42">
        <v>7</v>
      </c>
      <c r="I7000" t="s" s="42">
        <v>30</v>
      </c>
      <c r="J7000" t="s" s="10">
        <v>35074</v>
      </c>
      <c r="K7000" t="s" s="10">
        <v>30</v>
      </c>
      <c r="L7000" s="16">
        <f>HYPERLINK("http://vixichain.org", "vixichain.org")</f>
      </c>
      <c r="M7000" s="16">
        <f>HYPERLINK("https://my.pitchbook.com?c=706742-20", "View Company Online")</f>
      </c>
    </row>
    <row r="7001">
      <c r="A7001" t="s" s="11">
        <v>35076</v>
      </c>
      <c r="B7001" t="s" s="11">
        <v>35077</v>
      </c>
      <c r="C7001" t="s" s="11">
        <v>144</v>
      </c>
      <c r="D7001" t="s" s="11">
        <v>297</v>
      </c>
      <c r="E7001" t="s" s="11">
        <v>373</v>
      </c>
      <c r="F7001" s="28">
        <v>46190</v>
      </c>
      <c r="G7001" t="s" s="11">
        <v>40</v>
      </c>
      <c r="H7001" s="43">
        <v>0.01</v>
      </c>
      <c r="I7001" t="s" s="43">
        <v>30</v>
      </c>
      <c r="J7001" t="s" s="11">
        <v>35078</v>
      </c>
      <c r="K7001" t="s" s="11">
        <v>35079</v>
      </c>
      <c r="L7001" s="17">
        <f>HYPERLINK("http://www.vixtra.com", "www.vixtra.com")</f>
      </c>
      <c r="M7001" s="17">
        <f>HYPERLINK("https://my.pitchbook.com?c=483206-50", "View Company Online")</f>
      </c>
    </row>
    <row r="7002">
      <c r="A7002" t="s" s="10">
        <v>35081</v>
      </c>
      <c r="B7002" t="s" s="10">
        <v>35082</v>
      </c>
      <c r="C7002" t="s" s="10">
        <v>222</v>
      </c>
      <c r="D7002" t="s" s="10">
        <v>252</v>
      </c>
      <c r="E7002" t="s" s="10">
        <v>859</v>
      </c>
      <c r="F7002" s="27">
        <v>46023</v>
      </c>
      <c r="G7002" t="s" s="10">
        <v>40</v>
      </c>
      <c r="H7002" t="s" s="42">
        <v>30</v>
      </c>
      <c r="I7002" t="s" s="42">
        <v>30</v>
      </c>
      <c r="J7002" t="s" s="10">
        <v>35083</v>
      </c>
      <c r="K7002" t="s" s="10">
        <v>35084</v>
      </c>
      <c r="L7002" s="16">
        <f>HYPERLINK("http://www.vnx.li", "www.vnx.li")</f>
      </c>
      <c r="M7002" s="16">
        <f>HYPERLINK("https://my.pitchbook.com?c=265247-65", "View Company Online")</f>
      </c>
    </row>
    <row r="7003">
      <c r="A7003" t="s" s="11">
        <v>35086</v>
      </c>
      <c r="B7003" t="s" s="11">
        <v>35087</v>
      </c>
      <c r="C7003" t="s" s="11">
        <v>46</v>
      </c>
      <c r="D7003" t="s" s="11">
        <v>78</v>
      </c>
      <c r="E7003" t="s" s="11">
        <v>311</v>
      </c>
      <c r="F7003" s="28">
        <v>45825</v>
      </c>
      <c r="G7003" t="s" s="11">
        <v>146</v>
      </c>
      <c r="H7003" s="43">
        <v>2</v>
      </c>
      <c r="I7003" t="s" s="43">
        <v>30</v>
      </c>
      <c r="J7003" t="s" s="11">
        <v>35088</v>
      </c>
      <c r="K7003" t="s" s="11">
        <v>30</v>
      </c>
      <c r="L7003" s="17">
        <f>HYPERLINK("http://www.volantechain.com", "www.volantechain.com")</f>
      </c>
      <c r="M7003" s="17">
        <f>HYPERLINK("https://my.pitchbook.com?c=865691-38", "View Company Online")</f>
      </c>
    </row>
    <row r="7004">
      <c r="A7004" t="s" s="10">
        <v>35090</v>
      </c>
      <c r="B7004" t="s" s="10">
        <v>35091</v>
      </c>
      <c r="C7004" t="s" s="10">
        <v>114</v>
      </c>
      <c r="D7004" t="s" s="10">
        <v>852</v>
      </c>
      <c r="E7004" t="s" s="10">
        <v>1120</v>
      </c>
      <c r="F7004" s="27">
        <v>45614</v>
      </c>
      <c r="G7004" t="s" s="10">
        <v>146</v>
      </c>
      <c r="H7004" s="42">
        <v>50</v>
      </c>
      <c r="I7004" t="s" s="42">
        <v>30</v>
      </c>
      <c r="J7004" t="s" s="10">
        <v>35092</v>
      </c>
      <c r="K7004" t="s" s="10">
        <v>30</v>
      </c>
      <c r="L7004" s="16">
        <f>HYPERLINK("http://www.volofincorp.com", "www.volofincorp.com")</f>
      </c>
      <c r="M7004" s="16">
        <f>HYPERLINK("https://my.pitchbook.com?c=463149-91", "View Company Online")</f>
      </c>
    </row>
    <row r="7005">
      <c r="A7005" t="s" s="11">
        <v>35094</v>
      </c>
      <c r="B7005" t="s" s="11">
        <v>35095</v>
      </c>
      <c r="C7005" t="s" s="11">
        <v>60</v>
      </c>
      <c r="D7005" t="s" s="11">
        <v>727</v>
      </c>
      <c r="E7005" t="s" s="11">
        <v>759</v>
      </c>
      <c r="F7005" s="28">
        <v>46037</v>
      </c>
      <c r="G7005" t="s" s="11">
        <v>391</v>
      </c>
      <c r="H7005" t="s" s="43">
        <v>30</v>
      </c>
      <c r="I7005" t="s" s="43">
        <v>30</v>
      </c>
      <c r="J7005" t="s" s="11">
        <v>35096</v>
      </c>
      <c r="K7005" t="s" s="11">
        <v>30</v>
      </c>
      <c r="L7005" s="17">
        <f>HYPERLINK("http://www.volossoftware.com", "www.volossoftware.com")</f>
      </c>
      <c r="M7005" s="17">
        <f>HYPERLINK("https://my.pitchbook.com?c=128185-30", "View Company Online")</f>
      </c>
    </row>
    <row r="7006">
      <c r="A7006" t="s" s="10">
        <v>35098</v>
      </c>
      <c r="B7006" t="s" s="10">
        <v>35099</v>
      </c>
      <c r="C7006" t="s" s="10">
        <v>60</v>
      </c>
      <c r="D7006" t="s" s="10">
        <v>246</v>
      </c>
      <c r="E7006" t="s" s="10">
        <v>193</v>
      </c>
      <c r="F7006" s="27">
        <v>44562</v>
      </c>
      <c r="G7006" t="s" s="10">
        <v>607</v>
      </c>
      <c r="H7006" t="s" s="42">
        <v>30</v>
      </c>
      <c r="I7006" t="s" s="42">
        <v>30</v>
      </c>
      <c r="J7006" t="s" s="10">
        <v>35100</v>
      </c>
      <c r="K7006" t="s" s="10">
        <v>35101</v>
      </c>
      <c r="L7006" s="16">
        <f>HYPERLINK("http://www.vomsis.com", "www.vomsis.com")</f>
      </c>
      <c r="M7006" s="16">
        <f>HYPERLINK("https://my.pitchbook.com?c=462153-97", "View Company Online")</f>
      </c>
    </row>
    <row r="7007">
      <c r="A7007" t="s" s="11">
        <v>35103</v>
      </c>
      <c r="B7007" t="s" s="11">
        <v>35104</v>
      </c>
      <c r="C7007" t="s" s="11">
        <v>222</v>
      </c>
      <c r="D7007" t="s" s="11">
        <v>252</v>
      </c>
      <c r="E7007" t="s" s="11">
        <v>137</v>
      </c>
      <c r="F7007" s="28">
        <v>45989</v>
      </c>
      <c r="G7007" t="s" s="11">
        <v>31</v>
      </c>
      <c r="H7007" s="43">
        <v>10.1</v>
      </c>
      <c r="I7007" t="s" s="43">
        <v>30</v>
      </c>
      <c r="J7007" t="s" s="11">
        <v>35105</v>
      </c>
      <c r="K7007" t="s" s="11">
        <v>35106</v>
      </c>
      <c r="L7007" s="17">
        <f>HYPERLINK("http://www.vortx.com.br", "www.vortx.com.br")</f>
      </c>
      <c r="M7007" s="17">
        <f>HYPERLINK("https://my.pitchbook.com?c=463230-82", "View Company Online")</f>
      </c>
    </row>
    <row r="7008">
      <c r="A7008" t="s" s="10">
        <v>35108</v>
      </c>
      <c r="B7008" t="s" s="10">
        <v>35109</v>
      </c>
      <c r="C7008" t="s" s="10">
        <v>222</v>
      </c>
      <c r="D7008" t="s" s="10">
        <v>537</v>
      </c>
      <c r="E7008" t="s" s="10">
        <v>19614</v>
      </c>
      <c r="F7008" s="27">
        <v>45745</v>
      </c>
      <c r="G7008" t="s" s="10">
        <v>40</v>
      </c>
      <c r="H7008" t="s" s="42">
        <v>30</v>
      </c>
      <c r="I7008" t="s" s="42">
        <v>30</v>
      </c>
      <c r="J7008" t="s" s="10">
        <v>35110</v>
      </c>
      <c r="K7008" t="s" s="10">
        <v>35111</v>
      </c>
      <c r="L7008" s="16">
        <f>HYPERLINK("http://www.vosbor.ai", "www.vosbor.ai")</f>
      </c>
      <c r="M7008" s="16">
        <f>HYPERLINK("https://my.pitchbook.com?c=447078-61", "View Company Online")</f>
      </c>
    </row>
    <row r="7009">
      <c r="A7009" t="s" s="11">
        <v>35113</v>
      </c>
      <c r="B7009" t="s" s="11">
        <v>35114</v>
      </c>
      <c r="C7009" t="s" s="11">
        <v>114</v>
      </c>
      <c r="D7009" t="s" s="11">
        <v>870</v>
      </c>
      <c r="E7009" t="s" s="11">
        <v>137</v>
      </c>
      <c r="F7009" s="28">
        <v>46049</v>
      </c>
      <c r="G7009" t="s" s="11">
        <v>40</v>
      </c>
      <c r="H7009" s="43">
        <v>5.65</v>
      </c>
      <c r="I7009" t="s" s="43">
        <v>30</v>
      </c>
      <c r="J7009" t="s" s="11">
        <v>35115</v>
      </c>
      <c r="K7009" t="s" s="11">
        <v>35116</v>
      </c>
      <c r="L7009" s="17">
        <f>HYPERLINK("http://www.voxfunding.com", "www.voxfunding.com")</f>
      </c>
      <c r="M7009" s="17">
        <f>HYPERLINK("https://my.pitchbook.com?c=483513-04", "View Company Online")</f>
      </c>
    </row>
    <row r="7010">
      <c r="A7010" t="s" s="10">
        <v>35118</v>
      </c>
      <c r="B7010" t="s" s="10">
        <v>35119</v>
      </c>
      <c r="C7010" t="s" s="10">
        <v>164</v>
      </c>
      <c r="D7010" t="s" s="10">
        <v>165</v>
      </c>
      <c r="E7010" t="s" s="10">
        <v>373</v>
      </c>
      <c r="F7010" s="27">
        <v>46083</v>
      </c>
      <c r="G7010" t="s" s="10">
        <v>4267</v>
      </c>
      <c r="H7010" s="42">
        <v>0.5</v>
      </c>
      <c r="I7010" t="s" s="42">
        <v>30</v>
      </c>
      <c r="J7010" t="s" s="10">
        <v>35120</v>
      </c>
      <c r="K7010" t="s" s="10">
        <v>35121</v>
      </c>
      <c r="L7010" s="16">
        <f>HYPERLINK("http://www.voyagerai.us", "www.voyagerai.us")</f>
      </c>
      <c r="M7010" s="16">
        <f>HYPERLINK("https://my.pitchbook.com?c=1308516-49", "View Company Online")</f>
      </c>
    </row>
    <row r="7011">
      <c r="A7011" t="s" s="11">
        <v>35123</v>
      </c>
      <c r="B7011" t="s" s="11">
        <v>35124</v>
      </c>
      <c r="C7011" t="s" s="11">
        <v>114</v>
      </c>
      <c r="D7011" t="s" s="11">
        <v>136</v>
      </c>
      <c r="E7011" t="s" s="11">
        <v>137</v>
      </c>
      <c r="F7011" s="28">
        <v>42917</v>
      </c>
      <c r="G7011" t="s" s="11">
        <v>146</v>
      </c>
      <c r="H7011" s="43">
        <v>1.47</v>
      </c>
      <c r="I7011" t="s" s="43">
        <v>30</v>
      </c>
      <c r="J7011" t="s" s="11">
        <v>35125</v>
      </c>
      <c r="K7011" t="s" s="11">
        <v>35126</v>
      </c>
      <c r="L7011" s="17">
        <f>HYPERLINK("http://www.vpdai.com", "www.vpdai.com")</f>
      </c>
      <c r="M7011" s="17">
        <f>HYPERLINK("https://my.pitchbook.com?c=437060-53", "View Company Online")</f>
      </c>
    </row>
    <row r="7012">
      <c r="A7012" t="s" s="10">
        <v>35128</v>
      </c>
      <c r="B7012" t="s" s="10">
        <v>35129</v>
      </c>
      <c r="C7012" t="s" s="10">
        <v>37</v>
      </c>
      <c r="D7012" t="s" s="10">
        <v>38</v>
      </c>
      <c r="E7012" t="s" s="10">
        <v>1065</v>
      </c>
      <c r="F7012" s="27">
        <v>45467</v>
      </c>
      <c r="G7012" t="s" s="10">
        <v>607</v>
      </c>
      <c r="H7012" t="s" s="42">
        <v>30</v>
      </c>
      <c r="I7012" t="s" s="42">
        <v>30</v>
      </c>
      <c r="J7012" t="s" s="10">
        <v>35130</v>
      </c>
      <c r="K7012" t="s" s="10">
        <v>35131</v>
      </c>
      <c r="L7012" s="16">
        <f>HYPERLINK("http://www.vpd.money", "www.vpd.money")</f>
      </c>
      <c r="M7012" s="16">
        <f>HYPERLINK("https://my.pitchbook.com?c=453339-64", "View Company Online")</f>
      </c>
    </row>
    <row r="7013">
      <c r="A7013" t="s" s="11">
        <v>35133</v>
      </c>
      <c r="B7013" t="s" s="11">
        <v>35134</v>
      </c>
      <c r="C7013" t="s" s="11">
        <v>60</v>
      </c>
      <c r="D7013" t="s" s="11">
        <v>192</v>
      </c>
      <c r="E7013" t="s" s="11">
        <v>29</v>
      </c>
      <c r="F7013" s="28">
        <v>45203</v>
      </c>
      <c r="G7013" t="s" s="11">
        <v>4267</v>
      </c>
      <c r="H7013" s="43">
        <v>6.3</v>
      </c>
      <c r="I7013" t="s" s="43">
        <v>30</v>
      </c>
      <c r="J7013" t="s" s="11">
        <v>35135</v>
      </c>
      <c r="K7013" t="s" s="11">
        <v>35136</v>
      </c>
      <c r="L7013" s="17">
        <f>HYPERLINK("http://www.vyzer.co", "www.vyzer.co")</f>
      </c>
      <c r="M7013" s="17">
        <f>HYPERLINK("https://my.pitchbook.com?c=507359-17", "View Company Online")</f>
      </c>
    </row>
    <row r="7014">
      <c r="A7014" t="s" s="10">
        <v>35138</v>
      </c>
      <c r="B7014" t="s" s="10">
        <v>35139</v>
      </c>
      <c r="C7014" t="s" s="10">
        <v>60</v>
      </c>
      <c r="D7014" t="s" s="10">
        <v>192</v>
      </c>
      <c r="E7014" t="s" s="10">
        <v>116</v>
      </c>
      <c r="F7014" s="27">
        <v>45915</v>
      </c>
      <c r="G7014" t="s" s="10">
        <v>4267</v>
      </c>
      <c r="H7014" t="s" s="42">
        <v>30</v>
      </c>
      <c r="I7014" t="s" s="42">
        <v>30</v>
      </c>
      <c r="J7014" t="s" s="10">
        <v>35140</v>
      </c>
      <c r="K7014" t="s" s="10">
        <v>35141</v>
      </c>
      <c r="L7014" s="16">
        <f>HYPERLINK("http://www.wadaie.com", "www.wadaie.com")</f>
      </c>
      <c r="M7014" s="16">
        <f>HYPERLINK("https://my.pitchbook.com?c=533221-57", "View Company Online")</f>
      </c>
    </row>
    <row r="7015">
      <c r="A7015" t="s" s="11">
        <v>35143</v>
      </c>
      <c r="B7015" t="s" s="11">
        <v>35144</v>
      </c>
      <c r="C7015" t="s" s="11">
        <v>222</v>
      </c>
      <c r="D7015" t="s" s="11">
        <v>235</v>
      </c>
      <c r="E7015" t="s" s="11">
        <v>137</v>
      </c>
      <c r="F7015" t="s" s="28">
        <v>30</v>
      </c>
      <c r="G7015" t="s" s="11">
        <v>40</v>
      </c>
      <c r="H7015" t="s" s="43">
        <v>30</v>
      </c>
      <c r="I7015" t="s" s="43">
        <v>30</v>
      </c>
      <c r="J7015" t="s" s="11">
        <v>35145</v>
      </c>
      <c r="K7015" t="s" s="11">
        <v>35146</v>
      </c>
      <c r="L7015" s="17">
        <f>HYPERLINK("http://www.wadiz.kr", "www.wadiz.kr")</f>
      </c>
      <c r="M7015" s="17">
        <f>HYPERLINK("https://my.pitchbook.com?c=103639-15", "View Company Online")</f>
      </c>
    </row>
    <row r="7016">
      <c r="A7016" t="s" s="10">
        <v>35148</v>
      </c>
      <c r="B7016" t="s" s="10">
        <v>35149</v>
      </c>
      <c r="C7016" t="s" s="10">
        <v>60</v>
      </c>
      <c r="D7016" t="s" s="10">
        <v>246</v>
      </c>
      <c r="E7016" t="s" s="10">
        <v>137</v>
      </c>
      <c r="F7016" s="27">
        <v>44784</v>
      </c>
      <c r="G7016" t="s" s="10">
        <v>4267</v>
      </c>
      <c r="H7016" s="42">
        <v>1.2</v>
      </c>
      <c r="I7016" t="s" s="42">
        <v>30</v>
      </c>
      <c r="J7016" t="s" s="10">
        <v>35150</v>
      </c>
      <c r="K7016" t="s" s="10">
        <v>35151</v>
      </c>
      <c r="L7016" s="16">
        <f>HYPERLINK("http://www.wafeer.net", "www.wafeer.net")</f>
      </c>
      <c r="M7016" s="16">
        <f>HYPERLINK("https://my.pitchbook.com?c=462786-13", "View Company Online")</f>
      </c>
    </row>
    <row r="7017">
      <c r="A7017" t="s" s="11">
        <v>35153</v>
      </c>
      <c r="B7017" t="s" s="11">
        <v>35154</v>
      </c>
      <c r="C7017" t="s" s="11">
        <v>46</v>
      </c>
      <c r="D7017" t="s" s="11">
        <v>397</v>
      </c>
      <c r="E7017" t="s" s="11">
        <v>253</v>
      </c>
      <c r="F7017" s="28">
        <v>45636</v>
      </c>
      <c r="G7017" t="s" s="11">
        <v>40</v>
      </c>
      <c r="H7017" s="43">
        <v>7.5</v>
      </c>
      <c r="I7017" t="s" s="43">
        <v>30</v>
      </c>
      <c r="J7017" t="s" s="11">
        <v>35155</v>
      </c>
      <c r="K7017" t="s" s="11">
        <v>35156</v>
      </c>
      <c r="L7017" s="17">
        <f>HYPERLINK("http://www.wafeq.com", "www.wafeq.com")</f>
      </c>
      <c r="M7017" s="17">
        <f>HYPERLINK("https://my.pitchbook.com?c=518946-67", "View Company Online")</f>
      </c>
    </row>
    <row r="7018">
      <c r="A7018" t="s" s="10">
        <v>35158</v>
      </c>
      <c r="B7018" t="s" s="10">
        <v>35159</v>
      </c>
      <c r="C7018" t="s" s="10">
        <v>128</v>
      </c>
      <c r="D7018" t="s" s="10">
        <v>129</v>
      </c>
      <c r="E7018" t="s" s="10">
        <v>270</v>
      </c>
      <c r="F7018" s="27">
        <v>44845</v>
      </c>
      <c r="G7018" t="s" s="10">
        <v>4267</v>
      </c>
      <c r="H7018" t="s" s="42">
        <v>30</v>
      </c>
      <c r="I7018" t="s" s="42">
        <v>30</v>
      </c>
      <c r="J7018" t="s" s="10">
        <v>35160</v>
      </c>
      <c r="K7018" t="s" s="10">
        <v>35161</v>
      </c>
      <c r="L7018" s="16">
        <f>HYPERLINK("http://wafii.co", "wafii.co")</f>
      </c>
      <c r="M7018" s="16">
        <f>HYPERLINK("https://my.pitchbook.com?c=467237-08", "View Company Online")</f>
      </c>
    </row>
    <row r="7019">
      <c r="A7019" t="s" s="11">
        <v>35163</v>
      </c>
      <c r="B7019" t="s" s="11">
        <v>35164</v>
      </c>
      <c r="C7019" t="s" s="11">
        <v>46</v>
      </c>
      <c r="D7019" t="s" s="11">
        <v>78</v>
      </c>
      <c r="E7019" t="s" s="11">
        <v>270</v>
      </c>
      <c r="F7019" s="28">
        <v>44562</v>
      </c>
      <c r="G7019" t="s" s="11">
        <v>607</v>
      </c>
      <c r="H7019" s="43">
        <v>0.5</v>
      </c>
      <c r="I7019" t="s" s="43">
        <v>30</v>
      </c>
      <c r="J7019" t="s" s="11">
        <v>35165</v>
      </c>
      <c r="K7019" t="s" s="11">
        <v>35166</v>
      </c>
      <c r="L7019" s="17">
        <f>HYPERLINK("http://www.wagetap.com", "www.wagetap.com")</f>
      </c>
      <c r="M7019" s="17">
        <f>HYPERLINK("https://my.pitchbook.com?c=463096-63", "View Company Online")</f>
      </c>
    </row>
    <row r="7020">
      <c r="A7020" t="s" s="10">
        <v>35168</v>
      </c>
      <c r="B7020" t="s" s="10">
        <v>35169</v>
      </c>
      <c r="C7020" t="s" s="10">
        <v>128</v>
      </c>
      <c r="D7020" t="s" s="10">
        <v>199</v>
      </c>
      <c r="E7020" t="s" s="10">
        <v>158</v>
      </c>
      <c r="F7020" s="27">
        <v>45897</v>
      </c>
      <c r="G7020" t="s" s="10">
        <v>146</v>
      </c>
      <c r="H7020" s="42">
        <v>4.7</v>
      </c>
      <c r="I7020" t="s" s="42">
        <v>30</v>
      </c>
      <c r="J7020" t="s" s="10">
        <v>35170</v>
      </c>
      <c r="K7020" t="s" s="10">
        <v>30</v>
      </c>
      <c r="L7020" s="16">
        <f>HYPERLINK("http://arlamow-pty-ltd.com.au", "arlamow-pty-ltd.com.au")</f>
      </c>
      <c r="M7020" s="16">
        <f>HYPERLINK("https://my.pitchbook.com?c=978594-31", "View Company Online")</f>
      </c>
    </row>
    <row r="7021">
      <c r="A7021" t="s" s="11">
        <v>35172</v>
      </c>
      <c r="B7021" t="s" s="11">
        <v>35173</v>
      </c>
      <c r="C7021" t="s" s="11">
        <v>27</v>
      </c>
      <c r="D7021" t="s" s="11">
        <v>70</v>
      </c>
      <c r="E7021" t="s" s="11">
        <v>29</v>
      </c>
      <c r="F7021" s="28">
        <v>46031</v>
      </c>
      <c r="G7021" t="s" s="11">
        <v>146</v>
      </c>
      <c r="H7021" t="s" s="43">
        <v>30</v>
      </c>
      <c r="I7021" t="s" s="43">
        <v>30</v>
      </c>
      <c r="J7021" t="s" s="11">
        <v>35174</v>
      </c>
      <c r="K7021" t="s" s="11">
        <v>35175</v>
      </c>
      <c r="L7021" s="17">
        <f>HYPERLINK("http://www.walapay.io", "www.walapay.io")</f>
      </c>
      <c r="M7021" s="17">
        <f>HYPERLINK("https://my.pitchbook.com?c=521920-00", "View Company Online")</f>
      </c>
    </row>
    <row r="7022">
      <c r="A7022" t="s" s="10">
        <v>35177</v>
      </c>
      <c r="B7022" t="s" s="10">
        <v>35178</v>
      </c>
      <c r="C7022" t="s" s="10">
        <v>164</v>
      </c>
      <c r="D7022" t="s" s="10">
        <v>206</v>
      </c>
      <c r="E7022" t="s" s="10">
        <v>193</v>
      </c>
      <c r="F7022" s="27">
        <v>44183</v>
      </c>
      <c r="G7022" t="s" s="10">
        <v>4267</v>
      </c>
      <c r="H7022" s="42">
        <v>4.96</v>
      </c>
      <c r="I7022" t="s" s="42">
        <v>30</v>
      </c>
      <c r="J7022" t="s" s="10">
        <v>35179</v>
      </c>
      <c r="K7022" t="s" s="10">
        <v>8671</v>
      </c>
      <c r="L7022" s="16">
        <f>HYPERLINK("http://www.wallester.com", "www.wallester.com")</f>
      </c>
      <c r="M7022" s="16">
        <f>HYPERLINK("https://my.pitchbook.com?c=470021-95", "View Company Online")</f>
      </c>
    </row>
    <row r="7023">
      <c r="A7023" t="s" s="11">
        <v>35181</v>
      </c>
      <c r="B7023" t="s" s="11">
        <v>35182</v>
      </c>
      <c r="C7023" t="s" s="11">
        <v>60</v>
      </c>
      <c r="D7023" t="s" s="11">
        <v>727</v>
      </c>
      <c r="E7023" t="s" s="11">
        <v>137</v>
      </c>
      <c r="F7023" t="s" s="28">
        <v>30</v>
      </c>
      <c r="G7023" t="s" s="11">
        <v>48</v>
      </c>
      <c r="H7023" t="s" s="43">
        <v>30</v>
      </c>
      <c r="I7023" t="s" s="43">
        <v>30</v>
      </c>
      <c r="J7023" t="s" s="11">
        <v>35183</v>
      </c>
      <c r="K7023" t="s" s="11">
        <v>35184</v>
      </c>
      <c r="L7023" s="17">
        <f>HYPERLINK("http://www.walliance.eu", "www.walliance.eu")</f>
      </c>
      <c r="M7023" s="17">
        <f>HYPERLINK("https://my.pitchbook.com?c=181710-73", "View Company Online")</f>
      </c>
    </row>
    <row r="7024">
      <c r="A7024" t="s" s="10">
        <v>35186</v>
      </c>
      <c r="B7024" t="s" s="10">
        <v>35187</v>
      </c>
      <c r="C7024" t="s" s="10">
        <v>128</v>
      </c>
      <c r="D7024" t="s" s="10">
        <v>276</v>
      </c>
      <c r="E7024" t="s" s="10">
        <v>859</v>
      </c>
      <c r="F7024" t="s" s="27">
        <v>30</v>
      </c>
      <c r="G7024" t="s" s="10">
        <v>48</v>
      </c>
      <c r="H7024" t="s" s="42">
        <v>30</v>
      </c>
      <c r="I7024" t="s" s="42">
        <v>30</v>
      </c>
      <c r="J7024" t="s" s="10">
        <v>35188</v>
      </c>
      <c r="K7024" t="s" s="10">
        <v>35189</v>
      </c>
      <c r="L7024" s="16">
        <f>HYPERLINK("http://www.wallib.com", "www.wallib.com")</f>
      </c>
      <c r="M7024" s="16">
        <f>HYPERLINK("https://my.pitchbook.com?c=537644-80", "View Company Online")</f>
      </c>
    </row>
    <row r="7025">
      <c r="A7025" t="s" s="11">
        <v>35191</v>
      </c>
      <c r="B7025" t="s" s="11">
        <v>35192</v>
      </c>
      <c r="C7025" t="s" s="11">
        <v>128</v>
      </c>
      <c r="D7025" t="s" s="11">
        <v>276</v>
      </c>
      <c r="E7025" t="s" s="11">
        <v>35193</v>
      </c>
      <c r="F7025" s="28">
        <v>44620</v>
      </c>
      <c r="G7025" t="s" s="11">
        <v>4267</v>
      </c>
      <c r="H7025" s="43">
        <v>1.1</v>
      </c>
      <c r="I7025" t="s" s="43">
        <v>30</v>
      </c>
      <c r="J7025" t="s" s="11">
        <v>35194</v>
      </c>
      <c r="K7025" t="s" s="11">
        <v>35195</v>
      </c>
      <c r="L7025" s="17">
        <f>HYPERLINK("http://www.walo.app", "www.walo.app")</f>
      </c>
      <c r="M7025" s="17">
        <f>HYPERLINK("https://my.pitchbook.com?c=493049-98", "View Company Online")</f>
      </c>
    </row>
    <row r="7026">
      <c r="A7026" t="s" s="10">
        <v>35197</v>
      </c>
      <c r="B7026" t="s" s="10">
        <v>35198</v>
      </c>
      <c r="C7026" t="s" s="10">
        <v>128</v>
      </c>
      <c r="D7026" t="s" s="10">
        <v>276</v>
      </c>
      <c r="E7026" t="s" s="10">
        <v>1065</v>
      </c>
      <c r="F7026" s="27">
        <v>46094</v>
      </c>
      <c r="G7026" t="s" s="10">
        <v>4267</v>
      </c>
      <c r="H7026" s="42">
        <v>0.51</v>
      </c>
      <c r="I7026" t="s" s="42">
        <v>30</v>
      </c>
      <c r="J7026" t="s" s="10">
        <v>35199</v>
      </c>
      <c r="K7026" t="s" s="10">
        <v>35200</v>
      </c>
      <c r="L7026" s="16">
        <f>HYPERLINK("http://www.wanderwallet.io", "www.wanderwallet.io")</f>
      </c>
      <c r="M7026" s="16">
        <f>HYPERLINK("https://my.pitchbook.com?c=1326803-41", "View Company Online")</f>
      </c>
    </row>
    <row r="7027">
      <c r="A7027" t="s" s="11">
        <v>35202</v>
      </c>
      <c r="B7027" t="s" s="11">
        <v>35203</v>
      </c>
      <c r="C7027" t="s" s="11">
        <v>60</v>
      </c>
      <c r="D7027" t="s" s="11">
        <v>192</v>
      </c>
      <c r="E7027" t="s" s="11">
        <v>137</v>
      </c>
      <c r="F7027" s="28">
        <v>42865</v>
      </c>
      <c r="G7027" t="s" s="11">
        <v>146</v>
      </c>
      <c r="H7027" s="43">
        <v>8.71</v>
      </c>
      <c r="I7027" t="s" s="43">
        <v>30</v>
      </c>
      <c r="J7027" t="s" s="11">
        <v>35204</v>
      </c>
      <c r="K7027" t="s" s="11">
        <v>35205</v>
      </c>
      <c r="L7027" s="17">
        <f>HYPERLINK("http://www.wangcaigu.com", "www.wangcaigu.com")</f>
      </c>
      <c r="M7027" s="17">
        <f>HYPERLINK("https://my.pitchbook.com?c=435269-71", "View Company Online")</f>
      </c>
    </row>
    <row r="7028">
      <c r="A7028" t="s" s="10">
        <v>35207</v>
      </c>
      <c r="B7028" t="s" s="10">
        <v>35208</v>
      </c>
      <c r="C7028" t="s" s="10">
        <v>164</v>
      </c>
      <c r="D7028" t="s" s="10">
        <v>165</v>
      </c>
      <c r="E7028" t="s" s="10">
        <v>759</v>
      </c>
      <c r="F7028" t="s" s="27">
        <v>30</v>
      </c>
      <c r="G7028" t="s" s="10">
        <v>64</v>
      </c>
      <c r="H7028" s="42">
        <v>500</v>
      </c>
      <c r="I7028" t="s" s="42">
        <v>30</v>
      </c>
      <c r="J7028" t="s" s="10">
        <v>35209</v>
      </c>
      <c r="K7028" t="s" s="10">
        <v>35210</v>
      </c>
      <c r="L7028" s="16">
        <f>HYPERLINK("http://www.ucsmy.com", "www.ucsmy.com")</f>
      </c>
      <c r="M7028" s="16">
        <f>HYPERLINK("https://my.pitchbook.com?c=167528-35", "View Company Online")</f>
      </c>
    </row>
    <row r="7029">
      <c r="A7029" t="s" s="11">
        <v>35212</v>
      </c>
      <c r="B7029" t="s" s="11">
        <v>35213</v>
      </c>
      <c r="C7029" t="s" s="11">
        <v>27</v>
      </c>
      <c r="D7029" t="s" s="11">
        <v>70</v>
      </c>
      <c r="E7029" t="s" s="11">
        <v>200</v>
      </c>
      <c r="F7029" s="28">
        <v>44411</v>
      </c>
      <c r="G7029" t="s" s="11">
        <v>4267</v>
      </c>
      <c r="H7029" s="43">
        <v>2.2</v>
      </c>
      <c r="I7029" t="s" s="43">
        <v>30</v>
      </c>
      <c r="J7029" t="s" s="11">
        <v>35214</v>
      </c>
      <c r="K7029" t="s" s="11">
        <v>35215</v>
      </c>
      <c r="L7029" s="17">
        <f>HYPERLINK("http://wapipay.com", "wapipay.com")</f>
      </c>
      <c r="M7029" s="17">
        <f>HYPERLINK("https://my.pitchbook.com?c=467854-84", "View Company Online")</f>
      </c>
    </row>
    <row r="7030">
      <c r="A7030" t="s" s="10">
        <v>35217</v>
      </c>
      <c r="B7030" t="s" s="10">
        <v>35218</v>
      </c>
      <c r="C7030" t="s" s="10">
        <v>27</v>
      </c>
      <c r="D7030" t="s" s="10">
        <v>28</v>
      </c>
      <c r="E7030" t="s" s="10">
        <v>270</v>
      </c>
      <c r="F7030" s="27">
        <v>46169</v>
      </c>
      <c r="G7030" t="s" s="10">
        <v>607</v>
      </c>
      <c r="H7030" t="s" s="42">
        <v>30</v>
      </c>
      <c r="I7030" t="s" s="42">
        <v>30</v>
      </c>
      <c r="J7030" t="s" s="10">
        <v>35219</v>
      </c>
      <c r="K7030" t="s" s="10">
        <v>35220</v>
      </c>
      <c r="L7030" s="16">
        <f>HYPERLINK("http://www.waribei.africa", "www.waribei.africa")</f>
      </c>
      <c r="M7030" s="16">
        <f>HYPERLINK("https://my.pitchbook.com?c=690742-99", "View Company Online")</f>
      </c>
    </row>
    <row r="7031">
      <c r="A7031" t="s" s="11">
        <v>35222</v>
      </c>
      <c r="B7031" t="s" s="11">
        <v>35223</v>
      </c>
      <c r="C7031" t="s" s="11">
        <v>60</v>
      </c>
      <c r="D7031" t="s" s="11">
        <v>61</v>
      </c>
      <c r="E7031" t="s" s="11">
        <v>193</v>
      </c>
      <c r="F7031" s="28">
        <v>46204</v>
      </c>
      <c r="G7031" t="s" s="11">
        <v>391</v>
      </c>
      <c r="H7031" t="s" s="43">
        <v>30</v>
      </c>
      <c r="I7031" t="s" s="43">
        <v>30</v>
      </c>
      <c r="J7031" t="s" s="11">
        <v>35224</v>
      </c>
      <c r="K7031" t="s" s="11">
        <v>35225</v>
      </c>
      <c r="L7031" s="17">
        <f>HYPERLINK("http://www.warren.com.br", "www.warren.com.br")</f>
      </c>
      <c r="M7031" s="17">
        <f>HYPERLINK("https://my.pitchbook.com?c=265616-02", "View Company Online")</f>
      </c>
    </row>
    <row r="7032">
      <c r="A7032" t="s" s="10">
        <v>35227</v>
      </c>
      <c r="B7032" t="s" s="10">
        <v>35228</v>
      </c>
      <c r="C7032" t="s" s="10">
        <v>46</v>
      </c>
      <c r="D7032" t="s" s="10">
        <v>47</v>
      </c>
      <c r="E7032" t="s" s="10">
        <v>414</v>
      </c>
      <c r="F7032" s="27">
        <v>46055</v>
      </c>
      <c r="G7032" t="s" s="10">
        <v>146</v>
      </c>
      <c r="H7032" s="42">
        <v>0.6</v>
      </c>
      <c r="I7032" t="s" s="42">
        <v>30</v>
      </c>
      <c r="J7032" t="s" s="10">
        <v>35229</v>
      </c>
      <c r="K7032" t="s" s="10">
        <v>35230</v>
      </c>
      <c r="L7032" s="16">
        <f>HYPERLINK("http://watchdog.no", "watchdog.no")</f>
      </c>
      <c r="M7032" s="16">
        <f>HYPERLINK("https://my.pitchbook.com?c=1272522-07", "View Company Online")</f>
      </c>
    </row>
    <row r="7033">
      <c r="A7033" t="s" s="11">
        <v>35232</v>
      </c>
      <c r="B7033" t="s" s="11">
        <v>35233</v>
      </c>
      <c r="C7033" t="s" s="11">
        <v>222</v>
      </c>
      <c r="D7033" t="s" s="11">
        <v>252</v>
      </c>
      <c r="E7033" t="s" s="11">
        <v>859</v>
      </c>
      <c r="F7033" s="28">
        <v>45931</v>
      </c>
      <c r="G7033" t="s" s="11">
        <v>146</v>
      </c>
      <c r="H7033" t="s" s="43">
        <v>30</v>
      </c>
      <c r="I7033" t="s" s="43">
        <v>30</v>
      </c>
      <c r="J7033" t="s" s="11">
        <v>35234</v>
      </c>
      <c r="K7033" t="s" s="11">
        <v>35235</v>
      </c>
      <c r="L7033" s="17">
        <f>HYPERLINK("http://www.watr.org", "www.watr.org")</f>
      </c>
      <c r="M7033" s="17">
        <f>HYPERLINK("https://my.pitchbook.com?c=517821-67", "View Company Online")</f>
      </c>
    </row>
    <row r="7034">
      <c r="A7034" t="s" s="10">
        <v>35237</v>
      </c>
      <c r="B7034" t="s" s="10">
        <v>35238</v>
      </c>
      <c r="C7034" t="s" s="10">
        <v>144</v>
      </c>
      <c r="D7034" t="s" s="10">
        <v>297</v>
      </c>
      <c r="E7034" t="s" s="10">
        <v>373</v>
      </c>
      <c r="F7034" s="27">
        <v>45827</v>
      </c>
      <c r="G7034" t="s" s="10">
        <v>31</v>
      </c>
      <c r="H7034" s="42">
        <v>11.4</v>
      </c>
      <c r="I7034" t="s" s="42">
        <v>30</v>
      </c>
      <c r="J7034" t="s" s="10">
        <v>35239</v>
      </c>
      <c r="K7034" t="s" s="10">
        <v>35240</v>
      </c>
      <c r="L7034" s="16">
        <f>HYPERLINK("http://www.wavo.fr", "www.wavo.fr")</f>
      </c>
      <c r="M7034" s="16">
        <f>HYPERLINK("https://my.pitchbook.com?c=530537-68", "View Company Online")</f>
      </c>
    </row>
    <row r="7035">
      <c r="A7035" t="s" s="11">
        <v>35242</v>
      </c>
      <c r="B7035" t="s" s="11">
        <v>35243</v>
      </c>
      <c r="C7035" t="s" s="11">
        <v>27</v>
      </c>
      <c r="D7035" t="s" s="11">
        <v>28</v>
      </c>
      <c r="E7035" t="s" s="11">
        <v>967</v>
      </c>
      <c r="F7035" s="28">
        <v>45331</v>
      </c>
      <c r="G7035" t="s" s="11">
        <v>4267</v>
      </c>
      <c r="H7035" s="43">
        <v>0.15</v>
      </c>
      <c r="I7035" t="s" s="43">
        <v>30</v>
      </c>
      <c r="J7035" t="s" s="11">
        <v>35244</v>
      </c>
      <c r="K7035" t="s" s="11">
        <v>35245</v>
      </c>
      <c r="L7035" s="17">
        <f>HYPERLINK("http://www.wayl.io", "www.wayl.io")</f>
      </c>
      <c r="M7035" s="17">
        <f>HYPERLINK("https://my.pitchbook.com?c=572073-13", "View Company Online")</f>
      </c>
    </row>
    <row r="7036">
      <c r="A7036" t="s" s="10">
        <v>35247</v>
      </c>
      <c r="B7036" t="s" s="10">
        <v>35248</v>
      </c>
      <c r="C7036" t="s" s="10">
        <v>27</v>
      </c>
      <c r="D7036" t="s" s="10">
        <v>122</v>
      </c>
      <c r="E7036" t="s" s="10">
        <v>1859</v>
      </c>
      <c r="F7036" t="s" s="27">
        <v>30</v>
      </c>
      <c r="G7036" t="s" s="10">
        <v>48</v>
      </c>
      <c r="H7036" t="s" s="42">
        <v>30</v>
      </c>
      <c r="I7036" t="s" s="42">
        <v>30</v>
      </c>
      <c r="J7036" t="s" s="10">
        <v>35249</v>
      </c>
      <c r="K7036" t="s" s="10">
        <v>35250</v>
      </c>
      <c r="L7036" s="16">
        <f>HYPERLINK("http://www.waza.co", "www.waza.co")</f>
      </c>
      <c r="M7036" s="16">
        <f>HYPERLINK("https://my.pitchbook.com?c=519011-74", "View Company Online")</f>
      </c>
    </row>
    <row r="7037">
      <c r="A7037" t="s" s="11">
        <v>35252</v>
      </c>
      <c r="B7037" t="s" s="11">
        <v>35253</v>
      </c>
      <c r="C7037" t="s" s="11">
        <v>60</v>
      </c>
      <c r="D7037" t="s" s="11">
        <v>192</v>
      </c>
      <c r="E7037" t="s" s="11">
        <v>137</v>
      </c>
      <c r="F7037" s="28">
        <v>45216</v>
      </c>
      <c r="G7037" t="s" s="11">
        <v>40</v>
      </c>
      <c r="H7037" t="s" s="43">
        <v>30</v>
      </c>
      <c r="I7037" t="s" s="43">
        <v>30</v>
      </c>
      <c r="J7037" t="s" s="11">
        <v>35254</v>
      </c>
      <c r="K7037" t="s" s="11">
        <v>35255</v>
      </c>
      <c r="L7037" s="17">
        <f>HYPERLINK("http://www.wealthengine.cn", "www.wealthengine.cn")</f>
      </c>
      <c r="M7037" s="17">
        <f>HYPERLINK("https://my.pitchbook.com?c=482068-72", "View Company Online")</f>
      </c>
    </row>
    <row r="7038">
      <c r="A7038" t="s" s="10">
        <v>35257</v>
      </c>
      <c r="B7038" t="s" s="10">
        <v>35258</v>
      </c>
      <c r="C7038" t="s" s="10">
        <v>60</v>
      </c>
      <c r="D7038" t="s" s="10">
        <v>432</v>
      </c>
      <c r="E7038" t="s" s="10">
        <v>414</v>
      </c>
      <c r="F7038" s="27">
        <v>46023</v>
      </c>
      <c r="G7038" t="s" s="10">
        <v>40</v>
      </c>
      <c r="H7038" t="s" s="42">
        <v>30</v>
      </c>
      <c r="I7038" t="s" s="42">
        <v>30</v>
      </c>
      <c r="J7038" t="s" s="10">
        <v>35259</v>
      </c>
      <c r="K7038" t="s" s="10">
        <v>35260</v>
      </c>
      <c r="L7038" s="16">
        <f>HYPERLINK("http://www.wealthbrain.com", "www.wealthbrain.com")</f>
      </c>
      <c r="M7038" s="16">
        <f>HYPERLINK("https://my.pitchbook.com?c=466665-13", "View Company Online")</f>
      </c>
    </row>
    <row r="7039">
      <c r="A7039" t="s" s="11">
        <v>35262</v>
      </c>
      <c r="B7039" t="s" s="11">
        <v>35263</v>
      </c>
      <c r="C7039" t="s" s="11">
        <v>60</v>
      </c>
      <c r="D7039" t="s" s="11">
        <v>192</v>
      </c>
      <c r="E7039" t="s" s="11">
        <v>253</v>
      </c>
      <c r="F7039" s="28">
        <v>45327</v>
      </c>
      <c r="G7039" t="s" s="11">
        <v>4267</v>
      </c>
      <c r="H7039" s="43">
        <v>0.1</v>
      </c>
      <c r="I7039" t="s" s="43">
        <v>30</v>
      </c>
      <c r="J7039" t="s" s="11">
        <v>35264</v>
      </c>
      <c r="K7039" t="s" s="11">
        <v>30</v>
      </c>
      <c r="L7039" s="17">
        <f>HYPERLINK("http://www.wealthfluent.com", "www.wealthfluent.com")</f>
      </c>
      <c r="M7039" s="17">
        <f>HYPERLINK("https://my.pitchbook.com?c=571866-85", "View Company Online")</f>
      </c>
    </row>
    <row r="7040">
      <c r="A7040" t="s" s="10">
        <v>35266</v>
      </c>
      <c r="B7040" t="s" s="10">
        <v>35267</v>
      </c>
      <c r="C7040" t="s" s="10">
        <v>60</v>
      </c>
      <c r="D7040" t="s" s="10">
        <v>246</v>
      </c>
      <c r="E7040" t="s" s="10">
        <v>137</v>
      </c>
      <c r="F7040" s="27">
        <v>45169</v>
      </c>
      <c r="G7040" t="s" s="10">
        <v>146</v>
      </c>
      <c r="H7040" t="s" s="42">
        <v>30</v>
      </c>
      <c r="I7040" t="s" s="42">
        <v>30</v>
      </c>
      <c r="J7040" t="s" s="10">
        <v>35268</v>
      </c>
      <c r="K7040" t="s" s="10">
        <v>35269</v>
      </c>
      <c r="L7040" s="16">
        <f>HYPERLINK("http://pfai.co.kr", "pfai.co.kr")</f>
      </c>
      <c r="M7040" s="16">
        <f>HYPERLINK("https://my.pitchbook.com?c=497800-81", "View Company Online")</f>
      </c>
    </row>
    <row r="7041">
      <c r="A7041" t="s" s="11">
        <v>35271</v>
      </c>
      <c r="B7041" t="s" s="11">
        <v>35272</v>
      </c>
      <c r="C7041" t="s" s="11">
        <v>60</v>
      </c>
      <c r="D7041" t="s" s="11">
        <v>192</v>
      </c>
      <c r="E7041" t="s" s="11">
        <v>116</v>
      </c>
      <c r="F7041" s="28">
        <v>46140</v>
      </c>
      <c r="G7041" t="s" s="11">
        <v>607</v>
      </c>
      <c r="H7041" t="s" s="43">
        <v>30</v>
      </c>
      <c r="I7041" t="s" s="43">
        <v>30</v>
      </c>
      <c r="J7041" t="s" s="11">
        <v>35273</v>
      </c>
      <c r="K7041" t="s" s="11">
        <v>35274</v>
      </c>
      <c r="L7041" s="17">
        <f>HYPERLINK("http://www.wealthmore.net", "www.wealthmore.net")</f>
      </c>
      <c r="M7041" s="17">
        <f>HYPERLINK("https://my.pitchbook.com?c=532722-79", "View Company Online")</f>
      </c>
    </row>
    <row r="7042">
      <c r="A7042" t="s" s="10">
        <v>35276</v>
      </c>
      <c r="B7042" t="s" s="10">
        <v>35277</v>
      </c>
      <c r="C7042" t="s" s="10">
        <v>164</v>
      </c>
      <c r="D7042" t="s" s="10">
        <v>206</v>
      </c>
      <c r="E7042" t="s" s="10">
        <v>3087</v>
      </c>
      <c r="F7042" s="27">
        <v>43410</v>
      </c>
      <c r="G7042" t="s" s="10">
        <v>146</v>
      </c>
      <c r="H7042" s="42">
        <v>0.13</v>
      </c>
      <c r="I7042" t="s" s="42">
        <v>30</v>
      </c>
      <c r="J7042" t="s" s="10">
        <v>35278</v>
      </c>
      <c r="K7042" t="s" s="10">
        <v>35279</v>
      </c>
      <c r="L7042" s="16">
        <f>HYPERLINK("http://www.webmaxco.com", "www.webmaxco.com")</f>
      </c>
      <c r="M7042" s="16">
        <f>HYPERLINK("https://my.pitchbook.com?c=223059-88", "View Company Online")</f>
      </c>
    </row>
    <row r="7043">
      <c r="A7043" t="s" s="11">
        <v>35281</v>
      </c>
      <c r="B7043" t="s" s="11">
        <v>35282</v>
      </c>
      <c r="C7043" t="s" s="11">
        <v>27</v>
      </c>
      <c r="D7043" t="s" s="11">
        <v>70</v>
      </c>
      <c r="E7043" t="s" s="11">
        <v>1032</v>
      </c>
      <c r="F7043" s="28">
        <v>44835</v>
      </c>
      <c r="G7043" t="s" s="11">
        <v>146</v>
      </c>
      <c r="H7043" t="s" s="43">
        <v>30</v>
      </c>
      <c r="I7043" t="s" s="43">
        <v>30</v>
      </c>
      <c r="J7043" t="s" s="11">
        <v>35283</v>
      </c>
      <c r="K7043" t="s" s="11">
        <v>35284</v>
      </c>
      <c r="L7043" s="17">
        <f>HYPERLINK("http://www.webropay.com.br", "www.webropay.com.br")</f>
      </c>
      <c r="M7043" s="17">
        <f>HYPERLINK("https://my.pitchbook.com?c=497950-03", "View Company Online")</f>
      </c>
    </row>
    <row r="7044">
      <c r="A7044" t="s" s="10">
        <v>35286</v>
      </c>
      <c r="B7044" t="s" s="10">
        <v>35287</v>
      </c>
      <c r="C7044" t="s" s="10">
        <v>60</v>
      </c>
      <c r="D7044" t="s" s="10">
        <v>192</v>
      </c>
      <c r="E7044" t="s" s="10">
        <v>3320</v>
      </c>
      <c r="F7044" s="27">
        <v>45205</v>
      </c>
      <c r="G7044" t="s" s="10">
        <v>4267</v>
      </c>
      <c r="H7044" s="42">
        <v>2.29</v>
      </c>
      <c r="I7044" t="s" s="42">
        <v>30</v>
      </c>
      <c r="J7044" t="s" s="10">
        <v>35288</v>
      </c>
      <c r="K7044" t="s" s="10">
        <v>30</v>
      </c>
      <c r="L7044" s="16">
        <f>HYPERLINK("http://www.webstreet.co", "www.webstreet.co")</f>
      </c>
      <c r="M7044" s="16">
        <f>HYPERLINK("https://my.pitchbook.com?c=84715-30", "View Company Online")</f>
      </c>
    </row>
    <row r="7045">
      <c r="A7045" t="s" s="11">
        <v>35290</v>
      </c>
      <c r="B7045" t="s" s="11">
        <v>35291</v>
      </c>
      <c r="C7045" t="s" s="11">
        <v>60</v>
      </c>
      <c r="D7045" t="s" s="11">
        <v>61</v>
      </c>
      <c r="E7045" t="s" s="11">
        <v>270</v>
      </c>
      <c r="F7045" s="28">
        <v>44986</v>
      </c>
      <c r="G7045" t="s" s="11">
        <v>4267</v>
      </c>
      <c r="H7045" s="43">
        <v>1.6</v>
      </c>
      <c r="I7045" t="s" s="43">
        <v>30</v>
      </c>
      <c r="J7045" t="s" s="11">
        <v>35292</v>
      </c>
      <c r="K7045" t="s" s="11">
        <v>35293</v>
      </c>
      <c r="L7045" s="17">
        <f>HYPERLINK("http://www.getvesko.com", "www.getvesko.com")</f>
      </c>
      <c r="M7045" s="17">
        <f>HYPERLINK("https://my.pitchbook.com?c=521434-72", "View Company Online")</f>
      </c>
    </row>
    <row r="7046">
      <c r="A7046" t="s" s="10">
        <v>35295</v>
      </c>
      <c r="B7046" t="s" s="10">
        <v>35296</v>
      </c>
      <c r="C7046" t="s" s="10">
        <v>114</v>
      </c>
      <c r="D7046" t="s" s="10">
        <v>1386</v>
      </c>
      <c r="E7046" t="s" s="10">
        <v>1277</v>
      </c>
      <c r="F7046" s="27">
        <v>43161</v>
      </c>
      <c r="G7046" t="s" s="10">
        <v>40</v>
      </c>
      <c r="H7046" s="42">
        <v>160</v>
      </c>
      <c r="I7046" t="s" s="42">
        <v>30</v>
      </c>
      <c r="J7046" t="s" s="10">
        <v>35297</v>
      </c>
      <c r="K7046" t="s" s="10">
        <v>35298</v>
      </c>
      <c r="L7046" s="16">
        <f>HYPERLINK("http://www.wecashgroup.com", "www.wecashgroup.com")</f>
      </c>
      <c r="M7046" s="16">
        <f>HYPERLINK("https://my.pitchbook.com?c=98368-75", "View Company Online")</f>
      </c>
    </row>
    <row r="7047">
      <c r="A7047" t="s" s="11">
        <v>35300</v>
      </c>
      <c r="B7047" t="s" s="11">
        <v>35301</v>
      </c>
      <c r="C7047" t="s" s="11">
        <v>164</v>
      </c>
      <c r="D7047" t="s" s="11">
        <v>165</v>
      </c>
      <c r="E7047" t="s" s="11">
        <v>2782</v>
      </c>
      <c r="F7047" s="28">
        <v>43019</v>
      </c>
      <c r="G7047" t="s" s="11">
        <v>146</v>
      </c>
      <c r="H7047" s="43">
        <v>1.82</v>
      </c>
      <c r="I7047" t="s" s="43">
        <v>30</v>
      </c>
      <c r="J7047" t="s" s="11">
        <v>35302</v>
      </c>
      <c r="K7047" t="s" s="11">
        <v>35303</v>
      </c>
      <c r="L7047" s="17">
        <f>HYPERLINK("http://www.wecorptech.com", "www.wecorptech.com")</f>
      </c>
      <c r="M7047" s="17">
        <f>HYPERLINK("https://my.pitchbook.com?c=438434-02", "View Company Online")</f>
      </c>
    </row>
    <row r="7048">
      <c r="A7048" t="s" s="10">
        <v>35305</v>
      </c>
      <c r="B7048" t="s" s="10">
        <v>35306</v>
      </c>
      <c r="C7048" t="s" s="10">
        <v>27</v>
      </c>
      <c r="D7048" t="s" s="10">
        <v>28</v>
      </c>
      <c r="E7048" t="s" s="10">
        <v>9284</v>
      </c>
      <c r="F7048" s="27">
        <v>45748</v>
      </c>
      <c r="G7048" t="s" s="10">
        <v>4267</v>
      </c>
      <c r="H7048" t="s" s="42">
        <v>30</v>
      </c>
      <c r="I7048" t="s" s="42">
        <v>30</v>
      </c>
      <c r="J7048" t="s" s="10">
        <v>35307</v>
      </c>
      <c r="K7048" t="s" s="10">
        <v>35308</v>
      </c>
      <c r="L7048" s="16">
        <f>HYPERLINK("http://www.wegive.com", "www.wegive.com")</f>
      </c>
      <c r="M7048" s="16">
        <f>HYPERLINK("https://my.pitchbook.com?c=433187-47", "View Company Online")</f>
      </c>
    </row>
    <row r="7049">
      <c r="A7049" t="s" s="11">
        <v>35310</v>
      </c>
      <c r="B7049" t="s" s="11">
        <v>35311</v>
      </c>
      <c r="C7049" t="s" s="11">
        <v>46</v>
      </c>
      <c r="D7049" t="s" s="11">
        <v>397</v>
      </c>
      <c r="E7049" t="s" s="11">
        <v>3320</v>
      </c>
      <c r="F7049" s="28">
        <v>45351</v>
      </c>
      <c r="G7049" t="s" s="11">
        <v>271</v>
      </c>
      <c r="H7049" s="43">
        <v>0.14</v>
      </c>
      <c r="I7049" t="s" s="43">
        <v>30</v>
      </c>
      <c r="J7049" t="s" s="11">
        <v>35312</v>
      </c>
      <c r="K7049" t="s" s="11">
        <v>30</v>
      </c>
      <c r="L7049" s="17">
        <f>HYPERLINK("http://www.wegs.com.tr", "www.wegs.com.tr")</f>
      </c>
      <c r="M7049" s="17">
        <f>HYPERLINK("https://my.pitchbook.com?c=589493-08", "View Company Online")</f>
      </c>
    </row>
    <row r="7050">
      <c r="A7050" t="s" s="10">
        <v>35314</v>
      </c>
      <c r="B7050" t="s" s="10">
        <v>35315</v>
      </c>
      <c r="C7050" t="s" s="10">
        <v>46</v>
      </c>
      <c r="D7050" t="s" s="10">
        <v>397</v>
      </c>
      <c r="E7050" t="s" s="10">
        <v>634</v>
      </c>
      <c r="F7050" s="27">
        <v>46013</v>
      </c>
      <c r="G7050" t="s" s="10">
        <v>40</v>
      </c>
      <c r="H7050" t="s" s="42">
        <v>30</v>
      </c>
      <c r="I7050" t="s" s="42">
        <v>30</v>
      </c>
      <c r="J7050" t="s" s="10">
        <v>35316</v>
      </c>
      <c r="K7050" t="s" s="10">
        <v>35317</v>
      </c>
      <c r="L7050" s="16">
        <f>HYPERLINK("http://www.wfq2020.com", "www.wfq2020.com")</f>
      </c>
      <c r="M7050" s="16">
        <f>HYPERLINK("https://my.pitchbook.com?c=506842-03", "View Company Online")</f>
      </c>
    </row>
    <row r="7051">
      <c r="A7051" t="s" s="11">
        <v>35319</v>
      </c>
      <c r="B7051" t="s" s="11">
        <v>35320</v>
      </c>
      <c r="C7051" t="s" s="11">
        <v>27</v>
      </c>
      <c r="D7051" t="s" s="11">
        <v>70</v>
      </c>
      <c r="E7051" t="s" s="11">
        <v>137</v>
      </c>
      <c r="F7051" s="28">
        <v>43435</v>
      </c>
      <c r="G7051" t="s" s="11">
        <v>4267</v>
      </c>
      <c r="H7051" s="43">
        <v>2.88</v>
      </c>
      <c r="I7051" t="s" s="43">
        <v>30</v>
      </c>
      <c r="J7051" t="s" s="11">
        <v>35321</v>
      </c>
      <c r="K7051" t="s" s="11">
        <v>35322</v>
      </c>
      <c r="L7051" s="17">
        <f>HYPERLINK("http://www.wpb.work", "www.wpb.work")</f>
      </c>
      <c r="M7051" s="17">
        <f>HYPERLINK("https://my.pitchbook.com?c=343029-34", "View Company Online")</f>
      </c>
    </row>
    <row r="7052">
      <c r="A7052" t="s" s="10">
        <v>35324</v>
      </c>
      <c r="B7052" t="s" s="10">
        <v>35325</v>
      </c>
      <c r="C7052" t="s" s="10">
        <v>46</v>
      </c>
      <c r="D7052" t="s" s="10">
        <v>47</v>
      </c>
      <c r="E7052" t="s" s="10">
        <v>35326</v>
      </c>
      <c r="F7052" s="27">
        <v>46171</v>
      </c>
      <c r="G7052" t="s" s="10">
        <v>64</v>
      </c>
      <c r="H7052" t="s" s="42">
        <v>30</v>
      </c>
      <c r="I7052" t="s" s="42">
        <v>30</v>
      </c>
      <c r="J7052" t="s" s="10">
        <v>35327</v>
      </c>
      <c r="K7052" t="s" s="10">
        <v>35328</v>
      </c>
      <c r="L7052" s="16">
        <f>HYPERLINK("http://www.wekeep.co.kr", "www.wekeep.co.kr")</f>
      </c>
      <c r="M7052" s="16">
        <f>HYPERLINK("https://my.pitchbook.com?c=482002-66", "View Company Online")</f>
      </c>
    </row>
    <row r="7053">
      <c r="A7053" t="s" s="11">
        <v>35330</v>
      </c>
      <c r="B7053" t="s" s="11">
        <v>35331</v>
      </c>
      <c r="C7053" t="s" s="11">
        <v>114</v>
      </c>
      <c r="D7053" t="s" s="11">
        <v>852</v>
      </c>
      <c r="E7053" t="s" s="11">
        <v>367</v>
      </c>
      <c r="F7053" s="28">
        <v>45911</v>
      </c>
      <c r="G7053" t="s" s="11">
        <v>607</v>
      </c>
      <c r="H7053" s="43">
        <v>0.1</v>
      </c>
      <c r="I7053" t="s" s="43">
        <v>30</v>
      </c>
      <c r="J7053" t="s" s="11">
        <v>35332</v>
      </c>
      <c r="K7053" t="s" s="11">
        <v>35333</v>
      </c>
      <c r="L7053" s="17">
        <f>HYPERLINK("http://www.welend.credit", "www.welend.credit")</f>
      </c>
      <c r="M7053" s="17">
        <f>HYPERLINK("https://my.pitchbook.com?c=865520-20", "View Company Online")</f>
      </c>
    </row>
    <row r="7054">
      <c r="A7054" t="s" s="10">
        <v>35335</v>
      </c>
      <c r="B7054" t="s" s="10">
        <v>35336</v>
      </c>
      <c r="C7054" t="s" s="10">
        <v>222</v>
      </c>
      <c r="D7054" t="s" s="10">
        <v>235</v>
      </c>
      <c r="E7054" t="s" s="10">
        <v>35337</v>
      </c>
      <c r="F7054" s="27">
        <v>44907</v>
      </c>
      <c r="G7054" t="s" s="10">
        <v>4267</v>
      </c>
      <c r="H7054" t="s" s="42">
        <v>30</v>
      </c>
      <c r="I7054" t="s" s="42">
        <v>30</v>
      </c>
      <c r="J7054" t="s" s="10">
        <v>35338</v>
      </c>
      <c r="K7054" t="s" s="10">
        <v>35339</v>
      </c>
      <c r="L7054" s="16">
        <f>HYPERLINK("http://www.welfund.org", "www.welfund.org")</f>
      </c>
      <c r="M7054" s="16">
        <f>HYPERLINK("https://my.pitchbook.com?c=515983-87", "View Company Online")</f>
      </c>
    </row>
    <row r="7055">
      <c r="A7055" t="s" s="11">
        <v>35341</v>
      </c>
      <c r="B7055" t="s" s="11">
        <v>35342</v>
      </c>
      <c r="C7055" t="s" s="11">
        <v>46</v>
      </c>
      <c r="D7055" t="s" s="11">
        <v>47</v>
      </c>
      <c r="E7055" t="s" s="11">
        <v>414</v>
      </c>
      <c r="F7055" s="28">
        <v>46035</v>
      </c>
      <c r="G7055" t="s" s="11">
        <v>607</v>
      </c>
      <c r="H7055" t="s" s="43">
        <v>30</v>
      </c>
      <c r="I7055" t="s" s="43">
        <v>30</v>
      </c>
      <c r="J7055" t="s" s="11">
        <v>35343</v>
      </c>
      <c r="K7055" t="s" s="11">
        <v>35344</v>
      </c>
      <c r="L7055" s="17">
        <f>HYPERLINK("http://www.wellapp.ai", "www.wellapp.ai")</f>
      </c>
      <c r="M7055" s="17">
        <f>HYPERLINK("https://my.pitchbook.com?c=894255-40", "View Company Online")</f>
      </c>
    </row>
    <row r="7056">
      <c r="A7056" t="s" s="10">
        <v>35346</v>
      </c>
      <c r="B7056" t="s" s="10">
        <v>35347</v>
      </c>
      <c r="C7056" t="s" s="10">
        <v>60</v>
      </c>
      <c r="D7056" t="s" s="10">
        <v>246</v>
      </c>
      <c r="E7056" t="s" s="10">
        <v>414</v>
      </c>
      <c r="F7056" t="s" s="27">
        <v>30</v>
      </c>
      <c r="G7056" t="s" s="10">
        <v>31</v>
      </c>
      <c r="H7056" t="s" s="42">
        <v>30</v>
      </c>
      <c r="I7056" t="s" s="42">
        <v>30</v>
      </c>
      <c r="J7056" t="s" s="10">
        <v>35348</v>
      </c>
      <c r="K7056" t="s" s="10">
        <v>35349</v>
      </c>
      <c r="L7056" s="16">
        <f>HYPERLINK("http://www.wemoney.com.au", "www.wemoney.com.au")</f>
      </c>
      <c r="M7056" s="16">
        <f>HYPERLINK("https://my.pitchbook.com?c=439836-94", "View Company Online")</f>
      </c>
    </row>
    <row r="7057">
      <c r="A7057" t="s" s="11">
        <v>35351</v>
      </c>
      <c r="B7057" t="s" s="11">
        <v>35352</v>
      </c>
      <c r="C7057" t="s" s="11">
        <v>164</v>
      </c>
      <c r="D7057" t="s" s="11">
        <v>206</v>
      </c>
      <c r="E7057" t="s" s="11">
        <v>367</v>
      </c>
      <c r="F7057" s="28">
        <v>43372</v>
      </c>
      <c r="G7057" t="s" s="11">
        <v>146</v>
      </c>
      <c r="H7057" s="43">
        <v>90</v>
      </c>
      <c r="I7057" t="s" s="43">
        <v>30</v>
      </c>
      <c r="J7057" t="s" s="11">
        <v>35353</v>
      </c>
      <c r="K7057" t="s" s="11">
        <v>35354</v>
      </c>
      <c r="L7057" s="17">
        <f>HYPERLINK("http://www.weshareholdings.com/index", "www.weshareholdings.com/index")</f>
      </c>
      <c r="M7057" s="17">
        <f>HYPERLINK("https://my.pitchbook.com?c=233507-80", "View Company Online")</f>
      </c>
    </row>
    <row r="7058">
      <c r="A7058" t="s" s="10">
        <v>35356</v>
      </c>
      <c r="B7058" t="s" s="10">
        <v>35357</v>
      </c>
      <c r="C7058" t="s" s="10">
        <v>114</v>
      </c>
      <c r="D7058" t="s" s="10">
        <v>852</v>
      </c>
      <c r="E7058" t="s" s="10">
        <v>759</v>
      </c>
      <c r="F7058" s="27">
        <v>45392</v>
      </c>
      <c r="G7058" t="s" s="10">
        <v>40</v>
      </c>
      <c r="H7058" s="42">
        <v>2.05</v>
      </c>
      <c r="I7058" t="s" s="42">
        <v>30</v>
      </c>
      <c r="J7058" t="s" s="10">
        <v>35358</v>
      </c>
      <c r="K7058" t="s" s="10">
        <v>30</v>
      </c>
      <c r="L7058" s="16">
        <f>HYPERLINK("http://www.westonefinance.com", "www.westonefinance.com")</f>
      </c>
      <c r="M7058" s="16">
        <f>HYPERLINK("https://my.pitchbook.com?c=224180-38", "View Company Online")</f>
      </c>
    </row>
    <row r="7059">
      <c r="A7059" t="s" s="11">
        <v>35360</v>
      </c>
      <c r="B7059" t="s" s="11">
        <v>35361</v>
      </c>
      <c r="C7059" t="s" s="11">
        <v>60</v>
      </c>
      <c r="D7059" t="s" s="11">
        <v>246</v>
      </c>
      <c r="E7059" t="s" s="11">
        <v>137</v>
      </c>
      <c r="F7059" s="28">
        <v>42978</v>
      </c>
      <c r="G7059" t="s" s="11">
        <v>146</v>
      </c>
      <c r="H7059" s="43">
        <v>11</v>
      </c>
      <c r="I7059" t="s" s="43">
        <v>30</v>
      </c>
      <c r="J7059" t="s" s="11">
        <v>35362</v>
      </c>
      <c r="K7059" t="s" s="11">
        <v>30</v>
      </c>
      <c r="L7059" s="17">
        <f>HYPERLINK("http://www.whalestock.com", "www.whalestock.com")</f>
      </c>
      <c r="M7059" s="17">
        <f>HYPERLINK("https://my.pitchbook.com?c=435181-51", "View Company Online")</f>
      </c>
    </row>
    <row r="7060">
      <c r="A7060" t="s" s="10">
        <v>35364</v>
      </c>
      <c r="B7060" t="s" s="10">
        <v>35365</v>
      </c>
      <c r="C7060" t="s" s="10">
        <v>114</v>
      </c>
      <c r="D7060" t="s" s="10">
        <v>136</v>
      </c>
      <c r="E7060" t="s" s="10">
        <v>859</v>
      </c>
      <c r="F7060" s="27">
        <v>46140</v>
      </c>
      <c r="G7060" t="s" s="10">
        <v>2051</v>
      </c>
      <c r="H7060" t="s" s="42">
        <v>30</v>
      </c>
      <c r="I7060" t="s" s="42">
        <v>30</v>
      </c>
      <c r="J7060" t="s" s="10">
        <v>35366</v>
      </c>
      <c r="K7060" t="s" s="10">
        <v>30</v>
      </c>
      <c r="L7060" s="16">
        <f>HYPERLINK("http://www.wsc-group.com", "www.wsc-group.com")</f>
      </c>
      <c r="M7060" s="16">
        <f>HYPERLINK("https://my.pitchbook.com?c=459618-13", "View Company Online")</f>
      </c>
    </row>
    <row r="7061">
      <c r="A7061" t="s" s="11">
        <v>35368</v>
      </c>
      <c r="B7061" t="s" s="11">
        <v>35369</v>
      </c>
      <c r="C7061" t="s" s="11">
        <v>60</v>
      </c>
      <c r="D7061" t="s" s="11">
        <v>432</v>
      </c>
      <c r="E7061" t="s" s="11">
        <v>634</v>
      </c>
      <c r="F7061" t="s" s="28">
        <v>30</v>
      </c>
      <c r="G7061" t="s" s="11">
        <v>607</v>
      </c>
      <c r="H7061" t="s" s="43">
        <v>30</v>
      </c>
      <c r="I7061" t="s" s="43">
        <v>30</v>
      </c>
      <c r="J7061" t="s" s="11">
        <v>35370</v>
      </c>
      <c r="K7061" t="s" s="11">
        <v>35371</v>
      </c>
      <c r="L7061" s="17">
        <f>HYPERLINK("http://www.whosgood.org", "www.whosgood.org")</f>
      </c>
      <c r="M7061" s="17">
        <f>HYPERLINK("https://my.pitchbook.com?c=343395-82", "View Company Online")</f>
      </c>
    </row>
    <row r="7062">
      <c r="A7062" t="s" s="10">
        <v>35373</v>
      </c>
      <c r="B7062" t="s" s="10">
        <v>35374</v>
      </c>
      <c r="C7062" t="s" s="10">
        <v>37</v>
      </c>
      <c r="D7062" t="s" s="10">
        <v>304</v>
      </c>
      <c r="E7062" t="s" s="10">
        <v>1859</v>
      </c>
      <c r="F7062" s="27">
        <v>44927</v>
      </c>
      <c r="G7062" t="s" s="10">
        <v>607</v>
      </c>
      <c r="H7062" t="s" s="42">
        <v>30</v>
      </c>
      <c r="I7062" t="s" s="42">
        <v>30</v>
      </c>
      <c r="J7062" t="s" s="10">
        <v>35375</v>
      </c>
      <c r="K7062" t="s" s="10">
        <v>35376</v>
      </c>
      <c r="L7062" s="16">
        <f>HYPERLINK("http://www.wibond.co", "www.wibond.co")</f>
      </c>
      <c r="M7062" s="16">
        <f>HYPERLINK("https://my.pitchbook.com?c=435782-44", "View Company Online")</f>
      </c>
    </row>
    <row r="7063">
      <c r="A7063" t="s" s="11">
        <v>35378</v>
      </c>
      <c r="B7063" t="s" s="11">
        <v>35379</v>
      </c>
      <c r="C7063" t="s" s="11">
        <v>60</v>
      </c>
      <c r="D7063" t="s" s="11">
        <v>727</v>
      </c>
      <c r="E7063" t="s" s="11">
        <v>1207</v>
      </c>
      <c r="F7063" s="28">
        <v>43766</v>
      </c>
      <c r="G7063" t="s" s="11">
        <v>40</v>
      </c>
      <c r="H7063" s="43">
        <v>1.37</v>
      </c>
      <c r="I7063" t="s" s="43">
        <v>30</v>
      </c>
      <c r="J7063" t="s" s="11">
        <v>35380</v>
      </c>
      <c r="K7063" t="s" s="11">
        <v>35381</v>
      </c>
      <c r="L7063" s="17">
        <f>HYPERLINK("http://www.wikifolio.com", "www.wikifolio.com")</f>
      </c>
      <c r="M7063" s="17">
        <f>HYPERLINK("https://my.pitchbook.com?c=55804-15", "View Company Online")</f>
      </c>
    </row>
    <row r="7064">
      <c r="A7064" t="s" s="10">
        <v>35383</v>
      </c>
      <c r="B7064" t="s" s="10">
        <v>35384</v>
      </c>
      <c r="C7064" t="s" s="10">
        <v>60</v>
      </c>
      <c r="D7064" t="s" s="10">
        <v>727</v>
      </c>
      <c r="E7064" t="s" s="10">
        <v>2782</v>
      </c>
      <c r="F7064" s="27">
        <v>45366</v>
      </c>
      <c r="G7064" t="s" s="10">
        <v>40</v>
      </c>
      <c r="H7064" s="42">
        <v>0.55</v>
      </c>
      <c r="I7064" t="s" s="42">
        <v>30</v>
      </c>
      <c r="J7064" t="s" s="10">
        <v>35385</v>
      </c>
      <c r="K7064" t="s" s="10">
        <v>30</v>
      </c>
      <c r="L7064" s="16">
        <f>HYPERLINK("http://www.wildhorncap.com", "www.wildhorncap.com")</f>
      </c>
      <c r="M7064" s="16">
        <f>HYPERLINK("https://my.pitchbook.com?c=520525-18", "View Company Online")</f>
      </c>
    </row>
    <row r="7065">
      <c r="A7065" t="s" s="11">
        <v>35387</v>
      </c>
      <c r="B7065" t="s" s="11">
        <v>35388</v>
      </c>
      <c r="C7065" t="s" s="11">
        <v>60</v>
      </c>
      <c r="D7065" t="s" s="11">
        <v>192</v>
      </c>
      <c r="E7065" t="s" s="11">
        <v>185</v>
      </c>
      <c r="F7065" s="28">
        <v>44218</v>
      </c>
      <c r="G7065" t="s" s="11">
        <v>4267</v>
      </c>
      <c r="H7065" s="43">
        <v>0.31</v>
      </c>
      <c r="I7065" t="s" s="43">
        <v>30</v>
      </c>
      <c r="J7065" t="s" s="11">
        <v>35389</v>
      </c>
      <c r="K7065" t="s" s="11">
        <v>30</v>
      </c>
      <c r="L7065" s="17">
        <f>HYPERLINK("http://www.wimple.com", "www.wimple.com")</f>
      </c>
      <c r="M7065" s="17">
        <f>HYPERLINK("https://my.pitchbook.com?c=459295-39", "View Company Online")</f>
      </c>
    </row>
    <row r="7066">
      <c r="A7066" t="s" s="10">
        <v>35391</v>
      </c>
      <c r="B7066" t="s" s="10">
        <v>35392</v>
      </c>
      <c r="C7066" t="s" s="10">
        <v>60</v>
      </c>
      <c r="D7066" t="s" s="10">
        <v>192</v>
      </c>
      <c r="E7066" t="s" s="10">
        <v>270</v>
      </c>
      <c r="F7066" s="27">
        <v>43166</v>
      </c>
      <c r="G7066" t="s" s="10">
        <v>146</v>
      </c>
      <c r="H7066" s="42">
        <v>60</v>
      </c>
      <c r="I7066" t="s" s="42">
        <v>30</v>
      </c>
      <c r="J7066" t="s" s="10">
        <v>35393</v>
      </c>
      <c r="K7066" t="s" s="10">
        <v>35394</v>
      </c>
      <c r="L7066" s="16">
        <f>HYPERLINK("http://www.yingyinglicai.com", "www.yingyinglicai.com")</f>
      </c>
      <c r="M7066" s="16">
        <f>HYPERLINK("https://my.pitchbook.com?c=65831-05", "View Company Online")</f>
      </c>
    </row>
    <row r="7067">
      <c r="A7067" t="s" s="11">
        <v>35396</v>
      </c>
      <c r="B7067" t="s" s="11">
        <v>35397</v>
      </c>
      <c r="C7067" t="s" s="11">
        <v>27</v>
      </c>
      <c r="D7067" t="s" s="11">
        <v>28</v>
      </c>
      <c r="E7067" t="s" s="11">
        <v>3138</v>
      </c>
      <c r="F7067" s="28">
        <v>45499</v>
      </c>
      <c r="G7067" t="s" s="11">
        <v>4267</v>
      </c>
      <c r="H7067" s="43">
        <v>5.86</v>
      </c>
      <c r="I7067" t="s" s="43">
        <v>30</v>
      </c>
      <c r="J7067" t="s" s="11">
        <v>35398</v>
      </c>
      <c r="K7067" t="s" s="11">
        <v>35399</v>
      </c>
      <c r="L7067" s="17">
        <f>HYPERLINK("http://www.wink.cloud", "www.wink.cloud")</f>
      </c>
      <c r="M7067" s="17">
        <f>HYPERLINK("https://my.pitchbook.com?c=493428-70", "View Company Online")</f>
      </c>
    </row>
    <row r="7068">
      <c r="A7068" t="s" s="10">
        <v>35401</v>
      </c>
      <c r="B7068" t="s" s="10">
        <v>35402</v>
      </c>
      <c r="C7068" t="s" s="10">
        <v>114</v>
      </c>
      <c r="D7068" t="s" s="10">
        <v>852</v>
      </c>
      <c r="E7068" t="s" s="10">
        <v>634</v>
      </c>
      <c r="F7068" s="27">
        <v>45225</v>
      </c>
      <c r="G7068" t="s" s="10">
        <v>607</v>
      </c>
      <c r="H7068" t="s" s="42">
        <v>30</v>
      </c>
      <c r="I7068" t="s" s="42">
        <v>30</v>
      </c>
      <c r="J7068" t="s" s="10">
        <v>35403</v>
      </c>
      <c r="K7068" t="s" s="10">
        <v>35404</v>
      </c>
      <c r="L7068" s="16">
        <f>HYPERLINK("http://www.winkstonepartners.com", "www.winkstonepartners.com")</f>
      </c>
      <c r="M7068" s="16">
        <f>HYPERLINK("https://my.pitchbook.com?c=500715-01", "View Company Online")</f>
      </c>
    </row>
    <row r="7069">
      <c r="A7069" t="s" s="11">
        <v>35406</v>
      </c>
      <c r="B7069" t="s" s="11">
        <v>35407</v>
      </c>
      <c r="C7069" t="s" s="11">
        <v>60</v>
      </c>
      <c r="D7069" t="s" s="11">
        <v>432</v>
      </c>
      <c r="E7069" t="s" s="11">
        <v>634</v>
      </c>
      <c r="F7069" s="28">
        <v>46155</v>
      </c>
      <c r="G7069" t="s" s="11">
        <v>146</v>
      </c>
      <c r="H7069" s="43">
        <v>1.41</v>
      </c>
      <c r="I7069" t="s" s="43">
        <v>30</v>
      </c>
      <c r="J7069" t="s" s="11">
        <v>35408</v>
      </c>
      <c r="K7069" t="s" s="11">
        <v>35409</v>
      </c>
      <c r="L7069" s="17">
        <f>HYPERLINK("http://www.wiocapital.com", "www.wiocapital.com")</f>
      </c>
      <c r="M7069" s="17">
        <f>HYPERLINK("https://my.pitchbook.com?c=1020007-45", "View Company Online")</f>
      </c>
    </row>
    <row r="7070">
      <c r="A7070" t="s" s="10">
        <v>35411</v>
      </c>
      <c r="B7070" t="s" s="10">
        <v>35412</v>
      </c>
      <c r="C7070" t="s" s="10">
        <v>128</v>
      </c>
      <c r="D7070" t="s" s="10">
        <v>276</v>
      </c>
      <c r="E7070" t="s" s="10">
        <v>137</v>
      </c>
      <c r="F7070" t="s" s="27">
        <v>30</v>
      </c>
      <c r="G7070" t="s" s="10">
        <v>48</v>
      </c>
      <c r="H7070" t="s" s="42">
        <v>30</v>
      </c>
      <c r="I7070" t="s" s="42">
        <v>30</v>
      </c>
      <c r="J7070" t="s" s="10">
        <v>35413</v>
      </c>
      <c r="K7070" t="s" s="10">
        <v>35414</v>
      </c>
      <c r="L7070" s="16">
        <f>HYPERLINK("http://www.wirebarley.com", "www.wirebarley.com")</f>
      </c>
      <c r="M7070" s="16">
        <f>HYPERLINK("https://my.pitchbook.com?c=267765-31", "View Company Online")</f>
      </c>
    </row>
    <row r="7071">
      <c r="A7071" t="s" s="11">
        <v>35416</v>
      </c>
      <c r="B7071" t="s" s="11">
        <v>35417</v>
      </c>
      <c r="C7071" t="s" s="11">
        <v>46</v>
      </c>
      <c r="D7071" t="s" s="11">
        <v>47</v>
      </c>
      <c r="E7071" t="s" s="11">
        <v>2695</v>
      </c>
      <c r="F7071" s="28">
        <v>45889</v>
      </c>
      <c r="G7071" t="s" s="11">
        <v>146</v>
      </c>
      <c r="H7071" s="43">
        <v>28</v>
      </c>
      <c r="I7071" t="s" s="43">
        <v>30</v>
      </c>
      <c r="J7071" t="s" s="11">
        <v>35418</v>
      </c>
      <c r="K7071" t="s" s="11">
        <v>35419</v>
      </c>
      <c r="L7071" s="17">
        <f>HYPERLINK("http://www.withwisdom.com", "www.withwisdom.com")</f>
      </c>
      <c r="M7071" s="17">
        <f>HYPERLINK("https://my.pitchbook.com?c=599880-52", "View Company Online")</f>
      </c>
    </row>
    <row r="7072">
      <c r="A7072" t="s" s="10">
        <v>35421</v>
      </c>
      <c r="B7072" t="s" s="10">
        <v>35422</v>
      </c>
      <c r="C7072" t="s" s="10">
        <v>27</v>
      </c>
      <c r="D7072" t="s" s="10">
        <v>28</v>
      </c>
      <c r="E7072" t="s" s="10">
        <v>35423</v>
      </c>
      <c r="F7072" s="27">
        <v>45364</v>
      </c>
      <c r="G7072" t="s" s="10">
        <v>40</v>
      </c>
      <c r="H7072" t="s" s="42">
        <v>30</v>
      </c>
      <c r="I7072" t="s" s="42">
        <v>30</v>
      </c>
      <c r="J7072" t="s" s="10">
        <v>35424</v>
      </c>
      <c r="K7072" t="s" s="10">
        <v>35425</v>
      </c>
      <c r="L7072" s="16">
        <f>HYPERLINK("http://www.wiseasy.com", "www.wiseasy.com")</f>
      </c>
      <c r="M7072" s="16">
        <f>HYPERLINK("https://my.pitchbook.com?c=57443-68", "View Company Online")</f>
      </c>
    </row>
    <row r="7073">
      <c r="A7073" t="s" s="11">
        <v>35427</v>
      </c>
      <c r="B7073" t="s" s="11">
        <v>35428</v>
      </c>
      <c r="C7073" t="s" s="11">
        <v>222</v>
      </c>
      <c r="D7073" t="s" s="11">
        <v>235</v>
      </c>
      <c r="E7073" t="s" s="11">
        <v>373</v>
      </c>
      <c r="F7073" s="28">
        <v>46207</v>
      </c>
      <c r="G7073" t="s" s="11">
        <v>2051</v>
      </c>
      <c r="H7073" t="s" s="43">
        <v>30</v>
      </c>
      <c r="I7073" t="s" s="43">
        <v>30</v>
      </c>
      <c r="J7073" t="s" s="11">
        <v>35429</v>
      </c>
      <c r="K7073" t="s" s="11">
        <v>30</v>
      </c>
      <c r="L7073" s="17">
        <f>HYPERLINK("http://www.wito.digital", "www.wito.digital")</f>
      </c>
      <c r="M7073" s="17">
        <f>HYPERLINK("https://my.pitchbook.com?c=691857-73", "View Company Online")</f>
      </c>
    </row>
    <row r="7074">
      <c r="A7074" t="s" s="10">
        <v>35431</v>
      </c>
      <c r="B7074" t="s" s="10">
        <v>35432</v>
      </c>
      <c r="C7074" t="s" s="10">
        <v>46</v>
      </c>
      <c r="D7074" t="s" s="10">
        <v>397</v>
      </c>
      <c r="E7074" t="s" s="10">
        <v>373</v>
      </c>
      <c r="F7074" s="27">
        <v>42768</v>
      </c>
      <c r="G7074" t="s" s="10">
        <v>146</v>
      </c>
      <c r="H7074" s="42">
        <v>5.01</v>
      </c>
      <c r="I7074" t="s" s="42">
        <v>30</v>
      </c>
      <c r="J7074" t="s" s="10">
        <v>35433</v>
      </c>
      <c r="K7074" t="s" s="10">
        <v>35434</v>
      </c>
      <c r="L7074" s="16">
        <f>HYPERLINK("http://wity.fr", "wity.fr")</f>
      </c>
      <c r="M7074" s="16">
        <f>HYPERLINK("https://my.pitchbook.com?c=170206-48", "View Company Online")</f>
      </c>
    </row>
    <row r="7075">
      <c r="A7075" t="s" s="11">
        <v>35436</v>
      </c>
      <c r="B7075" t="s" s="11">
        <v>35437</v>
      </c>
      <c r="C7075" t="s" s="11">
        <v>27</v>
      </c>
      <c r="D7075" t="s" s="11">
        <v>122</v>
      </c>
      <c r="E7075" t="s" s="11">
        <v>35438</v>
      </c>
      <c r="F7075" s="28">
        <v>45658</v>
      </c>
      <c r="G7075" t="s" s="11">
        <v>146</v>
      </c>
      <c r="H7075" t="s" s="43">
        <v>30</v>
      </c>
      <c r="I7075" t="s" s="43">
        <v>30</v>
      </c>
      <c r="J7075" t="s" s="11">
        <v>35439</v>
      </c>
      <c r="K7075" t="s" s="11">
        <v>35440</v>
      </c>
      <c r="L7075" s="17">
        <f>HYPERLINK("http://www.wizzfinancial.com", "www.wizzfinancial.com")</f>
      </c>
      <c r="M7075" s="17">
        <f>HYPERLINK("https://my.pitchbook.com?c=507245-41", "View Company Online")</f>
      </c>
    </row>
    <row r="7076">
      <c r="A7076" t="s" s="10">
        <v>35442</v>
      </c>
      <c r="B7076" t="s" s="10">
        <v>35443</v>
      </c>
      <c r="C7076" t="s" s="10">
        <v>114</v>
      </c>
      <c r="D7076" t="s" s="10">
        <v>136</v>
      </c>
      <c r="E7076" t="s" s="10">
        <v>1006</v>
      </c>
      <c r="F7076" s="27">
        <v>45257</v>
      </c>
      <c r="G7076" t="s" s="10">
        <v>146</v>
      </c>
      <c r="H7076" s="42">
        <v>14</v>
      </c>
      <c r="I7076" t="s" s="42">
        <v>30</v>
      </c>
      <c r="J7076" t="s" s="10">
        <v>35444</v>
      </c>
      <c r="K7076" t="s" s="10">
        <v>35445</v>
      </c>
      <c r="L7076" s="16">
        <f>HYPERLINK("http://www.wlth.com", "www.wlth.com")</f>
      </c>
      <c r="M7076" s="16">
        <f>HYPERLINK("https://my.pitchbook.com?c=470597-68", "View Company Online")</f>
      </c>
    </row>
    <row r="7077">
      <c r="A7077" t="s" s="11">
        <v>35447</v>
      </c>
      <c r="B7077" t="s" s="11">
        <v>35448</v>
      </c>
      <c r="C7077" t="s" s="11">
        <v>164</v>
      </c>
      <c r="D7077" t="s" s="11">
        <v>165</v>
      </c>
      <c r="E7077" t="s" s="11">
        <v>373</v>
      </c>
      <c r="F7077" s="28">
        <v>45932</v>
      </c>
      <c r="G7077" t="s" s="11">
        <v>146</v>
      </c>
      <c r="H7077" s="43">
        <v>1</v>
      </c>
      <c r="I7077" t="s" s="43">
        <v>30</v>
      </c>
      <c r="J7077" t="s" s="11">
        <v>35449</v>
      </c>
      <c r="K7077" t="s" s="11">
        <v>35450</v>
      </c>
      <c r="L7077" s="17">
        <f>HYPERLINK("http://www.wmcockpit.com", "www.wmcockpit.com")</f>
      </c>
      <c r="M7077" s="17">
        <f>HYPERLINK("https://my.pitchbook.com?c=543604-51", "View Company Online")</f>
      </c>
    </row>
    <row r="7078">
      <c r="A7078" t="s" s="10">
        <v>35452</v>
      </c>
      <c r="B7078" t="s" s="10">
        <v>35453</v>
      </c>
      <c r="C7078" t="s" s="10">
        <v>144</v>
      </c>
      <c r="D7078" t="s" s="10">
        <v>297</v>
      </c>
      <c r="E7078" t="s" s="10">
        <v>137</v>
      </c>
      <c r="F7078" s="27">
        <v>45749</v>
      </c>
      <c r="G7078" t="s" s="10">
        <v>4267</v>
      </c>
      <c r="H7078" s="42">
        <v>0.49</v>
      </c>
      <c r="I7078" t="s" s="42">
        <v>30</v>
      </c>
      <c r="J7078" t="s" s="10">
        <v>35454</v>
      </c>
      <c r="K7078" t="s" s="10">
        <v>35455</v>
      </c>
      <c r="L7078" s="16">
        <f>HYPERLINK("http://www.wocap.io", "www.wocap.io")</f>
      </c>
      <c r="M7078" s="16">
        <f>HYPERLINK("https://my.pitchbook.com?c=820066-06", "View Company Online")</f>
      </c>
    </row>
    <row r="7079">
      <c r="A7079" t="s" s="11">
        <v>35457</v>
      </c>
      <c r="B7079" t="s" s="11">
        <v>35458</v>
      </c>
      <c r="C7079" t="s" s="11">
        <v>164</v>
      </c>
      <c r="D7079" t="s" s="11">
        <v>934</v>
      </c>
      <c r="E7079" t="s" s="11">
        <v>6894</v>
      </c>
      <c r="F7079" s="28">
        <v>46083</v>
      </c>
      <c r="G7079" t="s" s="11">
        <v>4267</v>
      </c>
      <c r="H7079" s="43">
        <v>1.13</v>
      </c>
      <c r="I7079" t="s" s="43">
        <v>30</v>
      </c>
      <c r="J7079" t="s" s="11">
        <v>35459</v>
      </c>
      <c r="K7079" t="s" s="11">
        <v>35460</v>
      </c>
      <c r="L7079" s="17">
        <f>HYPERLINK("http://www.woodwide.ai", "www.woodwide.ai")</f>
      </c>
      <c r="M7079" s="17">
        <f>HYPERLINK("https://my.pitchbook.com?c=756588-88", "View Company Online")</f>
      </c>
    </row>
    <row r="7080">
      <c r="A7080" t="s" s="10">
        <v>35462</v>
      </c>
      <c r="B7080" t="s" s="10">
        <v>35463</v>
      </c>
      <c r="C7080" t="s" s="10">
        <v>164</v>
      </c>
      <c r="D7080" t="s" s="10">
        <v>206</v>
      </c>
      <c r="E7080" t="s" s="10">
        <v>270</v>
      </c>
      <c r="F7080" s="27">
        <v>44346</v>
      </c>
      <c r="G7080" t="s" s="10">
        <v>4267</v>
      </c>
      <c r="H7080" s="42">
        <v>1.5</v>
      </c>
      <c r="I7080" t="s" s="42">
        <v>30</v>
      </c>
      <c r="J7080" t="s" s="10">
        <v>35464</v>
      </c>
      <c r="K7080" t="s" s="10">
        <v>30</v>
      </c>
      <c r="L7080" s="16">
        <f>HYPERLINK("http://www.workerappz.com", "www.workerappz.com")</f>
      </c>
      <c r="M7080" s="16">
        <f>HYPERLINK("https://my.pitchbook.com?c=467175-88", "View Company Online")</f>
      </c>
    </row>
    <row r="7081">
      <c r="A7081" t="s" s="11">
        <v>35466</v>
      </c>
      <c r="B7081" t="s" s="11">
        <v>35467</v>
      </c>
      <c r="C7081" t="s" s="11">
        <v>144</v>
      </c>
      <c r="D7081" t="s" s="11">
        <v>297</v>
      </c>
      <c r="E7081" t="s" s="11">
        <v>137</v>
      </c>
      <c r="F7081" s="28">
        <v>46104</v>
      </c>
      <c r="G7081" t="s" s="11">
        <v>146</v>
      </c>
      <c r="H7081" t="s" s="43">
        <v>30</v>
      </c>
      <c r="I7081" t="s" s="43">
        <v>30</v>
      </c>
      <c r="J7081" t="s" s="11">
        <v>35468</v>
      </c>
      <c r="K7081" t="s" s="11">
        <v>35469</v>
      </c>
      <c r="L7081" s="17">
        <f>HYPERLINK("http://www.workingcap.co", "www.workingcap.co")</f>
      </c>
      <c r="M7081" s="17">
        <f>HYPERLINK("https://my.pitchbook.com?c=624271-33", "View Company Online")</f>
      </c>
    </row>
    <row r="7082">
      <c r="A7082" t="s" s="10">
        <v>35471</v>
      </c>
      <c r="B7082" t="s" s="10">
        <v>35472</v>
      </c>
      <c r="C7082" t="s" s="10">
        <v>60</v>
      </c>
      <c r="D7082" t="s" s="10">
        <v>61</v>
      </c>
      <c r="E7082" t="s" s="10">
        <v>311</v>
      </c>
      <c r="F7082" s="27">
        <v>46008</v>
      </c>
      <c r="G7082" t="s" s="10">
        <v>4267</v>
      </c>
      <c r="H7082" s="42">
        <v>4.5</v>
      </c>
      <c r="I7082" t="s" s="42">
        <v>30</v>
      </c>
      <c r="J7082" t="s" s="10">
        <v>35473</v>
      </c>
      <c r="K7082" t="s" s="10">
        <v>35474</v>
      </c>
      <c r="L7082" s="16">
        <f>HYPERLINK("http://www.worm.wtf", "www.worm.wtf")</f>
      </c>
      <c r="M7082" s="16">
        <f>HYPERLINK("https://my.pitchbook.com?c=1231814-26", "View Company Online")</f>
      </c>
    </row>
    <row r="7083">
      <c r="A7083" t="s" s="11">
        <v>35476</v>
      </c>
      <c r="B7083" t="s" s="11">
        <v>35477</v>
      </c>
      <c r="C7083" t="s" s="11">
        <v>27</v>
      </c>
      <c r="D7083" t="s" s="11">
        <v>28</v>
      </c>
      <c r="E7083" t="s" s="11">
        <v>253</v>
      </c>
      <c r="F7083" s="28">
        <v>45681</v>
      </c>
      <c r="G7083" t="s" s="11">
        <v>40</v>
      </c>
      <c r="H7083" s="43">
        <v>20</v>
      </c>
      <c r="I7083" t="s" s="43">
        <v>30</v>
      </c>
      <c r="J7083" t="s" s="11">
        <v>35478</v>
      </c>
      <c r="K7083" t="s" s="11">
        <v>35479</v>
      </c>
      <c r="L7083" s="17">
        <f>HYPERLINK("http://www.wosul.sa", "www.wosul.sa")</f>
      </c>
      <c r="M7083" s="17">
        <f>HYPERLINK("https://my.pitchbook.com?c=500865-40", "View Company Online")</f>
      </c>
    </row>
    <row r="7084">
      <c r="A7084" t="s" s="10">
        <v>35481</v>
      </c>
      <c r="B7084" t="s" s="10">
        <v>35482</v>
      </c>
      <c r="C7084" t="s" s="10">
        <v>128</v>
      </c>
      <c r="D7084" t="s" s="10">
        <v>199</v>
      </c>
      <c r="E7084" t="s" s="10">
        <v>1006</v>
      </c>
      <c r="F7084" t="s" s="27">
        <v>30</v>
      </c>
      <c r="G7084" t="s" s="10">
        <v>2651</v>
      </c>
      <c r="H7084" s="42">
        <v>0.01</v>
      </c>
      <c r="I7084" t="s" s="42">
        <v>30</v>
      </c>
      <c r="J7084" t="s" s="10">
        <v>35483</v>
      </c>
      <c r="K7084" t="s" s="10">
        <v>35484</v>
      </c>
      <c r="L7084" s="16">
        <f>HYPERLINK("http://woveo.com", "woveo.com")</f>
      </c>
      <c r="M7084" s="16">
        <f>HYPERLINK("https://my.pitchbook.com?c=471051-55", "View Company Online")</f>
      </c>
    </row>
    <row r="7085">
      <c r="A7085" t="s" s="11">
        <v>35486</v>
      </c>
      <c r="B7085" t="s" s="11">
        <v>35487</v>
      </c>
      <c r="C7085" t="s" s="11">
        <v>172</v>
      </c>
      <c r="D7085" t="s" s="11">
        <v>173</v>
      </c>
      <c r="E7085" t="s" s="11">
        <v>35488</v>
      </c>
      <c r="F7085" s="28">
        <v>46202</v>
      </c>
      <c r="G7085" t="s" s="11">
        <v>40</v>
      </c>
      <c r="H7085" s="43">
        <v>7.83</v>
      </c>
      <c r="I7085" t="s" s="43">
        <v>30</v>
      </c>
      <c r="J7085" t="s" s="11">
        <v>35489</v>
      </c>
      <c r="K7085" t="s" s="11">
        <v>35490</v>
      </c>
      <c r="L7085" s="17">
        <f>HYPERLINK("http://www.wultra.com", "www.wultra.com")</f>
      </c>
      <c r="M7085" s="17">
        <f>HYPERLINK("https://my.pitchbook.com?c=484600-33", "View Company Online")</f>
      </c>
    </row>
    <row r="7086">
      <c r="A7086" t="s" s="10">
        <v>35492</v>
      </c>
      <c r="B7086" t="s" s="10">
        <v>35493</v>
      </c>
      <c r="C7086" t="s" s="10">
        <v>46</v>
      </c>
      <c r="D7086" t="s" s="10">
        <v>397</v>
      </c>
      <c r="E7086" t="s" s="10">
        <v>253</v>
      </c>
      <c r="F7086" s="27">
        <v>43089</v>
      </c>
      <c r="G7086" t="s" s="10">
        <v>146</v>
      </c>
      <c r="H7086" s="42">
        <v>4.73</v>
      </c>
      <c r="I7086" t="s" s="42">
        <v>30</v>
      </c>
      <c r="J7086" t="s" s="10">
        <v>35494</v>
      </c>
      <c r="K7086" t="s" s="10">
        <v>35495</v>
      </c>
      <c r="L7086" s="16">
        <f>HYPERLINK("http://www.wundertax.de", "www.wundertax.de")</f>
      </c>
      <c r="M7086" s="16">
        <f>HYPERLINK("https://my.pitchbook.com?c=181684-09", "View Company Online")</f>
      </c>
    </row>
    <row r="7087">
      <c r="A7087" t="s" s="11">
        <v>35497</v>
      </c>
      <c r="B7087" t="s" s="11">
        <v>35498</v>
      </c>
      <c r="C7087" t="s" s="11">
        <v>144</v>
      </c>
      <c r="D7087" t="s" s="11">
        <v>297</v>
      </c>
      <c r="E7087" t="s" s="11">
        <v>1859</v>
      </c>
      <c r="F7087" s="28">
        <v>45670</v>
      </c>
      <c r="G7087" t="s" s="11">
        <v>40</v>
      </c>
      <c r="H7087" s="43">
        <v>10.45</v>
      </c>
      <c r="I7087" t="s" s="43">
        <v>30</v>
      </c>
      <c r="J7087" t="s" s="11">
        <v>35499</v>
      </c>
      <c r="K7087" t="s" s="11">
        <v>35500</v>
      </c>
      <c r="L7087" s="17">
        <f>HYPERLINK("http://www.wurthy.co", "www.wurthy.co")</f>
      </c>
      <c r="M7087" s="17">
        <f>HYPERLINK("https://my.pitchbook.com?c=520666-57", "View Company Online")</f>
      </c>
    </row>
    <row r="7088">
      <c r="A7088" t="s" s="10">
        <v>35502</v>
      </c>
      <c r="B7088" t="s" s="10">
        <v>35503</v>
      </c>
      <c r="C7088" t="s" s="10">
        <v>27</v>
      </c>
      <c r="D7088" t="s" s="10">
        <v>70</v>
      </c>
      <c r="E7088" t="s" s="10">
        <v>253</v>
      </c>
      <c r="F7088" s="27">
        <v>45684</v>
      </c>
      <c r="G7088" t="s" s="10">
        <v>146</v>
      </c>
      <c r="H7088" s="42">
        <v>1.76</v>
      </c>
      <c r="I7088" t="s" s="42">
        <v>30</v>
      </c>
      <c r="J7088" t="s" s="10">
        <v>35504</v>
      </c>
      <c r="K7088" t="s" s="10">
        <v>35505</v>
      </c>
      <c r="L7088" s="16">
        <f>HYPERLINK("http://www.receipts.no", "www.receipts.no")</f>
      </c>
      <c r="M7088" s="16">
        <f>HYPERLINK("https://my.pitchbook.com?c=588726-01", "View Company Online")</f>
      </c>
    </row>
    <row r="7089">
      <c r="A7089" t="s" s="11">
        <v>35507</v>
      </c>
      <c r="B7089" t="s" s="11">
        <v>35508</v>
      </c>
      <c r="C7089" t="s" s="11">
        <v>128</v>
      </c>
      <c r="D7089" t="s" s="11">
        <v>276</v>
      </c>
      <c r="E7089" t="s" s="11">
        <v>270</v>
      </c>
      <c r="F7089" s="28">
        <v>45848</v>
      </c>
      <c r="G7089" t="s" s="11">
        <v>146</v>
      </c>
      <c r="H7089" t="s" s="43">
        <v>30</v>
      </c>
      <c r="I7089" t="s" s="43">
        <v>30</v>
      </c>
      <c r="J7089" t="s" s="11">
        <v>35509</v>
      </c>
      <c r="K7089" t="s" s="11">
        <v>26042</v>
      </c>
      <c r="L7089" s="17">
        <f>HYPERLINK("http://x2xpay.me", "x2xpay.me")</f>
      </c>
      <c r="M7089" s="17">
        <f>HYPERLINK("https://my.pitchbook.com?c=894774-16", "View Company Online")</f>
      </c>
    </row>
    <row r="7090">
      <c r="A7090" t="s" s="10">
        <v>35511</v>
      </c>
      <c r="B7090" t="s" s="10">
        <v>35512</v>
      </c>
      <c r="C7090" t="s" s="10">
        <v>114</v>
      </c>
      <c r="D7090" t="s" s="10">
        <v>136</v>
      </c>
      <c r="E7090" t="s" s="10">
        <v>6677</v>
      </c>
      <c r="F7090" s="27">
        <v>43390</v>
      </c>
      <c r="G7090" t="s" s="10">
        <v>146</v>
      </c>
      <c r="H7090" s="42">
        <v>1.45</v>
      </c>
      <c r="I7090" t="s" s="42">
        <v>30</v>
      </c>
      <c r="J7090" t="s" s="10">
        <v>35513</v>
      </c>
      <c r="K7090" t="s" s="10">
        <v>35514</v>
      </c>
      <c r="L7090" s="16">
        <f>HYPERLINK("http://www.xeenho.com", "www.xeenho.com")</f>
      </c>
      <c r="M7090" s="16">
        <f>HYPERLINK("https://my.pitchbook.com?c=343292-05", "View Company Online")</f>
      </c>
    </row>
    <row r="7091">
      <c r="A7091" t="s" s="11">
        <v>35516</v>
      </c>
      <c r="B7091" t="s" s="11">
        <v>35517</v>
      </c>
      <c r="C7091" t="s" s="11">
        <v>46</v>
      </c>
      <c r="D7091" t="s" s="11">
        <v>915</v>
      </c>
      <c r="E7091" t="s" s="11">
        <v>1277</v>
      </c>
      <c r="F7091" s="28">
        <v>44832</v>
      </c>
      <c r="G7091" t="s" s="11">
        <v>40</v>
      </c>
      <c r="H7091" t="s" s="43">
        <v>30</v>
      </c>
      <c r="I7091" t="s" s="43">
        <v>30</v>
      </c>
      <c r="J7091" t="s" s="11">
        <v>35518</v>
      </c>
      <c r="K7091" t="s" s="11">
        <v>35519</v>
      </c>
      <c r="L7091" s="17">
        <f>HYPERLINK("http://www.xencio.com", "www.xencio.com")</f>
      </c>
      <c r="M7091" s="17">
        <f>HYPERLINK("https://my.pitchbook.com?c=228958-39", "View Company Online")</f>
      </c>
    </row>
    <row r="7092">
      <c r="A7092" t="s" s="10">
        <v>35521</v>
      </c>
      <c r="B7092" t="s" s="10">
        <v>35522</v>
      </c>
      <c r="C7092" t="s" s="10">
        <v>60</v>
      </c>
      <c r="D7092" t="s" s="10">
        <v>246</v>
      </c>
      <c r="E7092" t="s" s="10">
        <v>253</v>
      </c>
      <c r="F7092" s="27">
        <v>45632</v>
      </c>
      <c r="G7092" t="s" s="10">
        <v>4267</v>
      </c>
      <c r="H7092" s="42">
        <v>1</v>
      </c>
      <c r="I7092" t="s" s="42">
        <v>30</v>
      </c>
      <c r="J7092" t="s" s="10">
        <v>35523</v>
      </c>
      <c r="K7092" t="s" s="10">
        <v>35524</v>
      </c>
      <c r="L7092" s="16">
        <f>HYPERLINK("http://www.myxeno.com", "www.myxeno.com")</f>
      </c>
      <c r="M7092" s="16">
        <f>HYPERLINK("https://my.pitchbook.com?c=434623-15", "View Company Online")</f>
      </c>
    </row>
    <row r="7093">
      <c r="A7093" t="s" s="11">
        <v>35526</v>
      </c>
      <c r="B7093" t="s" s="11">
        <v>35527</v>
      </c>
      <c r="C7093" t="s" s="11">
        <v>27</v>
      </c>
      <c r="D7093" t="s" s="11">
        <v>28</v>
      </c>
      <c r="E7093" t="s" s="11">
        <v>193</v>
      </c>
      <c r="F7093" s="28">
        <v>45014</v>
      </c>
      <c r="G7093" t="s" s="11">
        <v>40</v>
      </c>
      <c r="H7093" s="43">
        <v>0.1</v>
      </c>
      <c r="I7093" t="s" s="43">
        <v>30</v>
      </c>
      <c r="J7093" t="s" s="11">
        <v>35528</v>
      </c>
      <c r="K7093" t="s" s="11">
        <v>35529</v>
      </c>
      <c r="L7093" s="17">
        <f>HYPERLINK("http://www.xente.co", "www.xente.co")</f>
      </c>
      <c r="M7093" s="17">
        <f>HYPERLINK("https://my.pitchbook.com?c=265807-72", "View Company Online")</f>
      </c>
    </row>
    <row r="7094">
      <c r="A7094" t="s" s="10">
        <v>35531</v>
      </c>
      <c r="B7094" t="s" s="10">
        <v>35532</v>
      </c>
      <c r="C7094" t="s" s="10">
        <v>46</v>
      </c>
      <c r="D7094" t="s" s="10">
        <v>47</v>
      </c>
      <c r="E7094" t="s" s="10">
        <v>108</v>
      </c>
      <c r="F7094" s="27">
        <v>45273</v>
      </c>
      <c r="G7094" t="s" s="10">
        <v>4267</v>
      </c>
      <c r="H7094" s="42">
        <v>0.13</v>
      </c>
      <c r="I7094" t="s" s="42">
        <v>30</v>
      </c>
      <c r="J7094" t="s" s="10">
        <v>35533</v>
      </c>
      <c r="K7094" t="s" s="10">
        <v>15996</v>
      </c>
      <c r="L7094" s="16">
        <f>HYPERLINK("http://www.xflo.io", "www.xflo.io")</f>
      </c>
      <c r="M7094" s="16">
        <f>HYPERLINK("https://my.pitchbook.com?c=589753-00", "View Company Online")</f>
      </c>
    </row>
    <row r="7095">
      <c r="A7095" t="s" s="11">
        <v>35535</v>
      </c>
      <c r="B7095" t="s" s="11">
        <v>35536</v>
      </c>
      <c r="C7095" t="s" s="11">
        <v>27</v>
      </c>
      <c r="D7095" t="s" s="11">
        <v>122</v>
      </c>
      <c r="E7095" t="s" s="11">
        <v>137</v>
      </c>
      <c r="F7095" s="28">
        <v>46107</v>
      </c>
      <c r="G7095" t="s" s="11">
        <v>146</v>
      </c>
      <c r="H7095" s="43">
        <v>17</v>
      </c>
      <c r="I7095" t="s" s="43">
        <v>30</v>
      </c>
      <c r="J7095" t="s" s="11">
        <v>35537</v>
      </c>
      <c r="K7095" t="s" s="11">
        <v>35538</v>
      </c>
      <c r="L7095" s="17">
        <f>HYPERLINK("http://www.xfx.io", "www.xfx.io")</f>
      </c>
      <c r="M7095" s="17">
        <f>HYPERLINK("https://my.pitchbook.com?c=862931-35", "View Company Online")</f>
      </c>
    </row>
    <row r="7096">
      <c r="A7096" t="s" s="10">
        <v>35540</v>
      </c>
      <c r="B7096" t="s" s="10">
        <v>35541</v>
      </c>
      <c r="C7096" t="s" s="10">
        <v>60</v>
      </c>
      <c r="D7096" t="s" s="10">
        <v>246</v>
      </c>
      <c r="E7096" t="s" s="10">
        <v>367</v>
      </c>
      <c r="F7096" s="27">
        <v>44221</v>
      </c>
      <c r="G7096" t="s" s="10">
        <v>146</v>
      </c>
      <c r="H7096" t="s" s="42">
        <v>30</v>
      </c>
      <c r="I7096" t="s" s="42">
        <v>30</v>
      </c>
      <c r="J7096" t="s" s="10">
        <v>35542</v>
      </c>
      <c r="K7096" t="s" s="10">
        <v>35543</v>
      </c>
      <c r="L7096" s="16">
        <f>HYPERLINK("http://www.xiaobangguihua.com", "www.xiaobangguihua.com")</f>
      </c>
      <c r="M7096" s="16">
        <f>HYPERLINK("https://my.pitchbook.com?c=268013-08", "View Company Online")</f>
      </c>
    </row>
    <row r="7097">
      <c r="A7097" t="s" s="11">
        <v>35545</v>
      </c>
      <c r="B7097" t="s" s="11">
        <v>35546</v>
      </c>
      <c r="C7097" t="s" s="11">
        <v>60</v>
      </c>
      <c r="D7097" t="s" s="11">
        <v>246</v>
      </c>
      <c r="E7097" t="s" s="11">
        <v>270</v>
      </c>
      <c r="F7097" s="28">
        <v>42831</v>
      </c>
      <c r="G7097" t="s" s="11">
        <v>146</v>
      </c>
      <c r="H7097" s="43">
        <v>1.45</v>
      </c>
      <c r="I7097" t="s" s="43">
        <v>30</v>
      </c>
      <c r="J7097" t="s" s="11">
        <v>35547</v>
      </c>
      <c r="K7097" t="s" s="11">
        <v>35548</v>
      </c>
      <c r="L7097" s="17">
        <f>HYPERLINK("http://www.xiaoqianbanke.com", "www.xiaoqianbanke.com")</f>
      </c>
      <c r="M7097" s="17">
        <f>HYPERLINK("https://my.pitchbook.com?c=436575-70", "View Company Online")</f>
      </c>
    </row>
    <row r="7098">
      <c r="A7098" t="s" s="10">
        <v>35550</v>
      </c>
      <c r="B7098" t="s" s="10">
        <v>35551</v>
      </c>
      <c r="C7098" t="s" s="10">
        <v>46</v>
      </c>
      <c r="D7098" t="s" s="10">
        <v>397</v>
      </c>
      <c r="E7098" t="s" s="10">
        <v>7229</v>
      </c>
      <c r="F7098" s="27">
        <v>44958</v>
      </c>
      <c r="G7098" t="s" s="10">
        <v>146</v>
      </c>
      <c r="H7098" t="s" s="42">
        <v>30</v>
      </c>
      <c r="I7098" t="s" s="42">
        <v>30</v>
      </c>
      <c r="J7098" t="s" s="10">
        <v>35552</v>
      </c>
      <c r="K7098" t="s" s="10">
        <v>35553</v>
      </c>
      <c r="L7098" s="16">
        <f>HYPERLINK("http://www.xiaowangtech.com", "www.xiaowangtech.com")</f>
      </c>
      <c r="M7098" s="16">
        <f>HYPERLINK("https://my.pitchbook.com?c=462758-68", "View Company Online")</f>
      </c>
    </row>
    <row r="7099">
      <c r="A7099" t="s" s="11">
        <v>35555</v>
      </c>
      <c r="B7099" t="s" s="11">
        <v>35556</v>
      </c>
      <c r="C7099" t="s" s="11">
        <v>222</v>
      </c>
      <c r="D7099" t="s" s="11">
        <v>223</v>
      </c>
      <c r="E7099" t="s" s="11">
        <v>367</v>
      </c>
      <c r="F7099" s="28">
        <v>45372</v>
      </c>
      <c r="G7099" t="s" s="11">
        <v>146</v>
      </c>
      <c r="H7099" s="43">
        <v>1.39</v>
      </c>
      <c r="I7099" t="s" s="43">
        <v>30</v>
      </c>
      <c r="J7099" t="s" s="11">
        <v>35557</v>
      </c>
      <c r="K7099" t="s" s="11">
        <v>30</v>
      </c>
      <c r="L7099" s="17">
        <f>HYPERLINK("http://www.xzcs2022.com", "www.xzcs2022.com")</f>
      </c>
      <c r="M7099" s="17">
        <f>HYPERLINK("https://my.pitchbook.com?c=591408-73", "View Company Online")</f>
      </c>
    </row>
    <row r="7100">
      <c r="A7100" t="s" s="10">
        <v>35559</v>
      </c>
      <c r="B7100" t="s" s="10">
        <v>35560</v>
      </c>
      <c r="C7100" t="s" s="10">
        <v>114</v>
      </c>
      <c r="D7100" t="s" s="10">
        <v>136</v>
      </c>
      <c r="E7100" t="s" s="10">
        <v>137</v>
      </c>
      <c r="F7100" s="27">
        <v>45839</v>
      </c>
      <c r="G7100" t="s" s="10">
        <v>146</v>
      </c>
      <c r="H7100" s="42">
        <v>2.5</v>
      </c>
      <c r="I7100" t="s" s="42">
        <v>30</v>
      </c>
      <c r="J7100" t="s" s="10">
        <v>35561</v>
      </c>
      <c r="K7100" t="s" s="10">
        <v>35562</v>
      </c>
      <c r="L7100" s="16">
        <f>HYPERLINK("http://www.ximple.co", "www.ximple.co")</f>
      </c>
      <c r="M7100" s="16">
        <f>HYPERLINK("https://my.pitchbook.com?c=600107-77", "View Company Online")</f>
      </c>
    </row>
    <row r="7101">
      <c r="A7101" t="s" s="11">
        <v>35564</v>
      </c>
      <c r="B7101" t="s" s="11">
        <v>35565</v>
      </c>
      <c r="C7101" t="s" s="11">
        <v>222</v>
      </c>
      <c r="D7101" t="s" s="11">
        <v>235</v>
      </c>
      <c r="E7101" t="s" s="11">
        <v>137</v>
      </c>
      <c r="F7101" s="28">
        <v>43525</v>
      </c>
      <c r="G7101" t="s" s="11">
        <v>146</v>
      </c>
      <c r="H7101" s="43">
        <v>1.48</v>
      </c>
      <c r="I7101" t="s" s="43">
        <v>30</v>
      </c>
      <c r="J7101" t="s" s="11">
        <v>35566</v>
      </c>
      <c r="K7101" t="s" s="11">
        <v>30</v>
      </c>
      <c r="L7101" s="17">
        <f>HYPERLINK("http://www.starange.com", "www.starange.com")</f>
      </c>
      <c r="M7101" s="17">
        <f>HYPERLINK("https://my.pitchbook.com?c=339810-94", "View Company Online")</f>
      </c>
    </row>
    <row r="7102">
      <c r="A7102" t="s" s="10">
        <v>35568</v>
      </c>
      <c r="B7102" t="s" s="10">
        <v>35569</v>
      </c>
      <c r="C7102" t="s" s="10">
        <v>46</v>
      </c>
      <c r="D7102" t="s" s="10">
        <v>78</v>
      </c>
      <c r="E7102" t="s" s="10">
        <v>28659</v>
      </c>
      <c r="F7102" s="27">
        <v>44068</v>
      </c>
      <c r="G7102" t="s" s="10">
        <v>146</v>
      </c>
      <c r="H7102" t="s" s="42">
        <v>30</v>
      </c>
      <c r="I7102" t="s" s="42">
        <v>30</v>
      </c>
      <c r="J7102" t="s" s="10">
        <v>35570</v>
      </c>
      <c r="K7102" t="s" s="10">
        <v>35571</v>
      </c>
      <c r="L7102" s="16">
        <f>HYPERLINK("http://www.51xtr.com", "www.51xtr.com")</f>
      </c>
      <c r="M7102" s="16">
        <f>HYPERLINK("https://my.pitchbook.com?c=343029-70", "View Company Online")</f>
      </c>
    </row>
    <row r="7103">
      <c r="A7103" t="s" s="11">
        <v>35573</v>
      </c>
      <c r="B7103" t="s" s="11">
        <v>35574</v>
      </c>
      <c r="C7103" t="s" s="11">
        <v>222</v>
      </c>
      <c r="D7103" t="s" s="11">
        <v>235</v>
      </c>
      <c r="E7103" t="s" s="11">
        <v>253</v>
      </c>
      <c r="F7103" s="28">
        <v>45037</v>
      </c>
      <c r="G7103" t="s" s="11">
        <v>4267</v>
      </c>
      <c r="H7103" s="43">
        <v>10</v>
      </c>
      <c r="I7103" t="s" s="43">
        <v>30</v>
      </c>
      <c r="J7103" t="s" s="11">
        <v>35575</v>
      </c>
      <c r="K7103" t="s" s="11">
        <v>30</v>
      </c>
      <c r="L7103" t="s" s="11">
        <v>30</v>
      </c>
      <c r="M7103" s="17">
        <f>HYPERLINK("https://my.pitchbook.com?c=525502-99", "View Company Online")</f>
      </c>
    </row>
    <row r="7104">
      <c r="A7104" t="s" s="10">
        <v>35576</v>
      </c>
      <c r="B7104" t="s" s="10">
        <v>35577</v>
      </c>
      <c r="C7104" t="s" s="10">
        <v>114</v>
      </c>
      <c r="D7104" t="s" s="10">
        <v>136</v>
      </c>
      <c r="E7104" t="s" s="10">
        <v>1349</v>
      </c>
      <c r="F7104" s="27">
        <v>43277</v>
      </c>
      <c r="G7104" t="s" s="10">
        <v>146</v>
      </c>
      <c r="H7104" s="42">
        <v>31.07</v>
      </c>
      <c r="I7104" t="s" s="42">
        <v>30</v>
      </c>
      <c r="J7104" t="s" s="10">
        <v>35578</v>
      </c>
      <c r="K7104" t="s" s="10">
        <v>35579</v>
      </c>
      <c r="L7104" s="16">
        <f>HYPERLINK("http://www.xyb100.com", "www.xyb100.com")</f>
      </c>
      <c r="M7104" s="16">
        <f>HYPERLINK("https://my.pitchbook.com?c=230144-59", "View Company Online")</f>
      </c>
    </row>
    <row r="7105">
      <c r="A7105" t="s" s="11">
        <v>35581</v>
      </c>
      <c r="B7105" t="s" s="11">
        <v>35582</v>
      </c>
      <c r="C7105" t="s" s="11">
        <v>164</v>
      </c>
      <c r="D7105" t="s" s="11">
        <v>165</v>
      </c>
      <c r="E7105" t="s" s="11">
        <v>137</v>
      </c>
      <c r="F7105" s="28">
        <v>43949</v>
      </c>
      <c r="G7105" t="s" s="11">
        <v>146</v>
      </c>
      <c r="H7105" s="43">
        <v>4.24</v>
      </c>
      <c r="I7105" t="s" s="43">
        <v>30</v>
      </c>
      <c r="J7105" t="s" s="11">
        <v>35583</v>
      </c>
      <c r="K7105" t="s" s="11">
        <v>35584</v>
      </c>
      <c r="L7105" t="s" s="11">
        <v>30</v>
      </c>
      <c r="M7105" s="17">
        <f>HYPERLINK("https://my.pitchbook.com?c=434581-66", "View Company Online")</f>
      </c>
    </row>
    <row r="7106">
      <c r="A7106" t="s" s="10">
        <v>35585</v>
      </c>
      <c r="B7106" t="s" s="10">
        <v>35586</v>
      </c>
      <c r="C7106" t="s" s="10">
        <v>164</v>
      </c>
      <c r="D7106" t="s" s="10">
        <v>165</v>
      </c>
      <c r="E7106" t="s" s="10">
        <v>9853</v>
      </c>
      <c r="F7106" s="27">
        <v>44261</v>
      </c>
      <c r="G7106" t="s" s="10">
        <v>146</v>
      </c>
      <c r="H7106" s="42">
        <v>50</v>
      </c>
      <c r="I7106" t="s" s="42">
        <v>30</v>
      </c>
      <c r="J7106" t="s" s="10">
        <v>35587</v>
      </c>
      <c r="K7106" t="s" s="10">
        <v>30</v>
      </c>
      <c r="L7106" s="16">
        <f>HYPERLINK("http://www.xpanse.com", "www.xpanse.com")</f>
      </c>
      <c r="M7106" s="16">
        <f>HYPERLINK("https://my.pitchbook.com?c=471668-14", "View Company Online")</f>
      </c>
    </row>
    <row r="7107">
      <c r="A7107" t="s" s="11">
        <v>35589</v>
      </c>
      <c r="B7107" t="s" s="11">
        <v>35590</v>
      </c>
      <c r="C7107" t="s" s="11">
        <v>46</v>
      </c>
      <c r="D7107" t="s" s="11">
        <v>47</v>
      </c>
      <c r="E7107" t="s" s="11">
        <v>270</v>
      </c>
      <c r="F7107" t="s" s="28">
        <v>30</v>
      </c>
      <c r="G7107" t="s" s="11">
        <v>146</v>
      </c>
      <c r="H7107" t="s" s="43">
        <v>30</v>
      </c>
      <c r="I7107" t="s" s="43">
        <v>30</v>
      </c>
      <c r="J7107" t="s" s="11">
        <v>35591</v>
      </c>
      <c r="K7107" t="s" s="11">
        <v>35592</v>
      </c>
      <c r="L7107" s="17">
        <f>HYPERLINK("http://www.xpence.com", "www.xpence.com")</f>
      </c>
      <c r="M7107" s="17">
        <f>HYPERLINK("https://my.pitchbook.com?c=223547-95", "View Company Online")</f>
      </c>
    </row>
    <row r="7108">
      <c r="A7108" t="s" s="10">
        <v>35594</v>
      </c>
      <c r="B7108" t="s" s="10">
        <v>35595</v>
      </c>
      <c r="C7108" t="s" s="10">
        <v>222</v>
      </c>
      <c r="D7108" t="s" s="10">
        <v>235</v>
      </c>
      <c r="E7108" t="s" s="10">
        <v>414</v>
      </c>
      <c r="F7108" s="27">
        <v>44525</v>
      </c>
      <c r="G7108" t="s" s="10">
        <v>4267</v>
      </c>
      <c r="H7108" s="42">
        <v>1.56</v>
      </c>
      <c r="I7108" t="s" s="42">
        <v>30</v>
      </c>
      <c r="J7108" t="s" s="10">
        <v>35596</v>
      </c>
      <c r="K7108" t="s" s="10">
        <v>30</v>
      </c>
      <c r="L7108" s="16">
        <f>HYPERLINK("http://www.xponents.co", "www.xponents.co")</f>
      </c>
      <c r="M7108" s="16">
        <f>HYPERLINK("https://my.pitchbook.com?c=484302-88", "View Company Online")</f>
      </c>
    </row>
    <row r="7109">
      <c r="A7109" t="s" s="11">
        <v>35598</v>
      </c>
      <c r="B7109" t="s" s="11">
        <v>35599</v>
      </c>
      <c r="C7109" t="s" s="11">
        <v>46</v>
      </c>
      <c r="D7109" t="s" s="11">
        <v>397</v>
      </c>
      <c r="E7109" t="s" s="11">
        <v>145</v>
      </c>
      <c r="F7109" s="28">
        <v>43203</v>
      </c>
      <c r="G7109" t="s" s="11">
        <v>146</v>
      </c>
      <c r="H7109" s="43">
        <v>10</v>
      </c>
      <c r="I7109" t="s" s="43">
        <v>30</v>
      </c>
      <c r="J7109" t="s" s="11">
        <v>35600</v>
      </c>
      <c r="K7109" t="s" s="11">
        <v>35601</v>
      </c>
      <c r="L7109" s="17">
        <f>HYPERLINK("http://www.xriba.com", "www.xriba.com")</f>
      </c>
      <c r="M7109" s="17">
        <f>HYPERLINK("https://my.pitchbook.com?c=481901-32", "View Company Online")</f>
      </c>
    </row>
    <row r="7110">
      <c r="A7110" t="s" s="10">
        <v>35603</v>
      </c>
      <c r="B7110" t="s" s="10">
        <v>35604</v>
      </c>
      <c r="C7110" t="s" s="10">
        <v>27</v>
      </c>
      <c r="D7110" t="s" s="10">
        <v>28</v>
      </c>
      <c r="E7110" t="s" s="10">
        <v>1859</v>
      </c>
      <c r="F7110" s="27">
        <v>46054</v>
      </c>
      <c r="G7110" t="s" s="10">
        <v>146</v>
      </c>
      <c r="H7110" t="s" s="42">
        <v>30</v>
      </c>
      <c r="I7110" t="s" s="42">
        <v>30</v>
      </c>
      <c r="J7110" t="s" s="10">
        <v>35605</v>
      </c>
      <c r="K7110" t="s" s="10">
        <v>35606</v>
      </c>
      <c r="L7110" s="16">
        <f>HYPERLINK("http://www.xsquare.biz", "www.xsquare.biz")</f>
      </c>
      <c r="M7110" s="16">
        <f>HYPERLINK("https://my.pitchbook.com?c=770185-90", "View Company Online")</f>
      </c>
    </row>
    <row r="7111">
      <c r="A7111" t="s" s="11">
        <v>35608</v>
      </c>
      <c r="B7111" t="s" s="11">
        <v>35609</v>
      </c>
      <c r="C7111" t="s" s="11">
        <v>60</v>
      </c>
      <c r="D7111" t="s" s="11">
        <v>727</v>
      </c>
      <c r="E7111" t="s" s="11">
        <v>859</v>
      </c>
      <c r="F7111" s="28">
        <v>46030</v>
      </c>
      <c r="G7111" t="s" s="11">
        <v>607</v>
      </c>
      <c r="H7111" t="s" s="43">
        <v>30</v>
      </c>
      <c r="I7111" t="s" s="43">
        <v>30</v>
      </c>
      <c r="J7111" t="s" s="11">
        <v>35610</v>
      </c>
      <c r="K7111" t="s" s="11">
        <v>35611</v>
      </c>
      <c r="L7111" s="17">
        <f>HYPERLINK("http://www.xstable.ai", "www.xstable.ai")</f>
      </c>
      <c r="M7111" s="17">
        <f>HYPERLINK("https://my.pitchbook.com?c=1242134-56", "View Company Online")</f>
      </c>
    </row>
    <row r="7112">
      <c r="A7112" t="s" s="10">
        <v>35613</v>
      </c>
      <c r="B7112" t="s" s="10">
        <v>35614</v>
      </c>
      <c r="C7112" t="s" s="10">
        <v>27</v>
      </c>
      <c r="D7112" t="s" s="10">
        <v>122</v>
      </c>
      <c r="E7112" t="s" s="10">
        <v>629</v>
      </c>
      <c r="F7112" s="27">
        <v>45782</v>
      </c>
      <c r="G7112" t="s" s="10">
        <v>4267</v>
      </c>
      <c r="H7112" s="42">
        <v>3</v>
      </c>
      <c r="I7112" t="s" s="42">
        <v>30</v>
      </c>
      <c r="J7112" t="s" s="10">
        <v>35615</v>
      </c>
      <c r="K7112" t="s" s="10">
        <v>35616</v>
      </c>
      <c r="L7112" s="16">
        <f>HYPERLINK("http://www.xweave.io", "www.xweave.io")</f>
      </c>
      <c r="M7112" s="16">
        <f>HYPERLINK("https://my.pitchbook.com?c=720183-07", "View Company Online")</f>
      </c>
    </row>
    <row r="7113">
      <c r="A7113" t="s" s="11">
        <v>35618</v>
      </c>
      <c r="B7113" t="s" s="11">
        <v>35619</v>
      </c>
      <c r="C7113" t="s" s="11">
        <v>27</v>
      </c>
      <c r="D7113" t="s" s="11">
        <v>122</v>
      </c>
      <c r="E7113" t="s" s="11">
        <v>137</v>
      </c>
      <c r="F7113" s="28">
        <v>44377</v>
      </c>
      <c r="G7113" t="s" s="11">
        <v>146</v>
      </c>
      <c r="H7113" s="43">
        <v>0.66</v>
      </c>
      <c r="I7113" t="s" s="43">
        <v>30</v>
      </c>
      <c r="J7113" t="s" s="11">
        <v>35620</v>
      </c>
      <c r="K7113" t="s" s="11">
        <v>35621</v>
      </c>
      <c r="L7113" s="17">
        <f>HYPERLINK("http://www.yallaxash.com", "www.yallaxash.com")</f>
      </c>
      <c r="M7113" s="17">
        <f>HYPERLINK("https://my.pitchbook.com?c=469226-26", "View Company Online")</f>
      </c>
    </row>
    <row r="7114">
      <c r="A7114" t="s" s="10">
        <v>35623</v>
      </c>
      <c r="B7114" t="s" s="10">
        <v>35624</v>
      </c>
      <c r="C7114" t="s" s="10">
        <v>114</v>
      </c>
      <c r="D7114" t="s" s="10">
        <v>852</v>
      </c>
      <c r="E7114" t="s" s="10">
        <v>137</v>
      </c>
      <c r="F7114" s="27">
        <v>43291</v>
      </c>
      <c r="G7114" t="s" s="10">
        <v>146</v>
      </c>
      <c r="H7114" t="s" s="42">
        <v>30</v>
      </c>
      <c r="I7114" t="s" s="42">
        <v>30</v>
      </c>
      <c r="J7114" t="s" s="10">
        <v>35625</v>
      </c>
      <c r="K7114" t="s" s="10">
        <v>30</v>
      </c>
      <c r="L7114" s="16">
        <f>HYPERLINK("http://www.shansudai.cn", "www.shansudai.cn")</f>
      </c>
      <c r="M7114" s="16">
        <f>HYPERLINK("https://my.pitchbook.com?c=435269-62", "View Company Online")</f>
      </c>
    </row>
    <row r="7115">
      <c r="A7115" t="s" s="11">
        <v>35627</v>
      </c>
      <c r="B7115" t="s" s="11">
        <v>35628</v>
      </c>
      <c r="C7115" t="s" s="11">
        <v>37</v>
      </c>
      <c r="D7115" t="s" s="11">
        <v>38</v>
      </c>
      <c r="E7115" t="s" s="11">
        <v>270</v>
      </c>
      <c r="F7115" s="28">
        <v>44926</v>
      </c>
      <c r="G7115" t="s" s="11">
        <v>40</v>
      </c>
      <c r="H7115" s="43">
        <v>41</v>
      </c>
      <c r="I7115" t="s" s="43">
        <v>30</v>
      </c>
      <c r="J7115" t="s" s="11">
        <v>35629</v>
      </c>
      <c r="K7115" t="s" s="11">
        <v>35630</v>
      </c>
      <c r="L7115" s="17">
        <f>HYPERLINK("http://www.yap.com", "www.yap.com")</f>
      </c>
      <c r="M7115" s="17">
        <f>HYPERLINK("https://my.pitchbook.com?c=267587-74", "View Company Online")</f>
      </c>
    </row>
    <row r="7116">
      <c r="A7116" t="s" s="10">
        <v>35632</v>
      </c>
      <c r="B7116" t="s" s="10">
        <v>35633</v>
      </c>
      <c r="C7116" t="s" s="10">
        <v>128</v>
      </c>
      <c r="D7116" t="s" s="10">
        <v>276</v>
      </c>
      <c r="E7116" t="s" s="10">
        <v>345</v>
      </c>
      <c r="F7116" s="27">
        <v>44140</v>
      </c>
      <c r="G7116" t="s" s="10">
        <v>4267</v>
      </c>
      <c r="H7116" s="42">
        <v>0.62</v>
      </c>
      <c r="I7116" t="s" s="42">
        <v>30</v>
      </c>
      <c r="J7116" t="s" s="10">
        <v>35634</v>
      </c>
      <c r="K7116" t="s" s="10">
        <v>35635</v>
      </c>
      <c r="L7116" s="16">
        <f>HYPERLINK("http://yastaapp.com", "yastaapp.com")</f>
      </c>
      <c r="M7116" s="16">
        <f>HYPERLINK("https://my.pitchbook.com?c=510295-87", "View Company Online")</f>
      </c>
    </row>
    <row r="7117">
      <c r="A7117" t="s" s="11">
        <v>35637</v>
      </c>
      <c r="B7117" t="s" s="11">
        <v>35638</v>
      </c>
      <c r="C7117" t="s" s="11">
        <v>46</v>
      </c>
      <c r="D7117" t="s" s="11">
        <v>915</v>
      </c>
      <c r="E7117" t="s" s="11">
        <v>690</v>
      </c>
      <c r="F7117" s="28">
        <v>45986</v>
      </c>
      <c r="G7117" t="s" s="11">
        <v>4267</v>
      </c>
      <c r="H7117" s="43">
        <v>1.1</v>
      </c>
      <c r="I7117" t="s" s="43">
        <v>30</v>
      </c>
      <c r="J7117" t="s" s="11">
        <v>35639</v>
      </c>
      <c r="K7117" t="s" s="11">
        <v>35640</v>
      </c>
      <c r="L7117" s="17">
        <f>HYPERLINK("http://yasu.cloud", "yasu.cloud")</f>
      </c>
      <c r="M7117" s="17">
        <f>HYPERLINK("https://my.pitchbook.com?c=819039-88", "View Company Online")</f>
      </c>
    </row>
    <row r="7118">
      <c r="A7118" t="s" s="10">
        <v>35642</v>
      </c>
      <c r="B7118" t="s" s="10">
        <v>35643</v>
      </c>
      <c r="C7118" t="s" s="10">
        <v>114</v>
      </c>
      <c r="D7118" t="s" s="10">
        <v>115</v>
      </c>
      <c r="E7118" t="s" s="10">
        <v>1625</v>
      </c>
      <c r="F7118" s="27">
        <v>46161</v>
      </c>
      <c r="G7118" t="s" s="10">
        <v>391</v>
      </c>
      <c r="H7118" t="s" s="42">
        <v>30</v>
      </c>
      <c r="I7118" t="s" s="42">
        <v>30</v>
      </c>
      <c r="J7118" t="s" s="10">
        <v>35644</v>
      </c>
      <c r="K7118" t="s" s="10">
        <v>30</v>
      </c>
      <c r="L7118" s="16">
        <f>HYPERLINK("http://www.yave.mx", "www.yave.mx")</f>
      </c>
      <c r="M7118" s="16">
        <f>HYPERLINK("https://my.pitchbook.com?c=233906-05", "View Company Online")</f>
      </c>
    </row>
    <row r="7119">
      <c r="A7119" t="s" s="11">
        <v>35646</v>
      </c>
      <c r="B7119" t="s" s="11">
        <v>35647</v>
      </c>
      <c r="C7119" t="s" s="11">
        <v>144</v>
      </c>
      <c r="D7119" t="s" s="11">
        <v>297</v>
      </c>
      <c r="E7119" t="s" s="11">
        <v>270</v>
      </c>
      <c r="F7119" s="28">
        <v>45292</v>
      </c>
      <c r="G7119" t="s" s="11">
        <v>146</v>
      </c>
      <c r="H7119" t="s" s="43">
        <v>30</v>
      </c>
      <c r="I7119" t="s" s="43">
        <v>30</v>
      </c>
      <c r="J7119" t="s" s="11">
        <v>35648</v>
      </c>
      <c r="K7119" t="s" s="11">
        <v>35649</v>
      </c>
      <c r="L7119" s="17">
        <f>HYPERLINK("http://www.getyellowpay.com", "www.getyellowpay.com")</f>
      </c>
      <c r="M7119" s="17">
        <f>HYPERLINK("https://my.pitchbook.com?c=501781-33", "View Company Online")</f>
      </c>
    </row>
    <row r="7120">
      <c r="A7120" t="s" s="10">
        <v>35651</v>
      </c>
      <c r="B7120" t="s" s="10">
        <v>35652</v>
      </c>
      <c r="C7120" t="s" s="10">
        <v>114</v>
      </c>
      <c r="D7120" t="s" s="10">
        <v>136</v>
      </c>
      <c r="E7120" t="s" s="10">
        <v>137</v>
      </c>
      <c r="F7120" s="27">
        <v>45036</v>
      </c>
      <c r="G7120" t="s" s="10">
        <v>4267</v>
      </c>
      <c r="H7120" s="42">
        <v>2.38</v>
      </c>
      <c r="I7120" t="s" s="42">
        <v>30</v>
      </c>
      <c r="J7120" t="s" s="10">
        <v>35653</v>
      </c>
      <c r="K7120" t="s" s="10">
        <v>30</v>
      </c>
      <c r="L7120" s="16">
        <f>HYPERLINK("http://www.yelofunding.com", "www.yelofunding.com")</f>
      </c>
      <c r="M7120" s="16">
        <f>HYPERLINK("https://my.pitchbook.com?c=523408-06", "View Company Online")</f>
      </c>
    </row>
    <row r="7121">
      <c r="A7121" t="s" s="11">
        <v>35655</v>
      </c>
      <c r="B7121" t="s" s="11">
        <v>35656</v>
      </c>
      <c r="C7121" t="s" s="11">
        <v>37</v>
      </c>
      <c r="D7121" t="s" s="11">
        <v>304</v>
      </c>
      <c r="E7121" t="s" s="11">
        <v>137</v>
      </c>
      <c r="F7121" s="28">
        <v>46073</v>
      </c>
      <c r="G7121" t="s" s="11">
        <v>31</v>
      </c>
      <c r="H7121" s="43">
        <v>200</v>
      </c>
      <c r="I7121" t="s" s="43">
        <v>30</v>
      </c>
      <c r="J7121" t="s" s="11">
        <v>35657</v>
      </c>
      <c r="K7121" t="s" s="11">
        <v>35658</v>
      </c>
      <c r="L7121" s="17">
        <f>HYPERLINK("http://www.yendo.com", "www.yendo.com")</f>
      </c>
      <c r="M7121" s="17">
        <f>HYPERLINK("https://my.pitchbook.com?c=481235-59", "View Company Online")</f>
      </c>
    </row>
    <row r="7122">
      <c r="A7122" t="s" s="10">
        <v>35660</v>
      </c>
      <c r="B7122" t="s" s="10">
        <v>35661</v>
      </c>
      <c r="C7122" t="s" s="10">
        <v>114</v>
      </c>
      <c r="D7122" t="s" s="10">
        <v>136</v>
      </c>
      <c r="E7122" t="s" s="10">
        <v>270</v>
      </c>
      <c r="F7122" s="27">
        <v>45838</v>
      </c>
      <c r="G7122" t="s" s="10">
        <v>4267</v>
      </c>
      <c r="H7122" s="42">
        <v>1.07</v>
      </c>
      <c r="I7122" t="s" s="42">
        <v>30</v>
      </c>
      <c r="J7122" t="s" s="10">
        <v>35662</v>
      </c>
      <c r="K7122" t="s" s="10">
        <v>35663</v>
      </c>
      <c r="L7122" s="16">
        <f>HYPERLINK("http://www.yenmo.in", "www.yenmo.in")</f>
      </c>
      <c r="M7122" s="16">
        <f>HYPERLINK("https://my.pitchbook.com?c=591517-54", "View Company Online")</f>
      </c>
    </row>
    <row r="7123">
      <c r="A7123" t="s" s="11">
        <v>35665</v>
      </c>
      <c r="B7123" t="s" s="11">
        <v>35666</v>
      </c>
      <c r="C7123" t="s" s="11">
        <v>27</v>
      </c>
      <c r="D7123" t="s" s="11">
        <v>28</v>
      </c>
      <c r="E7123" t="s" s="11">
        <v>373</v>
      </c>
      <c r="F7123" s="28">
        <v>44629</v>
      </c>
      <c r="G7123" t="s" s="11">
        <v>4267</v>
      </c>
      <c r="H7123" s="43">
        <v>1.5</v>
      </c>
      <c r="I7123" t="s" s="43">
        <v>30</v>
      </c>
      <c r="J7123" t="s" s="11">
        <v>35667</v>
      </c>
      <c r="K7123" t="s" s="11">
        <v>35668</v>
      </c>
      <c r="L7123" s="17">
        <f>HYPERLINK("http://www.getyep.co", "www.getyep.co")</f>
      </c>
      <c r="M7123" s="17">
        <f>HYPERLINK("https://my.pitchbook.com?c=493381-90", "View Company Online")</f>
      </c>
    </row>
    <row r="7124">
      <c r="A7124" t="s" s="10">
        <v>35670</v>
      </c>
      <c r="B7124" t="s" s="10">
        <v>35671</v>
      </c>
      <c r="C7124" t="s" s="10">
        <v>37</v>
      </c>
      <c r="D7124" t="s" s="10">
        <v>38</v>
      </c>
      <c r="E7124" t="s" s="10">
        <v>270</v>
      </c>
      <c r="F7124" s="27">
        <v>44848</v>
      </c>
      <c r="G7124" t="s" s="10">
        <v>4267</v>
      </c>
      <c r="H7124" s="42">
        <v>3.5</v>
      </c>
      <c r="I7124" t="s" s="42">
        <v>30</v>
      </c>
      <c r="J7124" t="s" s="10">
        <v>35672</v>
      </c>
      <c r="K7124" t="s" s="10">
        <v>30</v>
      </c>
      <c r="L7124" s="16">
        <f>HYPERLINK("http://www.yepzy.com", "www.yepzy.com")</f>
      </c>
      <c r="M7124" s="16">
        <f>HYPERLINK("https://my.pitchbook.com?c=317177-20", "View Company Online")</f>
      </c>
    </row>
    <row r="7125">
      <c r="A7125" t="s" s="11">
        <v>35674</v>
      </c>
      <c r="B7125" t="s" s="11">
        <v>35675</v>
      </c>
      <c r="C7125" t="s" s="11">
        <v>27</v>
      </c>
      <c r="D7125" t="s" s="11">
        <v>122</v>
      </c>
      <c r="E7125" t="s" s="11">
        <v>253</v>
      </c>
      <c r="F7125" s="28">
        <v>45901</v>
      </c>
      <c r="G7125" t="s" s="11">
        <v>40</v>
      </c>
      <c r="H7125" t="s" s="43">
        <v>30</v>
      </c>
      <c r="I7125" t="s" s="43">
        <v>30</v>
      </c>
      <c r="J7125" t="s" s="11">
        <v>35676</v>
      </c>
      <c r="K7125" t="s" s="11">
        <v>35677</v>
      </c>
      <c r="L7125" s="17">
        <f>HYPERLINK("http://www.yieldexchange.ca", "www.yieldexchange.ca")</f>
      </c>
      <c r="M7125" s="17">
        <f>HYPERLINK("https://my.pitchbook.com?c=521623-54", "View Company Online")</f>
      </c>
    </row>
    <row r="7126">
      <c r="A7126" t="s" s="10">
        <v>35679</v>
      </c>
      <c r="B7126" t="s" s="10">
        <v>35680</v>
      </c>
      <c r="C7126" t="s" s="10">
        <v>60</v>
      </c>
      <c r="D7126" t="s" s="10">
        <v>192</v>
      </c>
      <c r="E7126" t="s" s="10">
        <v>137</v>
      </c>
      <c r="F7126" s="27">
        <v>45995</v>
      </c>
      <c r="G7126" t="s" s="10">
        <v>4267</v>
      </c>
      <c r="H7126" s="42">
        <v>10</v>
      </c>
      <c r="I7126" t="s" s="42">
        <v>30</v>
      </c>
      <c r="J7126" t="s" s="10">
        <v>35681</v>
      </c>
      <c r="K7126" t="s" s="10">
        <v>35682</v>
      </c>
      <c r="L7126" s="16">
        <f>HYPERLINK("http://www.yieldvault.investments", "www.yieldvault.investments")</f>
      </c>
      <c r="M7126" s="16">
        <f>HYPERLINK("https://my.pitchbook.com?c=1167912-01", "View Company Online")</f>
      </c>
    </row>
    <row r="7127">
      <c r="A7127" t="s" s="11">
        <v>35684</v>
      </c>
      <c r="B7127" t="s" s="11">
        <v>35685</v>
      </c>
      <c r="C7127" t="s" s="11">
        <v>128</v>
      </c>
      <c r="D7127" t="s" s="11">
        <v>276</v>
      </c>
      <c r="E7127" t="s" s="11">
        <v>253</v>
      </c>
      <c r="F7127" s="28">
        <v>43288</v>
      </c>
      <c r="G7127" t="s" s="11">
        <v>5274</v>
      </c>
      <c r="H7127" s="43">
        <v>3.07</v>
      </c>
      <c r="I7127" t="s" s="43">
        <v>30</v>
      </c>
      <c r="J7127" t="s" s="11">
        <v>35686</v>
      </c>
      <c r="K7127" t="s" s="11">
        <v>30</v>
      </c>
      <c r="L7127" s="17">
        <f>HYPERLINK("http://www.e-moneyclip.com", "www.e-moneyclip.com")</f>
      </c>
      <c r="M7127" s="17">
        <f>HYPERLINK("https://my.pitchbook.com?c=399497-50", "View Company Online")</f>
      </c>
    </row>
    <row r="7128">
      <c r="A7128" t="s" s="10">
        <v>35688</v>
      </c>
      <c r="B7128" t="s" s="10">
        <v>35689</v>
      </c>
      <c r="C7128" t="s" s="10">
        <v>60</v>
      </c>
      <c r="D7128" t="s" s="10">
        <v>246</v>
      </c>
      <c r="E7128" t="s" s="10">
        <v>137</v>
      </c>
      <c r="F7128" s="27">
        <v>43539</v>
      </c>
      <c r="G7128" t="s" s="10">
        <v>40</v>
      </c>
      <c r="H7128" t="s" s="42">
        <v>30</v>
      </c>
      <c r="I7128" t="s" s="42">
        <v>30</v>
      </c>
      <c r="J7128" t="s" s="10">
        <v>35690</v>
      </c>
      <c r="K7128" t="s" s="10">
        <v>35691</v>
      </c>
      <c r="L7128" s="16">
        <f>HYPERLINK("http://www.yinduowang.com", "www.yinduowang.com")</f>
      </c>
      <c r="M7128" s="16">
        <f>HYPERLINK("https://my.pitchbook.com?c=340894-36", "View Company Online")</f>
      </c>
    </row>
    <row r="7129">
      <c r="A7129" t="s" s="11">
        <v>35693</v>
      </c>
      <c r="B7129" t="s" s="11">
        <v>35694</v>
      </c>
      <c r="C7129" t="s" s="11">
        <v>60</v>
      </c>
      <c r="D7129" t="s" s="11">
        <v>192</v>
      </c>
      <c r="E7129" t="s" s="11">
        <v>1349</v>
      </c>
      <c r="F7129" s="28">
        <v>44562</v>
      </c>
      <c r="G7129" t="s" s="11">
        <v>40</v>
      </c>
      <c r="H7129" s="43">
        <v>15.68</v>
      </c>
      <c r="I7129" t="s" s="43">
        <v>30</v>
      </c>
      <c r="J7129" t="s" s="11">
        <v>35695</v>
      </c>
      <c r="K7129" t="s" s="11">
        <v>35696</v>
      </c>
      <c r="L7129" s="17">
        <f>HYPERLINK("http://www.yhfin.com", "www.yhfin.com")</f>
      </c>
      <c r="M7129" s="17">
        <f>HYPERLINK("https://my.pitchbook.com?c=438908-59", "View Company Online")</f>
      </c>
    </row>
    <row r="7130">
      <c r="A7130" t="s" s="10">
        <v>35698</v>
      </c>
      <c r="B7130" t="s" s="10">
        <v>35699</v>
      </c>
      <c r="C7130" t="s" s="10">
        <v>114</v>
      </c>
      <c r="D7130" t="s" s="10">
        <v>136</v>
      </c>
      <c r="E7130" t="s" s="10">
        <v>137</v>
      </c>
      <c r="F7130" s="27">
        <v>44181</v>
      </c>
      <c r="G7130" t="s" s="10">
        <v>146</v>
      </c>
      <c r="H7130" s="42">
        <v>76.12</v>
      </c>
      <c r="I7130" t="s" s="42">
        <v>30</v>
      </c>
      <c r="J7130" t="s" s="10">
        <v>35700</v>
      </c>
      <c r="K7130" t="s" s="10">
        <v>35701</v>
      </c>
      <c r="L7130" s="16">
        <f>HYPERLINK("http://www.yitaocar.com", "www.yitaocar.com")</f>
      </c>
      <c r="M7130" s="16">
        <f>HYPERLINK("https://my.pitchbook.com?c=455157-82", "View Company Online")</f>
      </c>
    </row>
    <row r="7131">
      <c r="A7131" t="s" s="11">
        <v>35703</v>
      </c>
      <c r="B7131" t="s" s="11">
        <v>35704</v>
      </c>
      <c r="C7131" t="s" s="11">
        <v>222</v>
      </c>
      <c r="D7131" t="s" s="11">
        <v>223</v>
      </c>
      <c r="E7131" t="s" s="11">
        <v>1349</v>
      </c>
      <c r="F7131" s="28">
        <v>43305</v>
      </c>
      <c r="G7131" t="s" s="11">
        <v>146</v>
      </c>
      <c r="H7131" s="43">
        <v>0.45</v>
      </c>
      <c r="I7131" t="s" s="43">
        <v>30</v>
      </c>
      <c r="J7131" t="s" s="11">
        <v>35705</v>
      </c>
      <c r="K7131" t="s" s="11">
        <v>35706</v>
      </c>
      <c r="L7131" s="17">
        <f>HYPERLINK("http://www.estockapp.com", "www.estockapp.com")</f>
      </c>
      <c r="M7131" s="17">
        <f>HYPERLINK("https://my.pitchbook.com?c=431667-01", "View Company Online")</f>
      </c>
    </row>
    <row r="7132">
      <c r="A7132" t="s" s="10">
        <v>35708</v>
      </c>
      <c r="B7132" t="s" s="10">
        <v>35709</v>
      </c>
      <c r="C7132" t="s" s="10">
        <v>27</v>
      </c>
      <c r="D7132" t="s" s="10">
        <v>28</v>
      </c>
      <c r="E7132" t="s" s="10">
        <v>29</v>
      </c>
      <c r="F7132" s="27">
        <v>45421</v>
      </c>
      <c r="G7132" t="s" s="10">
        <v>607</v>
      </c>
      <c r="H7132" t="s" s="42">
        <v>30</v>
      </c>
      <c r="I7132" t="s" s="42">
        <v>30</v>
      </c>
      <c r="J7132" t="s" s="10">
        <v>35710</v>
      </c>
      <c r="K7132" t="s" s="10">
        <v>35711</v>
      </c>
      <c r="L7132" s="16">
        <f>HYPERLINK("http://www.yoco.com", "www.yoco.com")</f>
      </c>
      <c r="M7132" s="16">
        <f>HYPERLINK("https://my.pitchbook.com?c=104516-02", "View Company Online")</f>
      </c>
    </row>
    <row r="7133">
      <c r="A7133" t="s" s="11">
        <v>35713</v>
      </c>
      <c r="B7133" t="s" s="11">
        <v>35714</v>
      </c>
      <c r="C7133" t="s" s="11">
        <v>114</v>
      </c>
      <c r="D7133" t="s" s="11">
        <v>870</v>
      </c>
      <c r="E7133" t="s" s="11">
        <v>158</v>
      </c>
      <c r="F7133" s="28">
        <v>45337</v>
      </c>
      <c r="G7133" t="s" s="11">
        <v>4267</v>
      </c>
      <c r="H7133" s="43">
        <v>10</v>
      </c>
      <c r="I7133" t="s" s="43">
        <v>30</v>
      </c>
      <c r="J7133" t="s" s="11">
        <v>35715</v>
      </c>
      <c r="K7133" t="s" s="11">
        <v>35716</v>
      </c>
      <c r="L7133" s="17">
        <f>HYPERLINK("http://mx.yofio.app", "mx.yofio.app")</f>
      </c>
      <c r="M7133" s="17">
        <f>HYPERLINK("https://my.pitchbook.com?c=458608-51", "View Company Online")</f>
      </c>
    </row>
    <row r="7134">
      <c r="A7134" t="s" s="10">
        <v>35718</v>
      </c>
      <c r="B7134" t="s" s="10">
        <v>35719</v>
      </c>
      <c r="C7134" t="s" s="10">
        <v>27</v>
      </c>
      <c r="D7134" t="s" s="10">
        <v>28</v>
      </c>
      <c r="E7134" t="s" s="10">
        <v>137</v>
      </c>
      <c r="F7134" s="27">
        <v>45579</v>
      </c>
      <c r="G7134" t="s" s="10">
        <v>64</v>
      </c>
      <c r="H7134" t="s" s="42">
        <v>30</v>
      </c>
      <c r="I7134" t="s" s="42">
        <v>30</v>
      </c>
      <c r="J7134" t="s" s="10">
        <v>35720</v>
      </c>
      <c r="K7134" t="s" s="10">
        <v>35721</v>
      </c>
      <c r="L7134" s="16">
        <f>HYPERLINK("http://www.yonyoufintech.com", "www.yonyoufintech.com")</f>
      </c>
      <c r="M7134" s="16">
        <f>HYPERLINK("https://my.pitchbook.com?c=532967-41", "View Company Online")</f>
      </c>
    </row>
    <row r="7135">
      <c r="A7135" t="s" s="11">
        <v>35723</v>
      </c>
      <c r="B7135" t="s" s="11">
        <v>35724</v>
      </c>
      <c r="C7135" t="s" s="11">
        <v>114</v>
      </c>
      <c r="D7135" t="s" s="11">
        <v>136</v>
      </c>
      <c r="E7135" t="s" s="11">
        <v>759</v>
      </c>
      <c r="F7135" t="s" s="28">
        <v>30</v>
      </c>
      <c r="G7135" t="s" s="11">
        <v>4267</v>
      </c>
      <c r="H7135" t="s" s="43">
        <v>30</v>
      </c>
      <c r="I7135" t="s" s="43">
        <v>30</v>
      </c>
      <c r="J7135" t="s" s="11">
        <v>35725</v>
      </c>
      <c r="K7135" t="s" s="11">
        <v>35726</v>
      </c>
      <c r="L7135" s="17">
        <f>HYPERLINK("http://www.yooli.com", "www.yooli.com")</f>
      </c>
      <c r="M7135" s="17">
        <f>HYPERLINK("https://my.pitchbook.com?c=60535-36", "View Company Online")</f>
      </c>
    </row>
    <row r="7136">
      <c r="A7136" t="s" s="10">
        <v>35728</v>
      </c>
      <c r="B7136" t="s" s="10">
        <v>35729</v>
      </c>
      <c r="C7136" t="s" s="10">
        <v>27</v>
      </c>
      <c r="D7136" t="s" s="10">
        <v>28</v>
      </c>
      <c r="E7136" t="s" s="10">
        <v>35730</v>
      </c>
      <c r="F7136" s="27">
        <v>45706</v>
      </c>
      <c r="G7136" t="s" s="10">
        <v>607</v>
      </c>
      <c r="H7136" t="s" s="42">
        <v>30</v>
      </c>
      <c r="I7136" t="s" s="42">
        <v>30</v>
      </c>
      <c r="J7136" t="s" s="10">
        <v>35731</v>
      </c>
      <c r="K7136" t="s" s="10">
        <v>35732</v>
      </c>
      <c r="L7136" s="16">
        <f>HYPERLINK("http://www.yoordi.com", "www.yoordi.com")</f>
      </c>
      <c r="M7136" s="16">
        <f>HYPERLINK("https://my.pitchbook.com?c=233959-87", "View Company Online")</f>
      </c>
    </row>
    <row r="7137">
      <c r="A7137" t="s" s="11">
        <v>35734</v>
      </c>
      <c r="B7137" t="s" s="11">
        <v>35735</v>
      </c>
      <c r="C7137" t="s" s="11">
        <v>114</v>
      </c>
      <c r="D7137" t="s" s="11">
        <v>136</v>
      </c>
      <c r="E7137" t="s" s="11">
        <v>2782</v>
      </c>
      <c r="F7137" s="28">
        <v>44712</v>
      </c>
      <c r="G7137" t="s" s="11">
        <v>48</v>
      </c>
      <c r="H7137" t="s" s="43">
        <v>30</v>
      </c>
      <c r="I7137" t="s" s="43">
        <v>30</v>
      </c>
      <c r="J7137" t="s" s="11">
        <v>35736</v>
      </c>
      <c r="K7137" t="s" s="11">
        <v>35737</v>
      </c>
      <c r="L7137" s="17">
        <f>HYPERLINK("http://www.youland.com", "www.youland.com")</f>
      </c>
      <c r="M7137" s="17">
        <f>HYPERLINK("https://my.pitchbook.com?c=266601-25", "View Company Online")</f>
      </c>
    </row>
    <row r="7138">
      <c r="A7138" t="s" s="10">
        <v>35739</v>
      </c>
      <c r="B7138" t="s" s="10">
        <v>35740</v>
      </c>
      <c r="C7138" t="s" s="10">
        <v>164</v>
      </c>
      <c r="D7138" t="s" s="10">
        <v>206</v>
      </c>
      <c r="E7138" t="s" s="10">
        <v>1065</v>
      </c>
      <c r="F7138" s="27">
        <v>44958</v>
      </c>
      <c r="G7138" t="s" s="10">
        <v>146</v>
      </c>
      <c r="H7138" t="s" s="42">
        <v>30</v>
      </c>
      <c r="I7138" t="s" s="42">
        <v>30</v>
      </c>
      <c r="J7138" t="s" s="10">
        <v>35741</v>
      </c>
      <c r="K7138" t="s" s="10">
        <v>35742</v>
      </c>
      <c r="L7138" s="16">
        <f>HYPERLINK("http://www.youpay.digital", "www.youpay.digital")</f>
      </c>
      <c r="M7138" s="16">
        <f>HYPERLINK("https://my.pitchbook.com?c=520558-39", "View Company Online")</f>
      </c>
    </row>
    <row r="7139">
      <c r="A7139" t="s" s="11">
        <v>35744</v>
      </c>
      <c r="B7139" t="s" s="11">
        <v>35745</v>
      </c>
      <c r="C7139" t="s" s="11">
        <v>37</v>
      </c>
      <c r="D7139" t="s" s="11">
        <v>38</v>
      </c>
      <c r="E7139" t="s" s="11">
        <v>270</v>
      </c>
      <c r="F7139" s="28">
        <v>45685</v>
      </c>
      <c r="G7139" t="s" s="11">
        <v>40</v>
      </c>
      <c r="H7139" s="43">
        <v>6.7</v>
      </c>
      <c r="I7139" t="s" s="43">
        <v>30</v>
      </c>
      <c r="J7139" t="s" s="11">
        <v>35746</v>
      </c>
      <c r="K7139" t="s" s="11">
        <v>35747</v>
      </c>
      <c r="L7139" s="17">
        <f>HYPERLINK("http://www.yourpay.co", "www.yourpay.co")</f>
      </c>
      <c r="M7139" s="17">
        <f>HYPERLINK("https://my.pitchbook.com?c=517334-32", "View Company Online")</f>
      </c>
    </row>
    <row r="7140">
      <c r="A7140" t="s" s="10">
        <v>35749</v>
      </c>
      <c r="B7140" t="s" s="10">
        <v>35750</v>
      </c>
      <c r="C7140" t="s" s="10">
        <v>60</v>
      </c>
      <c r="D7140" t="s" s="10">
        <v>192</v>
      </c>
      <c r="E7140" t="s" s="10">
        <v>634</v>
      </c>
      <c r="F7140" s="27">
        <v>45789</v>
      </c>
      <c r="G7140" t="s" s="10">
        <v>607</v>
      </c>
      <c r="H7140" t="s" s="42">
        <v>30</v>
      </c>
      <c r="I7140" t="s" s="42">
        <v>30</v>
      </c>
      <c r="J7140" t="s" s="10">
        <v>35751</v>
      </c>
      <c r="K7140" t="s" s="10">
        <v>35752</v>
      </c>
      <c r="L7140" s="16">
        <f>HYPERLINK("http://www.yourstake.org", "www.yourstake.org")</f>
      </c>
      <c r="M7140" s="16">
        <f>HYPERLINK("https://my.pitchbook.com?c=431227-45", "View Company Online")</f>
      </c>
    </row>
    <row r="7141">
      <c r="A7141" t="s" s="11">
        <v>35754</v>
      </c>
      <c r="B7141" t="s" s="11">
        <v>35755</v>
      </c>
      <c r="C7141" t="s" s="11">
        <v>128</v>
      </c>
      <c r="D7141" t="s" s="11">
        <v>199</v>
      </c>
      <c r="E7141" t="s" s="11">
        <v>1109</v>
      </c>
      <c r="F7141" s="28">
        <v>45225</v>
      </c>
      <c r="G7141" t="s" s="11">
        <v>40</v>
      </c>
      <c r="H7141" s="43">
        <v>50</v>
      </c>
      <c r="I7141" t="s" s="43">
        <v>30</v>
      </c>
      <c r="J7141" t="s" s="11">
        <v>35756</v>
      </c>
      <c r="K7141" t="s" s="11">
        <v>35757</v>
      </c>
      <c r="L7141" s="17">
        <f>HYPERLINK("http://www.you.co", "www.you.co")</f>
      </c>
      <c r="M7141" s="17">
        <f>HYPERLINK("https://my.pitchbook.com?c=267454-27", "View Company Online")</f>
      </c>
    </row>
    <row r="7142">
      <c r="A7142" t="s" s="10">
        <v>35759</v>
      </c>
      <c r="B7142" t="s" s="10">
        <v>35760</v>
      </c>
      <c r="C7142" t="s" s="10">
        <v>128</v>
      </c>
      <c r="D7142" t="s" s="10">
        <v>276</v>
      </c>
      <c r="E7142" t="s" s="10">
        <v>270</v>
      </c>
      <c r="F7142" s="27">
        <v>44424</v>
      </c>
      <c r="G7142" t="s" s="10">
        <v>146</v>
      </c>
      <c r="H7142" s="42">
        <v>0.4</v>
      </c>
      <c r="I7142" t="s" s="42">
        <v>30</v>
      </c>
      <c r="J7142" t="s" s="10">
        <v>35761</v>
      </c>
      <c r="K7142" t="s" s="10">
        <v>35762</v>
      </c>
      <c r="L7142" s="16">
        <f>HYPERLINK("http://www.ypaycard.com", "www.ypaycard.com")</f>
      </c>
      <c r="M7142" s="16">
        <f>HYPERLINK("https://my.pitchbook.com?c=455191-12", "View Company Online")</f>
      </c>
    </row>
    <row r="7143">
      <c r="A7143" t="s" s="11">
        <v>35764</v>
      </c>
      <c r="B7143" t="s" s="11">
        <v>35765</v>
      </c>
      <c r="C7143" t="s" s="11">
        <v>60</v>
      </c>
      <c r="D7143" t="s" s="11">
        <v>246</v>
      </c>
      <c r="E7143" t="s" s="11">
        <v>759</v>
      </c>
      <c r="F7143" s="28">
        <v>46230</v>
      </c>
      <c r="G7143" t="s" s="11">
        <v>40</v>
      </c>
      <c r="H7143" s="43">
        <v>155.3</v>
      </c>
      <c r="I7143" t="s" s="43">
        <v>30</v>
      </c>
      <c r="J7143" t="s" s="11">
        <v>35766</v>
      </c>
      <c r="K7143" t="s" s="11">
        <v>35767</v>
      </c>
      <c r="L7143" s="17">
        <f>HYPERLINK("http://www.yrefy.com", "www.yrefy.com")</f>
      </c>
      <c r="M7143" s="17">
        <f>HYPERLINK("https://my.pitchbook.com?c=433021-33", "View Company Online")</f>
      </c>
    </row>
    <row r="7144">
      <c r="A7144" t="s" s="10">
        <v>35769</v>
      </c>
      <c r="B7144" t="s" s="10">
        <v>35770</v>
      </c>
      <c r="C7144" t="s" s="10">
        <v>144</v>
      </c>
      <c r="D7144" t="s" s="10">
        <v>38</v>
      </c>
      <c r="E7144" t="s" s="10">
        <v>253</v>
      </c>
      <c r="F7144" s="27">
        <v>45833</v>
      </c>
      <c r="G7144" t="s" s="10">
        <v>4267</v>
      </c>
      <c r="H7144" t="s" s="42">
        <v>30</v>
      </c>
      <c r="I7144" t="s" s="42">
        <v>30</v>
      </c>
      <c r="J7144" t="s" s="10">
        <v>35771</v>
      </c>
      <c r="K7144" t="s" s="10">
        <v>35772</v>
      </c>
      <c r="L7144" s="16">
        <f>HYPERLINK("http://www.yufin.ph", "www.yufin.ph")</f>
      </c>
      <c r="M7144" s="16">
        <f>HYPERLINK("https://my.pitchbook.com?c=500910-31", "View Company Online")</f>
      </c>
    </row>
    <row r="7145">
      <c r="A7145" t="s" s="11">
        <v>35774</v>
      </c>
      <c r="B7145" t="s" s="11">
        <v>35775</v>
      </c>
      <c r="C7145" t="s" s="11">
        <v>114</v>
      </c>
      <c r="D7145" t="s" s="11">
        <v>1386</v>
      </c>
      <c r="E7145" t="s" s="11">
        <v>859</v>
      </c>
      <c r="F7145" s="28">
        <v>46082</v>
      </c>
      <c r="G7145" t="s" s="11">
        <v>4267</v>
      </c>
      <c r="H7145" t="s" s="43">
        <v>30</v>
      </c>
      <c r="I7145" t="s" s="43">
        <v>30</v>
      </c>
      <c r="J7145" t="s" s="11">
        <v>35776</v>
      </c>
      <c r="K7145" t="s" s="11">
        <v>35777</v>
      </c>
      <c r="L7145" s="17">
        <f>HYPERLINK("http://www.yumi.finance", "www.yumi.finance")</f>
      </c>
      <c r="M7145" s="17">
        <f>HYPERLINK("https://my.pitchbook.com?c=1360282-60", "View Company Online")</f>
      </c>
    </row>
    <row r="7146">
      <c r="A7146" t="s" s="10">
        <v>35779</v>
      </c>
      <c r="B7146" t="s" s="10">
        <v>35780</v>
      </c>
      <c r="C7146" t="s" s="10">
        <v>46</v>
      </c>
      <c r="D7146" t="s" s="10">
        <v>397</v>
      </c>
      <c r="E7146" t="s" s="10">
        <v>253</v>
      </c>
      <c r="F7146" s="27">
        <v>44440</v>
      </c>
      <c r="G7146" t="s" s="10">
        <v>40</v>
      </c>
      <c r="H7146" s="42">
        <v>7.71</v>
      </c>
      <c r="I7146" t="s" s="42">
        <v>30</v>
      </c>
      <c r="J7146" t="s" s="10">
        <v>35781</v>
      </c>
      <c r="K7146" t="s" s="10">
        <v>35782</v>
      </c>
      <c r="L7146" s="16">
        <f>HYPERLINK("http://www.yundaizhang.com", "www.yundaizhang.com")</f>
      </c>
      <c r="M7146" s="16">
        <f>HYPERLINK("https://my.pitchbook.com?c=442457-47", "View Company Online")</f>
      </c>
    </row>
    <row r="7147">
      <c r="A7147" t="s" s="11">
        <v>35784</v>
      </c>
      <c r="B7147" t="s" s="11">
        <v>35785</v>
      </c>
      <c r="C7147" t="s" s="11">
        <v>27</v>
      </c>
      <c r="D7147" t="s" s="11">
        <v>28</v>
      </c>
      <c r="E7147" t="s" s="11">
        <v>35786</v>
      </c>
      <c r="F7147" s="28">
        <v>43101</v>
      </c>
      <c r="G7147" t="s" s="11">
        <v>146</v>
      </c>
      <c r="H7147" s="43">
        <v>1.52</v>
      </c>
      <c r="I7147" t="s" s="43">
        <v>30</v>
      </c>
      <c r="J7147" t="s" s="11">
        <v>35787</v>
      </c>
      <c r="K7147" t="s" s="11">
        <v>35788</v>
      </c>
      <c r="L7147" s="17">
        <f>HYPERLINK("http://www.ydongj.com", "www.ydongj.com")</f>
      </c>
      <c r="M7147" s="17">
        <f>HYPERLINK("https://my.pitchbook.com?c=434402-11", "View Company Online")</f>
      </c>
    </row>
    <row r="7148">
      <c r="A7148" t="s" s="10">
        <v>35790</v>
      </c>
      <c r="B7148" t="s" s="10">
        <v>35791</v>
      </c>
      <c r="C7148" t="s" s="10">
        <v>60</v>
      </c>
      <c r="D7148" t="s" s="10">
        <v>246</v>
      </c>
      <c r="E7148" t="s" s="10">
        <v>253</v>
      </c>
      <c r="F7148" s="27">
        <v>44348</v>
      </c>
      <c r="G7148" t="s" s="10">
        <v>146</v>
      </c>
      <c r="H7148" s="42">
        <v>2.33</v>
      </c>
      <c r="I7148" t="s" s="42">
        <v>30</v>
      </c>
      <c r="J7148" t="s" s="10">
        <v>35792</v>
      </c>
      <c r="K7148" t="s" s="10">
        <v>30</v>
      </c>
      <c r="L7148" s="16">
        <f>HYPERLINK("http://www.yjieshui.com", "www.yjieshui.com")</f>
      </c>
      <c r="M7148" s="16">
        <f>HYPERLINK("https://my.pitchbook.com?c=437857-66", "View Company Online")</f>
      </c>
    </row>
    <row r="7149">
      <c r="A7149" t="s" s="11">
        <v>35794</v>
      </c>
      <c r="B7149" t="s" s="11">
        <v>35795</v>
      </c>
      <c r="C7149" t="s" s="11">
        <v>114</v>
      </c>
      <c r="D7149" t="s" s="11">
        <v>136</v>
      </c>
      <c r="E7149" t="s" s="11">
        <v>137</v>
      </c>
      <c r="F7149" s="28">
        <v>43230</v>
      </c>
      <c r="G7149" t="s" s="11">
        <v>146</v>
      </c>
      <c r="H7149" s="43">
        <v>12.66</v>
      </c>
      <c r="I7149" t="s" s="43">
        <v>30</v>
      </c>
      <c r="J7149" t="s" s="11">
        <v>35796</v>
      </c>
      <c r="K7149" t="s" s="11">
        <v>35797</v>
      </c>
      <c r="L7149" s="17">
        <f>HYPERLINK("http://www.yunrong.cn", "www.yunrong.cn")</f>
      </c>
      <c r="M7149" s="17">
        <f>HYPERLINK("https://my.pitchbook.com?c=432626-05", "View Company Online")</f>
      </c>
    </row>
    <row r="7150">
      <c r="A7150" t="s" s="10">
        <v>35799</v>
      </c>
      <c r="B7150" t="s" s="10">
        <v>35800</v>
      </c>
      <c r="C7150" t="s" s="10">
        <v>46</v>
      </c>
      <c r="D7150" t="s" s="10">
        <v>397</v>
      </c>
      <c r="E7150" t="s" s="10">
        <v>185</v>
      </c>
      <c r="F7150" s="27">
        <v>46226</v>
      </c>
      <c r="G7150" t="s" s="10">
        <v>40</v>
      </c>
      <c r="H7150" t="s" s="42">
        <v>30</v>
      </c>
      <c r="I7150" t="s" s="42">
        <v>30</v>
      </c>
      <c r="J7150" t="s" s="10">
        <v>35801</v>
      </c>
      <c r="K7150" t="s" s="10">
        <v>35802</v>
      </c>
      <c r="L7150" s="16">
        <f>HYPERLINK("http://www.yunzhangfang.com", "www.yunzhangfang.com")</f>
      </c>
      <c r="M7150" s="16">
        <f>HYPERLINK("https://my.pitchbook.com?c=186652-09", "View Company Online")</f>
      </c>
    </row>
    <row r="7151">
      <c r="A7151" t="s" s="11">
        <v>35804</v>
      </c>
      <c r="B7151" t="s" s="11">
        <v>35805</v>
      </c>
      <c r="C7151" t="s" s="11">
        <v>37</v>
      </c>
      <c r="D7151" t="s" s="11">
        <v>304</v>
      </c>
      <c r="E7151" t="s" s="11">
        <v>193</v>
      </c>
      <c r="F7151" s="28">
        <v>45923</v>
      </c>
      <c r="G7151" t="s" s="11">
        <v>40</v>
      </c>
      <c r="H7151" s="43">
        <v>32</v>
      </c>
      <c r="I7151" t="s" s="43">
        <v>30</v>
      </c>
      <c r="J7151" t="s" s="11">
        <v>35806</v>
      </c>
      <c r="K7151" t="s" s="11">
        <v>35807</v>
      </c>
      <c r="L7151" s="17">
        <f>HYPERLINK("http://www.finturegroup.com", "www.finturegroup.com")</f>
      </c>
      <c r="M7151" s="17">
        <f>HYPERLINK("https://my.pitchbook.com?c=494980-39", "View Company Online")</f>
      </c>
    </row>
    <row r="7152">
      <c r="A7152" t="s" s="10">
        <v>35809</v>
      </c>
      <c r="B7152" t="s" s="10">
        <v>35810</v>
      </c>
      <c r="C7152" t="s" s="10">
        <v>46</v>
      </c>
      <c r="D7152" t="s" s="10">
        <v>47</v>
      </c>
      <c r="E7152" t="s" s="10">
        <v>35811</v>
      </c>
      <c r="F7152" s="27">
        <v>45117</v>
      </c>
      <c r="G7152" t="s" s="10">
        <v>146</v>
      </c>
      <c r="H7152" s="42">
        <v>0.14</v>
      </c>
      <c r="I7152" t="s" s="42">
        <v>30</v>
      </c>
      <c r="J7152" t="s" s="10">
        <v>35812</v>
      </c>
      <c r="K7152" t="s" s="10">
        <v>35813</v>
      </c>
      <c r="L7152" s="16">
        <f>HYPERLINK("http://ur-li.ru", "ur-li.ru")</f>
      </c>
      <c r="M7152" s="16">
        <f>HYPERLINK("https://my.pitchbook.com?c=471454-48", "View Company Online")</f>
      </c>
    </row>
    <row r="7153">
      <c r="A7153" t="s" s="11">
        <v>35815</v>
      </c>
      <c r="B7153" t="s" s="11">
        <v>35816</v>
      </c>
      <c r="C7153" t="s" s="11">
        <v>46</v>
      </c>
      <c r="D7153" t="s" s="11">
        <v>397</v>
      </c>
      <c r="E7153" t="s" s="11">
        <v>29</v>
      </c>
      <c r="F7153" s="28">
        <v>45817</v>
      </c>
      <c r="G7153" t="s" s="11">
        <v>40</v>
      </c>
      <c r="H7153" s="43">
        <v>11.93</v>
      </c>
      <c r="I7153" t="s" s="43">
        <v>30</v>
      </c>
      <c r="J7153" t="s" s="11">
        <v>35817</v>
      </c>
      <c r="K7153" t="s" s="11">
        <v>35818</v>
      </c>
      <c r="L7153" s="17">
        <f>HYPERLINK("http://www.zent.kr", "www.zent.kr")</f>
      </c>
      <c r="M7153" s="17">
        <f>HYPERLINK("https://my.pitchbook.com?c=435758-23", "View Company Online")</f>
      </c>
    </row>
    <row r="7154">
      <c r="A7154" t="s" s="10">
        <v>35820</v>
      </c>
      <c r="B7154" t="s" s="10">
        <v>35821</v>
      </c>
      <c r="C7154" t="s" s="10">
        <v>114</v>
      </c>
      <c r="D7154" t="s" s="10">
        <v>852</v>
      </c>
      <c r="E7154" t="s" s="10">
        <v>35822</v>
      </c>
      <c r="F7154" s="27">
        <v>45918</v>
      </c>
      <c r="G7154" t="s" s="10">
        <v>40</v>
      </c>
      <c r="H7154" t="s" s="42">
        <v>30</v>
      </c>
      <c r="I7154" t="s" s="42">
        <v>30</v>
      </c>
      <c r="J7154" t="s" s="10">
        <v>35823</v>
      </c>
      <c r="K7154" t="s" s="10">
        <v>35824</v>
      </c>
      <c r="L7154" s="16">
        <f>HYPERLINK("http://www.zanifu.com", "www.zanifu.com")</f>
      </c>
      <c r="M7154" s="16">
        <f>HYPERLINK("https://my.pitchbook.com?c=436569-31", "View Company Online")</f>
      </c>
    </row>
    <row r="7155">
      <c r="A7155" t="s" s="11">
        <v>35826</v>
      </c>
      <c r="B7155" t="s" s="11">
        <v>35827</v>
      </c>
      <c r="C7155" t="s" s="11">
        <v>27</v>
      </c>
      <c r="D7155" t="s" s="11">
        <v>28</v>
      </c>
      <c r="E7155" t="s" s="11">
        <v>193</v>
      </c>
      <c r="F7155" s="28">
        <v>45083</v>
      </c>
      <c r="G7155" t="s" s="11">
        <v>4267</v>
      </c>
      <c r="H7155" s="43">
        <v>1.6</v>
      </c>
      <c r="I7155" t="s" s="43">
        <v>30</v>
      </c>
      <c r="J7155" t="s" s="11">
        <v>35828</v>
      </c>
      <c r="K7155" t="s" s="11">
        <v>35829</v>
      </c>
      <c r="L7155" s="17">
        <f>HYPERLINK("http://www.zatiqeasy.com", "www.zatiqeasy.com")</f>
      </c>
      <c r="M7155" s="17">
        <f>HYPERLINK("https://my.pitchbook.com?c=172180-99", "View Company Online")</f>
      </c>
    </row>
    <row r="7156">
      <c r="A7156" t="s" s="10">
        <v>35831</v>
      </c>
      <c r="B7156" t="s" s="10">
        <v>35832</v>
      </c>
      <c r="C7156" t="s" s="10">
        <v>27</v>
      </c>
      <c r="D7156" t="s" s="10">
        <v>28</v>
      </c>
      <c r="E7156" t="s" s="10">
        <v>373</v>
      </c>
      <c r="F7156" s="27">
        <v>46009</v>
      </c>
      <c r="G7156" t="s" s="10">
        <v>146</v>
      </c>
      <c r="H7156" t="s" s="42">
        <v>30</v>
      </c>
      <c r="I7156" t="s" s="42">
        <v>30</v>
      </c>
      <c r="J7156" t="s" s="10">
        <v>35833</v>
      </c>
      <c r="K7156" t="s" s="10">
        <v>35834</v>
      </c>
      <c r="L7156" s="16">
        <f>HYPERLINK("http://www.zavo.ai", "www.zavo.ai")</f>
      </c>
      <c r="M7156" s="16">
        <f>HYPERLINK("https://my.pitchbook.com?c=717008-86", "View Company Online")</f>
      </c>
    </row>
    <row r="7157">
      <c r="A7157" t="s" s="11">
        <v>35836</v>
      </c>
      <c r="B7157" t="s" s="11">
        <v>35837</v>
      </c>
      <c r="C7157" t="s" s="11">
        <v>46</v>
      </c>
      <c r="D7157" t="s" s="11">
        <v>78</v>
      </c>
      <c r="E7157" t="s" s="11">
        <v>253</v>
      </c>
      <c r="F7157" s="28">
        <v>45778</v>
      </c>
      <c r="G7157" t="s" s="11">
        <v>2651</v>
      </c>
      <c r="H7157" s="43">
        <v>0.25</v>
      </c>
      <c r="I7157" t="s" s="43">
        <v>30</v>
      </c>
      <c r="J7157" t="s" s="11">
        <v>35838</v>
      </c>
      <c r="K7157" t="s" s="11">
        <v>35839</v>
      </c>
      <c r="L7157" s="17">
        <f>HYPERLINK("http://www.zayzoon.com", "www.zayzoon.com")</f>
      </c>
      <c r="M7157" s="17">
        <f>HYPERLINK("https://my.pitchbook.com?c=230606-20", "View Company Online")</f>
      </c>
    </row>
    <row r="7158">
      <c r="A7158" t="s" s="10">
        <v>35841</v>
      </c>
      <c r="B7158" t="s" s="10">
        <v>35842</v>
      </c>
      <c r="C7158" t="s" s="10">
        <v>144</v>
      </c>
      <c r="D7158" t="s" s="10">
        <v>38</v>
      </c>
      <c r="E7158" t="s" s="10">
        <v>270</v>
      </c>
      <c r="F7158" s="27">
        <v>46225</v>
      </c>
      <c r="G7158" t="s" s="10">
        <v>146</v>
      </c>
      <c r="H7158" t="s" s="42">
        <v>30</v>
      </c>
      <c r="I7158" t="s" s="42">
        <v>30</v>
      </c>
      <c r="J7158" t="s" s="10">
        <v>35843</v>
      </c>
      <c r="K7158" t="s" s="10">
        <v>35844</v>
      </c>
      <c r="L7158" s="16">
        <f>HYPERLINK("http://www.get-zazu.com", "www.get-zazu.com")</f>
      </c>
      <c r="M7158" s="16">
        <f>HYPERLINK("https://my.pitchbook.com?c=593567-11", "View Company Online")</f>
      </c>
    </row>
    <row r="7159">
      <c r="A7159" t="s" s="11">
        <v>35846</v>
      </c>
      <c r="B7159" t="s" s="11">
        <v>35847</v>
      </c>
      <c r="C7159" t="s" s="11">
        <v>27</v>
      </c>
      <c r="D7159" t="s" s="11">
        <v>28</v>
      </c>
      <c r="E7159" t="s" s="11">
        <v>1595</v>
      </c>
      <c r="F7159" s="28">
        <v>44467</v>
      </c>
      <c r="G7159" t="s" s="11">
        <v>40</v>
      </c>
      <c r="H7159" s="43">
        <v>9.5</v>
      </c>
      <c r="I7159" t="s" s="43">
        <v>30</v>
      </c>
      <c r="J7159" t="s" s="11">
        <v>35848</v>
      </c>
      <c r="K7159" t="s" s="11">
        <v>35849</v>
      </c>
      <c r="L7159" s="17">
        <f>HYPERLINK("http://www.zbooni.com", "www.zbooni.com")</f>
      </c>
      <c r="M7159" s="17">
        <f>HYPERLINK("https://my.pitchbook.com?c=227126-44", "View Company Online")</f>
      </c>
    </row>
    <row r="7160">
      <c r="A7160" t="s" s="10">
        <v>35851</v>
      </c>
      <c r="B7160" t="s" s="10">
        <v>35852</v>
      </c>
      <c r="C7160" t="s" s="10">
        <v>128</v>
      </c>
      <c r="D7160" t="s" s="10">
        <v>129</v>
      </c>
      <c r="E7160" t="s" s="10">
        <v>193</v>
      </c>
      <c r="F7160" s="27">
        <v>45923</v>
      </c>
      <c r="G7160" t="s" s="10">
        <v>607</v>
      </c>
      <c r="H7160" t="s" s="42">
        <v>30</v>
      </c>
      <c r="I7160" t="s" s="42">
        <v>30</v>
      </c>
      <c r="J7160" t="s" s="10">
        <v>35853</v>
      </c>
      <c r="K7160" t="s" s="10">
        <v>35854</v>
      </c>
      <c r="L7160" s="16">
        <f>HYPERLINK("http://www.getzeal.io", "www.getzeal.io")</f>
      </c>
      <c r="M7160" s="16">
        <f>HYPERLINK("https://my.pitchbook.com?c=454729-06", "View Company Online")</f>
      </c>
    </row>
    <row r="7161">
      <c r="A7161" t="s" s="11">
        <v>35856</v>
      </c>
      <c r="B7161" t="s" s="11">
        <v>35857</v>
      </c>
      <c r="C7161" t="s" s="11">
        <v>37</v>
      </c>
      <c r="D7161" t="s" s="11">
        <v>304</v>
      </c>
      <c r="E7161" t="s" s="11">
        <v>137</v>
      </c>
      <c r="F7161" s="28">
        <v>46000</v>
      </c>
      <c r="G7161" t="s" s="11">
        <v>146</v>
      </c>
      <c r="H7161" s="43">
        <v>16.5</v>
      </c>
      <c r="I7161" t="s" s="43">
        <v>30</v>
      </c>
      <c r="J7161" t="s" s="11">
        <v>35858</v>
      </c>
      <c r="K7161" t="s" s="11">
        <v>35859</v>
      </c>
      <c r="L7161" s="17">
        <f>HYPERLINK("http://www.zed.co", "www.zed.co")</f>
      </c>
      <c r="M7161" s="17">
        <f>HYPERLINK("https://my.pitchbook.com?c=595912-15", "View Company Online")</f>
      </c>
    </row>
    <row r="7162">
      <c r="A7162" t="s" s="10">
        <v>35861</v>
      </c>
      <c r="B7162" t="s" s="10">
        <v>35862</v>
      </c>
      <c r="C7162" t="s" s="10">
        <v>164</v>
      </c>
      <c r="D7162" t="s" s="10">
        <v>206</v>
      </c>
      <c r="E7162" t="s" s="10">
        <v>253</v>
      </c>
      <c r="F7162" s="27">
        <v>46055</v>
      </c>
      <c r="G7162" t="s" s="10">
        <v>607</v>
      </c>
      <c r="H7162" t="s" s="42">
        <v>30</v>
      </c>
      <c r="I7162" t="s" s="42">
        <v>30</v>
      </c>
      <c r="J7162" t="s" s="10">
        <v>35863</v>
      </c>
      <c r="K7162" t="s" s="10">
        <v>35864</v>
      </c>
      <c r="L7162" s="16">
        <f>HYPERLINK("http://www.zeeh.africa", "www.zeeh.africa")</f>
      </c>
      <c r="M7162" s="16">
        <f>HYPERLINK("https://my.pitchbook.com?c=528119-47", "View Company Online")</f>
      </c>
    </row>
    <row r="7163">
      <c r="A7163" t="s" s="11">
        <v>35866</v>
      </c>
      <c r="B7163" t="s" s="11">
        <v>35867</v>
      </c>
      <c r="C7163" t="s" s="11">
        <v>27</v>
      </c>
      <c r="D7163" t="s" s="11">
        <v>122</v>
      </c>
      <c r="E7163" t="s" s="11">
        <v>158</v>
      </c>
      <c r="F7163" s="28">
        <v>45771</v>
      </c>
      <c r="G7163" t="s" s="11">
        <v>5996</v>
      </c>
      <c r="H7163" s="43">
        <v>18</v>
      </c>
      <c r="I7163" t="s" s="43">
        <v>30</v>
      </c>
      <c r="J7163" t="s" s="11">
        <v>35868</v>
      </c>
      <c r="K7163" t="s" s="11">
        <v>35869</v>
      </c>
      <c r="L7163" s="17">
        <f>HYPERLINK("http://www.myzeepay.com", "www.myzeepay.com")</f>
      </c>
      <c r="M7163" s="17">
        <f>HYPERLINK("https://my.pitchbook.com?c=129198-88", "View Company Online")</f>
      </c>
    </row>
    <row r="7164">
      <c r="A7164" t="s" s="10">
        <v>35871</v>
      </c>
      <c r="B7164" t="s" s="10">
        <v>35872</v>
      </c>
      <c r="C7164" t="s" s="10">
        <v>164</v>
      </c>
      <c r="D7164" t="s" s="10">
        <v>165</v>
      </c>
      <c r="E7164" t="s" s="10">
        <v>373</v>
      </c>
      <c r="F7164" s="27">
        <v>45809</v>
      </c>
      <c r="G7164" t="s" s="10">
        <v>4267</v>
      </c>
      <c r="H7164" t="s" s="42">
        <v>30</v>
      </c>
      <c r="I7164" t="s" s="42">
        <v>30</v>
      </c>
      <c r="J7164" t="s" s="10">
        <v>35873</v>
      </c>
      <c r="K7164" t="s" s="10">
        <v>35874</v>
      </c>
      <c r="L7164" s="16">
        <f>HYPERLINK("http://www.zelody.com", "www.zelody.com")</f>
      </c>
      <c r="M7164" s="16">
        <f>HYPERLINK("https://my.pitchbook.com?c=866466-82", "View Company Online")</f>
      </c>
    </row>
    <row r="7165">
      <c r="A7165" t="s" s="11">
        <v>35876</v>
      </c>
      <c r="B7165" t="s" s="11">
        <v>35877</v>
      </c>
      <c r="C7165" t="s" s="11">
        <v>46</v>
      </c>
      <c r="D7165" t="s" s="11">
        <v>47</v>
      </c>
      <c r="E7165" t="s" s="11">
        <v>3081</v>
      </c>
      <c r="F7165" s="28">
        <v>45275</v>
      </c>
      <c r="G7165" t="s" s="11">
        <v>146</v>
      </c>
      <c r="H7165" t="s" s="43">
        <v>30</v>
      </c>
      <c r="I7165" t="s" s="43">
        <v>30</v>
      </c>
      <c r="J7165" t="s" s="11">
        <v>35878</v>
      </c>
      <c r="K7165" t="s" s="11">
        <v>35879</v>
      </c>
      <c r="L7165" s="17">
        <f>HYPERLINK("http://www.zemocard.com", "www.zemocard.com")</f>
      </c>
      <c r="M7165" s="17">
        <f>HYPERLINK("https://my.pitchbook.com?c=491052-16", "View Company Online")</f>
      </c>
    </row>
    <row r="7166">
      <c r="A7166" t="s" s="10">
        <v>35881</v>
      </c>
      <c r="B7166" t="s" s="10">
        <v>35882</v>
      </c>
      <c r="C7166" t="s" s="10">
        <v>46</v>
      </c>
      <c r="D7166" t="s" s="10">
        <v>915</v>
      </c>
      <c r="E7166" t="s" s="10">
        <v>973</v>
      </c>
      <c r="F7166" s="27">
        <v>45621</v>
      </c>
      <c r="G7166" t="s" s="10">
        <v>4267</v>
      </c>
      <c r="H7166" s="42">
        <v>0.35</v>
      </c>
      <c r="I7166" t="s" s="42">
        <v>30</v>
      </c>
      <c r="J7166" t="s" s="10">
        <v>35883</v>
      </c>
      <c r="K7166" t="s" s="10">
        <v>35884</v>
      </c>
      <c r="L7166" s="16">
        <f>HYPERLINK("http://www.zemobank.com.br", "www.zemobank.com.br")</f>
      </c>
      <c r="M7166" s="16">
        <f>HYPERLINK("https://my.pitchbook.com?c=619396-93", "View Company Online")</f>
      </c>
    </row>
    <row r="7167">
      <c r="A7167" t="s" s="11">
        <v>35886</v>
      </c>
      <c r="B7167" t="s" s="11">
        <v>35887</v>
      </c>
      <c r="C7167" t="s" s="11">
        <v>37</v>
      </c>
      <c r="D7167" t="s" s="11">
        <v>304</v>
      </c>
      <c r="E7167" t="s" s="11">
        <v>270</v>
      </c>
      <c r="F7167" s="28">
        <v>45407</v>
      </c>
      <c r="G7167" t="s" s="11">
        <v>607</v>
      </c>
      <c r="H7167" t="s" s="43">
        <v>30</v>
      </c>
      <c r="I7167" t="s" s="43">
        <v>30</v>
      </c>
      <c r="J7167" t="s" s="11">
        <v>35888</v>
      </c>
      <c r="K7167" t="s" s="11">
        <v>35889</v>
      </c>
      <c r="L7167" s="17">
        <f>HYPERLINK("http://www.zenda.com", "www.zenda.com")</f>
      </c>
      <c r="M7167" s="17">
        <f>HYPERLINK("https://my.pitchbook.com?c=490710-88", "View Company Online")</f>
      </c>
    </row>
    <row r="7168">
      <c r="A7168" t="s" s="10">
        <v>35891</v>
      </c>
      <c r="B7168" t="s" s="10">
        <v>35892</v>
      </c>
      <c r="C7168" t="s" s="10">
        <v>60</v>
      </c>
      <c r="D7168" t="s" s="10">
        <v>246</v>
      </c>
      <c r="E7168" t="s" s="10">
        <v>270</v>
      </c>
      <c r="F7168" s="27">
        <v>44949</v>
      </c>
      <c r="G7168" t="s" s="10">
        <v>40</v>
      </c>
      <c r="H7168" s="42">
        <v>8.5</v>
      </c>
      <c r="I7168" t="s" s="42">
        <v>30</v>
      </c>
      <c r="J7168" t="s" s="10">
        <v>35893</v>
      </c>
      <c r="K7168" t="s" s="10">
        <v>35894</v>
      </c>
      <c r="L7168" s="16">
        <f>HYPERLINK("http://www.zenfi.mx", "www.zenfi.mx")</f>
      </c>
      <c r="M7168" s="16">
        <f>HYPERLINK("https://my.pitchbook.com?c=510598-90", "View Company Online")</f>
      </c>
    </row>
    <row r="7169">
      <c r="A7169" t="s" s="11">
        <v>35896</v>
      </c>
      <c r="B7169" t="s" s="11">
        <v>35897</v>
      </c>
      <c r="C7169" t="s" s="11">
        <v>46</v>
      </c>
      <c r="D7169" t="s" s="11">
        <v>915</v>
      </c>
      <c r="E7169" t="s" s="11">
        <v>373</v>
      </c>
      <c r="F7169" t="s" s="28">
        <v>30</v>
      </c>
      <c r="G7169" t="s" s="11">
        <v>48</v>
      </c>
      <c r="H7169" t="s" s="43">
        <v>30</v>
      </c>
      <c r="I7169" t="s" s="43">
        <v>30</v>
      </c>
      <c r="J7169" t="s" s="11">
        <v>35898</v>
      </c>
      <c r="K7169" t="s" s="11">
        <v>35899</v>
      </c>
      <c r="L7169" s="17">
        <f>HYPERLINK("http://www.zenstatement.com", "www.zenstatement.com")</f>
      </c>
      <c r="M7169" s="17">
        <f>HYPERLINK("https://my.pitchbook.com?c=686630-98", "View Company Online")</f>
      </c>
    </row>
    <row r="7170">
      <c r="A7170" t="s" s="10">
        <v>35901</v>
      </c>
      <c r="B7170" t="s" s="10">
        <v>35902</v>
      </c>
      <c r="C7170" t="s" s="10">
        <v>37</v>
      </c>
      <c r="D7170" t="s" s="10">
        <v>38</v>
      </c>
      <c r="E7170" t="s" s="10">
        <v>253</v>
      </c>
      <c r="F7170" s="27">
        <v>44179</v>
      </c>
      <c r="G7170" t="s" s="10">
        <v>146</v>
      </c>
      <c r="H7170" s="42">
        <v>3.43</v>
      </c>
      <c r="I7170" t="s" s="42">
        <v>30</v>
      </c>
      <c r="J7170" t="s" s="10">
        <v>35903</v>
      </c>
      <c r="K7170" t="s" s="10">
        <v>35904</v>
      </c>
      <c r="L7170" s="16">
        <f>HYPERLINK("http://www.zenus.com", "www.zenus.com")</f>
      </c>
      <c r="M7170" s="16">
        <f>HYPERLINK("https://my.pitchbook.com?c=435604-06", "View Company Online")</f>
      </c>
    </row>
    <row r="7171">
      <c r="A7171" t="s" s="11">
        <v>35906</v>
      </c>
      <c r="B7171" t="s" s="11">
        <v>35907</v>
      </c>
      <c r="C7171" t="s" s="11">
        <v>128</v>
      </c>
      <c r="D7171" t="s" s="11">
        <v>199</v>
      </c>
      <c r="E7171" t="s" s="11">
        <v>859</v>
      </c>
      <c r="F7171" s="28">
        <v>46106</v>
      </c>
      <c r="G7171" t="s" s="11">
        <v>40</v>
      </c>
      <c r="H7171" s="43">
        <v>6</v>
      </c>
      <c r="I7171" t="s" s="43">
        <v>30</v>
      </c>
      <c r="J7171" t="s" s="11">
        <v>35908</v>
      </c>
      <c r="K7171" t="s" s="11">
        <v>35909</v>
      </c>
      <c r="L7171" s="17">
        <f>HYPERLINK("http://payy.network", "payy.network")</f>
      </c>
      <c r="M7171" s="17">
        <f>HYPERLINK("https://my.pitchbook.com?c=520638-58", "View Company Online")</f>
      </c>
    </row>
    <row r="7172">
      <c r="A7172" t="s" s="10">
        <v>35911</v>
      </c>
      <c r="B7172" t="s" s="10">
        <v>35912</v>
      </c>
      <c r="C7172" t="s" s="10">
        <v>128</v>
      </c>
      <c r="D7172" t="s" s="10">
        <v>276</v>
      </c>
      <c r="E7172" t="s" s="10">
        <v>270</v>
      </c>
      <c r="F7172" s="27">
        <v>45936</v>
      </c>
      <c r="G7172" t="s" s="10">
        <v>146</v>
      </c>
      <c r="H7172" s="42">
        <v>0.64</v>
      </c>
      <c r="I7172" t="s" s="42">
        <v>30</v>
      </c>
      <c r="J7172" t="s" s="10">
        <v>35913</v>
      </c>
      <c r="K7172" t="s" s="10">
        <v>26625</v>
      </c>
      <c r="L7172" s="16">
        <f>HYPERLINK("http://www.zero.co.uk", "www.zero.co.uk")</f>
      </c>
      <c r="M7172" s="16">
        <f>HYPERLINK("https://my.pitchbook.com?c=640224-46", "View Company Online")</f>
      </c>
    </row>
    <row r="7173">
      <c r="A7173" t="s" s="11">
        <v>35915</v>
      </c>
      <c r="B7173" t="s" s="11">
        <v>35916</v>
      </c>
      <c r="C7173" t="s" s="11">
        <v>222</v>
      </c>
      <c r="D7173" t="s" s="11">
        <v>235</v>
      </c>
      <c r="E7173" t="s" s="11">
        <v>23521</v>
      </c>
      <c r="F7173" s="28">
        <v>45775</v>
      </c>
      <c r="G7173" t="s" s="11">
        <v>146</v>
      </c>
      <c r="H7173" s="43">
        <v>4.3</v>
      </c>
      <c r="I7173" t="s" s="43">
        <v>30</v>
      </c>
      <c r="J7173" t="s" s="11">
        <v>35917</v>
      </c>
      <c r="K7173" t="s" s="11">
        <v>35918</v>
      </c>
      <c r="L7173" s="17">
        <f>HYPERLINK("http://www.zestequity.com", "www.zestequity.com")</f>
      </c>
      <c r="M7173" s="17">
        <f>HYPERLINK("https://my.pitchbook.com?c=510485-68", "View Company Online")</f>
      </c>
    </row>
    <row r="7174">
      <c r="A7174" t="s" s="10">
        <v>35920</v>
      </c>
      <c r="B7174" t="s" s="10">
        <v>35921</v>
      </c>
      <c r="C7174" t="s" s="10">
        <v>114</v>
      </c>
      <c r="D7174" t="s" s="10">
        <v>1386</v>
      </c>
      <c r="E7174" t="s" s="10">
        <v>137</v>
      </c>
      <c r="F7174" s="27">
        <v>46028</v>
      </c>
      <c r="G7174" t="s" s="10">
        <v>4267</v>
      </c>
      <c r="H7174" s="42">
        <v>4.26</v>
      </c>
      <c r="I7174" t="s" s="42">
        <v>30</v>
      </c>
      <c r="J7174" t="s" s="10">
        <v>35922</v>
      </c>
      <c r="K7174" t="s" s="10">
        <v>30</v>
      </c>
      <c r="L7174" t="s" s="10">
        <v>30</v>
      </c>
      <c r="M7174" s="16">
        <f>HYPERLINK("https://my.pitchbook.com?c=1240014-79", "View Company Online")</f>
      </c>
    </row>
    <row r="7175">
      <c r="A7175" t="s" s="11">
        <v>35923</v>
      </c>
      <c r="B7175" t="s" s="11">
        <v>35924</v>
      </c>
      <c r="C7175" t="s" s="11">
        <v>27</v>
      </c>
      <c r="D7175" t="s" s="11">
        <v>70</v>
      </c>
      <c r="E7175" t="s" s="11">
        <v>1349</v>
      </c>
      <c r="F7175" s="28">
        <v>45593</v>
      </c>
      <c r="G7175" t="s" s="11">
        <v>146</v>
      </c>
      <c r="H7175" s="43">
        <v>7.07</v>
      </c>
      <c r="I7175" t="s" s="43">
        <v>30</v>
      </c>
      <c r="J7175" t="s" s="11">
        <v>35925</v>
      </c>
      <c r="K7175" t="s" s="11">
        <v>35926</v>
      </c>
      <c r="L7175" t="s" s="11">
        <v>30</v>
      </c>
      <c r="M7175" s="17">
        <f>HYPERLINK("https://my.pitchbook.com?c=706733-11", "View Company Online")</f>
      </c>
    </row>
    <row r="7176">
      <c r="A7176" t="s" s="10">
        <v>35927</v>
      </c>
      <c r="B7176" t="s" s="10">
        <v>35928</v>
      </c>
      <c r="C7176" t="s" s="10">
        <v>222</v>
      </c>
      <c r="D7176" t="s" s="10">
        <v>223</v>
      </c>
      <c r="E7176" t="s" s="10">
        <v>367</v>
      </c>
      <c r="F7176" s="27">
        <v>43160</v>
      </c>
      <c r="G7176" t="s" s="10">
        <v>146</v>
      </c>
      <c r="H7176" s="42">
        <v>1.58</v>
      </c>
      <c r="I7176" t="s" s="42">
        <v>30</v>
      </c>
      <c r="J7176" t="s" s="10">
        <v>35929</v>
      </c>
      <c r="K7176" t="s" s="10">
        <v>35930</v>
      </c>
      <c r="L7176" s="16">
        <f>HYPERLINK("http://www.zmate.cn", "www.zmate.cn")</f>
      </c>
      <c r="M7176" s="16">
        <f>HYPERLINK("https://my.pitchbook.com?c=462914-56", "View Company Online")</f>
      </c>
    </row>
    <row r="7177">
      <c r="A7177" t="s" s="11">
        <v>35932</v>
      </c>
      <c r="B7177" t="s" s="11">
        <v>35933</v>
      </c>
      <c r="C7177" t="s" s="11">
        <v>37</v>
      </c>
      <c r="D7177" t="s" s="11">
        <v>304</v>
      </c>
      <c r="E7177" t="s" s="11">
        <v>137</v>
      </c>
      <c r="F7177" s="28">
        <v>43302</v>
      </c>
      <c r="G7177" t="s" s="11">
        <v>146</v>
      </c>
      <c r="H7177" s="43">
        <v>7.53</v>
      </c>
      <c r="I7177" t="s" s="43">
        <v>30</v>
      </c>
      <c r="J7177" t="s" s="11">
        <v>35934</v>
      </c>
      <c r="K7177" t="s" s="11">
        <v>30</v>
      </c>
      <c r="L7177" s="17">
        <f>HYPERLINK("http://www.zyxr.com", "www.zyxr.com")</f>
      </c>
      <c r="M7177" s="17">
        <f>HYPERLINK("https://my.pitchbook.com?c=399455-92", "View Company Online")</f>
      </c>
    </row>
    <row r="7178">
      <c r="A7178" t="s" s="10">
        <v>35936</v>
      </c>
      <c r="B7178" t="s" s="10">
        <v>35937</v>
      </c>
      <c r="C7178" t="s" s="10">
        <v>60</v>
      </c>
      <c r="D7178" t="s" s="10">
        <v>246</v>
      </c>
      <c r="E7178" t="s" s="10">
        <v>116</v>
      </c>
      <c r="F7178" s="27">
        <v>44511</v>
      </c>
      <c r="G7178" t="s" s="10">
        <v>4267</v>
      </c>
      <c r="H7178" s="42">
        <v>0.14</v>
      </c>
      <c r="I7178" t="s" s="42">
        <v>30</v>
      </c>
      <c r="J7178" t="s" s="10">
        <v>35938</v>
      </c>
      <c r="K7178" t="s" s="10">
        <v>15996</v>
      </c>
      <c r="L7178" s="16">
        <f>HYPERLINK("http://www.simplyzibra.com.au", "www.simplyzibra.com.au")</f>
      </c>
      <c r="M7178" s="16">
        <f>HYPERLINK("https://my.pitchbook.com?c=493242-40", "View Company Online")</f>
      </c>
    </row>
    <row r="7179">
      <c r="A7179" t="s" s="11">
        <v>35940</v>
      </c>
      <c r="B7179" t="s" s="11">
        <v>35941</v>
      </c>
      <c r="C7179" t="s" s="11">
        <v>60</v>
      </c>
      <c r="D7179" t="s" s="11">
        <v>192</v>
      </c>
      <c r="E7179" t="s" s="11">
        <v>6677</v>
      </c>
      <c r="F7179" s="28">
        <v>43282</v>
      </c>
      <c r="G7179" t="s" s="11">
        <v>40</v>
      </c>
      <c r="H7179" s="43">
        <v>15.45</v>
      </c>
      <c r="I7179" t="s" s="43">
        <v>30</v>
      </c>
      <c r="J7179" t="s" s="11">
        <v>35942</v>
      </c>
      <c r="K7179" t="s" s="11">
        <v>35943</v>
      </c>
      <c r="L7179" s="17">
        <f>HYPERLINK("http://www.zichan360.com", "www.zichan360.com")</f>
      </c>
      <c r="M7179" s="17">
        <f>HYPERLINK("https://my.pitchbook.com?c=182282-77", "View Company Online")</f>
      </c>
    </row>
    <row r="7180">
      <c r="A7180" t="s" s="10">
        <v>35945</v>
      </c>
      <c r="B7180" t="s" s="10">
        <v>35946</v>
      </c>
      <c r="C7180" t="s" s="10">
        <v>60</v>
      </c>
      <c r="D7180" t="s" s="10">
        <v>192</v>
      </c>
      <c r="E7180" t="s" s="10">
        <v>137</v>
      </c>
      <c r="F7180" s="27">
        <v>43325</v>
      </c>
      <c r="G7180" t="s" s="10">
        <v>146</v>
      </c>
      <c r="H7180" s="42">
        <v>2.94</v>
      </c>
      <c r="I7180" t="s" s="42">
        <v>30</v>
      </c>
      <c r="J7180" t="s" s="10">
        <v>35947</v>
      </c>
      <c r="K7180" t="s" s="10">
        <v>35948</v>
      </c>
      <c r="L7180" s="16">
        <f>HYPERLINK("http://znfinnews.com", "znfinnews.com")</f>
      </c>
      <c r="M7180" s="16">
        <f>HYPERLINK("https://my.pitchbook.com?c=268456-15", "View Company Online")</f>
      </c>
    </row>
    <row r="7181">
      <c r="A7181" t="s" s="11">
        <v>35950</v>
      </c>
      <c r="B7181" t="s" s="11">
        <v>35951</v>
      </c>
      <c r="C7181" t="s" s="11">
        <v>60</v>
      </c>
      <c r="D7181" t="s" s="11">
        <v>192</v>
      </c>
      <c r="E7181" t="s" s="11">
        <v>253</v>
      </c>
      <c r="F7181" s="28">
        <v>46141</v>
      </c>
      <c r="G7181" t="s" s="11">
        <v>391</v>
      </c>
      <c r="H7181" t="s" s="43">
        <v>30</v>
      </c>
      <c r="I7181" t="s" s="43">
        <v>30</v>
      </c>
      <c r="J7181" t="s" s="11">
        <v>35952</v>
      </c>
      <c r="K7181" t="s" s="11">
        <v>30</v>
      </c>
      <c r="L7181" s="17">
        <f>HYPERLINK("http://www.zinc.money", "www.zinc.money")</f>
      </c>
      <c r="M7181" s="17">
        <f>HYPERLINK("https://my.pitchbook.com?c=706661-74", "View Company Online")</f>
      </c>
    </row>
    <row r="7182">
      <c r="A7182" t="s" s="10">
        <v>35954</v>
      </c>
      <c r="B7182" t="s" s="10">
        <v>35955</v>
      </c>
      <c r="C7182" t="s" s="10">
        <v>37</v>
      </c>
      <c r="D7182" t="s" s="10">
        <v>304</v>
      </c>
      <c r="E7182" t="s" s="10">
        <v>270</v>
      </c>
      <c r="F7182" s="27">
        <v>46064</v>
      </c>
      <c r="G7182" t="s" s="10">
        <v>31</v>
      </c>
      <c r="H7182" s="42">
        <v>41.63</v>
      </c>
      <c r="I7182" t="s" s="42">
        <v>30</v>
      </c>
      <c r="J7182" t="s" s="10">
        <v>35956</v>
      </c>
      <c r="K7182" t="s" s="10">
        <v>35957</v>
      </c>
      <c r="L7182" s="16">
        <f>HYPERLINK("http://zippi.com.br", "zippi.com.br")</f>
      </c>
      <c r="M7182" s="16">
        <f>HYPERLINK("https://my.pitchbook.com?c=279840-43", "View Company Online")</f>
      </c>
    </row>
    <row r="7183">
      <c r="A7183" t="s" s="11">
        <v>35959</v>
      </c>
      <c r="B7183" t="s" s="11">
        <v>35960</v>
      </c>
      <c r="C7183" t="s" s="11">
        <v>128</v>
      </c>
      <c r="D7183" t="s" s="11">
        <v>276</v>
      </c>
      <c r="E7183" t="s" s="11">
        <v>130</v>
      </c>
      <c r="F7183" s="28">
        <v>46195</v>
      </c>
      <c r="G7183" t="s" s="11">
        <v>607</v>
      </c>
      <c r="H7183" t="s" s="43">
        <v>30</v>
      </c>
      <c r="I7183" t="s" s="43">
        <v>30</v>
      </c>
      <c r="J7183" t="s" s="11">
        <v>35961</v>
      </c>
      <c r="K7183" t="s" s="11">
        <v>35962</v>
      </c>
      <c r="L7183" s="17">
        <f>HYPERLINK("http://www.zipup.co.kr", "www.zipup.co.kr")</f>
      </c>
      <c r="M7183" s="17">
        <f>HYPERLINK("https://my.pitchbook.com?c=802917-01", "View Company Online")</f>
      </c>
    </row>
    <row r="7184">
      <c r="A7184" t="s" s="10">
        <v>35964</v>
      </c>
      <c r="B7184" t="s" s="10">
        <v>35965</v>
      </c>
      <c r="C7184" t="s" s="10">
        <v>114</v>
      </c>
      <c r="D7184" t="s" s="10">
        <v>852</v>
      </c>
      <c r="E7184" t="s" s="10">
        <v>259</v>
      </c>
      <c r="F7184" s="27">
        <v>45566</v>
      </c>
      <c r="G7184" t="s" s="10">
        <v>4267</v>
      </c>
      <c r="H7184" t="s" s="42">
        <v>30</v>
      </c>
      <c r="I7184" t="s" s="42">
        <v>30</v>
      </c>
      <c r="J7184" t="s" s="10">
        <v>35966</v>
      </c>
      <c r="K7184" t="s" s="10">
        <v>35967</v>
      </c>
      <c r="L7184" s="16">
        <f>HYPERLINK("http://www.somosziro.com", "www.somosziro.com")</f>
      </c>
      <c r="M7184" s="16">
        <f>HYPERLINK("https://my.pitchbook.com?c=529591-42", "View Company Online")</f>
      </c>
    </row>
    <row r="7185">
      <c r="A7185" t="s" s="11">
        <v>35969</v>
      </c>
      <c r="B7185" t="s" s="11">
        <v>35970</v>
      </c>
      <c r="C7185" t="s" s="11">
        <v>60</v>
      </c>
      <c r="D7185" t="s" s="11">
        <v>432</v>
      </c>
      <c r="E7185" t="s" s="11">
        <v>373</v>
      </c>
      <c r="F7185" s="28">
        <v>46054</v>
      </c>
      <c r="G7185" t="s" s="11">
        <v>146</v>
      </c>
      <c r="H7185" t="s" s="43">
        <v>30</v>
      </c>
      <c r="I7185" t="s" s="43">
        <v>30</v>
      </c>
      <c r="J7185" t="s" s="11">
        <v>35971</v>
      </c>
      <c r="K7185" t="s" s="11">
        <v>35972</v>
      </c>
      <c r="L7185" s="17">
        <f>HYPERLINK("http://www.zite.co", "www.zite.co")</f>
      </c>
      <c r="M7185" s="17">
        <f>HYPERLINK("https://my.pitchbook.com?c=707729-95", "View Company Online")</f>
      </c>
    </row>
    <row r="7186">
      <c r="A7186" t="s" s="10">
        <v>35974</v>
      </c>
      <c r="B7186" t="s" s="10">
        <v>35975</v>
      </c>
      <c r="C7186" t="s" s="10">
        <v>60</v>
      </c>
      <c r="D7186" t="s" s="10">
        <v>192</v>
      </c>
      <c r="E7186" t="s" s="10">
        <v>373</v>
      </c>
      <c r="F7186" s="27">
        <v>45945</v>
      </c>
      <c r="G7186" t="s" s="10">
        <v>146</v>
      </c>
      <c r="H7186" t="s" s="42">
        <v>30</v>
      </c>
      <c r="I7186" t="s" s="42">
        <v>30</v>
      </c>
      <c r="J7186" t="s" s="10">
        <v>35976</v>
      </c>
      <c r="K7186" t="s" s="10">
        <v>35977</v>
      </c>
      <c r="L7186" s="16">
        <f>HYPERLINK("http://www.zive.ai", "www.zive.ai")</f>
      </c>
      <c r="M7186" s="16">
        <f>HYPERLINK("https://my.pitchbook.com?c=532507-78", "View Company Online")</f>
      </c>
    </row>
    <row r="7187">
      <c r="A7187" t="s" s="11">
        <v>35979</v>
      </c>
      <c r="B7187" t="s" s="11">
        <v>35980</v>
      </c>
      <c r="C7187" t="s" s="11">
        <v>172</v>
      </c>
      <c r="D7187" t="s" s="11">
        <v>338</v>
      </c>
      <c r="E7187" t="s" s="11">
        <v>35488</v>
      </c>
      <c r="F7187" s="28">
        <v>45292</v>
      </c>
      <c r="G7187" t="s" s="11">
        <v>146</v>
      </c>
      <c r="H7187" t="s" s="43">
        <v>30</v>
      </c>
      <c r="I7187" t="s" s="43">
        <v>30</v>
      </c>
      <c r="J7187" t="s" s="11">
        <v>35981</v>
      </c>
      <c r="K7187" t="s" s="11">
        <v>35982</v>
      </c>
      <c r="L7187" s="17">
        <f>HYPERLINK("http://www.zkr.nl", "www.zkr.nl")</f>
      </c>
      <c r="M7187" s="17">
        <f>HYPERLINK("https://my.pitchbook.com?c=551351-44", "View Company Online")</f>
      </c>
    </row>
    <row r="7188">
      <c r="A7188" t="s" s="10">
        <v>35984</v>
      </c>
      <c r="B7188" t="s" s="10">
        <v>35985</v>
      </c>
      <c r="C7188" t="s" s="10">
        <v>27</v>
      </c>
      <c r="D7188" t="s" s="10">
        <v>28</v>
      </c>
      <c r="E7188" t="s" s="10">
        <v>193</v>
      </c>
      <c r="F7188" s="27">
        <v>44197</v>
      </c>
      <c r="G7188" t="s" s="10">
        <v>40</v>
      </c>
      <c r="H7188" s="42">
        <v>6.71</v>
      </c>
      <c r="I7188" t="s" s="42">
        <v>30</v>
      </c>
      <c r="J7188" t="s" s="10">
        <v>35986</v>
      </c>
      <c r="K7188" t="s" s="10">
        <v>35987</v>
      </c>
      <c r="L7188" s="16">
        <f>HYPERLINK("http://www.zlick.it", "www.zlick.it")</f>
      </c>
      <c r="M7188" s="16">
        <f>HYPERLINK("https://my.pitchbook.com?c=184117-60", "View Company Online")</f>
      </c>
    </row>
    <row r="7189">
      <c r="A7189" t="s" s="11">
        <v>35989</v>
      </c>
      <c r="B7189" t="s" s="11">
        <v>35990</v>
      </c>
      <c r="C7189" t="s" s="11">
        <v>46</v>
      </c>
      <c r="D7189" t="s" s="11">
        <v>78</v>
      </c>
      <c r="E7189" t="s" s="11">
        <v>137</v>
      </c>
      <c r="F7189" s="28">
        <v>45277</v>
      </c>
      <c r="G7189" t="s" s="11">
        <v>4267</v>
      </c>
      <c r="H7189" s="43">
        <v>1</v>
      </c>
      <c r="I7189" t="s" s="43">
        <v>30</v>
      </c>
      <c r="J7189" t="s" s="11">
        <v>35991</v>
      </c>
      <c r="K7189" t="s" s="11">
        <v>35992</v>
      </c>
      <c r="L7189" s="17">
        <f>HYPERLINK("http://www.zoficash.com", "www.zoficash.com")</f>
      </c>
      <c r="M7189" s="17">
        <f>HYPERLINK("https://my.pitchbook.com?c=497526-40", "View Company Online")</f>
      </c>
    </row>
    <row r="7190">
      <c r="A7190" t="s" s="10">
        <v>35994</v>
      </c>
      <c r="B7190" t="s" s="10">
        <v>35995</v>
      </c>
      <c r="C7190" t="s" s="10">
        <v>164</v>
      </c>
      <c r="D7190" t="s" s="10">
        <v>165</v>
      </c>
      <c r="E7190" t="s" s="10">
        <v>3138</v>
      </c>
      <c r="F7190" s="27">
        <v>44454</v>
      </c>
      <c r="G7190" t="s" s="10">
        <v>40</v>
      </c>
      <c r="H7190" s="42">
        <v>69</v>
      </c>
      <c r="I7190" t="s" s="42">
        <v>30</v>
      </c>
      <c r="J7190" t="s" s="10">
        <v>35996</v>
      </c>
      <c r="K7190" t="s" s="10">
        <v>35997</v>
      </c>
      <c r="L7190" s="16">
        <f>HYPERLINK("http://www.zonos.com", "www.zonos.com")</f>
      </c>
      <c r="M7190" s="16">
        <f>HYPERLINK("https://my.pitchbook.com?c=141105-07", "View Company Online")</f>
      </c>
    </row>
    <row r="7191">
      <c r="A7191" t="s" s="11">
        <v>35999</v>
      </c>
      <c r="B7191" t="s" s="11">
        <v>36000</v>
      </c>
      <c r="C7191" t="s" s="11">
        <v>60</v>
      </c>
      <c r="D7191" t="s" s="11">
        <v>61</v>
      </c>
      <c r="E7191" t="s" s="11">
        <v>270</v>
      </c>
      <c r="F7191" t="s" s="28">
        <v>30</v>
      </c>
      <c r="G7191" t="s" s="11">
        <v>146</v>
      </c>
      <c r="H7191" t="s" s="43">
        <v>30</v>
      </c>
      <c r="I7191" t="s" s="43">
        <v>30</v>
      </c>
      <c r="J7191" t="s" s="11">
        <v>36001</v>
      </c>
      <c r="K7191" t="s" s="11">
        <v>36002</v>
      </c>
      <c r="L7191" s="17">
        <f>HYPERLINK("http://www.zorion.com", "www.zorion.com")</f>
      </c>
      <c r="M7191" s="17">
        <f>HYPERLINK("https://my.pitchbook.com?c=316624-87", "View Company Online")</f>
      </c>
    </row>
    <row r="7192">
      <c r="A7192" t="s" s="10">
        <v>36004</v>
      </c>
      <c r="B7192" t="s" s="10">
        <v>36005</v>
      </c>
      <c r="C7192" t="s" s="10">
        <v>37</v>
      </c>
      <c r="D7192" t="s" s="10">
        <v>38</v>
      </c>
      <c r="E7192" t="s" s="10">
        <v>62</v>
      </c>
      <c r="F7192" s="27">
        <v>44488</v>
      </c>
      <c r="G7192" t="s" s="10">
        <v>146</v>
      </c>
      <c r="H7192" s="42">
        <v>4.6</v>
      </c>
      <c r="I7192" t="s" s="42">
        <v>30</v>
      </c>
      <c r="J7192" t="s" s="10">
        <v>36006</v>
      </c>
      <c r="K7192" t="s" s="10">
        <v>36007</v>
      </c>
      <c r="L7192" s="16">
        <f>HYPERLINK("http://zro.global", "zro.global")</f>
      </c>
      <c r="M7192" s="16">
        <f>HYPERLINK("https://my.pitchbook.com?c=496169-65", "View Company Online")</f>
      </c>
    </row>
    <row r="7193">
      <c r="A7193" t="s" s="11">
        <v>36009</v>
      </c>
      <c r="B7193" t="s" s="11">
        <v>36010</v>
      </c>
      <c r="C7193" t="s" s="11">
        <v>60</v>
      </c>
      <c r="D7193" t="s" s="11">
        <v>61</v>
      </c>
      <c r="E7193" t="s" s="11">
        <v>36011</v>
      </c>
      <c r="F7193" s="28">
        <v>45714</v>
      </c>
      <c r="G7193" t="s" s="11">
        <v>607</v>
      </c>
      <c r="H7193" t="s" s="43">
        <v>30</v>
      </c>
      <c r="I7193" t="s" s="43">
        <v>30</v>
      </c>
      <c r="J7193" t="s" s="11">
        <v>36012</v>
      </c>
      <c r="K7193" t="s" s="11">
        <v>36013</v>
      </c>
      <c r="L7193" s="17">
        <f>HYPERLINK("http://profcurious.com", "profcurious.com")</f>
      </c>
      <c r="M7193" s="17">
        <f>HYPERLINK("https://my.pitchbook.com?c=483635-62", "View Company Online")</f>
      </c>
    </row>
    <row r="7194">
      <c r="A7194" t="s" s="10">
        <v>36015</v>
      </c>
      <c r="B7194" t="s" s="10">
        <v>36016</v>
      </c>
      <c r="C7194" t="s" s="10">
        <v>27</v>
      </c>
      <c r="D7194" t="s" s="10">
        <v>70</v>
      </c>
      <c r="E7194" t="s" s="10">
        <v>629</v>
      </c>
      <c r="F7194" s="27">
        <v>46054</v>
      </c>
      <c r="G7194" t="s" s="10">
        <v>4267</v>
      </c>
      <c r="H7194" t="s" s="42">
        <v>30</v>
      </c>
      <c r="I7194" t="s" s="42">
        <v>30</v>
      </c>
      <c r="J7194" t="s" s="10">
        <v>36017</v>
      </c>
      <c r="K7194" t="s" s="10">
        <v>36018</v>
      </c>
      <c r="L7194" s="16">
        <f>HYPERLINK("http://www.zuba.com", "www.zuba.com")</f>
      </c>
      <c r="M7194" s="16">
        <f>HYPERLINK("https://my.pitchbook.com?c=1273925-44", "View Company Online")</f>
      </c>
    </row>
    <row r="7195">
      <c r="A7195" t="s" s="11">
        <v>36020</v>
      </c>
      <c r="B7195" t="s" s="11">
        <v>36021</v>
      </c>
      <c r="C7195" t="s" s="11">
        <v>27</v>
      </c>
      <c r="D7195" t="s" s="11">
        <v>70</v>
      </c>
      <c r="E7195" t="s" s="11">
        <v>4087</v>
      </c>
      <c r="F7195" s="28">
        <v>46210</v>
      </c>
      <c r="G7195" t="s" s="11">
        <v>40</v>
      </c>
      <c r="H7195" s="43">
        <v>50</v>
      </c>
      <c r="I7195" t="s" s="43">
        <v>30</v>
      </c>
      <c r="J7195" t="s" s="11">
        <v>36022</v>
      </c>
      <c r="K7195" t="s" s="11">
        <v>36023</v>
      </c>
      <c r="L7195" s="17">
        <f>HYPERLINK("http://www.zumrails.com", "www.zumrails.com")</f>
      </c>
      <c r="M7195" s="17">
        <f>HYPERLINK("https://my.pitchbook.com?c=459125-65", "View Company Online")</f>
      </c>
    </row>
    <row r="7196">
      <c r="A7196" t="s" s="10">
        <v>36025</v>
      </c>
      <c r="B7196" t="s" s="10">
        <v>36026</v>
      </c>
      <c r="C7196" t="s" s="10">
        <v>60</v>
      </c>
      <c r="D7196" t="s" s="10">
        <v>246</v>
      </c>
      <c r="E7196" t="s" s="10">
        <v>373</v>
      </c>
      <c r="F7196" s="27">
        <v>45809</v>
      </c>
      <c r="G7196" t="s" s="10">
        <v>146</v>
      </c>
      <c r="H7196" t="s" s="42">
        <v>30</v>
      </c>
      <c r="I7196" t="s" s="42">
        <v>30</v>
      </c>
      <c r="J7196" t="s" s="10">
        <v>36027</v>
      </c>
      <c r="K7196" t="s" s="10">
        <v>36028</v>
      </c>
      <c r="L7196" s="16">
        <f>HYPERLINK("http://www.zummafinancial.com", "www.zummafinancial.com")</f>
      </c>
      <c r="M7196" s="16">
        <f>HYPERLINK("https://my.pitchbook.com?c=483580-63", "View Company Online")</f>
      </c>
    </row>
    <row r="7197">
      <c r="A7197" t="s" s="11">
        <v>36030</v>
      </c>
      <c r="B7197" t="s" s="11">
        <v>36031</v>
      </c>
      <c r="C7197" t="s" s="11">
        <v>172</v>
      </c>
      <c r="D7197" t="s" s="11">
        <v>338</v>
      </c>
      <c r="E7197" t="s" s="11">
        <v>145</v>
      </c>
      <c r="F7197" t="s" s="28">
        <v>30</v>
      </c>
      <c r="G7197" t="s" s="11">
        <v>48</v>
      </c>
      <c r="H7197" t="s" s="43">
        <v>30</v>
      </c>
      <c r="I7197" t="s" s="43">
        <v>30</v>
      </c>
      <c r="J7197" t="s" s="11">
        <v>36032</v>
      </c>
      <c r="K7197" t="s" s="11">
        <v>36033</v>
      </c>
      <c r="L7197" s="17">
        <f>HYPERLINK("http://www.zus.network", "www.zus.network")</f>
      </c>
      <c r="M7197" s="17">
        <f>HYPERLINK("https://my.pitchbook.com?c=232612-12", "View Company Online")</f>
      </c>
    </row>
    <row r="7198">
      <c r="A7198" t="s" s="10">
        <v>36035</v>
      </c>
      <c r="B7198" t="s" s="10">
        <v>36036</v>
      </c>
      <c r="C7198" t="s" s="10">
        <v>27</v>
      </c>
      <c r="D7198" t="s" s="10">
        <v>70</v>
      </c>
      <c r="E7198" t="s" s="10">
        <v>259</v>
      </c>
      <c r="F7198" s="27">
        <v>45960</v>
      </c>
      <c r="G7198" t="s" s="10">
        <v>4267</v>
      </c>
      <c r="H7198" s="42">
        <v>5</v>
      </c>
      <c r="I7198" t="s" s="42">
        <v>30</v>
      </c>
      <c r="J7198" t="s" s="10">
        <v>36037</v>
      </c>
      <c r="K7198" t="s" s="10">
        <v>36038</v>
      </c>
      <c r="L7198" s="16">
        <f>HYPERLINK("http://www.zynk.money", "www.zynk.money")</f>
      </c>
      <c r="M7198" s="16">
        <f>HYPERLINK("https://my.pitchbook.com?c=819549-28", "View Company Online")</f>
      </c>
    </row>
    <row r="7199">
      <c r="A7199" t="s" s="11">
        <v>36040</v>
      </c>
      <c r="B7199" t="s" s="11">
        <v>36041</v>
      </c>
      <c r="C7199" t="s" s="11">
        <v>27</v>
      </c>
      <c r="D7199" t="s" s="11">
        <v>70</v>
      </c>
      <c r="E7199" t="s" s="11">
        <v>17041</v>
      </c>
      <c r="F7199" s="28">
        <v>46056</v>
      </c>
      <c r="G7199" t="s" s="11">
        <v>607</v>
      </c>
      <c r="H7199" t="s" s="43">
        <v>30</v>
      </c>
      <c r="I7199" t="s" s="43">
        <v>30</v>
      </c>
      <c r="J7199" t="s" s="11">
        <v>36042</v>
      </c>
      <c r="K7199" t="s" s="11">
        <v>36043</v>
      </c>
      <c r="L7199" s="17">
        <f>HYPERLINK("http://www.zynta.com", "www.zynta.com")</f>
      </c>
      <c r="M7199" s="17">
        <f>HYPERLINK("https://my.pitchbook.com?c=1261512-46", "View Company Online")</f>
      </c>
    </row>
    <row r="7201">
      <c r="A7201" s="55" t="s">
        <v>36045</v>
      </c>
    </row>
  </sheetData>
  <hyperlinks>
    <hyperlink ref="B5" r:id="rId1" display="https://my.pitchbook.com/?pcc=1372769-20"/>
    <hyperlink ref="B6" r:id="rId2" display="https://pitchbook.brightspotcdn.com/f7/98/aa1007cb450a999718033c9a9cee/q1-2026-fintech-vc-trends.pd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A60"/>
  <sheetViews>
    <sheetView workbookViewId="0"/>
  </sheetViews>
  <sheetFormatPr defaultRowHeight="15"/>
  <sheetData>
    <row r="1">
      <c r="A1" s="10"/>
    </row>
    <row r="2">
      <c r="A2" s="11"/>
    </row>
    <row r="3">
      <c r="A3" s="12"/>
    </row>
    <row r="4">
      <c r="A4" s="13"/>
    </row>
    <row r="5">
      <c r="A5" s="14"/>
    </row>
    <row r="6">
      <c r="A6" s="15"/>
    </row>
    <row r="7">
      <c r="A7" s="16"/>
    </row>
    <row r="8">
      <c r="A8" s="17"/>
    </row>
    <row r="9">
      <c r="A9" s="18"/>
    </row>
    <row r="10">
      <c r="A10" s="19"/>
    </row>
    <row r="11">
      <c r="A11" s="20"/>
    </row>
    <row r="12">
      <c r="A12" s="21"/>
    </row>
    <row r="13">
      <c r="A13" s="22"/>
    </row>
    <row r="14">
      <c r="A14" s="23"/>
    </row>
    <row r="15">
      <c r="A15" s="24"/>
    </row>
    <row r="16">
      <c r="A16" s="10"/>
    </row>
    <row r="17">
      <c r="A17" s="11"/>
    </row>
    <row r="18">
      <c r="A18" s="12"/>
    </row>
    <row r="19">
      <c r="A19" s="13"/>
    </row>
    <row r="20">
      <c r="A20" s="14"/>
    </row>
    <row r="21">
      <c r="A21" s="15"/>
    </row>
    <row r="22">
      <c r="A22" s="16"/>
    </row>
    <row r="23">
      <c r="A23" s="17"/>
    </row>
    <row r="24">
      <c r="A24" s="18"/>
    </row>
    <row r="25">
      <c r="A25" s="19"/>
    </row>
    <row r="26">
      <c r="A26" s="20"/>
    </row>
    <row r="27">
      <c r="A27" s="21"/>
    </row>
    <row r="28">
      <c r="A28" s="22"/>
    </row>
    <row r="29">
      <c r="A29" s="23"/>
    </row>
    <row r="30">
      <c r="A30" s="24"/>
    </row>
    <row r="31">
      <c r="A31" s="25"/>
    </row>
    <row r="32">
      <c r="A32" s="26"/>
    </row>
    <row r="33">
      <c r="A33" s="27"/>
    </row>
    <row r="34">
      <c r="A34" s="28"/>
    </row>
    <row r="35">
      <c r="A35" s="29"/>
    </row>
    <row r="36">
      <c r="A36" s="30"/>
    </row>
    <row r="37">
      <c r="A37" s="31"/>
    </row>
    <row r="38">
      <c r="A38" s="32"/>
    </row>
    <row r="39">
      <c r="A39" s="33"/>
    </row>
    <row r="40">
      <c r="A40" s="34"/>
    </row>
    <row r="41">
      <c r="A41" s="35"/>
    </row>
    <row r="42">
      <c r="A42" s="36"/>
    </row>
    <row r="43">
      <c r="A43" s="37"/>
    </row>
    <row r="44">
      <c r="A44" s="38"/>
    </row>
    <row r="45">
      <c r="A45" s="39"/>
    </row>
    <row r="46">
      <c r="A46" s="40"/>
    </row>
    <row r="47">
      <c r="A47" s="41"/>
    </row>
    <row r="48">
      <c r="A48" s="42"/>
    </row>
    <row r="49">
      <c r="A49" s="43"/>
    </row>
    <row r="50">
      <c r="A50" s="44"/>
    </row>
    <row r="51">
      <c r="A51" s="45"/>
    </row>
    <row r="52">
      <c r="A52" s="46"/>
    </row>
    <row r="53">
      <c r="A53" s="47"/>
    </row>
    <row r="54">
      <c r="A54" s="48"/>
    </row>
    <row r="55">
      <c r="A55" s="49"/>
    </row>
    <row r="56">
      <c r="A56" s="50"/>
    </row>
    <row r="57">
      <c r="A57" s="51"/>
    </row>
    <row r="58">
      <c r="A58" s="52"/>
    </row>
    <row r="59">
      <c r="A59" s="53"/>
    </row>
    <row r="60">
      <c r="A60" s="5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E15"/>
  <sheetViews>
    <sheetView showGridLines="0" workbookViewId="0">
      <selection sqref="A1"/>
    </sheetView>
  </sheetViews>
  <sheetFormatPr defaultRowHeight="15"/>
  <cols>
    <col min="1" max="1" width="10.5703125" customWidth="1"/>
    <col min="2" max="2" width="49.140625" customWidth="1"/>
    <col min="3" max="3" width="27.7109375" customWidth="1"/>
    <col min="4" max="4" width="4.5703125" customWidth="1"/>
    <col min="5" max="5" width="22.140625" customWidth="1"/>
  </cols>
  <sheetData>
    <row r="1">
      <c r="A1" s="56" t="s">
        <v>36046</v>
      </c>
    </row>
    <row r="3">
      <c r="A3" s="57" t="s">
        <v>36047</v>
      </c>
    </row>
    <row r="4">
      <c r="A4" s="59" t="s">
        <v>36048</v>
      </c>
    </row>
    <row r="6">
      <c r="A6" s="57" t="s">
        <v>36049</v>
      </c>
      <c r="C6" s="59" t="s">
        <v>36050</v>
      </c>
      <c r="E6" s="57" t="s">
        <v>36051</v>
      </c>
    </row>
    <row r="8">
      <c r="A8" s="57" t="s">
        <v>36052</v>
      </c>
    </row>
    <row r="9">
      <c r="A9" s="60" t="s">
        <v>36053</v>
      </c>
      <c r="B9" s="57" t="s">
        <v>36054</v>
      </c>
    </row>
    <row r="10">
      <c r="A10" s="60" t="s">
        <v>36055</v>
      </c>
      <c r="B10" s="57" t="s">
        <v>36056</v>
      </c>
    </row>
    <row r="11">
      <c r="A11" s="60" t="s">
        <v>36057</v>
      </c>
      <c r="B11" s="57" t="s">
        <v>36058</v>
      </c>
    </row>
    <row r="13">
      <c r="A13" s="57" t="s">
        <v>36059</v>
      </c>
      <c r="B13" s="59" t="s">
        <v>36048</v>
      </c>
    </row>
    <row r="15">
      <c r="A15" s="55" t="s">
        <v>36045</v>
      </c>
    </row>
  </sheetData>
  <sheetProtection algorithmName="SHA-512" hashValue="yGlJ1bTErHuZ17oIBH9HVMDBPVnLbGr6M4eLW1TQ6D/Hve0GsDNS/QilGt/HvO7WuL6uHH2mT4fk9dr8mvbIrQ==" saltValue="QLMgNjw/cz9yGyZefS764A==" spinCount="100000" sheet="1" objects="1" scenarios="1"/>
  <hyperlinks>
    <hyperlink ref="A4" r:id="rId1" display="support@pitchbook.com"/>
    <hyperlink ref="C6" r:id="rId2" display="the PitchBook subscription agreement."/>
    <hyperlink ref="B13" r:id="rId3" display="support@pitchbook.com"/>
  </hyperlinks>
  <pageMargins left="0.7" right="0.7" top="0.75" bottom="0.75" header="0.3" footer="0.3"/>
</worksheet>
</file>